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13E13CA7-4058-4589-85EC-07E27598AEB1}" xr6:coauthVersionLast="45" xr6:coauthVersionMax="45" xr10:uidLastSave="{00000000-0000-0000-0000-000000000000}"/>
  <bookViews>
    <workbookView xWindow="-98" yWindow="-98" windowWidth="20715" windowHeight="13276" tabRatio="878" xr2:uid="{3E0096B3-D6CA-4C78-AE4F-C31B3FD4FD7C}"/>
  </bookViews>
  <sheets>
    <sheet name="Contents" sheetId="17" r:id="rId1"/>
    <sheet name="INPUTS (Ofcom model re-run) --&gt;" sheetId="18" r:id="rId2"/>
    <sheet name="Viewing data" sheetId="9" r:id="rId3"/>
    <sheet name="Nation weights - Sky" sheetId="10" r:id="rId4"/>
    <sheet name=" VM-Gen Ent - EMP slot values" sheetId="2" r:id="rId5"/>
    <sheet name="Sky-Gen Ent - EMP slot values" sheetId="3" r:id="rId6"/>
    <sheet name="VM-Gen Ent EPG" sheetId="4" r:id="rId7"/>
    <sheet name="Sky-Gen Ent EPG" sheetId="11" r:id="rId8"/>
    <sheet name="IMPACTS (Ofcom model re-run)--&gt;" sheetId="6" r:id="rId9"/>
    <sheet name="Impacts - Virgin Media" sheetId="16" r:id="rId10"/>
    <sheet name="Impacts - Sky - England and NI" sheetId="13" r:id="rId11"/>
    <sheet name="Impacts - Sky - Scotland" sheetId="14" r:id="rId12"/>
    <sheet name="Impacts - Sky - Wales" sheetId="15" r:id="rId13"/>
    <sheet name="Impacts - Sky - Kids" sheetId="19" r:id="rId14"/>
    <sheet name="INPUTS (O&amp;O model re-run) --&gt;" sheetId="20" r:id="rId15"/>
    <sheet name="Viewing data (2)" sheetId="21" r:id="rId16"/>
    <sheet name="Nation weights - Sky (2)" sheetId="22" r:id="rId17"/>
    <sheet name="O&amp;O - Revenues &amp; viewing" sheetId="23" r:id="rId18"/>
    <sheet name="O&amp;O - other input parameters" sheetId="24" r:id="rId19"/>
    <sheet name="VM-Gen Ent EPG (2)" sheetId="25" r:id="rId20"/>
    <sheet name="Sky-Gen Ent EPG (2)" sheetId="26" r:id="rId21"/>
    <sheet name="Freeview-Gen Ent" sheetId="27" r:id="rId22"/>
    <sheet name="Freeview-Gen Ent-more than min" sheetId="28" r:id="rId23"/>
    <sheet name="Freesat-Gen Ent EPG" sheetId="29" r:id="rId24"/>
    <sheet name="IMPACTS (O&amp;O model re-run) --&gt;" sheetId="30" r:id="rId25"/>
    <sheet name="Impacts - VM" sheetId="31" r:id="rId26"/>
    <sheet name="Impact - Sky Wales" sheetId="32" r:id="rId27"/>
    <sheet name="Impacts - Freeview - non Scot" sheetId="33" r:id="rId28"/>
    <sheet name="Impacts - Freeview - Scotland" sheetId="34" r:id="rId29"/>
    <sheet name="Impacts - Freesat - non Wales" sheetId="35" r:id="rId30"/>
    <sheet name="Impacts - Freesat - Wales" sheetId="36" r:id="rId31"/>
    <sheet name="Additional C4 calculations" sheetId="37" r:id="rId32"/>
  </sheets>
  <externalReferences>
    <externalReference r:id="rId33"/>
    <externalReference r:id="rId34"/>
    <externalReference r:id="rId35"/>
    <externalReference r:id="rId36"/>
  </externalReferences>
  <definedNames>
    <definedName name="_xlnm._FilterDatabase" localSheetId="17" hidden="1">'O&amp;O - Revenues &amp; viewing'!$A$5:$AP$237</definedName>
    <definedName name="Choose_and_enter_scenario_number_from_list_below">'[1]SCENARIO SELECTOR'!$E$6</definedName>
    <definedName name="_xlnm.Print_Area">#REF!</definedName>
    <definedName name="SHT_Date" localSheetId="21">OFFSET(#REF!,0,HLOOKUP(#REF!,#REF!,2,FALSE)-1,1,HLOOKUP(#REF!,#REF!,2,FALSE)-HLOOKUP(#REF!,#REF!,2,FALSE)+1)</definedName>
    <definedName name="SHT_Date" localSheetId="17">OFFSET(#REF!,0,HLOOKUP(#REF!,#REF!,2,FALSE)-1,1,HLOOKUP(#REF!,#REF!,2,FALSE)-HLOOKUP(#REF!,#REF!,2,FALSE)+1)</definedName>
    <definedName name="SHT_Date">OFFSET(#REF!,0,HLOOKUP(#REF!,#REF!,2,FALSE)-1,1,HLOOKUP(#REF!,#REF!,2,FALSE)-HLOOKUP(#REF!,#REF!,2,FALSE)+1)</definedName>
    <definedName name="SHT_Demand1" localSheetId="21">OFFSET(#REF!,0,HLOOKUP(#REF!,#REF!,2,FALSE)-1,1,HLOOKUP(#REF!,#REF!,2,FALSE)-HLOOKUP(#REF!,#REF!,2,FALSE)+1)</definedName>
    <definedName name="SHT_Demand1">OFFSET(#REF!,0,HLOOKUP(#REF!,#REF!,2,FALSE)-1,1,HLOOKUP(#REF!,#REF!,2,FALSE)-HLOOKUP(#REF!,#REF!,2,FALSE)+1)</definedName>
    <definedName name="Workbook.Objective">Contents!$B$8</definedName>
    <definedName name="Workbook.Title" localSheetId="0">Contents!$B$6</definedName>
    <definedName name="Workbook.Title" localSheetId="17">[2]Contents!$B$6</definedName>
    <definedName name="Workbook.Title" localSheetId="2">[3]Contents!$B$6</definedName>
    <definedName name="Workbook.Title" localSheetId="15">[3]Contents!$B$6</definedName>
    <definedName name="Workbook.Title">[4]Contents!$B$6</definedName>
    <definedName name="Workbook.Version">Contents!$B$9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37" l="1"/>
  <c r="B5" i="37"/>
  <c r="C28" i="36"/>
  <c r="C27" i="36"/>
  <c r="D27" i="36" s="1"/>
  <c r="C26" i="36"/>
  <c r="C25" i="36"/>
  <c r="D25" i="36" s="1"/>
  <c r="C24" i="36"/>
  <c r="C23" i="36"/>
  <c r="D23" i="36" s="1"/>
  <c r="C22" i="36"/>
  <c r="C21" i="36"/>
  <c r="D21" i="36" s="1"/>
  <c r="C20" i="36"/>
  <c r="D20" i="36" s="1"/>
  <c r="C19" i="36"/>
  <c r="E19" i="36" s="1"/>
  <c r="J18" i="36"/>
  <c r="D18" i="36"/>
  <c r="C18" i="36"/>
  <c r="C17" i="36"/>
  <c r="J16" i="36"/>
  <c r="E16" i="36"/>
  <c r="C16" i="36"/>
  <c r="D16" i="36" s="1"/>
  <c r="C15" i="36"/>
  <c r="J14" i="36"/>
  <c r="C14" i="36"/>
  <c r="D14" i="36" s="1"/>
  <c r="C13" i="36"/>
  <c r="E13" i="36" s="1"/>
  <c r="C12" i="36"/>
  <c r="D12" i="36" s="1"/>
  <c r="C11" i="36"/>
  <c r="C10" i="36"/>
  <c r="D10" i="36" s="1"/>
  <c r="C9" i="36"/>
  <c r="E9" i="36" s="1"/>
  <c r="J8" i="36"/>
  <c r="E8" i="36"/>
  <c r="C8" i="36"/>
  <c r="D8" i="36" s="1"/>
  <c r="AC28" i="35"/>
  <c r="O28" i="35"/>
  <c r="Q28" i="35" s="1"/>
  <c r="A28" i="35"/>
  <c r="I28" i="35" s="1"/>
  <c r="AC27" i="35"/>
  <c r="AE27" i="35" s="1"/>
  <c r="V27" i="35"/>
  <c r="P27" i="35"/>
  <c r="O27" i="35"/>
  <c r="W27" i="35" s="1"/>
  <c r="A27" i="35"/>
  <c r="C27" i="35" s="1"/>
  <c r="AC26" i="35"/>
  <c r="AK26" i="35" s="1"/>
  <c r="R26" i="35"/>
  <c r="P26" i="35"/>
  <c r="O26" i="35"/>
  <c r="Q26" i="35" s="1"/>
  <c r="A26" i="35"/>
  <c r="D26" i="35" s="1"/>
  <c r="AC25" i="35"/>
  <c r="AK25" i="35" s="1"/>
  <c r="O25" i="35"/>
  <c r="A25" i="35"/>
  <c r="AJ24" i="35"/>
  <c r="AC24" i="35"/>
  <c r="AF24" i="35" s="1"/>
  <c r="O24" i="35"/>
  <c r="A24" i="35"/>
  <c r="AC23" i="35"/>
  <c r="AK23" i="35" s="1"/>
  <c r="O23" i="35"/>
  <c r="R23" i="35" s="1"/>
  <c r="A23" i="35"/>
  <c r="AK22" i="35"/>
  <c r="AC22" i="35"/>
  <c r="O22" i="35"/>
  <c r="W22" i="35" s="1"/>
  <c r="A22" i="35"/>
  <c r="I22" i="35" s="1"/>
  <c r="AE21" i="35"/>
  <c r="AD21" i="35"/>
  <c r="AC21" i="35"/>
  <c r="O21" i="35"/>
  <c r="Q21" i="35" s="1"/>
  <c r="A21" i="35"/>
  <c r="I21" i="35" s="1"/>
  <c r="AC20" i="35"/>
  <c r="AK20" i="35" s="1"/>
  <c r="O20" i="35"/>
  <c r="Q20" i="35" s="1"/>
  <c r="A20" i="35"/>
  <c r="AC19" i="35"/>
  <c r="W19" i="35"/>
  <c r="O19" i="35"/>
  <c r="A19" i="35"/>
  <c r="C19" i="35" s="1"/>
  <c r="AC18" i="35"/>
  <c r="AK18" i="35" s="1"/>
  <c r="O18" i="35"/>
  <c r="A18" i="35"/>
  <c r="I18" i="35" s="1"/>
  <c r="AC17" i="35"/>
  <c r="AD17" i="35" s="1"/>
  <c r="O17" i="35"/>
  <c r="B17" i="35"/>
  <c r="A17" i="35"/>
  <c r="I17" i="35" s="1"/>
  <c r="AC16" i="35"/>
  <c r="O16" i="35"/>
  <c r="W16" i="35" s="1"/>
  <c r="A16" i="35"/>
  <c r="I16" i="35" s="1"/>
  <c r="AC15" i="35"/>
  <c r="W15" i="35"/>
  <c r="O15" i="35"/>
  <c r="A15" i="35"/>
  <c r="AC14" i="35"/>
  <c r="O14" i="35"/>
  <c r="W14" i="35" s="1"/>
  <c r="A14" i="35"/>
  <c r="I14" i="35" s="1"/>
  <c r="AC13" i="35"/>
  <c r="AK13" i="35" s="1"/>
  <c r="V13" i="35"/>
  <c r="O13" i="35"/>
  <c r="W13" i="35" s="1"/>
  <c r="A13" i="35"/>
  <c r="I13" i="35" s="1"/>
  <c r="AC12" i="35"/>
  <c r="AK12" i="35" s="1"/>
  <c r="O12" i="35"/>
  <c r="P12" i="35" s="1"/>
  <c r="A12" i="35"/>
  <c r="AD11" i="35"/>
  <c r="AC11" i="35"/>
  <c r="AK11" i="35" s="1"/>
  <c r="O11" i="35"/>
  <c r="A11" i="35"/>
  <c r="I11" i="35" s="1"/>
  <c r="AC10" i="35"/>
  <c r="AK10" i="35" s="1"/>
  <c r="O10" i="35"/>
  <c r="I10" i="35"/>
  <c r="A10" i="35"/>
  <c r="AC9" i="35"/>
  <c r="O9" i="35"/>
  <c r="A9" i="35"/>
  <c r="I9" i="35" s="1"/>
  <c r="AC8" i="35"/>
  <c r="AK8" i="35" s="1"/>
  <c r="O8" i="35"/>
  <c r="W8" i="35" s="1"/>
  <c r="H8" i="35"/>
  <c r="A8" i="35"/>
  <c r="I8" i="35" s="1"/>
  <c r="C92" i="34"/>
  <c r="Q92" i="34" s="1"/>
  <c r="V91" i="34"/>
  <c r="U91" i="34"/>
  <c r="O91" i="34"/>
  <c r="N91" i="34"/>
  <c r="H91" i="34"/>
  <c r="G91" i="34"/>
  <c r="C91" i="34"/>
  <c r="V90" i="34"/>
  <c r="U90" i="34"/>
  <c r="O90" i="34"/>
  <c r="N90" i="34"/>
  <c r="H90" i="34"/>
  <c r="G90" i="34"/>
  <c r="C90" i="34"/>
  <c r="E90" i="34" s="1"/>
  <c r="C89" i="34"/>
  <c r="J89" i="34" s="1"/>
  <c r="C88" i="34"/>
  <c r="Q88" i="34" s="1"/>
  <c r="K87" i="34"/>
  <c r="E87" i="34"/>
  <c r="C87" i="34"/>
  <c r="Q87" i="34" s="1"/>
  <c r="C86" i="34"/>
  <c r="Q86" i="34" s="1"/>
  <c r="C85" i="34"/>
  <c r="V84" i="34"/>
  <c r="U84" i="34"/>
  <c r="O84" i="34"/>
  <c r="N84" i="34"/>
  <c r="K84" i="34"/>
  <c r="H84" i="34"/>
  <c r="G84" i="34"/>
  <c r="C84" i="34"/>
  <c r="Q84" i="34" s="1"/>
  <c r="C83" i="34"/>
  <c r="V82" i="34"/>
  <c r="U82" i="34"/>
  <c r="O82" i="34"/>
  <c r="N82" i="34"/>
  <c r="H82" i="34"/>
  <c r="G82" i="34"/>
  <c r="C82" i="34"/>
  <c r="R82" i="34" s="1"/>
  <c r="J81" i="34"/>
  <c r="C81" i="34"/>
  <c r="Q80" i="34"/>
  <c r="E80" i="34"/>
  <c r="D80" i="34"/>
  <c r="C80" i="34"/>
  <c r="C79" i="34"/>
  <c r="J79" i="34" s="1"/>
  <c r="C78" i="34"/>
  <c r="J77" i="34"/>
  <c r="C77" i="34"/>
  <c r="C76" i="34"/>
  <c r="K76" i="34" s="1"/>
  <c r="C75" i="34"/>
  <c r="C74" i="34"/>
  <c r="R73" i="34"/>
  <c r="E73" i="34"/>
  <c r="C73" i="34"/>
  <c r="Q73" i="34" s="1"/>
  <c r="C72" i="34"/>
  <c r="C71" i="34"/>
  <c r="C70" i="34"/>
  <c r="C69" i="34"/>
  <c r="Q68" i="34"/>
  <c r="C68" i="34"/>
  <c r="F68" i="34" s="1"/>
  <c r="J67" i="34"/>
  <c r="C67" i="34"/>
  <c r="C66" i="34"/>
  <c r="C65" i="34"/>
  <c r="C64" i="34"/>
  <c r="F63" i="34"/>
  <c r="C63" i="34"/>
  <c r="Q63" i="34" s="1"/>
  <c r="C62" i="34"/>
  <c r="C61" i="34"/>
  <c r="V60" i="34"/>
  <c r="U60" i="34"/>
  <c r="R60" i="34"/>
  <c r="O60" i="34"/>
  <c r="N60" i="34"/>
  <c r="K60" i="34"/>
  <c r="H60" i="34"/>
  <c r="G60" i="34"/>
  <c r="C60" i="34"/>
  <c r="D60" i="34" s="1"/>
  <c r="V59" i="34"/>
  <c r="U59" i="34"/>
  <c r="O59" i="34"/>
  <c r="N59" i="34"/>
  <c r="J59" i="34"/>
  <c r="H59" i="34"/>
  <c r="G59" i="34"/>
  <c r="C59" i="34"/>
  <c r="V58" i="34"/>
  <c r="U58" i="34"/>
  <c r="O58" i="34"/>
  <c r="N58" i="34"/>
  <c r="H58" i="34"/>
  <c r="G58" i="34"/>
  <c r="C58" i="34"/>
  <c r="R58" i="34" s="1"/>
  <c r="C57" i="34"/>
  <c r="C56" i="34"/>
  <c r="C55" i="34"/>
  <c r="R55" i="34" s="1"/>
  <c r="C54" i="34"/>
  <c r="R53" i="34"/>
  <c r="C53" i="34"/>
  <c r="C52" i="34"/>
  <c r="J52" i="34" s="1"/>
  <c r="C51" i="34"/>
  <c r="E51" i="34" s="1"/>
  <c r="C50" i="34"/>
  <c r="Q50" i="34" s="1"/>
  <c r="C49" i="34"/>
  <c r="J49" i="34" s="1"/>
  <c r="C48" i="34"/>
  <c r="F48" i="34" s="1"/>
  <c r="R47" i="34"/>
  <c r="K47" i="34"/>
  <c r="F47" i="34"/>
  <c r="E47" i="34"/>
  <c r="D47" i="34"/>
  <c r="C47" i="34"/>
  <c r="Q47" i="34" s="1"/>
  <c r="C46" i="34"/>
  <c r="J45" i="34"/>
  <c r="C45" i="34"/>
  <c r="F45" i="34" s="1"/>
  <c r="F44" i="34"/>
  <c r="C44" i="34"/>
  <c r="C43" i="34"/>
  <c r="F42" i="34"/>
  <c r="C42" i="34"/>
  <c r="R42" i="34" s="1"/>
  <c r="E41" i="34"/>
  <c r="C41" i="34"/>
  <c r="J41" i="34" s="1"/>
  <c r="C40" i="34"/>
  <c r="C39" i="34"/>
  <c r="R38" i="34"/>
  <c r="F38" i="34"/>
  <c r="C38" i="34"/>
  <c r="K37" i="34"/>
  <c r="C37" i="34"/>
  <c r="C36" i="34"/>
  <c r="R35" i="34"/>
  <c r="K35" i="34"/>
  <c r="F35" i="34"/>
  <c r="E35" i="34"/>
  <c r="C35" i="34"/>
  <c r="Q35" i="34" s="1"/>
  <c r="C34" i="34"/>
  <c r="C33" i="34"/>
  <c r="C32" i="34"/>
  <c r="R32" i="34" s="1"/>
  <c r="F31" i="34"/>
  <c r="E31" i="34"/>
  <c r="C31" i="34"/>
  <c r="Q31" i="34" s="1"/>
  <c r="C30" i="34"/>
  <c r="D29" i="34"/>
  <c r="C29" i="34"/>
  <c r="C28" i="34"/>
  <c r="F28" i="34" s="1"/>
  <c r="R27" i="34"/>
  <c r="K27" i="34"/>
  <c r="D27" i="34"/>
  <c r="C27" i="34"/>
  <c r="Q27" i="34" s="1"/>
  <c r="C26" i="34"/>
  <c r="C25" i="34"/>
  <c r="C24" i="34"/>
  <c r="C23" i="34"/>
  <c r="C22" i="34"/>
  <c r="F22" i="34" s="1"/>
  <c r="R21" i="34"/>
  <c r="F21" i="34"/>
  <c r="C21" i="34"/>
  <c r="Q21" i="34" s="1"/>
  <c r="C20" i="34"/>
  <c r="R19" i="34"/>
  <c r="C19" i="34"/>
  <c r="R18" i="34"/>
  <c r="C18" i="34"/>
  <c r="F18" i="34" s="1"/>
  <c r="R17" i="34"/>
  <c r="K17" i="34"/>
  <c r="D17" i="34"/>
  <c r="C17" i="34"/>
  <c r="Q17" i="34" s="1"/>
  <c r="C16" i="34"/>
  <c r="K15" i="34"/>
  <c r="F15" i="34"/>
  <c r="C15" i="34"/>
  <c r="F14" i="34"/>
  <c r="C14" i="34"/>
  <c r="R14" i="34" s="1"/>
  <c r="C13" i="34"/>
  <c r="F13" i="34" s="1"/>
  <c r="R12" i="34"/>
  <c r="C12" i="34"/>
  <c r="F12" i="34" s="1"/>
  <c r="C11" i="34"/>
  <c r="F10" i="34"/>
  <c r="C10" i="34"/>
  <c r="R10" i="34" s="1"/>
  <c r="F9" i="34"/>
  <c r="C9" i="34"/>
  <c r="J9" i="34" s="1"/>
  <c r="C8" i="34"/>
  <c r="AY92" i="33"/>
  <c r="AT92" i="33"/>
  <c r="AR92" i="33"/>
  <c r="AQ92" i="33"/>
  <c r="BE92" i="33" s="1"/>
  <c r="V92" i="33"/>
  <c r="AJ92" i="33" s="1"/>
  <c r="D92" i="33"/>
  <c r="A92" i="33"/>
  <c r="AQ91" i="33"/>
  <c r="AY91" i="33" s="1"/>
  <c r="AJ91" i="33"/>
  <c r="W91" i="33"/>
  <c r="V91" i="33"/>
  <c r="A91" i="33"/>
  <c r="H91" i="33" s="1"/>
  <c r="AQ90" i="33"/>
  <c r="BF90" i="33" s="1"/>
  <c r="V90" i="33"/>
  <c r="I90" i="33"/>
  <c r="D90" i="33"/>
  <c r="R90" i="33" s="1"/>
  <c r="B90" i="33"/>
  <c r="A90" i="33"/>
  <c r="O90" i="33" s="1"/>
  <c r="BE89" i="33"/>
  <c r="AQ89" i="33"/>
  <c r="V89" i="33"/>
  <c r="AK89" i="33" s="1"/>
  <c r="A89" i="33"/>
  <c r="H89" i="33" s="1"/>
  <c r="AR88" i="33"/>
  <c r="AQ88" i="33"/>
  <c r="Y88" i="33"/>
  <c r="V88" i="33"/>
  <c r="X88" i="33" s="1"/>
  <c r="A88" i="33"/>
  <c r="AQ87" i="33"/>
  <c r="V87" i="33"/>
  <c r="A87" i="33"/>
  <c r="BE86" i="33"/>
  <c r="AY86" i="33"/>
  <c r="AQ86" i="33"/>
  <c r="AT86" i="33" s="1"/>
  <c r="V86" i="33"/>
  <c r="AD86" i="33" s="1"/>
  <c r="A86" i="33"/>
  <c r="AQ85" i="33"/>
  <c r="V85" i="33"/>
  <c r="AK85" i="33" s="1"/>
  <c r="H85" i="33"/>
  <c r="A85" i="33"/>
  <c r="I85" i="33" s="1"/>
  <c r="AQ84" i="33"/>
  <c r="AK84" i="33"/>
  <c r="W84" i="33"/>
  <c r="V84" i="33"/>
  <c r="X84" i="33" s="1"/>
  <c r="A84" i="33"/>
  <c r="AQ83" i="33"/>
  <c r="V83" i="33"/>
  <c r="A83" i="33"/>
  <c r="AQ82" i="33"/>
  <c r="BE82" i="33" s="1"/>
  <c r="AC82" i="33"/>
  <c r="Y82" i="33"/>
  <c r="AF82" i="33" s="1"/>
  <c r="W82" i="33"/>
  <c r="V82" i="33"/>
  <c r="X82" i="33" s="1"/>
  <c r="H82" i="33"/>
  <c r="A82" i="33"/>
  <c r="I82" i="33" s="1"/>
  <c r="AQ81" i="33"/>
  <c r="AR81" i="33" s="1"/>
  <c r="V81" i="33"/>
  <c r="P81" i="33"/>
  <c r="H81" i="33"/>
  <c r="D81" i="33"/>
  <c r="A81" i="33"/>
  <c r="C81" i="33" s="1"/>
  <c r="AX80" i="33"/>
  <c r="AQ80" i="33"/>
  <c r="AY80" i="33" s="1"/>
  <c r="W80" i="33"/>
  <c r="V80" i="33"/>
  <c r="AK80" i="33" s="1"/>
  <c r="A80" i="33"/>
  <c r="B80" i="33" s="1"/>
  <c r="AQ79" i="33"/>
  <c r="V79" i="33"/>
  <c r="A79" i="33"/>
  <c r="AY78" i="33"/>
  <c r="AQ78" i="33"/>
  <c r="V78" i="33"/>
  <c r="Y78" i="33" s="1"/>
  <c r="D78" i="33"/>
  <c r="A78" i="33"/>
  <c r="AQ77" i="33"/>
  <c r="V77" i="33"/>
  <c r="AD77" i="33" s="1"/>
  <c r="P77" i="33"/>
  <c r="O77" i="33"/>
  <c r="H77" i="33"/>
  <c r="D77" i="33"/>
  <c r="A77" i="33"/>
  <c r="C77" i="33" s="1"/>
  <c r="BE76" i="33"/>
  <c r="AX76" i="33"/>
  <c r="AQ76" i="33"/>
  <c r="BF76" i="33" s="1"/>
  <c r="V76" i="33"/>
  <c r="AD76" i="33" s="1"/>
  <c r="I76" i="33"/>
  <c r="A76" i="33"/>
  <c r="AX75" i="33"/>
  <c r="AT75" i="33"/>
  <c r="AQ75" i="33"/>
  <c r="BE75" i="33" s="1"/>
  <c r="AK75" i="33"/>
  <c r="AJ75" i="33"/>
  <c r="Y75" i="33"/>
  <c r="V75" i="33"/>
  <c r="A75" i="33"/>
  <c r="P75" i="33" s="1"/>
  <c r="AQ74" i="33"/>
  <c r="AY74" i="33" s="1"/>
  <c r="AK74" i="33"/>
  <c r="AJ74" i="33"/>
  <c r="AC74" i="33"/>
  <c r="Y74" i="33"/>
  <c r="V74" i="33"/>
  <c r="X74" i="33" s="1"/>
  <c r="A74" i="33"/>
  <c r="P74" i="33" s="1"/>
  <c r="AQ73" i="33"/>
  <c r="V73" i="33"/>
  <c r="AD73" i="33" s="1"/>
  <c r="A73" i="33"/>
  <c r="D73" i="33" s="1"/>
  <c r="AQ72" i="33"/>
  <c r="AK72" i="33"/>
  <c r="V72" i="33"/>
  <c r="AC72" i="33" s="1"/>
  <c r="A72" i="33"/>
  <c r="I72" i="33" s="1"/>
  <c r="BF71" i="33"/>
  <c r="AT71" i="33"/>
  <c r="AQ71" i="33"/>
  <c r="AS71" i="33" s="1"/>
  <c r="AJ71" i="33"/>
  <c r="AC71" i="33"/>
  <c r="Y71" i="33"/>
  <c r="V71" i="33"/>
  <c r="X71" i="33" s="1"/>
  <c r="I71" i="33"/>
  <c r="H71" i="33"/>
  <c r="A71" i="33"/>
  <c r="P71" i="33" s="1"/>
  <c r="AQ70" i="33"/>
  <c r="AY70" i="33" s="1"/>
  <c r="AC70" i="33"/>
  <c r="V70" i="33"/>
  <c r="A70" i="33"/>
  <c r="AQ69" i="33"/>
  <c r="AX69" i="33" s="1"/>
  <c r="V69" i="33"/>
  <c r="AD69" i="33" s="1"/>
  <c r="A69" i="33"/>
  <c r="AT68" i="33"/>
  <c r="AQ68" i="33"/>
  <c r="V68" i="33"/>
  <c r="A68" i="33"/>
  <c r="AT67" i="33"/>
  <c r="AR67" i="33"/>
  <c r="AQ67" i="33"/>
  <c r="AS67" i="33" s="1"/>
  <c r="V67" i="33"/>
  <c r="P67" i="33"/>
  <c r="A67" i="33"/>
  <c r="H67" i="33" s="1"/>
  <c r="AQ66" i="33"/>
  <c r="AY66" i="33" s="1"/>
  <c r="AK66" i="33"/>
  <c r="AJ66" i="33"/>
  <c r="Y66" i="33"/>
  <c r="W66" i="33"/>
  <c r="V66" i="33"/>
  <c r="X66" i="33" s="1"/>
  <c r="O66" i="33"/>
  <c r="H66" i="33"/>
  <c r="A66" i="33"/>
  <c r="C66" i="33" s="1"/>
  <c r="AY65" i="33"/>
  <c r="AX65" i="33"/>
  <c r="AQ65" i="33"/>
  <c r="BF65" i="33" s="1"/>
  <c r="V65" i="33"/>
  <c r="B65" i="33"/>
  <c r="A65" i="33"/>
  <c r="AQ64" i="33"/>
  <c r="AK64" i="33"/>
  <c r="V64" i="33"/>
  <c r="AC64" i="33" s="1"/>
  <c r="A64" i="33"/>
  <c r="I64" i="33" s="1"/>
  <c r="AQ63" i="33"/>
  <c r="AJ63" i="33"/>
  <c r="V63" i="33"/>
  <c r="I63" i="33"/>
  <c r="H63" i="33"/>
  <c r="A63" i="33"/>
  <c r="P63" i="33" s="1"/>
  <c r="AQ62" i="33"/>
  <c r="AY62" i="33" s="1"/>
  <c r="Y62" i="33"/>
  <c r="W62" i="33"/>
  <c r="V62" i="33"/>
  <c r="X62" i="33" s="1"/>
  <c r="A62" i="33"/>
  <c r="P62" i="33" s="1"/>
  <c r="AQ61" i="33"/>
  <c r="AX61" i="33" s="1"/>
  <c r="V61" i="33"/>
  <c r="AD61" i="33" s="1"/>
  <c r="B61" i="33"/>
  <c r="A61" i="33"/>
  <c r="AQ60" i="33"/>
  <c r="AT60" i="33" s="1"/>
  <c r="V60" i="33"/>
  <c r="A60" i="33"/>
  <c r="I60" i="33" s="1"/>
  <c r="AT59" i="33"/>
  <c r="AR59" i="33"/>
  <c r="AQ59" i="33"/>
  <c r="AS59" i="33" s="1"/>
  <c r="V59" i="33"/>
  <c r="A59" i="33"/>
  <c r="P59" i="33" s="1"/>
  <c r="AQ58" i="33"/>
  <c r="AY58" i="33" s="1"/>
  <c r="AK58" i="33"/>
  <c r="AJ58" i="33"/>
  <c r="Y58" i="33"/>
  <c r="W58" i="33"/>
  <c r="V58" i="33"/>
  <c r="X58" i="33" s="1"/>
  <c r="O58" i="33"/>
  <c r="H58" i="33"/>
  <c r="A58" i="33"/>
  <c r="C58" i="33" s="1"/>
  <c r="AY57" i="33"/>
  <c r="AX57" i="33"/>
  <c r="AQ57" i="33"/>
  <c r="BF57" i="33" s="1"/>
  <c r="V57" i="33"/>
  <c r="P57" i="33"/>
  <c r="A57" i="33"/>
  <c r="H57" i="33" s="1"/>
  <c r="BE56" i="33"/>
  <c r="AX56" i="33"/>
  <c r="AQ56" i="33"/>
  <c r="BF56" i="33" s="1"/>
  <c r="V56" i="33"/>
  <c r="AK56" i="33" s="1"/>
  <c r="A56" i="33"/>
  <c r="I56" i="33" s="1"/>
  <c r="AR55" i="33"/>
  <c r="AQ55" i="33"/>
  <c r="V55" i="33"/>
  <c r="A55" i="33"/>
  <c r="AQ54" i="33"/>
  <c r="AY54" i="33" s="1"/>
  <c r="AK54" i="33"/>
  <c r="AC54" i="33"/>
  <c r="Y54" i="33"/>
  <c r="W54" i="33"/>
  <c r="V54" i="33"/>
  <c r="X54" i="33" s="1"/>
  <c r="A54" i="33"/>
  <c r="AQ53" i="33"/>
  <c r="AX53" i="33" s="1"/>
  <c r="V53" i="33"/>
  <c r="AD53" i="33" s="1"/>
  <c r="P53" i="33"/>
  <c r="D53" i="33"/>
  <c r="B53" i="33"/>
  <c r="A53" i="33"/>
  <c r="AX52" i="33"/>
  <c r="AQ52" i="33"/>
  <c r="V52" i="33"/>
  <c r="A52" i="33"/>
  <c r="I52" i="33" s="1"/>
  <c r="AQ51" i="33"/>
  <c r="AT51" i="33" s="1"/>
  <c r="V51" i="33"/>
  <c r="AK51" i="33" s="1"/>
  <c r="P51" i="33"/>
  <c r="A51" i="33"/>
  <c r="H51" i="33" s="1"/>
  <c r="AQ50" i="33"/>
  <c r="AY50" i="33" s="1"/>
  <c r="V50" i="33"/>
  <c r="A50" i="33"/>
  <c r="O50" i="33" s="1"/>
  <c r="AQ49" i="33"/>
  <c r="BF49" i="33" s="1"/>
  <c r="V49" i="33"/>
  <c r="AD49" i="33" s="1"/>
  <c r="P49" i="33"/>
  <c r="H49" i="33"/>
  <c r="D49" i="33"/>
  <c r="A49" i="33"/>
  <c r="BF48" i="33"/>
  <c r="AX48" i="33"/>
  <c r="AQ48" i="33"/>
  <c r="BE48" i="33" s="1"/>
  <c r="V48" i="33"/>
  <c r="A48" i="33"/>
  <c r="I48" i="33" s="1"/>
  <c r="AQ47" i="33"/>
  <c r="AJ47" i="33"/>
  <c r="V47" i="33"/>
  <c r="AC47" i="33" s="1"/>
  <c r="I47" i="33"/>
  <c r="H47" i="33"/>
  <c r="A47" i="33"/>
  <c r="P47" i="33" s="1"/>
  <c r="AQ46" i="33"/>
  <c r="AK46" i="33"/>
  <c r="AC46" i="33"/>
  <c r="V46" i="33"/>
  <c r="W46" i="33" s="1"/>
  <c r="H46" i="33"/>
  <c r="A46" i="33"/>
  <c r="P46" i="33" s="1"/>
  <c r="AQ45" i="33"/>
  <c r="AX45" i="33" s="1"/>
  <c r="V45" i="33"/>
  <c r="P45" i="33"/>
  <c r="B45" i="33"/>
  <c r="A45" i="33"/>
  <c r="D45" i="33" s="1"/>
  <c r="AX44" i="33"/>
  <c r="AQ44" i="33"/>
  <c r="AC44" i="33"/>
  <c r="V44" i="33"/>
  <c r="AK44" i="33" s="1"/>
  <c r="A44" i="33"/>
  <c r="I44" i="33" s="1"/>
  <c r="AQ43" i="33"/>
  <c r="BF43" i="33" s="1"/>
  <c r="V43" i="33"/>
  <c r="A43" i="33"/>
  <c r="AQ42" i="33"/>
  <c r="AK42" i="33"/>
  <c r="W42" i="33"/>
  <c r="V42" i="33"/>
  <c r="Y42" i="33" s="1"/>
  <c r="H42" i="33"/>
  <c r="A42" i="33"/>
  <c r="AQ41" i="33"/>
  <c r="V41" i="33"/>
  <c r="AD41" i="33" s="1"/>
  <c r="H41" i="33"/>
  <c r="A41" i="33"/>
  <c r="D41" i="33" s="1"/>
  <c r="AQ40" i="33"/>
  <c r="AK40" i="33"/>
  <c r="V40" i="33"/>
  <c r="AC40" i="33" s="1"/>
  <c r="A40" i="33"/>
  <c r="I40" i="33" s="1"/>
  <c r="BF39" i="33"/>
  <c r="AQ39" i="33"/>
  <c r="BE39" i="33" s="1"/>
  <c r="V39" i="33"/>
  <c r="X39" i="33" s="1"/>
  <c r="I39" i="33"/>
  <c r="H39" i="33"/>
  <c r="A39" i="33"/>
  <c r="P39" i="33" s="1"/>
  <c r="AQ38" i="33"/>
  <c r="AY38" i="33" s="1"/>
  <c r="AC38" i="33"/>
  <c r="Y38" i="33"/>
  <c r="V38" i="33"/>
  <c r="X38" i="33" s="1"/>
  <c r="O38" i="33"/>
  <c r="A38" i="33"/>
  <c r="P38" i="33" s="1"/>
  <c r="AQ37" i="33"/>
  <c r="BF37" i="33" s="1"/>
  <c r="W37" i="33"/>
  <c r="V37" i="33"/>
  <c r="AJ37" i="33" s="1"/>
  <c r="A37" i="33"/>
  <c r="AQ36" i="33"/>
  <c r="AK36" i="33"/>
  <c r="V36" i="33"/>
  <c r="AJ36" i="33" s="1"/>
  <c r="P36" i="33"/>
  <c r="Q36" i="33" s="1"/>
  <c r="D36" i="33"/>
  <c r="A36" i="33"/>
  <c r="B36" i="33" s="1"/>
  <c r="AY35" i="33"/>
  <c r="AR35" i="33"/>
  <c r="AQ35" i="33"/>
  <c r="V35" i="33"/>
  <c r="P35" i="33"/>
  <c r="C35" i="33"/>
  <c r="A35" i="33"/>
  <c r="AT34" i="33"/>
  <c r="AQ34" i="33"/>
  <c r="BE34" i="33" s="1"/>
  <c r="W34" i="33"/>
  <c r="V34" i="33"/>
  <c r="AD34" i="33" s="1"/>
  <c r="A34" i="33"/>
  <c r="I34" i="33" s="1"/>
  <c r="AS33" i="33"/>
  <c r="AQ33" i="33"/>
  <c r="BF33" i="33" s="1"/>
  <c r="W33" i="33"/>
  <c r="V33" i="33"/>
  <c r="A33" i="33"/>
  <c r="I33" i="33" s="1"/>
  <c r="AQ32" i="33"/>
  <c r="AT32" i="33" s="1"/>
  <c r="AD32" i="33"/>
  <c r="Y32" i="33"/>
  <c r="V32" i="33"/>
  <c r="D32" i="33"/>
  <c r="B32" i="33"/>
  <c r="A32" i="33"/>
  <c r="AS31" i="33"/>
  <c r="AQ31" i="33"/>
  <c r="AY31" i="33" s="1"/>
  <c r="V31" i="33"/>
  <c r="C31" i="33"/>
  <c r="A31" i="33"/>
  <c r="I31" i="33" s="1"/>
  <c r="AR30" i="33"/>
  <c r="AQ30" i="33"/>
  <c r="BE30" i="33" s="1"/>
  <c r="AK30" i="33"/>
  <c r="W30" i="33"/>
  <c r="V30" i="33"/>
  <c r="AD30" i="33" s="1"/>
  <c r="A30" i="33"/>
  <c r="I30" i="33" s="1"/>
  <c r="AY29" i="33"/>
  <c r="AQ29" i="33"/>
  <c r="AT29" i="33" s="1"/>
  <c r="Y29" i="33"/>
  <c r="V29" i="33"/>
  <c r="I29" i="33"/>
  <c r="C29" i="33"/>
  <c r="A29" i="33"/>
  <c r="AQ28" i="33"/>
  <c r="X28" i="33"/>
  <c r="V28" i="33"/>
  <c r="AD28" i="33" s="1"/>
  <c r="P28" i="33"/>
  <c r="D28" i="33"/>
  <c r="C28" i="33"/>
  <c r="B28" i="33"/>
  <c r="A28" i="33"/>
  <c r="O28" i="33" s="1"/>
  <c r="AQ27" i="33"/>
  <c r="V27" i="33"/>
  <c r="AD27" i="33" s="1"/>
  <c r="A27" i="33"/>
  <c r="P27" i="33" s="1"/>
  <c r="AR26" i="33"/>
  <c r="AQ26" i="33"/>
  <c r="AY26" i="33" s="1"/>
  <c r="V26" i="33"/>
  <c r="AD26" i="33" s="1"/>
  <c r="A26" i="33"/>
  <c r="D26" i="33" s="1"/>
  <c r="AQ25" i="33"/>
  <c r="V25" i="33"/>
  <c r="AD25" i="33" s="1"/>
  <c r="C25" i="33"/>
  <c r="B25" i="33"/>
  <c r="A25" i="33"/>
  <c r="I25" i="33" s="1"/>
  <c r="AT24" i="33"/>
  <c r="AQ24" i="33"/>
  <c r="AY24" i="33" s="1"/>
  <c r="AZ24" i="33" s="1"/>
  <c r="W24" i="33"/>
  <c r="V24" i="33"/>
  <c r="B24" i="33"/>
  <c r="A24" i="33"/>
  <c r="C24" i="33" s="1"/>
  <c r="AQ23" i="33"/>
  <c r="AY23" i="33" s="1"/>
  <c r="AK23" i="33"/>
  <c r="Y23" i="33"/>
  <c r="X23" i="33"/>
  <c r="W23" i="33"/>
  <c r="V23" i="33"/>
  <c r="AJ23" i="33" s="1"/>
  <c r="A23" i="33"/>
  <c r="I23" i="33" s="1"/>
  <c r="AY22" i="33"/>
  <c r="AT22" i="33"/>
  <c r="AQ22" i="33"/>
  <c r="AS22" i="33" s="1"/>
  <c r="AD22" i="33"/>
  <c r="V22" i="33"/>
  <c r="X22" i="33" s="1"/>
  <c r="A22" i="33"/>
  <c r="BF21" i="33"/>
  <c r="AT21" i="33"/>
  <c r="AS21" i="33"/>
  <c r="AQ21" i="33"/>
  <c r="BE21" i="33" s="1"/>
  <c r="X21" i="33"/>
  <c r="V21" i="33"/>
  <c r="AD21" i="33" s="1"/>
  <c r="A21" i="33"/>
  <c r="I21" i="33" s="1"/>
  <c r="AR20" i="33"/>
  <c r="AQ20" i="33"/>
  <c r="BF20" i="33" s="1"/>
  <c r="W20" i="33"/>
  <c r="V20" i="33"/>
  <c r="AD20" i="33" s="1"/>
  <c r="A20" i="33"/>
  <c r="I20" i="33" s="1"/>
  <c r="AQ19" i="33"/>
  <c r="W19" i="33"/>
  <c r="V19" i="33"/>
  <c r="AD19" i="33" s="1"/>
  <c r="P19" i="33"/>
  <c r="D19" i="33"/>
  <c r="B19" i="33"/>
  <c r="A19" i="33"/>
  <c r="AQ18" i="33"/>
  <c r="V18" i="33"/>
  <c r="Y18" i="33" s="1"/>
  <c r="B18" i="33"/>
  <c r="A18" i="33"/>
  <c r="AQ17" i="33"/>
  <c r="AT17" i="33" s="1"/>
  <c r="V17" i="33"/>
  <c r="Y17" i="33" s="1"/>
  <c r="B17" i="33"/>
  <c r="A17" i="33"/>
  <c r="I17" i="33" s="1"/>
  <c r="AY16" i="33"/>
  <c r="AT16" i="33"/>
  <c r="AQ16" i="33"/>
  <c r="AR16" i="33" s="1"/>
  <c r="AK16" i="33"/>
  <c r="V16" i="33"/>
  <c r="B16" i="33"/>
  <c r="A16" i="33"/>
  <c r="I16" i="33" s="1"/>
  <c r="AQ15" i="33"/>
  <c r="AY15" i="33" s="1"/>
  <c r="V15" i="33"/>
  <c r="Y15" i="33" s="1"/>
  <c r="A15" i="33"/>
  <c r="AY14" i="33"/>
  <c r="AQ14" i="33"/>
  <c r="AS14" i="33" s="1"/>
  <c r="AD14" i="33"/>
  <c r="V14" i="33"/>
  <c r="Y14" i="33" s="1"/>
  <c r="B14" i="33"/>
  <c r="A14" i="33"/>
  <c r="I14" i="33" s="1"/>
  <c r="AR13" i="33"/>
  <c r="AQ13" i="33"/>
  <c r="BF13" i="33" s="1"/>
  <c r="V13" i="33"/>
  <c r="AD13" i="33" s="1"/>
  <c r="C13" i="33"/>
  <c r="A13" i="33"/>
  <c r="I13" i="33" s="1"/>
  <c r="AR12" i="33"/>
  <c r="AQ12" i="33"/>
  <c r="BF12" i="33" s="1"/>
  <c r="V12" i="33"/>
  <c r="A12" i="33"/>
  <c r="I12" i="33" s="1"/>
  <c r="AY11" i="33"/>
  <c r="AQ11" i="33"/>
  <c r="AS11" i="33" s="1"/>
  <c r="AD11" i="33"/>
  <c r="AE11" i="33" s="1"/>
  <c r="Y11" i="33"/>
  <c r="V11" i="33"/>
  <c r="P11" i="33"/>
  <c r="D11" i="33"/>
  <c r="R11" i="33" s="1"/>
  <c r="C11" i="33"/>
  <c r="A11" i="33"/>
  <c r="O11" i="33" s="1"/>
  <c r="AY10" i="33"/>
  <c r="AQ10" i="33"/>
  <c r="AS10" i="33" s="1"/>
  <c r="AD10" i="33"/>
  <c r="Y10" i="33"/>
  <c r="V10" i="33"/>
  <c r="X10" i="33" s="1"/>
  <c r="A10" i="33"/>
  <c r="O10" i="33" s="1"/>
  <c r="AR9" i="33"/>
  <c r="AQ9" i="33"/>
  <c r="AY9" i="33" s="1"/>
  <c r="AD9" i="33"/>
  <c r="Y9" i="33"/>
  <c r="X9" i="33"/>
  <c r="V9" i="33"/>
  <c r="C9" i="33"/>
  <c r="A9" i="33"/>
  <c r="I9" i="33" s="1"/>
  <c r="AQ8" i="33"/>
  <c r="AT8" i="33" s="1"/>
  <c r="Y8" i="33"/>
  <c r="V8" i="33"/>
  <c r="AJ8" i="33" s="1"/>
  <c r="I8" i="33"/>
  <c r="C8" i="33"/>
  <c r="A8" i="33"/>
  <c r="C48" i="32"/>
  <c r="K48" i="32" s="1"/>
  <c r="K47" i="32"/>
  <c r="F47" i="32"/>
  <c r="E47" i="32"/>
  <c r="D47" i="32"/>
  <c r="C47" i="32"/>
  <c r="J47" i="32" s="1"/>
  <c r="J46" i="32"/>
  <c r="C46" i="32"/>
  <c r="D46" i="32" s="1"/>
  <c r="K45" i="32"/>
  <c r="J45" i="32"/>
  <c r="F45" i="32"/>
  <c r="L45" i="32" s="1"/>
  <c r="G45" i="32" s="1"/>
  <c r="E45" i="32"/>
  <c r="D45" i="32"/>
  <c r="C45" i="32"/>
  <c r="C44" i="32"/>
  <c r="K44" i="32" s="1"/>
  <c r="K43" i="32"/>
  <c r="F43" i="32"/>
  <c r="E43" i="32"/>
  <c r="D43" i="32"/>
  <c r="C43" i="32"/>
  <c r="J43" i="32" s="1"/>
  <c r="J42" i="32"/>
  <c r="C42" i="32"/>
  <c r="D42" i="32" s="1"/>
  <c r="K41" i="32"/>
  <c r="J41" i="32"/>
  <c r="F41" i="32"/>
  <c r="L41" i="32" s="1"/>
  <c r="G41" i="32" s="1"/>
  <c r="E41" i="32"/>
  <c r="D41" i="32"/>
  <c r="C41" i="32"/>
  <c r="C40" i="32"/>
  <c r="K40" i="32" s="1"/>
  <c r="K39" i="32"/>
  <c r="F39" i="32"/>
  <c r="E39" i="32"/>
  <c r="D39" i="32"/>
  <c r="C39" i="32"/>
  <c r="J39" i="32" s="1"/>
  <c r="J38" i="32"/>
  <c r="C38" i="32"/>
  <c r="D38" i="32" s="1"/>
  <c r="K37" i="32"/>
  <c r="J37" i="32"/>
  <c r="F37" i="32"/>
  <c r="L37" i="32" s="1"/>
  <c r="G37" i="32" s="1"/>
  <c r="E37" i="32"/>
  <c r="D37" i="32"/>
  <c r="C37" i="32"/>
  <c r="C36" i="32"/>
  <c r="K36" i="32" s="1"/>
  <c r="K35" i="32"/>
  <c r="F35" i="32"/>
  <c r="E35" i="32"/>
  <c r="D35" i="32"/>
  <c r="C35" i="32"/>
  <c r="J35" i="32" s="1"/>
  <c r="J34" i="32"/>
  <c r="C34" i="32"/>
  <c r="D34" i="32" s="1"/>
  <c r="K33" i="32"/>
  <c r="J33" i="32"/>
  <c r="F33" i="32"/>
  <c r="L33" i="32" s="1"/>
  <c r="G33" i="32" s="1"/>
  <c r="E33" i="32"/>
  <c r="D33" i="32"/>
  <c r="C33" i="32"/>
  <c r="C32" i="32"/>
  <c r="K32" i="32" s="1"/>
  <c r="K31" i="32"/>
  <c r="F31" i="32"/>
  <c r="E31" i="32"/>
  <c r="D31" i="32"/>
  <c r="C31" i="32"/>
  <c r="J31" i="32" s="1"/>
  <c r="J30" i="32"/>
  <c r="C30" i="32"/>
  <c r="D30" i="32" s="1"/>
  <c r="K29" i="32"/>
  <c r="J29" i="32"/>
  <c r="F29" i="32"/>
  <c r="L29" i="32" s="1"/>
  <c r="G29" i="32" s="1"/>
  <c r="E29" i="32"/>
  <c r="D29" i="32"/>
  <c r="C29" i="32"/>
  <c r="C28" i="32"/>
  <c r="K28" i="32" s="1"/>
  <c r="K27" i="32"/>
  <c r="F27" i="32"/>
  <c r="E27" i="32"/>
  <c r="D27" i="32"/>
  <c r="C27" i="32"/>
  <c r="J27" i="32" s="1"/>
  <c r="J26" i="32"/>
  <c r="C26" i="32"/>
  <c r="D26" i="32" s="1"/>
  <c r="K25" i="32"/>
  <c r="J25" i="32"/>
  <c r="F25" i="32"/>
  <c r="L25" i="32" s="1"/>
  <c r="G25" i="32" s="1"/>
  <c r="E25" i="32"/>
  <c r="D25" i="32"/>
  <c r="C25" i="32"/>
  <c r="C24" i="32"/>
  <c r="K24" i="32" s="1"/>
  <c r="K23" i="32"/>
  <c r="F23" i="32"/>
  <c r="E23" i="32"/>
  <c r="D23" i="32"/>
  <c r="C23" i="32"/>
  <c r="J23" i="32" s="1"/>
  <c r="J22" i="32"/>
  <c r="C22" i="32"/>
  <c r="D22" i="32" s="1"/>
  <c r="O21" i="32"/>
  <c r="N21" i="32"/>
  <c r="H21" i="32"/>
  <c r="G21" i="32"/>
  <c r="C21" i="32"/>
  <c r="D21" i="32" s="1"/>
  <c r="C20" i="32"/>
  <c r="J20" i="32" s="1"/>
  <c r="C19" i="32"/>
  <c r="E19" i="32" s="1"/>
  <c r="J18" i="32"/>
  <c r="E18" i="32"/>
  <c r="D18" i="32"/>
  <c r="C18" i="32"/>
  <c r="J17" i="32"/>
  <c r="E17" i="32"/>
  <c r="D17" i="32"/>
  <c r="C17" i="32"/>
  <c r="C16" i="32"/>
  <c r="J16" i="32" s="1"/>
  <c r="C15" i="32"/>
  <c r="E15" i="32" s="1"/>
  <c r="C14" i="32"/>
  <c r="D14" i="32" s="1"/>
  <c r="C13" i="32"/>
  <c r="J13" i="32" s="1"/>
  <c r="C12" i="32"/>
  <c r="J12" i="32" s="1"/>
  <c r="C11" i="32"/>
  <c r="E11" i="32" s="1"/>
  <c r="J10" i="32"/>
  <c r="E10" i="32"/>
  <c r="D10" i="32"/>
  <c r="C10" i="32"/>
  <c r="J9" i="32"/>
  <c r="E9" i="32"/>
  <c r="D9" i="32"/>
  <c r="C9" i="32"/>
  <c r="C8" i="32"/>
  <c r="J8" i="32" s="1"/>
  <c r="C7" i="32"/>
  <c r="E7" i="32" s="1"/>
  <c r="R70" i="31"/>
  <c r="K70" i="31"/>
  <c r="J70" i="31"/>
  <c r="F70" i="31"/>
  <c r="L70" i="31" s="1"/>
  <c r="E70" i="31"/>
  <c r="C70" i="31"/>
  <c r="R69" i="31"/>
  <c r="J69" i="31"/>
  <c r="M69" i="31" s="1"/>
  <c r="F69" i="31"/>
  <c r="L69" i="31" s="1"/>
  <c r="E69" i="31"/>
  <c r="C69" i="31"/>
  <c r="K69" i="31" s="1"/>
  <c r="R68" i="31"/>
  <c r="C68" i="31"/>
  <c r="K67" i="31"/>
  <c r="J67" i="31"/>
  <c r="F67" i="31"/>
  <c r="C67" i="31"/>
  <c r="Q67" i="31" s="1"/>
  <c r="C66" i="31"/>
  <c r="J65" i="31"/>
  <c r="F65" i="31"/>
  <c r="L65" i="31" s="1"/>
  <c r="E65" i="31"/>
  <c r="C65" i="31"/>
  <c r="K65" i="31" s="1"/>
  <c r="C64" i="31"/>
  <c r="R64" i="31" s="1"/>
  <c r="C63" i="31"/>
  <c r="J62" i="31"/>
  <c r="C62" i="31"/>
  <c r="K62" i="31" s="1"/>
  <c r="C61" i="31"/>
  <c r="K61" i="31" s="1"/>
  <c r="R60" i="31"/>
  <c r="C60" i="31"/>
  <c r="C59" i="31"/>
  <c r="Q59" i="31" s="1"/>
  <c r="C58" i="31"/>
  <c r="J58" i="31" s="1"/>
  <c r="C57" i="31"/>
  <c r="K57" i="31" s="1"/>
  <c r="Q56" i="31"/>
  <c r="T56" i="31" s="1"/>
  <c r="E56" i="31"/>
  <c r="D56" i="31"/>
  <c r="C56" i="31"/>
  <c r="R56" i="31" s="1"/>
  <c r="C55" i="31"/>
  <c r="J55" i="31" s="1"/>
  <c r="K54" i="31"/>
  <c r="C54" i="31"/>
  <c r="E54" i="31" s="1"/>
  <c r="Q53" i="31"/>
  <c r="M53" i="31"/>
  <c r="J53" i="31"/>
  <c r="E53" i="31"/>
  <c r="D53" i="31"/>
  <c r="C53" i="31"/>
  <c r="K53" i="31" s="1"/>
  <c r="C52" i="31"/>
  <c r="D52" i="31" s="1"/>
  <c r="Q51" i="31"/>
  <c r="K51" i="31"/>
  <c r="F51" i="31"/>
  <c r="D51" i="31"/>
  <c r="C51" i="31"/>
  <c r="J51" i="31" s="1"/>
  <c r="C50" i="31"/>
  <c r="R49" i="31"/>
  <c r="Q49" i="31"/>
  <c r="J49" i="31"/>
  <c r="M49" i="31" s="1"/>
  <c r="E49" i="31"/>
  <c r="D49" i="31"/>
  <c r="C49" i="31"/>
  <c r="K49" i="31" s="1"/>
  <c r="Q48" i="31"/>
  <c r="K48" i="31"/>
  <c r="E48" i="31"/>
  <c r="D48" i="31"/>
  <c r="C48" i="31"/>
  <c r="R48" i="31" s="1"/>
  <c r="C47" i="31"/>
  <c r="E46" i="31"/>
  <c r="C46" i="31"/>
  <c r="K46" i="31" s="1"/>
  <c r="R45" i="31"/>
  <c r="Q45" i="31"/>
  <c r="J45" i="31"/>
  <c r="F45" i="31"/>
  <c r="L45" i="31" s="1"/>
  <c r="E45" i="31"/>
  <c r="M45" i="31" s="1"/>
  <c r="D45" i="31"/>
  <c r="C45" i="31"/>
  <c r="K45" i="31" s="1"/>
  <c r="C44" i="31"/>
  <c r="R44" i="31" s="1"/>
  <c r="Q43" i="31"/>
  <c r="K43" i="31"/>
  <c r="J43" i="31"/>
  <c r="F43" i="31"/>
  <c r="D43" i="31"/>
  <c r="C43" i="31"/>
  <c r="C42" i="31"/>
  <c r="R41" i="31"/>
  <c r="Q41" i="31"/>
  <c r="J41" i="31"/>
  <c r="F41" i="31"/>
  <c r="E41" i="31"/>
  <c r="D41" i="31"/>
  <c r="C41" i="31"/>
  <c r="K41" i="31" s="1"/>
  <c r="K40" i="31"/>
  <c r="C40" i="31"/>
  <c r="R40" i="31" s="1"/>
  <c r="C39" i="31"/>
  <c r="J39" i="31" s="1"/>
  <c r="R38" i="31"/>
  <c r="J38" i="31"/>
  <c r="M38" i="31" s="1"/>
  <c r="F38" i="31"/>
  <c r="E38" i="31"/>
  <c r="C38" i="31"/>
  <c r="K38" i="31" s="1"/>
  <c r="R37" i="31"/>
  <c r="Q37" i="31"/>
  <c r="F37" i="31"/>
  <c r="L37" i="31" s="1"/>
  <c r="C37" i="31"/>
  <c r="K37" i="31" s="1"/>
  <c r="R36" i="31"/>
  <c r="C36" i="31"/>
  <c r="D36" i="31" s="1"/>
  <c r="J35" i="31"/>
  <c r="C35" i="31"/>
  <c r="K35" i="31" s="1"/>
  <c r="C34" i="31"/>
  <c r="J34" i="31" s="1"/>
  <c r="R33" i="31"/>
  <c r="F33" i="31"/>
  <c r="L33" i="31" s="1"/>
  <c r="C33" i="31"/>
  <c r="K33" i="31" s="1"/>
  <c r="Q32" i="31"/>
  <c r="K32" i="31"/>
  <c r="C32" i="31"/>
  <c r="R32" i="31" s="1"/>
  <c r="C31" i="31"/>
  <c r="J31" i="31" s="1"/>
  <c r="K30" i="31"/>
  <c r="J30" i="31"/>
  <c r="F30" i="31"/>
  <c r="L30" i="31" s="1"/>
  <c r="C30" i="31"/>
  <c r="R30" i="31" s="1"/>
  <c r="J29" i="31"/>
  <c r="F29" i="31"/>
  <c r="L29" i="31" s="1"/>
  <c r="C29" i="31"/>
  <c r="K29" i="31" s="1"/>
  <c r="R28" i="31"/>
  <c r="C28" i="31"/>
  <c r="D28" i="31" s="1"/>
  <c r="K27" i="31"/>
  <c r="J27" i="31"/>
  <c r="C27" i="31"/>
  <c r="D27" i="31" s="1"/>
  <c r="C26" i="31"/>
  <c r="J26" i="31" s="1"/>
  <c r="J25" i="31"/>
  <c r="F25" i="31"/>
  <c r="L25" i="31" s="1"/>
  <c r="C25" i="31"/>
  <c r="K25" i="31" s="1"/>
  <c r="D24" i="31"/>
  <c r="C24" i="31"/>
  <c r="R24" i="31" s="1"/>
  <c r="C23" i="31"/>
  <c r="J23" i="31" s="1"/>
  <c r="E22" i="31"/>
  <c r="C22" i="31"/>
  <c r="R22" i="31" s="1"/>
  <c r="R21" i="31"/>
  <c r="Q21" i="31"/>
  <c r="J21" i="31"/>
  <c r="F21" i="31"/>
  <c r="L21" i="31" s="1"/>
  <c r="E21" i="31"/>
  <c r="M21" i="31" s="1"/>
  <c r="D21" i="31"/>
  <c r="C21" i="31"/>
  <c r="K21" i="31" s="1"/>
  <c r="C20" i="31"/>
  <c r="D20" i="31" s="1"/>
  <c r="Q19" i="31"/>
  <c r="K19" i="31"/>
  <c r="J19" i="31"/>
  <c r="F19" i="31"/>
  <c r="D19" i="31"/>
  <c r="C19" i="31"/>
  <c r="C18" i="31"/>
  <c r="J18" i="31" s="1"/>
  <c r="R17" i="31"/>
  <c r="Q17" i="31"/>
  <c r="J17" i="31"/>
  <c r="F17" i="31"/>
  <c r="L17" i="31" s="1"/>
  <c r="E17" i="31"/>
  <c r="D17" i="31"/>
  <c r="C17" i="31"/>
  <c r="K17" i="31" s="1"/>
  <c r="K16" i="31"/>
  <c r="C16" i="31"/>
  <c r="R16" i="31" s="1"/>
  <c r="C15" i="31"/>
  <c r="J15" i="31" s="1"/>
  <c r="R14" i="31"/>
  <c r="J14" i="31"/>
  <c r="C14" i="31"/>
  <c r="K14" i="31" s="1"/>
  <c r="C13" i="31"/>
  <c r="K13" i="31" s="1"/>
  <c r="R12" i="31"/>
  <c r="C12" i="31"/>
  <c r="D12" i="31" s="1"/>
  <c r="C11" i="31"/>
  <c r="Q11" i="31" s="1"/>
  <c r="C10" i="31"/>
  <c r="J10" i="31" s="1"/>
  <c r="C9" i="31"/>
  <c r="K9" i="31" s="1"/>
  <c r="Q8" i="31"/>
  <c r="T8" i="31" s="1"/>
  <c r="E8" i="31"/>
  <c r="D8" i="31"/>
  <c r="C8" i="31"/>
  <c r="R8" i="31" s="1"/>
  <c r="C7" i="31"/>
  <c r="J7" i="31" s="1"/>
  <c r="AD237" i="23"/>
  <c r="AD236" i="23"/>
  <c r="AD235" i="23"/>
  <c r="AD234" i="23"/>
  <c r="AD233" i="23"/>
  <c r="AD232" i="23"/>
  <c r="AD231" i="23"/>
  <c r="AD230" i="23"/>
  <c r="AD229" i="23"/>
  <c r="AD228" i="23"/>
  <c r="AD227" i="23"/>
  <c r="AD226" i="23"/>
  <c r="AD225" i="23"/>
  <c r="AD224" i="23"/>
  <c r="AD223" i="23"/>
  <c r="AD222" i="23"/>
  <c r="AD221" i="23"/>
  <c r="AD220" i="23"/>
  <c r="AD219" i="23"/>
  <c r="AD218" i="23"/>
  <c r="AD217" i="23"/>
  <c r="AD216" i="23"/>
  <c r="AD215" i="23"/>
  <c r="AD214" i="23"/>
  <c r="AD213" i="23"/>
  <c r="AD212" i="23"/>
  <c r="AD211" i="23"/>
  <c r="AD210" i="23"/>
  <c r="AD209" i="23"/>
  <c r="AD208" i="23"/>
  <c r="AD207" i="23"/>
  <c r="AD206" i="23"/>
  <c r="AD205" i="23"/>
  <c r="AD204" i="23"/>
  <c r="AD203" i="23"/>
  <c r="AD202" i="23"/>
  <c r="AD201" i="23"/>
  <c r="AD200" i="23"/>
  <c r="AD199" i="23"/>
  <c r="AD198" i="23"/>
  <c r="AD197" i="23"/>
  <c r="AD196" i="23"/>
  <c r="AD195" i="23"/>
  <c r="AD194" i="23"/>
  <c r="AD193" i="23"/>
  <c r="AD192" i="23"/>
  <c r="AD191" i="23"/>
  <c r="AD190" i="23"/>
  <c r="AD189" i="23"/>
  <c r="AD188" i="23"/>
  <c r="AD187" i="23"/>
  <c r="AD186" i="23"/>
  <c r="AD185" i="23"/>
  <c r="AD184" i="23"/>
  <c r="AD183" i="23"/>
  <c r="AD182" i="23"/>
  <c r="AD181" i="23"/>
  <c r="AD180" i="23"/>
  <c r="AD179" i="23"/>
  <c r="AD178" i="23"/>
  <c r="AD177" i="23"/>
  <c r="AD176" i="23"/>
  <c r="AD175" i="23"/>
  <c r="AD174" i="23"/>
  <c r="AD173" i="23"/>
  <c r="AD172" i="23"/>
  <c r="AD171" i="23"/>
  <c r="AD170" i="23"/>
  <c r="AD169" i="23"/>
  <c r="AD168" i="23"/>
  <c r="AD167" i="23"/>
  <c r="AD166" i="23"/>
  <c r="AD165" i="23"/>
  <c r="AD164" i="23"/>
  <c r="AD163" i="23"/>
  <c r="AD162" i="23"/>
  <c r="AD161" i="23"/>
  <c r="AD160" i="23"/>
  <c r="AD159" i="23"/>
  <c r="AD158" i="23"/>
  <c r="AD157" i="23"/>
  <c r="AD156" i="23"/>
  <c r="AD155" i="23"/>
  <c r="AD154" i="23"/>
  <c r="AD153" i="23"/>
  <c r="AD152" i="23"/>
  <c r="AD151" i="23"/>
  <c r="AD150" i="23"/>
  <c r="AD149" i="23"/>
  <c r="AD148" i="23"/>
  <c r="AD147" i="23"/>
  <c r="AD146" i="23"/>
  <c r="AD145" i="23"/>
  <c r="AD144" i="23"/>
  <c r="AD143" i="23"/>
  <c r="AD142" i="23"/>
  <c r="AD141" i="23"/>
  <c r="AD140" i="23"/>
  <c r="AD139" i="23"/>
  <c r="AD138" i="23"/>
  <c r="AD137" i="23"/>
  <c r="AD136" i="23"/>
  <c r="AD135" i="23"/>
  <c r="AD134" i="23"/>
  <c r="AD133" i="23"/>
  <c r="AD132" i="23"/>
  <c r="AD131" i="23"/>
  <c r="AD130" i="23"/>
  <c r="AD129" i="23"/>
  <c r="AD128" i="23"/>
  <c r="AD127" i="23"/>
  <c r="AD126" i="23"/>
  <c r="AD125" i="23"/>
  <c r="AD124" i="23"/>
  <c r="AD123" i="23"/>
  <c r="AD122" i="23"/>
  <c r="AD121" i="23"/>
  <c r="AD120" i="23"/>
  <c r="AD119" i="23"/>
  <c r="AD118" i="23"/>
  <c r="AD117" i="23"/>
  <c r="AD116" i="23"/>
  <c r="AD115" i="23"/>
  <c r="AD114" i="23"/>
  <c r="AD113" i="23"/>
  <c r="AD112" i="23"/>
  <c r="AD111" i="23"/>
  <c r="AD110" i="23"/>
  <c r="AD109" i="23"/>
  <c r="AD108" i="23"/>
  <c r="AD107" i="23"/>
  <c r="AD106" i="23"/>
  <c r="AD105" i="23"/>
  <c r="AD104" i="23"/>
  <c r="AD103" i="23"/>
  <c r="AD102" i="23"/>
  <c r="AD101" i="23"/>
  <c r="AD100" i="23"/>
  <c r="AD99" i="23"/>
  <c r="AD98" i="23"/>
  <c r="AD97" i="23"/>
  <c r="AD96" i="23"/>
  <c r="AD95" i="23"/>
  <c r="AD94" i="23"/>
  <c r="AD93" i="23"/>
  <c r="AD92" i="23"/>
  <c r="AD91" i="23"/>
  <c r="AD90" i="23"/>
  <c r="AD89" i="23"/>
  <c r="AD88" i="23"/>
  <c r="AD87" i="23"/>
  <c r="AD86" i="23"/>
  <c r="AD85" i="23"/>
  <c r="AD84" i="23"/>
  <c r="AD83" i="23"/>
  <c r="AD82" i="23"/>
  <c r="AD81" i="23"/>
  <c r="AD80" i="23"/>
  <c r="AD79" i="23"/>
  <c r="AD78" i="23"/>
  <c r="AD77" i="23"/>
  <c r="AD76" i="23"/>
  <c r="AD75" i="23"/>
  <c r="AD74" i="23"/>
  <c r="AD73" i="23"/>
  <c r="AD72" i="23"/>
  <c r="AD71" i="23"/>
  <c r="AD70" i="23"/>
  <c r="AD69" i="23"/>
  <c r="AD68" i="23"/>
  <c r="AD67" i="23"/>
  <c r="AD66" i="23"/>
  <c r="AD65" i="23"/>
  <c r="AD64" i="23"/>
  <c r="AD63" i="23"/>
  <c r="AD62" i="23"/>
  <c r="AD61" i="23"/>
  <c r="AD60" i="23"/>
  <c r="AD59" i="23"/>
  <c r="AD58" i="23"/>
  <c r="AD57" i="23"/>
  <c r="AD56" i="23"/>
  <c r="AD55" i="23"/>
  <c r="AD54" i="23"/>
  <c r="AD53" i="23"/>
  <c r="AD52" i="23"/>
  <c r="AD51" i="23"/>
  <c r="AD50" i="23"/>
  <c r="AD49" i="23"/>
  <c r="AD48" i="23"/>
  <c r="AD47" i="23"/>
  <c r="AD46" i="23"/>
  <c r="AD44" i="23"/>
  <c r="AD43" i="23"/>
  <c r="AD42" i="23"/>
  <c r="AD41" i="23"/>
  <c r="AD40" i="23"/>
  <c r="AD39" i="23"/>
  <c r="AD38" i="23"/>
  <c r="AD37" i="23"/>
  <c r="AD36" i="23"/>
  <c r="AD35" i="23"/>
  <c r="AD34" i="23"/>
  <c r="AD33" i="23"/>
  <c r="AD32" i="23"/>
  <c r="AD31" i="23"/>
  <c r="AD30" i="23"/>
  <c r="AD29" i="23"/>
  <c r="AD28" i="23"/>
  <c r="AD27" i="23"/>
  <c r="AD26" i="23"/>
  <c r="AD25" i="23"/>
  <c r="AD23" i="23"/>
  <c r="AD22" i="23"/>
  <c r="AD21" i="23"/>
  <c r="AD20" i="23"/>
  <c r="AD19" i="23"/>
  <c r="AD17" i="23"/>
  <c r="AD16" i="23"/>
  <c r="AD15" i="23"/>
  <c r="AD13" i="23"/>
  <c r="AD12" i="23"/>
  <c r="AD11" i="23"/>
  <c r="AD10" i="23"/>
  <c r="AD9" i="23"/>
  <c r="AD7" i="23"/>
  <c r="G5" i="22"/>
  <c r="D5" i="22"/>
  <c r="C5" i="22"/>
  <c r="G11" i="21"/>
  <c r="E5" i="22" s="1"/>
  <c r="F11" i="21"/>
  <c r="G10" i="21"/>
  <c r="F4" i="22" s="1"/>
  <c r="F10" i="21"/>
  <c r="G4" i="22" s="1"/>
  <c r="G6" i="22" s="1"/>
  <c r="L38" i="31" l="1"/>
  <c r="R46" i="31"/>
  <c r="K59" i="31"/>
  <c r="Q40" i="31"/>
  <c r="F5" i="22"/>
  <c r="K8" i="31"/>
  <c r="R9" i="31"/>
  <c r="Q13" i="31"/>
  <c r="S21" i="31"/>
  <c r="U21" i="31" s="1"/>
  <c r="E25" i="31"/>
  <c r="F27" i="31"/>
  <c r="E29" i="31"/>
  <c r="M29" i="31" s="1"/>
  <c r="E30" i="31"/>
  <c r="E32" i="31"/>
  <c r="Q33" i="31"/>
  <c r="Q35" i="31"/>
  <c r="S45" i="31"/>
  <c r="F49" i="31"/>
  <c r="L49" i="31" s="1"/>
  <c r="F53" i="31"/>
  <c r="F54" i="31"/>
  <c r="L54" i="31" s="1"/>
  <c r="K56" i="31"/>
  <c r="R57" i="31"/>
  <c r="Q61" i="31"/>
  <c r="R62" i="31"/>
  <c r="D65" i="31"/>
  <c r="D67" i="31"/>
  <c r="D69" i="31"/>
  <c r="E14" i="32"/>
  <c r="E21" i="32"/>
  <c r="E22" i="32"/>
  <c r="E26" i="32"/>
  <c r="E30" i="32"/>
  <c r="E34" i="32"/>
  <c r="E38" i="32"/>
  <c r="E42" i="32"/>
  <c r="E46" i="32"/>
  <c r="B11" i="33"/>
  <c r="AR11" i="33"/>
  <c r="AS15" i="33"/>
  <c r="AY17" i="33"/>
  <c r="O19" i="33"/>
  <c r="C19" i="33"/>
  <c r="D20" i="33"/>
  <c r="AR21" i="33"/>
  <c r="AL23" i="33"/>
  <c r="I24" i="33"/>
  <c r="C26" i="33"/>
  <c r="C27" i="33"/>
  <c r="P33" i="33"/>
  <c r="D34" i="33"/>
  <c r="O35" i="33"/>
  <c r="D35" i="33"/>
  <c r="AX39" i="33"/>
  <c r="AX43" i="33"/>
  <c r="C49" i="33"/>
  <c r="B49" i="33"/>
  <c r="AT55" i="33"/>
  <c r="BF55" i="33"/>
  <c r="X63" i="33"/>
  <c r="Y63" i="33"/>
  <c r="AC63" i="33"/>
  <c r="BF64" i="33"/>
  <c r="BE64" i="33"/>
  <c r="AK68" i="33"/>
  <c r="AD68" i="33"/>
  <c r="AC68" i="33"/>
  <c r="H79" i="33"/>
  <c r="I79" i="33"/>
  <c r="P79" i="33"/>
  <c r="AY84" i="33"/>
  <c r="BE84" i="33"/>
  <c r="R70" i="34"/>
  <c r="Q70" i="34"/>
  <c r="F70" i="34"/>
  <c r="Q75" i="34"/>
  <c r="E75" i="34"/>
  <c r="K75" i="34"/>
  <c r="F75" i="34"/>
  <c r="W11" i="35"/>
  <c r="Q11" i="35"/>
  <c r="V11" i="35"/>
  <c r="R13" i="31"/>
  <c r="J54" i="31"/>
  <c r="M54" i="31" s="1"/>
  <c r="R61" i="31"/>
  <c r="J14" i="32"/>
  <c r="F22" i="32"/>
  <c r="F26" i="32"/>
  <c r="F30" i="32"/>
  <c r="F34" i="32"/>
  <c r="F38" i="32"/>
  <c r="F42" i="32"/>
  <c r="F46" i="32"/>
  <c r="O18" i="33"/>
  <c r="C18" i="33"/>
  <c r="AJ24" i="33"/>
  <c r="Y24" i="33"/>
  <c r="AJ33" i="33"/>
  <c r="Y33" i="33"/>
  <c r="C61" i="33"/>
  <c r="O61" i="33"/>
  <c r="D61" i="33"/>
  <c r="C65" i="33"/>
  <c r="D65" i="33"/>
  <c r="H65" i="33"/>
  <c r="AS68" i="33"/>
  <c r="AX68" i="33"/>
  <c r="BE68" i="33"/>
  <c r="X70" i="33"/>
  <c r="Y70" i="33"/>
  <c r="W70" i="33"/>
  <c r="E43" i="34"/>
  <c r="J43" i="34"/>
  <c r="R66" i="34"/>
  <c r="F66" i="34"/>
  <c r="K66" i="34"/>
  <c r="Q71" i="34"/>
  <c r="R71" i="34"/>
  <c r="D75" i="34"/>
  <c r="AE28" i="35"/>
  <c r="AF28" i="35"/>
  <c r="AJ28" i="35"/>
  <c r="F6" i="22"/>
  <c r="O15" i="33"/>
  <c r="D15" i="33"/>
  <c r="Q35" i="33"/>
  <c r="B52" i="33"/>
  <c r="AS63" i="33"/>
  <c r="AT63" i="33"/>
  <c r="AR63" i="33"/>
  <c r="AX77" i="33"/>
  <c r="BF77" i="33"/>
  <c r="AS79" i="33"/>
  <c r="BF79" i="33"/>
  <c r="AT79" i="33"/>
  <c r="AR79" i="33"/>
  <c r="C87" i="33"/>
  <c r="D87" i="33"/>
  <c r="P87" i="33"/>
  <c r="H87" i="33"/>
  <c r="J61" i="34"/>
  <c r="Q61" i="34"/>
  <c r="D66" i="34"/>
  <c r="E71" i="34"/>
  <c r="R75" i="34"/>
  <c r="S37" i="31"/>
  <c r="F46" i="31"/>
  <c r="L46" i="31" s="1"/>
  <c r="R54" i="31"/>
  <c r="D57" i="31"/>
  <c r="D59" i="31"/>
  <c r="D61" i="31"/>
  <c r="M65" i="31"/>
  <c r="M70" i="31"/>
  <c r="D13" i="32"/>
  <c r="J21" i="32"/>
  <c r="K22" i="32"/>
  <c r="D24" i="32"/>
  <c r="K26" i="32"/>
  <c r="D28" i="32"/>
  <c r="K30" i="32"/>
  <c r="D32" i="32"/>
  <c r="K34" i="32"/>
  <c r="D36" i="32"/>
  <c r="K38" i="32"/>
  <c r="D40" i="32"/>
  <c r="K42" i="32"/>
  <c r="D44" i="32"/>
  <c r="K46" i="32"/>
  <c r="D48" i="32"/>
  <c r="B10" i="33"/>
  <c r="C12" i="33"/>
  <c r="D14" i="33"/>
  <c r="K14" i="33" s="1"/>
  <c r="B15" i="33"/>
  <c r="AJ16" i="33"/>
  <c r="W16" i="33"/>
  <c r="D18" i="33"/>
  <c r="Y20" i="33"/>
  <c r="D21" i="33"/>
  <c r="AS23" i="33"/>
  <c r="X24" i="33"/>
  <c r="X26" i="33"/>
  <c r="W27" i="33"/>
  <c r="AJ29" i="33"/>
  <c r="AK29" i="33"/>
  <c r="AL29" i="33" s="1"/>
  <c r="B30" i="33"/>
  <c r="AS30" i="33"/>
  <c r="X33" i="33"/>
  <c r="X37" i="33"/>
  <c r="W41" i="33"/>
  <c r="P61" i="33"/>
  <c r="BE63" i="33"/>
  <c r="P65" i="33"/>
  <c r="C69" i="33"/>
  <c r="O69" i="33"/>
  <c r="D69" i="33"/>
  <c r="AK70" i="33"/>
  <c r="AX79" i="33"/>
  <c r="O84" i="33"/>
  <c r="P84" i="33"/>
  <c r="AJ87" i="33"/>
  <c r="AD87" i="33"/>
  <c r="E61" i="34"/>
  <c r="AK16" i="35"/>
  <c r="AE16" i="35"/>
  <c r="AJ16" i="35"/>
  <c r="R25" i="35"/>
  <c r="Q25" i="35"/>
  <c r="V25" i="35"/>
  <c r="M25" i="31"/>
  <c r="M30" i="31"/>
  <c r="D11" i="31"/>
  <c r="F22" i="31"/>
  <c r="E24" i="31"/>
  <c r="Q25" i="31"/>
  <c r="Q27" i="31"/>
  <c r="S41" i="31"/>
  <c r="D64" i="31"/>
  <c r="E9" i="31"/>
  <c r="F11" i="31"/>
  <c r="E13" i="31"/>
  <c r="E14" i="31"/>
  <c r="M14" i="31" s="1"/>
  <c r="D16" i="31"/>
  <c r="M17" i="31"/>
  <c r="J22" i="31"/>
  <c r="M22" i="31" s="1"/>
  <c r="K24" i="31"/>
  <c r="R25" i="31"/>
  <c r="Q29" i="31"/>
  <c r="D33" i="31"/>
  <c r="D35" i="31"/>
  <c r="D37" i="31"/>
  <c r="D40" i="31"/>
  <c r="M41" i="31"/>
  <c r="J46" i="31"/>
  <c r="M46" i="31" s="1"/>
  <c r="T48" i="31"/>
  <c r="R52" i="31"/>
  <c r="R53" i="31"/>
  <c r="E57" i="31"/>
  <c r="F59" i="31"/>
  <c r="E61" i="31"/>
  <c r="E62" i="31"/>
  <c r="E64" i="31"/>
  <c r="Q65" i="31"/>
  <c r="E13" i="32"/>
  <c r="E24" i="32"/>
  <c r="E28" i="32"/>
  <c r="E32" i="32"/>
  <c r="E36" i="32"/>
  <c r="E40" i="32"/>
  <c r="E44" i="32"/>
  <c r="E48" i="32"/>
  <c r="W8" i="33"/>
  <c r="C10" i="33"/>
  <c r="AR10" i="33"/>
  <c r="W13" i="33"/>
  <c r="C15" i="33"/>
  <c r="X16" i="33"/>
  <c r="P18" i="33"/>
  <c r="B23" i="33"/>
  <c r="AT23" i="33"/>
  <c r="AK24" i="33"/>
  <c r="X25" i="33"/>
  <c r="Y27" i="33"/>
  <c r="AE27" i="33" s="1"/>
  <c r="W29" i="33"/>
  <c r="D30" i="33"/>
  <c r="J30" i="33" s="1"/>
  <c r="AT30" i="33"/>
  <c r="O32" i="33"/>
  <c r="C32" i="33"/>
  <c r="AR32" i="33"/>
  <c r="AK33" i="33"/>
  <c r="AR34" i="33"/>
  <c r="X36" i="33"/>
  <c r="Y37" i="33"/>
  <c r="AC39" i="33"/>
  <c r="H43" i="33"/>
  <c r="P43" i="33"/>
  <c r="AS52" i="33"/>
  <c r="BE52" i="33"/>
  <c r="AR62" i="33"/>
  <c r="BF63" i="33"/>
  <c r="AD65" i="33"/>
  <c r="W65" i="33"/>
  <c r="B69" i="33"/>
  <c r="BE79" i="33"/>
  <c r="B84" i="33"/>
  <c r="Q15" i="34"/>
  <c r="R15" i="34"/>
  <c r="E15" i="34"/>
  <c r="D15" i="34"/>
  <c r="T32" i="31"/>
  <c r="D9" i="31"/>
  <c r="D13" i="31"/>
  <c r="C4" i="22"/>
  <c r="C6" i="22" s="1"/>
  <c r="F9" i="31"/>
  <c r="L9" i="31" s="1"/>
  <c r="J11" i="31"/>
  <c r="F13" i="31"/>
  <c r="F14" i="31"/>
  <c r="L14" i="31" s="1"/>
  <c r="O14" i="31" s="1"/>
  <c r="E16" i="31"/>
  <c r="K22" i="31"/>
  <c r="Q24" i="31"/>
  <c r="T24" i="31" s="1"/>
  <c r="R29" i="31"/>
  <c r="S29" i="31" s="1"/>
  <c r="E33" i="31"/>
  <c r="F35" i="31"/>
  <c r="E37" i="31"/>
  <c r="E40" i="31"/>
  <c r="F57" i="31"/>
  <c r="S57" i="31" s="1"/>
  <c r="J59" i="31"/>
  <c r="F61" i="31"/>
  <c r="F62" i="31"/>
  <c r="L62" i="31" s="1"/>
  <c r="K64" i="31"/>
  <c r="R65" i="31"/>
  <c r="Q69" i="31"/>
  <c r="F24" i="32"/>
  <c r="F28" i="32"/>
  <c r="F32" i="32"/>
  <c r="F36" i="32"/>
  <c r="F40" i="32"/>
  <c r="F44" i="32"/>
  <c r="F48" i="32"/>
  <c r="X8" i="33"/>
  <c r="D10" i="33"/>
  <c r="BE12" i="33"/>
  <c r="AT12" i="33"/>
  <c r="BG12" i="33" s="1"/>
  <c r="BE13" i="33"/>
  <c r="AS13" i="33"/>
  <c r="P15" i="33"/>
  <c r="Y16" i="33"/>
  <c r="AM16" i="33" s="1"/>
  <c r="BE20" i="33"/>
  <c r="AT20" i="33"/>
  <c r="BG20" i="33" s="1"/>
  <c r="X29" i="33"/>
  <c r="BF30" i="33"/>
  <c r="AY32" i="33"/>
  <c r="AZ32" i="33" s="1"/>
  <c r="AS34" i="33"/>
  <c r="Y36" i="33"/>
  <c r="AK37" i="33"/>
  <c r="AL37" i="33" s="1"/>
  <c r="AJ39" i="33"/>
  <c r="C42" i="33"/>
  <c r="D42" i="33"/>
  <c r="AS44" i="33"/>
  <c r="AT44" i="33"/>
  <c r="AT52" i="33"/>
  <c r="BF53" i="33"/>
  <c r="P55" i="33"/>
  <c r="H55" i="33"/>
  <c r="I55" i="33"/>
  <c r="P69" i="33"/>
  <c r="AX73" i="33"/>
  <c r="BF73" i="33"/>
  <c r="AY73" i="33"/>
  <c r="O86" i="33"/>
  <c r="B86" i="33"/>
  <c r="I86" i="33"/>
  <c r="D86" i="33"/>
  <c r="I88" i="33"/>
  <c r="O88" i="33"/>
  <c r="Q11" i="34"/>
  <c r="D11" i="34"/>
  <c r="R11" i="34"/>
  <c r="F11" i="34"/>
  <c r="E11" i="34"/>
  <c r="J33" i="34"/>
  <c r="E33" i="34"/>
  <c r="D33" i="34"/>
  <c r="J9" i="31"/>
  <c r="M9" i="31" s="1"/>
  <c r="J13" i="31"/>
  <c r="M13" i="31" s="1"/>
  <c r="J57" i="31"/>
  <c r="M57" i="31" s="1"/>
  <c r="J61" i="31"/>
  <c r="M61" i="31" s="1"/>
  <c r="Q64" i="31"/>
  <c r="T64" i="31" s="1"/>
  <c r="J24" i="32"/>
  <c r="J28" i="32"/>
  <c r="J32" i="32"/>
  <c r="J36" i="32"/>
  <c r="J40" i="32"/>
  <c r="J44" i="32"/>
  <c r="J48" i="32"/>
  <c r="P10" i="33"/>
  <c r="O26" i="33"/>
  <c r="P26" i="33"/>
  <c r="Q26" i="33" s="1"/>
  <c r="O27" i="33"/>
  <c r="D27" i="33"/>
  <c r="AY27" i="33"/>
  <c r="BF27" i="33"/>
  <c r="AL36" i="33"/>
  <c r="BE37" i="33"/>
  <c r="AT37" i="33"/>
  <c r="AS39" i="33"/>
  <c r="AR39" i="33"/>
  <c r="AS43" i="33"/>
  <c r="AR43" i="33"/>
  <c r="C50" i="33"/>
  <c r="D50" i="33"/>
  <c r="AS51" i="33"/>
  <c r="AX51" i="33"/>
  <c r="BF51" i="33"/>
  <c r="X55" i="33"/>
  <c r="AJ55" i="33"/>
  <c r="AC55" i="33"/>
  <c r="AK60" i="33"/>
  <c r="AD60" i="33"/>
  <c r="AC60" i="33"/>
  <c r="K11" i="34"/>
  <c r="Q19" i="34"/>
  <c r="F19" i="34"/>
  <c r="E19" i="34"/>
  <c r="R33" i="34"/>
  <c r="Q37" i="34"/>
  <c r="D37" i="34"/>
  <c r="R37" i="34"/>
  <c r="F37" i="34"/>
  <c r="E37" i="34"/>
  <c r="T37" i="34" s="1"/>
  <c r="F46" i="34"/>
  <c r="R46" i="34"/>
  <c r="D24" i="35"/>
  <c r="C24" i="35"/>
  <c r="H24" i="35"/>
  <c r="K11" i="31"/>
  <c r="M62" i="31"/>
  <c r="Q9" i="31"/>
  <c r="Q16" i="31"/>
  <c r="T16" i="31" s="1"/>
  <c r="R20" i="31"/>
  <c r="D25" i="31"/>
  <c r="D29" i="31"/>
  <c r="D32" i="31"/>
  <c r="J33" i="31"/>
  <c r="M33" i="31" s="1"/>
  <c r="J37" i="31"/>
  <c r="M37" i="31" s="1"/>
  <c r="Q57" i="31"/>
  <c r="S69" i="31"/>
  <c r="L23" i="32"/>
  <c r="L27" i="32"/>
  <c r="G27" i="32" s="1"/>
  <c r="L31" i="32"/>
  <c r="G31" i="32" s="1"/>
  <c r="L35" i="32"/>
  <c r="G35" i="32" s="1"/>
  <c r="L39" i="32"/>
  <c r="G39" i="32" s="1"/>
  <c r="L43" i="32"/>
  <c r="G43" i="32" s="1"/>
  <c r="L47" i="32"/>
  <c r="G47" i="32" s="1"/>
  <c r="AK8" i="33"/>
  <c r="AS12" i="33"/>
  <c r="AT13" i="33"/>
  <c r="BH13" i="33" s="1"/>
  <c r="J20" i="33"/>
  <c r="AS20" i="33"/>
  <c r="B26" i="33"/>
  <c r="B27" i="33"/>
  <c r="AR27" i="33"/>
  <c r="P32" i="33"/>
  <c r="Q32" i="33" s="1"/>
  <c r="B33" i="33"/>
  <c r="BF34" i="33"/>
  <c r="BG34" i="33" s="1"/>
  <c r="O36" i="33"/>
  <c r="C36" i="33"/>
  <c r="AS37" i="33"/>
  <c r="AT39" i="33"/>
  <c r="O42" i="33"/>
  <c r="AT43" i="33"/>
  <c r="BE44" i="33"/>
  <c r="X46" i="33"/>
  <c r="Y46" i="33"/>
  <c r="X47" i="33"/>
  <c r="Y47" i="33"/>
  <c r="H50" i="33"/>
  <c r="AR51" i="33"/>
  <c r="Y55" i="33"/>
  <c r="C57" i="33"/>
  <c r="B57" i="33"/>
  <c r="D57" i="33"/>
  <c r="AS60" i="33"/>
  <c r="AX60" i="33"/>
  <c r="BE60" i="33"/>
  <c r="O62" i="33"/>
  <c r="BF81" i="33"/>
  <c r="AX81" i="33"/>
  <c r="AY81" i="33"/>
  <c r="K50" i="34"/>
  <c r="F50" i="34"/>
  <c r="T50" i="34" s="1"/>
  <c r="E50" i="34"/>
  <c r="Q69" i="34"/>
  <c r="D69" i="34"/>
  <c r="K69" i="34"/>
  <c r="F69" i="34"/>
  <c r="W49" i="33"/>
  <c r="D58" i="33"/>
  <c r="BF59" i="33"/>
  <c r="BF61" i="33"/>
  <c r="AK62" i="33"/>
  <c r="D66" i="33"/>
  <c r="BF67" i="33"/>
  <c r="BF69" i="33"/>
  <c r="AR71" i="33"/>
  <c r="W74" i="33"/>
  <c r="B77" i="33"/>
  <c r="B81" i="33"/>
  <c r="AK82" i="33"/>
  <c r="E21" i="34"/>
  <c r="T21" i="34" s="1"/>
  <c r="R31" i="34"/>
  <c r="D35" i="34"/>
  <c r="E60" i="34"/>
  <c r="D82" i="34"/>
  <c r="E88" i="34"/>
  <c r="K77" i="33"/>
  <c r="F60" i="34"/>
  <c r="Q60" i="34"/>
  <c r="B27" i="35"/>
  <c r="AD27" i="35"/>
  <c r="D27" i="35"/>
  <c r="AF27" i="35"/>
  <c r="AM27" i="35" s="1"/>
  <c r="AC80" i="33"/>
  <c r="Y84" i="33"/>
  <c r="AC88" i="33"/>
  <c r="E17" i="34"/>
  <c r="E27" i="34"/>
  <c r="F41" i="34"/>
  <c r="J82" i="34"/>
  <c r="AE11" i="35"/>
  <c r="C17" i="35"/>
  <c r="AE24" i="35"/>
  <c r="H27" i="35"/>
  <c r="AJ27" i="35"/>
  <c r="AD80" i="33"/>
  <c r="AC84" i="33"/>
  <c r="F17" i="34"/>
  <c r="R22" i="34"/>
  <c r="F27" i="34"/>
  <c r="D31" i="34"/>
  <c r="J60" i="34"/>
  <c r="D68" i="34"/>
  <c r="AX59" i="33"/>
  <c r="AC62" i="33"/>
  <c r="AX67" i="33"/>
  <c r="AJ82" i="33"/>
  <c r="K31" i="34"/>
  <c r="AF15" i="33"/>
  <c r="AE15" i="33"/>
  <c r="AM15" i="33"/>
  <c r="AL15" i="33"/>
  <c r="AJ12" i="33"/>
  <c r="X12" i="33"/>
  <c r="AK12" i="33"/>
  <c r="BE18" i="33"/>
  <c r="AT18" i="33"/>
  <c r="BF18" i="33"/>
  <c r="BE19" i="33"/>
  <c r="AT19" i="33"/>
  <c r="O22" i="33"/>
  <c r="C22" i="33"/>
  <c r="P22" i="33"/>
  <c r="BE28" i="33"/>
  <c r="BF28" i="33"/>
  <c r="AS28" i="33"/>
  <c r="AJ35" i="33"/>
  <c r="AK35" i="33"/>
  <c r="X35" i="33"/>
  <c r="W35" i="33"/>
  <c r="R14" i="33"/>
  <c r="BE25" i="33"/>
  <c r="AS25" i="33"/>
  <c r="BF25" i="33"/>
  <c r="AJ31" i="33"/>
  <c r="AK31" i="33"/>
  <c r="X31" i="33"/>
  <c r="J34" i="33"/>
  <c r="O37" i="33"/>
  <c r="D37" i="33"/>
  <c r="P37" i="33"/>
  <c r="Q37" i="33" s="1"/>
  <c r="C37" i="33"/>
  <c r="BF41" i="33"/>
  <c r="AY41" i="33"/>
  <c r="AX41" i="33"/>
  <c r="AC48" i="33"/>
  <c r="AK48" i="33"/>
  <c r="O8" i="33"/>
  <c r="D8" i="33"/>
  <c r="P8" i="33"/>
  <c r="AR8" i="33"/>
  <c r="O9" i="33"/>
  <c r="D9" i="33"/>
  <c r="P9" i="33"/>
  <c r="Q9" i="33" s="1"/>
  <c r="AE9" i="33"/>
  <c r="AT9" i="33"/>
  <c r="AJ11" i="33"/>
  <c r="AM11" i="33" s="1"/>
  <c r="X11" i="33"/>
  <c r="AK11" i="33"/>
  <c r="D12" i="33"/>
  <c r="J12" i="33" s="1"/>
  <c r="W12" i="33"/>
  <c r="D13" i="33"/>
  <c r="X13" i="33"/>
  <c r="AJ14" i="33"/>
  <c r="AK14" i="33"/>
  <c r="AL14" i="33" s="1"/>
  <c r="W14" i="33"/>
  <c r="BE14" i="33"/>
  <c r="AT14" i="33"/>
  <c r="BF14" i="33"/>
  <c r="W15" i="33"/>
  <c r="AT15" i="33"/>
  <c r="C16" i="33"/>
  <c r="AZ16" i="33"/>
  <c r="C17" i="33"/>
  <c r="X17" i="33"/>
  <c r="BE17" i="33"/>
  <c r="BH17" i="33" s="1"/>
  <c r="AS17" i="33"/>
  <c r="BF17" i="33"/>
  <c r="X18" i="33"/>
  <c r="AR18" i="33"/>
  <c r="R19" i="33"/>
  <c r="Y19" i="33"/>
  <c r="AE19" i="33" s="1"/>
  <c r="AR19" i="33"/>
  <c r="O20" i="33"/>
  <c r="P20" i="33"/>
  <c r="Q20" i="33" s="1"/>
  <c r="B20" i="33"/>
  <c r="O21" i="33"/>
  <c r="P21" i="33"/>
  <c r="B21" i="33"/>
  <c r="AJ21" i="33"/>
  <c r="Y21" i="33"/>
  <c r="AE21" i="33" s="1"/>
  <c r="AK21" i="33"/>
  <c r="B22" i="33"/>
  <c r="AJ22" i="33"/>
  <c r="Y22" i="33"/>
  <c r="AK22" i="33"/>
  <c r="AZ22" i="33"/>
  <c r="D23" i="33"/>
  <c r="BE24" i="33"/>
  <c r="AS24" i="33"/>
  <c r="BF24" i="33"/>
  <c r="Y25" i="33"/>
  <c r="AE25" i="33" s="1"/>
  <c r="AR25" i="33"/>
  <c r="Y26" i="33"/>
  <c r="AS26" i="33"/>
  <c r="AS27" i="33"/>
  <c r="Y28" i="33"/>
  <c r="AE28" i="33" s="1"/>
  <c r="AR28" i="33"/>
  <c r="O29" i="33"/>
  <c r="D29" i="33"/>
  <c r="J29" i="33" s="1"/>
  <c r="BE29" i="33"/>
  <c r="AR29" i="33"/>
  <c r="BF29" i="33"/>
  <c r="BG29" i="33" s="1"/>
  <c r="X30" i="33"/>
  <c r="D31" i="33"/>
  <c r="J31" i="33" s="1"/>
  <c r="W31" i="33"/>
  <c r="BE31" i="33"/>
  <c r="AT31" i="33"/>
  <c r="AZ31" i="33" s="1"/>
  <c r="AJ32" i="33"/>
  <c r="W32" i="33"/>
  <c r="AK32" i="33"/>
  <c r="AL32" i="33" s="1"/>
  <c r="C33" i="33"/>
  <c r="AT33" i="33"/>
  <c r="Y35" i="33"/>
  <c r="AM35" i="33" s="1"/>
  <c r="BE36" i="33"/>
  <c r="BF36" i="33"/>
  <c r="AS36" i="33"/>
  <c r="AR36" i="33"/>
  <c r="B37" i="33"/>
  <c r="AR38" i="33"/>
  <c r="AS40" i="33"/>
  <c r="BE40" i="33"/>
  <c r="BH40" i="33" s="1"/>
  <c r="AX40" i="33"/>
  <c r="AT40" i="33"/>
  <c r="AY46" i="33"/>
  <c r="AR46" i="33"/>
  <c r="X50" i="33"/>
  <c r="AC50" i="33"/>
  <c r="Y50" i="33"/>
  <c r="AK50" i="33"/>
  <c r="W50" i="33"/>
  <c r="I68" i="33"/>
  <c r="B68" i="33"/>
  <c r="B8" i="33"/>
  <c r="AM8" i="33"/>
  <c r="B9" i="33"/>
  <c r="AJ9" i="33"/>
  <c r="AM9" i="33" s="1"/>
  <c r="AK9" i="33"/>
  <c r="AL9" i="33" s="1"/>
  <c r="W9" i="33"/>
  <c r="AJ10" i="33"/>
  <c r="AM10" i="33" s="1"/>
  <c r="AK10" i="33"/>
  <c r="W10" i="33"/>
  <c r="BE10" i="33"/>
  <c r="AT10" i="33"/>
  <c r="BG10" i="33" s="1"/>
  <c r="BF10" i="33"/>
  <c r="W11" i="33"/>
  <c r="BE11" i="33"/>
  <c r="AT11" i="33"/>
  <c r="BH11" i="33" s="1"/>
  <c r="BF11" i="33"/>
  <c r="Y12" i="33"/>
  <c r="O14" i="33"/>
  <c r="P14" i="33"/>
  <c r="C14" i="33"/>
  <c r="J14" i="33"/>
  <c r="X14" i="33"/>
  <c r="AR14" i="33"/>
  <c r="R15" i="33"/>
  <c r="BE16" i="33"/>
  <c r="AS16" i="33"/>
  <c r="BF16" i="33"/>
  <c r="AR17" i="33"/>
  <c r="AS18" i="33"/>
  <c r="AS19" i="33"/>
  <c r="C20" i="33"/>
  <c r="AJ20" i="33"/>
  <c r="AM20" i="33" s="1"/>
  <c r="X20" i="33"/>
  <c r="AK20" i="33"/>
  <c r="C21" i="33"/>
  <c r="R21" i="33" s="1"/>
  <c r="W21" i="33"/>
  <c r="BH21" i="33"/>
  <c r="D22" i="33"/>
  <c r="Q22" i="33" s="1"/>
  <c r="W22" i="33"/>
  <c r="BE22" i="33"/>
  <c r="BH22" i="33" s="1"/>
  <c r="BF22" i="33"/>
  <c r="BG22" i="33" s="1"/>
  <c r="AR22" i="33"/>
  <c r="BE23" i="33"/>
  <c r="BH23" i="33" s="1"/>
  <c r="BF23" i="33"/>
  <c r="AR23" i="33"/>
  <c r="O24" i="33"/>
  <c r="D24" i="33"/>
  <c r="Q24" i="33" s="1"/>
  <c r="P24" i="33"/>
  <c r="AR24" i="33"/>
  <c r="O25" i="33"/>
  <c r="D25" i="33"/>
  <c r="P25" i="33"/>
  <c r="AT25" i="33"/>
  <c r="BH25" i="33" s="1"/>
  <c r="AJ27" i="33"/>
  <c r="AK27" i="33"/>
  <c r="AL27" i="33" s="1"/>
  <c r="X27" i="33"/>
  <c r="Q28" i="33"/>
  <c r="AT28" i="33"/>
  <c r="B29" i="33"/>
  <c r="P29" i="33"/>
  <c r="Q29" i="33" s="1"/>
  <c r="AS29" i="33"/>
  <c r="O30" i="33"/>
  <c r="P30" i="33"/>
  <c r="Q30" i="33" s="1"/>
  <c r="C30" i="33"/>
  <c r="BG30" i="33"/>
  <c r="Y31" i="33"/>
  <c r="AR31" i="33"/>
  <c r="BF31" i="33"/>
  <c r="BG31" i="33" s="1"/>
  <c r="X32" i="33"/>
  <c r="BE32" i="33"/>
  <c r="BF32" i="33"/>
  <c r="BG32" i="33" s="1"/>
  <c r="AS32" i="33"/>
  <c r="AL33" i="33"/>
  <c r="AJ34" i="33"/>
  <c r="Y34" i="33"/>
  <c r="AE34" i="33" s="1"/>
  <c r="AK34" i="33"/>
  <c r="X34" i="33"/>
  <c r="AD35" i="33"/>
  <c r="AT36" i="33"/>
  <c r="I37" i="33"/>
  <c r="C38" i="33"/>
  <c r="H38" i="33"/>
  <c r="K38" i="33" s="1"/>
  <c r="D38" i="33"/>
  <c r="BF40" i="33"/>
  <c r="AJ50" i="33"/>
  <c r="BE8" i="33"/>
  <c r="AS8" i="33"/>
  <c r="BF8" i="33"/>
  <c r="BG8" i="33" s="1"/>
  <c r="AJ15" i="33"/>
  <c r="AK15" i="33"/>
  <c r="X15" i="33"/>
  <c r="BG16" i="33"/>
  <c r="AJ17" i="33"/>
  <c r="AM17" i="33" s="1"/>
  <c r="AK17" i="33"/>
  <c r="AL17" i="33" s="1"/>
  <c r="W17" i="33"/>
  <c r="AJ18" i="33"/>
  <c r="AM18" i="33" s="1"/>
  <c r="AK18" i="33"/>
  <c r="W18" i="33"/>
  <c r="BF19" i="33"/>
  <c r="AY8" i="33"/>
  <c r="AZ8" i="33" s="1"/>
  <c r="BE9" i="33"/>
  <c r="AS9" i="33"/>
  <c r="BF9" i="33"/>
  <c r="AL11" i="33"/>
  <c r="O12" i="33"/>
  <c r="P12" i="33"/>
  <c r="B12" i="33"/>
  <c r="AD12" i="33"/>
  <c r="AE12" i="33" s="1"/>
  <c r="O13" i="33"/>
  <c r="P13" i="33"/>
  <c r="B13" i="33"/>
  <c r="AJ13" i="33"/>
  <c r="AM13" i="33" s="1"/>
  <c r="Y13" i="33"/>
  <c r="AE13" i="33" s="1"/>
  <c r="AK13" i="33"/>
  <c r="Q14" i="33"/>
  <c r="AM14" i="33"/>
  <c r="AD15" i="33"/>
  <c r="BE15" i="33"/>
  <c r="BF15" i="33"/>
  <c r="AR15" i="33"/>
  <c r="O16" i="33"/>
  <c r="D16" i="33"/>
  <c r="J16" i="33" s="1"/>
  <c r="P16" i="33"/>
  <c r="O17" i="33"/>
  <c r="D17" i="33"/>
  <c r="P17" i="33"/>
  <c r="AD17" i="33"/>
  <c r="AE17" i="33" s="1"/>
  <c r="AD18" i="33"/>
  <c r="AY18" i="33"/>
  <c r="AZ18" i="33" s="1"/>
  <c r="AJ19" i="33"/>
  <c r="X19" i="33"/>
  <c r="AK19" i="33"/>
  <c r="AY19" i="33"/>
  <c r="I22" i="33"/>
  <c r="J22" i="33" s="1"/>
  <c r="O23" i="33"/>
  <c r="C23" i="33"/>
  <c r="P23" i="33"/>
  <c r="BG24" i="33"/>
  <c r="AJ25" i="33"/>
  <c r="AM25" i="33" s="1"/>
  <c r="AK25" i="33"/>
  <c r="W25" i="33"/>
  <c r="AY25" i="33"/>
  <c r="AJ26" i="33"/>
  <c r="AK26" i="33"/>
  <c r="W26" i="33"/>
  <c r="BE26" i="33"/>
  <c r="BH26" i="33" s="1"/>
  <c r="AT26" i="33"/>
  <c r="AZ26" i="33" s="1"/>
  <c r="BF26" i="33"/>
  <c r="BE27" i="33"/>
  <c r="AT27" i="33"/>
  <c r="AZ27" i="33" s="1"/>
  <c r="AJ28" i="33"/>
  <c r="W28" i="33"/>
  <c r="AK28" i="33"/>
  <c r="AL28" i="33" s="1"/>
  <c r="AY28" i="33"/>
  <c r="AZ29" i="33"/>
  <c r="AJ30" i="33"/>
  <c r="Y30" i="33"/>
  <c r="AE30" i="33" s="1"/>
  <c r="O31" i="33"/>
  <c r="R31" i="33" s="1"/>
  <c r="B31" i="33"/>
  <c r="P31" i="33"/>
  <c r="Q31" i="33" s="1"/>
  <c r="AD31" i="33"/>
  <c r="AE32" i="33"/>
  <c r="O33" i="33"/>
  <c r="D33" i="33"/>
  <c r="J33" i="33" s="1"/>
  <c r="BE33" i="33"/>
  <c r="AR33" i="33"/>
  <c r="AY33" i="33"/>
  <c r="O34" i="33"/>
  <c r="P34" i="33"/>
  <c r="Q34" i="33" s="1"/>
  <c r="C34" i="33"/>
  <c r="R34" i="33" s="1"/>
  <c r="B34" i="33"/>
  <c r="BE35" i="33"/>
  <c r="AT35" i="33"/>
  <c r="AZ35" i="33" s="1"/>
  <c r="BF35" i="33"/>
  <c r="BG35" i="33" s="1"/>
  <c r="AS35" i="33"/>
  <c r="AY36" i="33"/>
  <c r="BH37" i="33"/>
  <c r="X43" i="33"/>
  <c r="Y43" i="33"/>
  <c r="AK43" i="33"/>
  <c r="AJ43" i="33"/>
  <c r="AM43" i="33" s="1"/>
  <c r="AC43" i="33"/>
  <c r="AK52" i="33"/>
  <c r="AD52" i="33"/>
  <c r="AC52" i="33"/>
  <c r="C54" i="33"/>
  <c r="D54" i="33"/>
  <c r="P54" i="33"/>
  <c r="O54" i="33"/>
  <c r="R54" i="33" s="1"/>
  <c r="H54" i="33"/>
  <c r="AD57" i="33"/>
  <c r="W57" i="33"/>
  <c r="X67" i="33"/>
  <c r="AC67" i="33"/>
  <c r="Y67" i="33"/>
  <c r="AK67" i="33"/>
  <c r="AJ67" i="33"/>
  <c r="Q25" i="34"/>
  <c r="R25" i="34"/>
  <c r="S25" i="34" s="1"/>
  <c r="E25" i="34"/>
  <c r="J25" i="34"/>
  <c r="F25" i="34"/>
  <c r="K25" i="34"/>
  <c r="D25" i="34"/>
  <c r="I35" i="33"/>
  <c r="J35" i="33" s="1"/>
  <c r="AD36" i="33"/>
  <c r="AE36" i="33" s="1"/>
  <c r="AY37" i="33"/>
  <c r="AZ37" i="33" s="1"/>
  <c r="AJ38" i="33"/>
  <c r="AK39" i="33"/>
  <c r="C41" i="33"/>
  <c r="O41" i="33"/>
  <c r="P41" i="33"/>
  <c r="AD44" i="33"/>
  <c r="O46" i="33"/>
  <c r="AS47" i="33"/>
  <c r="AX47" i="33"/>
  <c r="BE47" i="33"/>
  <c r="X51" i="33"/>
  <c r="Y51" i="33"/>
  <c r="AL51" i="33" s="1"/>
  <c r="X59" i="33"/>
  <c r="AC59" i="33"/>
  <c r="Y59" i="33"/>
  <c r="C70" i="33"/>
  <c r="H70" i="33"/>
  <c r="D70" i="33"/>
  <c r="AS72" i="33"/>
  <c r="AX72" i="33"/>
  <c r="BF72" i="33"/>
  <c r="BE72" i="33"/>
  <c r="AS83" i="33"/>
  <c r="AX83" i="33"/>
  <c r="BF83" i="33"/>
  <c r="AT83" i="33"/>
  <c r="AR83" i="33"/>
  <c r="BE83" i="33"/>
  <c r="Q39" i="34"/>
  <c r="K39" i="34"/>
  <c r="D39" i="34"/>
  <c r="F39" i="34"/>
  <c r="E39" i="34"/>
  <c r="R39" i="34"/>
  <c r="J39" i="34"/>
  <c r="E54" i="34"/>
  <c r="Q54" i="34"/>
  <c r="J54" i="34"/>
  <c r="AD8" i="33"/>
  <c r="R10" i="33"/>
  <c r="I10" i="33"/>
  <c r="J10" i="33" s="1"/>
  <c r="I11" i="33"/>
  <c r="J11" i="33" s="1"/>
  <c r="BH12" i="33"/>
  <c r="AY12" i="33"/>
  <c r="AZ12" i="33" s="1"/>
  <c r="AY13" i="33"/>
  <c r="I15" i="33"/>
  <c r="J15" i="33" s="1"/>
  <c r="AD16" i="33"/>
  <c r="R18" i="33"/>
  <c r="I18" i="33"/>
  <c r="J18" i="33" s="1"/>
  <c r="I19" i="33"/>
  <c r="J19" i="33" s="1"/>
  <c r="BH20" i="33"/>
  <c r="AY20" i="33"/>
  <c r="AZ20" i="33" s="1"/>
  <c r="AY21" i="33"/>
  <c r="AM23" i="33"/>
  <c r="AD23" i="33"/>
  <c r="AE23" i="33" s="1"/>
  <c r="AD24" i="33"/>
  <c r="R26" i="33"/>
  <c r="I26" i="33"/>
  <c r="J26" i="33" s="1"/>
  <c r="I27" i="33"/>
  <c r="I28" i="33"/>
  <c r="J28" i="33" s="1"/>
  <c r="AD29" i="33"/>
  <c r="AE29" i="33" s="1"/>
  <c r="AY30" i="33"/>
  <c r="AZ30" i="33" s="1"/>
  <c r="I32" i="33"/>
  <c r="J32" i="33" s="1"/>
  <c r="AD33" i="33"/>
  <c r="AE33" i="33" s="1"/>
  <c r="AY34" i="33"/>
  <c r="AZ34" i="33" s="1"/>
  <c r="B35" i="33"/>
  <c r="I36" i="33"/>
  <c r="J36" i="33" s="1"/>
  <c r="W36" i="33"/>
  <c r="AD37" i="33"/>
  <c r="AE37" i="33" s="1"/>
  <c r="AR37" i="33"/>
  <c r="W38" i="33"/>
  <c r="AK38" i="33"/>
  <c r="Y39" i="33"/>
  <c r="B41" i="33"/>
  <c r="B44" i="33"/>
  <c r="C45" i="33"/>
  <c r="H45" i="33"/>
  <c r="O45" i="33"/>
  <c r="BF45" i="33"/>
  <c r="AR47" i="33"/>
  <c r="BF47" i="33"/>
  <c r="AS48" i="33"/>
  <c r="BA48" i="33" s="1"/>
  <c r="AT48" i="33"/>
  <c r="AX49" i="33"/>
  <c r="AC51" i="33"/>
  <c r="AR54" i="33"/>
  <c r="AS55" i="33"/>
  <c r="AX55" i="33"/>
  <c r="BE55" i="33"/>
  <c r="AJ59" i="33"/>
  <c r="B60" i="33"/>
  <c r="C62" i="33"/>
  <c r="H62" i="33"/>
  <c r="D62" i="33"/>
  <c r="Q62" i="33" s="1"/>
  <c r="O70" i="33"/>
  <c r="AR70" i="33"/>
  <c r="AT72" i="33"/>
  <c r="BH72" i="33" s="1"/>
  <c r="C74" i="33"/>
  <c r="D74" i="33"/>
  <c r="O74" i="33"/>
  <c r="H74" i="33"/>
  <c r="K74" i="33" s="1"/>
  <c r="X79" i="33"/>
  <c r="Y79" i="33"/>
  <c r="AJ79" i="33"/>
  <c r="AC79" i="33"/>
  <c r="AF79" i="33" s="1"/>
  <c r="AK79" i="33"/>
  <c r="AL79" i="33" s="1"/>
  <c r="AS85" i="33"/>
  <c r="AX85" i="33"/>
  <c r="BF85" i="33"/>
  <c r="BG85" i="33" s="1"/>
  <c r="AT85" i="33"/>
  <c r="AR85" i="33"/>
  <c r="BE85" i="33"/>
  <c r="Q23" i="34"/>
  <c r="T23" i="34" s="1"/>
  <c r="R23" i="34"/>
  <c r="E23" i="34"/>
  <c r="K23" i="34"/>
  <c r="D23" i="34"/>
  <c r="J23" i="34"/>
  <c r="F23" i="34"/>
  <c r="X42" i="33"/>
  <c r="AC42" i="33"/>
  <c r="AF42" i="33" s="1"/>
  <c r="AJ42" i="33"/>
  <c r="C46" i="33"/>
  <c r="D46" i="33"/>
  <c r="AT47" i="33"/>
  <c r="BA47" i="33" s="1"/>
  <c r="AY49" i="33"/>
  <c r="AJ51" i="33"/>
  <c r="C53" i="33"/>
  <c r="H53" i="33"/>
  <c r="K53" i="33" s="1"/>
  <c r="O53" i="33"/>
  <c r="AS56" i="33"/>
  <c r="AT56" i="33"/>
  <c r="AK59" i="33"/>
  <c r="AS64" i="33"/>
  <c r="AX64" i="33"/>
  <c r="AT64" i="33"/>
  <c r="BG64" i="33" s="1"/>
  <c r="P70" i="33"/>
  <c r="C73" i="33"/>
  <c r="P73" i="33"/>
  <c r="Q73" i="33" s="1"/>
  <c r="B73" i="33"/>
  <c r="O73" i="33"/>
  <c r="H73" i="33"/>
  <c r="AC76" i="33"/>
  <c r="AK76" i="33"/>
  <c r="I83" i="33"/>
  <c r="H83" i="33"/>
  <c r="P83" i="33"/>
  <c r="B83" i="33"/>
  <c r="C78" i="33"/>
  <c r="H78" i="33"/>
  <c r="X78" i="33"/>
  <c r="AK78" i="33"/>
  <c r="W78" i="33"/>
  <c r="AD83" i="33"/>
  <c r="AC83" i="33"/>
  <c r="AY88" i="33"/>
  <c r="AT88" i="33"/>
  <c r="C91" i="33"/>
  <c r="P91" i="33"/>
  <c r="D91" i="33"/>
  <c r="K91" i="33" s="1"/>
  <c r="O91" i="33"/>
  <c r="B91" i="33"/>
  <c r="O92" i="33"/>
  <c r="I92" i="33"/>
  <c r="Q13" i="34"/>
  <c r="R13" i="34"/>
  <c r="E13" i="34"/>
  <c r="T13" i="34" s="1"/>
  <c r="K13" i="34"/>
  <c r="D13" i="34"/>
  <c r="R26" i="34"/>
  <c r="F26" i="34"/>
  <c r="Q29" i="34"/>
  <c r="R29" i="34"/>
  <c r="E29" i="34"/>
  <c r="J29" i="34"/>
  <c r="F29" i="34"/>
  <c r="R49" i="34"/>
  <c r="F49" i="34"/>
  <c r="S49" i="34" s="1"/>
  <c r="E49" i="34"/>
  <c r="Q49" i="34"/>
  <c r="D49" i="34"/>
  <c r="P42" i="33"/>
  <c r="BE43" i="33"/>
  <c r="BH43" i="33" s="1"/>
  <c r="BF44" i="33"/>
  <c r="AJ46" i="33"/>
  <c r="AK47" i="33"/>
  <c r="O49" i="33"/>
  <c r="P50" i="33"/>
  <c r="BE51" i="33"/>
  <c r="BF52" i="33"/>
  <c r="AJ54" i="33"/>
  <c r="AM54" i="33" s="1"/>
  <c r="AK55" i="33"/>
  <c r="O57" i="33"/>
  <c r="P58" i="33"/>
  <c r="AC58" i="33"/>
  <c r="AF58" i="33" s="1"/>
  <c r="BE59" i="33"/>
  <c r="BF60" i="33"/>
  <c r="H61" i="33"/>
  <c r="K61" i="33" s="1"/>
  <c r="AJ62" i="33"/>
  <c r="AM62" i="33" s="1"/>
  <c r="AK63" i="33"/>
  <c r="AX63" i="33"/>
  <c r="BA63" i="33" s="1"/>
  <c r="O65" i="33"/>
  <c r="P66" i="33"/>
  <c r="Q66" i="33" s="1"/>
  <c r="AC66" i="33"/>
  <c r="AF66" i="33" s="1"/>
  <c r="BE67" i="33"/>
  <c r="BF68" i="33"/>
  <c r="H69" i="33"/>
  <c r="K69" i="33" s="1"/>
  <c r="AJ70" i="33"/>
  <c r="AK71" i="33"/>
  <c r="AX71" i="33"/>
  <c r="BA71" i="33" s="1"/>
  <c r="X75" i="33"/>
  <c r="AC75" i="33"/>
  <c r="AS75" i="33"/>
  <c r="BF75" i="33"/>
  <c r="AR75" i="33"/>
  <c r="O78" i="33"/>
  <c r="AC78" i="33"/>
  <c r="AT84" i="33"/>
  <c r="BH84" i="33" s="1"/>
  <c r="AR84" i="33"/>
  <c r="Y87" i="33"/>
  <c r="W87" i="33"/>
  <c r="BE88" i="33"/>
  <c r="AS89" i="33"/>
  <c r="AT89" i="33"/>
  <c r="BF89" i="33"/>
  <c r="AR89" i="33"/>
  <c r="AD90" i="33"/>
  <c r="AC90" i="33"/>
  <c r="X92" i="33"/>
  <c r="AC92" i="33"/>
  <c r="AK92" i="33"/>
  <c r="Y92" i="33"/>
  <c r="J13" i="34"/>
  <c r="K29" i="34"/>
  <c r="K49" i="34"/>
  <c r="J53" i="34"/>
  <c r="Q53" i="34"/>
  <c r="E53" i="34"/>
  <c r="Q65" i="34"/>
  <c r="R65" i="34"/>
  <c r="E65" i="34"/>
  <c r="K65" i="34"/>
  <c r="D65" i="34"/>
  <c r="F65" i="34"/>
  <c r="J65" i="34"/>
  <c r="BE71" i="33"/>
  <c r="BH71" i="33" s="1"/>
  <c r="AF74" i="33"/>
  <c r="AS76" i="33"/>
  <c r="AT76" i="33"/>
  <c r="BG76" i="33" s="1"/>
  <c r="P78" i="33"/>
  <c r="AJ78" i="33"/>
  <c r="BA79" i="33"/>
  <c r="W81" i="33"/>
  <c r="AJ81" i="33"/>
  <c r="K87" i="33"/>
  <c r="AX89" i="33"/>
  <c r="AD91" i="33"/>
  <c r="Y91" i="33"/>
  <c r="AM91" i="33" s="1"/>
  <c r="W92" i="33"/>
  <c r="Q9" i="34"/>
  <c r="R9" i="34"/>
  <c r="E9" i="34"/>
  <c r="T9" i="34" s="1"/>
  <c r="K9" i="34"/>
  <c r="D9" i="34"/>
  <c r="R30" i="34"/>
  <c r="F30" i="34"/>
  <c r="R34" i="34"/>
  <c r="F34" i="34"/>
  <c r="D51" i="34"/>
  <c r="Q51" i="34"/>
  <c r="D53" i="34"/>
  <c r="J56" i="34"/>
  <c r="F56" i="34"/>
  <c r="E56" i="34"/>
  <c r="Q56" i="34"/>
  <c r="Q77" i="34"/>
  <c r="R77" i="34"/>
  <c r="E77" i="34"/>
  <c r="K77" i="34"/>
  <c r="D77" i="34"/>
  <c r="F77" i="34"/>
  <c r="S77" i="34" s="1"/>
  <c r="K81" i="33"/>
  <c r="AJ88" i="33"/>
  <c r="T19" i="34"/>
  <c r="J19" i="34"/>
  <c r="M19" i="34" s="1"/>
  <c r="J21" i="34"/>
  <c r="Q43" i="34"/>
  <c r="F43" i="34"/>
  <c r="K43" i="34"/>
  <c r="Q45" i="34"/>
  <c r="R45" i="34"/>
  <c r="E45" i="34"/>
  <c r="K45" i="34"/>
  <c r="L45" i="34" s="1"/>
  <c r="D58" i="34"/>
  <c r="Q58" i="34"/>
  <c r="J58" i="34"/>
  <c r="E58" i="34"/>
  <c r="K58" i="34"/>
  <c r="K78" i="34"/>
  <c r="D78" i="34"/>
  <c r="Q78" i="34"/>
  <c r="O81" i="33"/>
  <c r="AJ84" i="33"/>
  <c r="B87" i="33"/>
  <c r="O87" i="33"/>
  <c r="W88" i="33"/>
  <c r="AK88" i="33"/>
  <c r="AL88" i="33" s="1"/>
  <c r="T11" i="34"/>
  <c r="J11" i="34"/>
  <c r="T15" i="34"/>
  <c r="J15" i="34"/>
  <c r="M15" i="34" s="1"/>
  <c r="J17" i="34"/>
  <c r="D19" i="34"/>
  <c r="K19" i="34"/>
  <c r="D21" i="34"/>
  <c r="K21" i="34"/>
  <c r="R28" i="34"/>
  <c r="Q33" i="34"/>
  <c r="F33" i="34"/>
  <c r="T33" i="34" s="1"/>
  <c r="K33" i="34"/>
  <c r="Q41" i="34"/>
  <c r="T41" i="34" s="1"/>
  <c r="K41" i="34"/>
  <c r="D41" i="34"/>
  <c r="R41" i="34"/>
  <c r="D43" i="34"/>
  <c r="R43" i="34"/>
  <c r="D45" i="34"/>
  <c r="L50" i="34"/>
  <c r="F58" i="34"/>
  <c r="Q67" i="34"/>
  <c r="R67" i="34"/>
  <c r="E67" i="34"/>
  <c r="K67" i="34"/>
  <c r="D67" i="34"/>
  <c r="F67" i="34"/>
  <c r="Q79" i="34"/>
  <c r="R79" i="34"/>
  <c r="E79" i="34"/>
  <c r="M79" i="34" s="1"/>
  <c r="K79" i="34"/>
  <c r="D79" i="34"/>
  <c r="F79" i="34"/>
  <c r="T27" i="34"/>
  <c r="J27" i="34"/>
  <c r="M27" i="34" s="1"/>
  <c r="T31" i="34"/>
  <c r="J31" i="34"/>
  <c r="T35" i="34"/>
  <c r="J35" i="34"/>
  <c r="M35" i="34" s="1"/>
  <c r="J37" i="34"/>
  <c r="T47" i="34"/>
  <c r="J47" i="34"/>
  <c r="E63" i="34"/>
  <c r="T63" i="34" s="1"/>
  <c r="E69" i="34"/>
  <c r="R69" i="34"/>
  <c r="S69" i="34" s="1"/>
  <c r="K70" i="34"/>
  <c r="D71" i="34"/>
  <c r="K71" i="34"/>
  <c r="D73" i="34"/>
  <c r="K73" i="34"/>
  <c r="J75" i="34"/>
  <c r="E82" i="34"/>
  <c r="F87" i="34"/>
  <c r="L87" i="34" s="1"/>
  <c r="D88" i="34"/>
  <c r="AE8" i="35"/>
  <c r="B9" i="35"/>
  <c r="C11" i="35"/>
  <c r="C14" i="35"/>
  <c r="P14" i="35"/>
  <c r="Q16" i="35"/>
  <c r="AE20" i="35"/>
  <c r="B21" i="35"/>
  <c r="C26" i="35"/>
  <c r="K26" i="35" s="1"/>
  <c r="J10" i="36"/>
  <c r="E12" i="36"/>
  <c r="E20" i="36"/>
  <c r="R90" i="34"/>
  <c r="Q8" i="35"/>
  <c r="AJ8" i="35"/>
  <c r="C9" i="35"/>
  <c r="AJ10" i="35"/>
  <c r="AE13" i="35"/>
  <c r="H14" i="35"/>
  <c r="Q14" i="35"/>
  <c r="H16" i="35"/>
  <c r="AJ18" i="35"/>
  <c r="AJ20" i="35"/>
  <c r="C21" i="35"/>
  <c r="C22" i="35"/>
  <c r="Q23" i="35"/>
  <c r="AD25" i="35"/>
  <c r="H26" i="35"/>
  <c r="V26" i="35"/>
  <c r="Y26" i="35" s="1"/>
  <c r="P28" i="35"/>
  <c r="AD28" i="35"/>
  <c r="J12" i="36"/>
  <c r="J20" i="36"/>
  <c r="J63" i="34"/>
  <c r="J69" i="34"/>
  <c r="F71" i="34"/>
  <c r="F73" i="34"/>
  <c r="S73" i="34" s="1"/>
  <c r="D90" i="34"/>
  <c r="J90" i="34"/>
  <c r="V23" i="35"/>
  <c r="R28" i="35"/>
  <c r="J71" i="34"/>
  <c r="J73" i="34"/>
  <c r="V28" i="35"/>
  <c r="AM28" i="35"/>
  <c r="O17" i="31"/>
  <c r="N17" i="31"/>
  <c r="O21" i="31"/>
  <c r="G21" i="31"/>
  <c r="N21" i="31"/>
  <c r="I21" i="31" s="1"/>
  <c r="H21" i="31"/>
  <c r="G45" i="31"/>
  <c r="N45" i="31" s="1"/>
  <c r="H45" i="31"/>
  <c r="O45" i="31" s="1"/>
  <c r="O9" i="31"/>
  <c r="N9" i="31"/>
  <c r="M10" i="31"/>
  <c r="O25" i="31"/>
  <c r="G25" i="31"/>
  <c r="N25" i="31"/>
  <c r="G30" i="31"/>
  <c r="N30" i="31" s="1"/>
  <c r="G37" i="31"/>
  <c r="U37" i="31" s="1"/>
  <c r="H37" i="31"/>
  <c r="O37" i="31" s="1"/>
  <c r="G65" i="31"/>
  <c r="N65" i="31" s="1"/>
  <c r="O69" i="31"/>
  <c r="G69" i="31"/>
  <c r="U69" i="31" s="1"/>
  <c r="H69" i="31"/>
  <c r="V69" i="31" s="1"/>
  <c r="AS42" i="33"/>
  <c r="BF42" i="33"/>
  <c r="AX42" i="33"/>
  <c r="BE42" i="33"/>
  <c r="AT42" i="33"/>
  <c r="X45" i="33"/>
  <c r="AK45" i="33"/>
  <c r="AC45" i="33"/>
  <c r="AJ45" i="33"/>
  <c r="Y45" i="33"/>
  <c r="L41" i="31"/>
  <c r="Q42" i="31"/>
  <c r="D42" i="31"/>
  <c r="J44" i="31"/>
  <c r="F44" i="31"/>
  <c r="R47" i="31"/>
  <c r="E47" i="31"/>
  <c r="Q50" i="31"/>
  <c r="D50" i="31"/>
  <c r="L57" i="31"/>
  <c r="J60" i="31"/>
  <c r="F60" i="31"/>
  <c r="R63" i="31"/>
  <c r="E63" i="31"/>
  <c r="Q66" i="31"/>
  <c r="D66" i="31"/>
  <c r="J68" i="31"/>
  <c r="F68" i="31"/>
  <c r="D7" i="32"/>
  <c r="D19" i="32"/>
  <c r="J19" i="32"/>
  <c r="AR50" i="33"/>
  <c r="W53" i="33"/>
  <c r="B56" i="33"/>
  <c r="X56" i="33"/>
  <c r="AJ56" i="33"/>
  <c r="Y56" i="33"/>
  <c r="W56" i="33"/>
  <c r="C59" i="33"/>
  <c r="O59" i="33"/>
  <c r="D59" i="33"/>
  <c r="B59" i="33"/>
  <c r="C75" i="33"/>
  <c r="O75" i="33"/>
  <c r="D75" i="33"/>
  <c r="B75" i="33"/>
  <c r="BG75" i="33"/>
  <c r="BH75" i="33"/>
  <c r="BH76" i="33"/>
  <c r="AM79" i="33"/>
  <c r="AL84" i="33"/>
  <c r="AE84" i="33"/>
  <c r="AM84" i="33"/>
  <c r="AF84" i="33"/>
  <c r="D7" i="31"/>
  <c r="S9" i="31"/>
  <c r="H9" i="31" s="1"/>
  <c r="E10" i="31"/>
  <c r="L11" i="31"/>
  <c r="T13" i="31"/>
  <c r="S14" i="31"/>
  <c r="D15" i="31"/>
  <c r="S17" i="31"/>
  <c r="G17" i="31" s="1"/>
  <c r="E18" i="31"/>
  <c r="M18" i="31" s="1"/>
  <c r="L19" i="31"/>
  <c r="T21" i="31"/>
  <c r="V21" i="31"/>
  <c r="S22" i="31"/>
  <c r="D23" i="31"/>
  <c r="S25" i="31"/>
  <c r="E26" i="31"/>
  <c r="M26" i="31" s="1"/>
  <c r="L27" i="31"/>
  <c r="T29" i="31"/>
  <c r="S30" i="31"/>
  <c r="H30" i="31" s="1"/>
  <c r="O30" i="31" s="1"/>
  <c r="D31" i="31"/>
  <c r="S33" i="31"/>
  <c r="G33" i="31" s="1"/>
  <c r="N33" i="31" s="1"/>
  <c r="E34" i="31"/>
  <c r="M34" i="31" s="1"/>
  <c r="L35" i="31"/>
  <c r="T37" i="31"/>
  <c r="V37" i="31"/>
  <c r="S38" i="31"/>
  <c r="D39" i="31"/>
  <c r="E42" i="31"/>
  <c r="J42" i="31"/>
  <c r="L43" i="31"/>
  <c r="D44" i="31"/>
  <c r="T45" i="31"/>
  <c r="S46" i="31"/>
  <c r="H46" i="31" s="1"/>
  <c r="O46" i="31" s="1"/>
  <c r="D47" i="31"/>
  <c r="J47" i="31"/>
  <c r="M47" i="31" s="1"/>
  <c r="S49" i="31"/>
  <c r="E50" i="31"/>
  <c r="J50" i="31"/>
  <c r="L51" i="31"/>
  <c r="T53" i="31"/>
  <c r="S54" i="31"/>
  <c r="H54" i="31" s="1"/>
  <c r="O54" i="31" s="1"/>
  <c r="D55" i="31"/>
  <c r="E58" i="31"/>
  <c r="M58" i="31" s="1"/>
  <c r="L59" i="31"/>
  <c r="D60" i="31"/>
  <c r="T61" i="31"/>
  <c r="S62" i="31"/>
  <c r="G62" i="31" s="1"/>
  <c r="N62" i="31" s="1"/>
  <c r="D63" i="31"/>
  <c r="J63" i="31"/>
  <c r="S65" i="31"/>
  <c r="E66" i="31"/>
  <c r="J66" i="31"/>
  <c r="L67" i="31"/>
  <c r="D68" i="31"/>
  <c r="T69" i="31"/>
  <c r="S70" i="31"/>
  <c r="G70" i="31" s="1"/>
  <c r="N70" i="31" s="1"/>
  <c r="D8" i="32"/>
  <c r="K9" i="32"/>
  <c r="F9" i="32"/>
  <c r="D12" i="32"/>
  <c r="K13" i="32"/>
  <c r="F13" i="32"/>
  <c r="D16" i="32"/>
  <c r="K17" i="32"/>
  <c r="F17" i="32"/>
  <c r="D20" i="32"/>
  <c r="K21" i="32"/>
  <c r="F21" i="32"/>
  <c r="M21" i="32" s="1"/>
  <c r="L22" i="32"/>
  <c r="M22" i="32"/>
  <c r="L24" i="32"/>
  <c r="M24" i="32"/>
  <c r="O25" i="32"/>
  <c r="L26" i="32"/>
  <c r="M26" i="32"/>
  <c r="O27" i="32"/>
  <c r="L28" i="32"/>
  <c r="M28" i="32"/>
  <c r="O29" i="32"/>
  <c r="L30" i="32"/>
  <c r="M30" i="32"/>
  <c r="O31" i="32"/>
  <c r="L32" i="32"/>
  <c r="M32" i="32"/>
  <c r="O33" i="32"/>
  <c r="L34" i="32"/>
  <c r="M34" i="32"/>
  <c r="O35" i="32"/>
  <c r="L36" i="32"/>
  <c r="M36" i="32"/>
  <c r="O37" i="32"/>
  <c r="L38" i="32"/>
  <c r="M38" i="32"/>
  <c r="O39" i="32"/>
  <c r="L40" i="32"/>
  <c r="M40" i="32"/>
  <c r="O41" i="32"/>
  <c r="L42" i="32"/>
  <c r="M42" i="32"/>
  <c r="O43" i="32"/>
  <c r="L44" i="32"/>
  <c r="M44" i="32"/>
  <c r="O45" i="32"/>
  <c r="L46" i="32"/>
  <c r="M46" i="32"/>
  <c r="O47" i="32"/>
  <c r="L48" i="32"/>
  <c r="M48" i="32"/>
  <c r="AL8" i="33"/>
  <c r="BG9" i="33"/>
  <c r="AL10" i="33"/>
  <c r="Q11" i="33"/>
  <c r="Q13" i="33"/>
  <c r="BG13" i="33"/>
  <c r="Q15" i="33"/>
  <c r="BG15" i="33"/>
  <c r="AL16" i="33"/>
  <c r="Q17" i="33"/>
  <c r="BG17" i="33"/>
  <c r="AL18" i="33"/>
  <c r="Q19" i="33"/>
  <c r="BG19" i="33"/>
  <c r="AL20" i="33"/>
  <c r="Q21" i="33"/>
  <c r="BG21" i="33"/>
  <c r="AL22" i="33"/>
  <c r="Q23" i="33"/>
  <c r="BG23" i="33"/>
  <c r="AL24" i="33"/>
  <c r="BG25" i="33"/>
  <c r="AL26" i="33"/>
  <c r="AS38" i="33"/>
  <c r="BF38" i="33"/>
  <c r="AX38" i="33"/>
  <c r="BE38" i="33"/>
  <c r="AT38" i="33"/>
  <c r="X41" i="33"/>
  <c r="AK41" i="33"/>
  <c r="AC41" i="33"/>
  <c r="AJ41" i="33"/>
  <c r="Y41" i="33"/>
  <c r="AY42" i="33"/>
  <c r="C44" i="33"/>
  <c r="P44" i="33"/>
  <c r="H44" i="33"/>
  <c r="O44" i="33"/>
  <c r="D44" i="33"/>
  <c r="AD45" i="33"/>
  <c r="AS46" i="33"/>
  <c r="BF46" i="33"/>
  <c r="AX46" i="33"/>
  <c r="BE46" i="33"/>
  <c r="AT46" i="33"/>
  <c r="X49" i="33"/>
  <c r="AK49" i="33"/>
  <c r="AC49" i="33"/>
  <c r="AJ49" i="33"/>
  <c r="Y49" i="33"/>
  <c r="C52" i="33"/>
  <c r="P52" i="33"/>
  <c r="H52" i="33"/>
  <c r="O52" i="33"/>
  <c r="D52" i="33"/>
  <c r="AS54" i="33"/>
  <c r="BF54" i="33"/>
  <c r="AX54" i="33"/>
  <c r="BE54" i="33"/>
  <c r="AT54" i="33"/>
  <c r="AC56" i="33"/>
  <c r="X57" i="33"/>
  <c r="AK57" i="33"/>
  <c r="AC57" i="33"/>
  <c r="AJ57" i="33"/>
  <c r="Y57" i="33"/>
  <c r="H59" i="33"/>
  <c r="C60" i="33"/>
  <c r="P60" i="33"/>
  <c r="H60" i="33"/>
  <c r="O60" i="33"/>
  <c r="D60" i="33"/>
  <c r="AS62" i="33"/>
  <c r="BF62" i="33"/>
  <c r="AX62" i="33"/>
  <c r="BE62" i="33"/>
  <c r="AT62" i="33"/>
  <c r="X65" i="33"/>
  <c r="AK65" i="33"/>
  <c r="AC65" i="33"/>
  <c r="AJ65" i="33"/>
  <c r="Y65" i="33"/>
  <c r="C68" i="33"/>
  <c r="P68" i="33"/>
  <c r="H68" i="33"/>
  <c r="O68" i="33"/>
  <c r="D68" i="33"/>
  <c r="AS70" i="33"/>
  <c r="BF70" i="33"/>
  <c r="AX70" i="33"/>
  <c r="BE70" i="33"/>
  <c r="AT70" i="33"/>
  <c r="X73" i="33"/>
  <c r="AK73" i="33"/>
  <c r="AC73" i="33"/>
  <c r="AJ73" i="33"/>
  <c r="Y73" i="33"/>
  <c r="H75" i="33"/>
  <c r="C76" i="33"/>
  <c r="P76" i="33"/>
  <c r="H76" i="33"/>
  <c r="O76" i="33"/>
  <c r="D76" i="33"/>
  <c r="AS78" i="33"/>
  <c r="BF78" i="33"/>
  <c r="AX78" i="33"/>
  <c r="BE78" i="33"/>
  <c r="AT78" i="33"/>
  <c r="AS82" i="33"/>
  <c r="BF82" i="33"/>
  <c r="AX82" i="33"/>
  <c r="AY82" i="33"/>
  <c r="AT82" i="33"/>
  <c r="X85" i="33"/>
  <c r="W85" i="33"/>
  <c r="AC85" i="33"/>
  <c r="AJ85" i="33"/>
  <c r="AD85" i="33"/>
  <c r="AZ86" i="33"/>
  <c r="AE87" i="33"/>
  <c r="AS87" i="33"/>
  <c r="BE87" i="33"/>
  <c r="AT87" i="33"/>
  <c r="BF87" i="33"/>
  <c r="AR87" i="33"/>
  <c r="AY87" i="33"/>
  <c r="AX87" i="33"/>
  <c r="AM88" i="33"/>
  <c r="AF88" i="33"/>
  <c r="X89" i="33"/>
  <c r="W89" i="33"/>
  <c r="AC89" i="33"/>
  <c r="AD89" i="33"/>
  <c r="Y89" i="33"/>
  <c r="J32" i="34"/>
  <c r="E32" i="34"/>
  <c r="Q32" i="34"/>
  <c r="K32" i="34"/>
  <c r="D32" i="34"/>
  <c r="J36" i="34"/>
  <c r="E36" i="34"/>
  <c r="Q36" i="34"/>
  <c r="K36" i="34"/>
  <c r="D36" i="34"/>
  <c r="R36" i="34"/>
  <c r="F36" i="34"/>
  <c r="K57" i="34"/>
  <c r="F57" i="34"/>
  <c r="R57" i="34"/>
  <c r="E57" i="34"/>
  <c r="J57" i="34"/>
  <c r="D57" i="34"/>
  <c r="T9" i="31"/>
  <c r="T17" i="31"/>
  <c r="T25" i="31"/>
  <c r="T33" i="31"/>
  <c r="T41" i="31"/>
  <c r="T49" i="31"/>
  <c r="T57" i="31"/>
  <c r="T65" i="31"/>
  <c r="K7" i="32"/>
  <c r="F7" i="32"/>
  <c r="K11" i="32"/>
  <c r="F11" i="32"/>
  <c r="K15" i="32"/>
  <c r="F15" i="32"/>
  <c r="K19" i="32"/>
  <c r="F19" i="32"/>
  <c r="M23" i="32"/>
  <c r="M25" i="32"/>
  <c r="M27" i="32"/>
  <c r="M29" i="32"/>
  <c r="M31" i="32"/>
  <c r="M33" i="32"/>
  <c r="M35" i="32"/>
  <c r="M37" i="32"/>
  <c r="M39" i="32"/>
  <c r="M41" i="32"/>
  <c r="M43" i="32"/>
  <c r="M45" i="32"/>
  <c r="M47" i="32"/>
  <c r="C40" i="33"/>
  <c r="P40" i="33"/>
  <c r="H40" i="33"/>
  <c r="O40" i="33"/>
  <c r="D40" i="33"/>
  <c r="C48" i="33"/>
  <c r="P48" i="33"/>
  <c r="H48" i="33"/>
  <c r="O48" i="33"/>
  <c r="D48" i="33"/>
  <c r="AS50" i="33"/>
  <c r="BF50" i="33"/>
  <c r="AX50" i="33"/>
  <c r="BE50" i="33"/>
  <c r="AT50" i="33"/>
  <c r="X53" i="33"/>
  <c r="AK53" i="33"/>
  <c r="AC53" i="33"/>
  <c r="AJ53" i="33"/>
  <c r="Y53" i="33"/>
  <c r="C56" i="33"/>
  <c r="P56" i="33"/>
  <c r="H56" i="33"/>
  <c r="O56" i="33"/>
  <c r="D56" i="33"/>
  <c r="AS58" i="33"/>
  <c r="BF58" i="33"/>
  <c r="AX58" i="33"/>
  <c r="BE58" i="33"/>
  <c r="AT58" i="33"/>
  <c r="X61" i="33"/>
  <c r="AK61" i="33"/>
  <c r="AC61" i="33"/>
  <c r="AJ61" i="33"/>
  <c r="Y61" i="33"/>
  <c r="C64" i="33"/>
  <c r="P64" i="33"/>
  <c r="H64" i="33"/>
  <c r="O64" i="33"/>
  <c r="D64" i="33"/>
  <c r="AS66" i="33"/>
  <c r="BF66" i="33"/>
  <c r="AX66" i="33"/>
  <c r="BE66" i="33"/>
  <c r="AT66" i="33"/>
  <c r="X69" i="33"/>
  <c r="AK69" i="33"/>
  <c r="AC69" i="33"/>
  <c r="AJ69" i="33"/>
  <c r="Y69" i="33"/>
  <c r="C72" i="33"/>
  <c r="P72" i="33"/>
  <c r="H72" i="33"/>
  <c r="O72" i="33"/>
  <c r="D72" i="33"/>
  <c r="AS74" i="33"/>
  <c r="BF74" i="33"/>
  <c r="AX74" i="33"/>
  <c r="BE74" i="33"/>
  <c r="AT74" i="33"/>
  <c r="X77" i="33"/>
  <c r="AK77" i="33"/>
  <c r="AC77" i="33"/>
  <c r="AJ77" i="33"/>
  <c r="Y77" i="33"/>
  <c r="C80" i="33"/>
  <c r="P80" i="33"/>
  <c r="H80" i="33"/>
  <c r="I80" i="33"/>
  <c r="D80" i="33"/>
  <c r="AZ88" i="33"/>
  <c r="AS90" i="33"/>
  <c r="AR90" i="33"/>
  <c r="AX90" i="33"/>
  <c r="BE90" i="33"/>
  <c r="AY90" i="33"/>
  <c r="J92" i="33"/>
  <c r="AZ92" i="33"/>
  <c r="J16" i="34"/>
  <c r="E16" i="34"/>
  <c r="Q16" i="34"/>
  <c r="K16" i="34"/>
  <c r="D16" i="34"/>
  <c r="J20" i="34"/>
  <c r="E20" i="34"/>
  <c r="Q20" i="34"/>
  <c r="K20" i="34"/>
  <c r="D20" i="34"/>
  <c r="R20" i="34"/>
  <c r="F20" i="34"/>
  <c r="J64" i="34"/>
  <c r="E64" i="34"/>
  <c r="F64" i="34"/>
  <c r="R64" i="34"/>
  <c r="Q64" i="34"/>
  <c r="D64" i="34"/>
  <c r="K64" i="34"/>
  <c r="S66" i="34"/>
  <c r="L66" i="34"/>
  <c r="R85" i="34"/>
  <c r="D85" i="34"/>
  <c r="Q85" i="34"/>
  <c r="J85" i="34"/>
  <c r="F85" i="34"/>
  <c r="K85" i="34"/>
  <c r="E85" i="34"/>
  <c r="D4" i="22"/>
  <c r="D6" i="22" s="1"/>
  <c r="G23" i="32" s="1"/>
  <c r="N23" i="32" s="1"/>
  <c r="R7" i="31"/>
  <c r="E7" i="31"/>
  <c r="M7" i="31" s="1"/>
  <c r="Q10" i="31"/>
  <c r="T10" i="31" s="1"/>
  <c r="D10" i="31"/>
  <c r="J12" i="31"/>
  <c r="F12" i="31"/>
  <c r="H14" i="31"/>
  <c r="R15" i="31"/>
  <c r="E15" i="31"/>
  <c r="M15" i="31" s="1"/>
  <c r="Q18" i="31"/>
  <c r="D18" i="31"/>
  <c r="J20" i="31"/>
  <c r="F20" i="31"/>
  <c r="R23" i="31"/>
  <c r="E23" i="31"/>
  <c r="M23" i="31" s="1"/>
  <c r="Q26" i="31"/>
  <c r="T26" i="31" s="1"/>
  <c r="D26" i="31"/>
  <c r="J28" i="31"/>
  <c r="F28" i="31"/>
  <c r="R31" i="31"/>
  <c r="E31" i="31"/>
  <c r="M31" i="31" s="1"/>
  <c r="Q34" i="31"/>
  <c r="T34" i="31" s="1"/>
  <c r="D34" i="31"/>
  <c r="J36" i="31"/>
  <c r="F36" i="31"/>
  <c r="H38" i="31"/>
  <c r="O38" i="31" s="1"/>
  <c r="R39" i="31"/>
  <c r="E39" i="31"/>
  <c r="M39" i="31" s="1"/>
  <c r="J52" i="31"/>
  <c r="F52" i="31"/>
  <c r="R55" i="31"/>
  <c r="E55" i="31"/>
  <c r="M55" i="31" s="1"/>
  <c r="Q58" i="31"/>
  <c r="D58" i="31"/>
  <c r="J7" i="32"/>
  <c r="K8" i="32"/>
  <c r="F8" i="32"/>
  <c r="D11" i="32"/>
  <c r="J11" i="32"/>
  <c r="K12" i="32"/>
  <c r="F12" i="32"/>
  <c r="D15" i="32"/>
  <c r="J15" i="32"/>
  <c r="K16" i="32"/>
  <c r="F16" i="32"/>
  <c r="K20" i="32"/>
  <c r="F20" i="32"/>
  <c r="H23" i="32"/>
  <c r="O23" i="32" s="1"/>
  <c r="H25" i="32"/>
  <c r="N25" i="32"/>
  <c r="H27" i="32"/>
  <c r="N27" i="32"/>
  <c r="H29" i="32"/>
  <c r="N29" i="32"/>
  <c r="H31" i="32"/>
  <c r="N31" i="32"/>
  <c r="H33" i="32"/>
  <c r="N33" i="32"/>
  <c r="H35" i="32"/>
  <c r="N35" i="32"/>
  <c r="H37" i="32"/>
  <c r="N37" i="32"/>
  <c r="H39" i="32"/>
  <c r="N39" i="32"/>
  <c r="H41" i="32"/>
  <c r="N41" i="32"/>
  <c r="H43" i="32"/>
  <c r="N43" i="32"/>
  <c r="H45" i="32"/>
  <c r="N45" i="32"/>
  <c r="H47" i="32"/>
  <c r="N47" i="32"/>
  <c r="R27" i="33"/>
  <c r="Q27" i="33"/>
  <c r="AM27" i="33"/>
  <c r="BH27" i="33"/>
  <c r="R28" i="33"/>
  <c r="AM28" i="33"/>
  <c r="R29" i="33"/>
  <c r="AM29" i="33"/>
  <c r="BH29" i="33"/>
  <c r="R30" i="33"/>
  <c r="AM30" i="33"/>
  <c r="BH30" i="33"/>
  <c r="AM31" i="33"/>
  <c r="BH31" i="33"/>
  <c r="R32" i="33"/>
  <c r="AM32" i="33"/>
  <c r="BH32" i="33"/>
  <c r="R33" i="33"/>
  <c r="AM33" i="33"/>
  <c r="BH33" i="33"/>
  <c r="AM34" i="33"/>
  <c r="BH34" i="33"/>
  <c r="R35" i="33"/>
  <c r="BH35" i="33"/>
  <c r="R36" i="33"/>
  <c r="AM36" i="33"/>
  <c r="BH36" i="33"/>
  <c r="R37" i="33"/>
  <c r="AM37" i="33"/>
  <c r="AL38" i="33"/>
  <c r="AM38" i="33"/>
  <c r="AL39" i="33"/>
  <c r="AF39" i="33"/>
  <c r="AM39" i="33"/>
  <c r="B40" i="33"/>
  <c r="X40" i="33"/>
  <c r="AJ40" i="33"/>
  <c r="Y40" i="33"/>
  <c r="W40" i="33"/>
  <c r="Q41" i="33"/>
  <c r="Q42" i="33"/>
  <c r="K42" i="33"/>
  <c r="R42" i="33"/>
  <c r="AR42" i="33"/>
  <c r="C43" i="33"/>
  <c r="O43" i="33"/>
  <c r="D43" i="33"/>
  <c r="B43" i="33"/>
  <c r="BG43" i="33"/>
  <c r="BG44" i="33"/>
  <c r="BA44" i="33"/>
  <c r="BH44" i="33"/>
  <c r="W45" i="33"/>
  <c r="AS45" i="33"/>
  <c r="BE45" i="33"/>
  <c r="AT45" i="33"/>
  <c r="AR45" i="33"/>
  <c r="AL46" i="33"/>
  <c r="AM46" i="33"/>
  <c r="AL47" i="33"/>
  <c r="AF47" i="33"/>
  <c r="AM47" i="33"/>
  <c r="B48" i="33"/>
  <c r="X48" i="33"/>
  <c r="AJ48" i="33"/>
  <c r="Y48" i="33"/>
  <c r="W48" i="33"/>
  <c r="Q49" i="33"/>
  <c r="R49" i="33"/>
  <c r="Q50" i="33"/>
  <c r="K50" i="33"/>
  <c r="R50" i="33"/>
  <c r="C51" i="33"/>
  <c r="O51" i="33"/>
  <c r="D51" i="33"/>
  <c r="B51" i="33"/>
  <c r="BG51" i="33"/>
  <c r="BH51" i="33"/>
  <c r="BG52" i="33"/>
  <c r="BA52" i="33"/>
  <c r="BH52" i="33"/>
  <c r="AS53" i="33"/>
  <c r="BE53" i="33"/>
  <c r="AT53" i="33"/>
  <c r="AR53" i="33"/>
  <c r="AL54" i="33"/>
  <c r="AL55" i="33"/>
  <c r="AE55" i="33"/>
  <c r="AF55" i="33"/>
  <c r="AM55" i="33"/>
  <c r="Q57" i="33"/>
  <c r="R57" i="33"/>
  <c r="Q58" i="33"/>
  <c r="J58" i="33"/>
  <c r="K58" i="33"/>
  <c r="R58" i="33"/>
  <c r="AR58" i="33"/>
  <c r="BG59" i="33"/>
  <c r="AZ59" i="33"/>
  <c r="BH59" i="33"/>
  <c r="BG60" i="33"/>
  <c r="AZ60" i="33"/>
  <c r="BA60" i="33"/>
  <c r="BH60" i="33"/>
  <c r="W61" i="33"/>
  <c r="AS61" i="33"/>
  <c r="BE61" i="33"/>
  <c r="AT61" i="33"/>
  <c r="AR61" i="33"/>
  <c r="AL62" i="33"/>
  <c r="AL63" i="33"/>
  <c r="AF63" i="33"/>
  <c r="AM63" i="33"/>
  <c r="B64" i="33"/>
  <c r="X64" i="33"/>
  <c r="AJ64" i="33"/>
  <c r="Y64" i="33"/>
  <c r="W64" i="33"/>
  <c r="Q65" i="33"/>
  <c r="R65" i="33"/>
  <c r="K66" i="33"/>
  <c r="R66" i="33"/>
  <c r="AR66" i="33"/>
  <c r="C67" i="33"/>
  <c r="O67" i="33"/>
  <c r="D67" i="33"/>
  <c r="B67" i="33"/>
  <c r="BG67" i="33"/>
  <c r="BH67" i="33"/>
  <c r="BG68" i="33"/>
  <c r="BA68" i="33"/>
  <c r="BH68" i="33"/>
  <c r="W69" i="33"/>
  <c r="AS69" i="33"/>
  <c r="BE69" i="33"/>
  <c r="AT69" i="33"/>
  <c r="AR69" i="33"/>
  <c r="AL70" i="33"/>
  <c r="AM70" i="33"/>
  <c r="AL71" i="33"/>
  <c r="AF71" i="33"/>
  <c r="AM71" i="33"/>
  <c r="B72" i="33"/>
  <c r="X72" i="33"/>
  <c r="AJ72" i="33"/>
  <c r="Y72" i="33"/>
  <c r="W72" i="33"/>
  <c r="R73" i="33"/>
  <c r="Q74" i="33"/>
  <c r="R74" i="33"/>
  <c r="AR74" i="33"/>
  <c r="W77" i="33"/>
  <c r="AS77" i="33"/>
  <c r="BE77" i="33"/>
  <c r="AT77" i="33"/>
  <c r="AR77" i="33"/>
  <c r="AL78" i="33"/>
  <c r="X81" i="33"/>
  <c r="AK81" i="33"/>
  <c r="AC81" i="33"/>
  <c r="AD81" i="33"/>
  <c r="Y81" i="33"/>
  <c r="AT90" i="33"/>
  <c r="S10" i="34"/>
  <c r="F16" i="34"/>
  <c r="S22" i="34"/>
  <c r="S28" i="34"/>
  <c r="S42" i="34"/>
  <c r="E4" i="22"/>
  <c r="E6" i="22" s="1"/>
  <c r="F7" i="31"/>
  <c r="K7" i="31"/>
  <c r="Q7" i="31"/>
  <c r="T7" i="31" s="1"/>
  <c r="J8" i="31"/>
  <c r="M8" i="31" s="1"/>
  <c r="F8" i="31"/>
  <c r="F10" i="31"/>
  <c r="K10" i="31"/>
  <c r="R10" i="31"/>
  <c r="R11" i="31"/>
  <c r="S11" i="31" s="1"/>
  <c r="E11" i="31"/>
  <c r="M11" i="31" s="1"/>
  <c r="E12" i="31"/>
  <c r="K12" i="31"/>
  <c r="Q12" i="31"/>
  <c r="Q14" i="31"/>
  <c r="T14" i="31" s="1"/>
  <c r="D14" i="31"/>
  <c r="N14" i="31"/>
  <c r="F15" i="31"/>
  <c r="K15" i="31"/>
  <c r="Q15" i="31"/>
  <c r="J16" i="31"/>
  <c r="M16" i="31" s="1"/>
  <c r="F16" i="31"/>
  <c r="F18" i="31"/>
  <c r="K18" i="31"/>
  <c r="R18" i="31"/>
  <c r="R19" i="31"/>
  <c r="S19" i="31" s="1"/>
  <c r="E19" i="31"/>
  <c r="T19" i="31" s="1"/>
  <c r="E20" i="31"/>
  <c r="K20" i="31"/>
  <c r="Q20" i="31"/>
  <c r="Q22" i="31"/>
  <c r="T22" i="31" s="1"/>
  <c r="D22" i="31"/>
  <c r="F23" i="31"/>
  <c r="K23" i="31"/>
  <c r="Q23" i="31"/>
  <c r="T23" i="31" s="1"/>
  <c r="J24" i="31"/>
  <c r="M24" i="31" s="1"/>
  <c r="F24" i="31"/>
  <c r="F26" i="31"/>
  <c r="K26" i="31"/>
  <c r="R26" i="31"/>
  <c r="R27" i="31"/>
  <c r="S27" i="31" s="1"/>
  <c r="E27" i="31"/>
  <c r="T27" i="31" s="1"/>
  <c r="E28" i="31"/>
  <c r="K28" i="31"/>
  <c r="Q28" i="31"/>
  <c r="Q30" i="31"/>
  <c r="T30" i="31" s="1"/>
  <c r="D30" i="31"/>
  <c r="F31" i="31"/>
  <c r="K31" i="31"/>
  <c r="Q31" i="31"/>
  <c r="T31" i="31" s="1"/>
  <c r="J32" i="31"/>
  <c r="M32" i="31" s="1"/>
  <c r="F32" i="31"/>
  <c r="F34" i="31"/>
  <c r="K34" i="31"/>
  <c r="R34" i="31"/>
  <c r="R35" i="31"/>
  <c r="S35" i="31" s="1"/>
  <c r="E35" i="31"/>
  <c r="T35" i="31" s="1"/>
  <c r="E36" i="31"/>
  <c r="K36" i="31"/>
  <c r="Q36" i="31"/>
  <c r="Q38" i="31"/>
  <c r="T38" i="31" s="1"/>
  <c r="D38" i="31"/>
  <c r="F39" i="31"/>
  <c r="K39" i="31"/>
  <c r="Q39" i="31"/>
  <c r="T39" i="31" s="1"/>
  <c r="J40" i="31"/>
  <c r="M40" i="31" s="1"/>
  <c r="F40" i="31"/>
  <c r="F42" i="31"/>
  <c r="K42" i="31"/>
  <c r="R42" i="31"/>
  <c r="R43" i="31"/>
  <c r="S43" i="31" s="1"/>
  <c r="E43" i="31"/>
  <c r="M43" i="31" s="1"/>
  <c r="E44" i="31"/>
  <c r="K44" i="31"/>
  <c r="Q44" i="31"/>
  <c r="Q46" i="31"/>
  <c r="T46" i="31" s="1"/>
  <c r="D46" i="31"/>
  <c r="F47" i="31"/>
  <c r="K47" i="31"/>
  <c r="Q47" i="31"/>
  <c r="T47" i="31" s="1"/>
  <c r="J48" i="31"/>
  <c r="M48" i="31" s="1"/>
  <c r="F48" i="31"/>
  <c r="F50" i="31"/>
  <c r="K50" i="31"/>
  <c r="R50" i="31"/>
  <c r="R51" i="31"/>
  <c r="S51" i="31" s="1"/>
  <c r="E51" i="31"/>
  <c r="T51" i="31" s="1"/>
  <c r="E52" i="31"/>
  <c r="K52" i="31"/>
  <c r="Q52" i="31"/>
  <c r="Q54" i="31"/>
  <c r="T54" i="31" s="1"/>
  <c r="D54" i="31"/>
  <c r="F55" i="31"/>
  <c r="K55" i="31"/>
  <c r="Q55" i="31"/>
  <c r="T55" i="31" s="1"/>
  <c r="J56" i="31"/>
  <c r="M56" i="31" s="1"/>
  <c r="F56" i="31"/>
  <c r="F58" i="31"/>
  <c r="K58" i="31"/>
  <c r="R58" i="31"/>
  <c r="R59" i="31"/>
  <c r="S59" i="31" s="1"/>
  <c r="E59" i="31"/>
  <c r="M59" i="31" s="1"/>
  <c r="E60" i="31"/>
  <c r="K60" i="31"/>
  <c r="Q60" i="31"/>
  <c r="Q62" i="31"/>
  <c r="T62" i="31" s="1"/>
  <c r="D62" i="31"/>
  <c r="F63" i="31"/>
  <c r="K63" i="31"/>
  <c r="Q63" i="31"/>
  <c r="T63" i="31" s="1"/>
  <c r="J64" i="31"/>
  <c r="M64" i="31" s="1"/>
  <c r="F64" i="31"/>
  <c r="F66" i="31"/>
  <c r="K66" i="31"/>
  <c r="R66" i="31"/>
  <c r="R67" i="31"/>
  <c r="S67" i="31" s="1"/>
  <c r="E67" i="31"/>
  <c r="M67" i="31" s="1"/>
  <c r="E68" i="31"/>
  <c r="K68" i="31"/>
  <c r="Q68" i="31"/>
  <c r="Q70" i="31"/>
  <c r="T70" i="31" s="1"/>
  <c r="D70" i="31"/>
  <c r="E8" i="32"/>
  <c r="K10" i="32"/>
  <c r="F10" i="32"/>
  <c r="E12" i="32"/>
  <c r="K14" i="32"/>
  <c r="F14" i="32"/>
  <c r="E16" i="32"/>
  <c r="K18" i="32"/>
  <c r="F18" i="32"/>
  <c r="E20" i="32"/>
  <c r="AE8" i="33"/>
  <c r="J9" i="33"/>
  <c r="AZ9" i="33"/>
  <c r="AE10" i="33"/>
  <c r="AZ11" i="33"/>
  <c r="J13" i="33"/>
  <c r="AZ13" i="33"/>
  <c r="AE14" i="33"/>
  <c r="AZ15" i="33"/>
  <c r="AE16" i="33"/>
  <c r="J17" i="33"/>
  <c r="AZ17" i="33"/>
  <c r="AE18" i="33"/>
  <c r="AZ19" i="33"/>
  <c r="AE20" i="33"/>
  <c r="J21" i="33"/>
  <c r="AZ21" i="33"/>
  <c r="AE22" i="33"/>
  <c r="J23" i="33"/>
  <c r="AZ23" i="33"/>
  <c r="AE24" i="33"/>
  <c r="J25" i="33"/>
  <c r="J27" i="33"/>
  <c r="Q38" i="33"/>
  <c r="R38" i="33"/>
  <c r="AF38" i="33"/>
  <c r="C39" i="33"/>
  <c r="O39" i="33"/>
  <c r="D39" i="33"/>
  <c r="B39" i="33"/>
  <c r="BG39" i="33"/>
  <c r="BH39" i="33"/>
  <c r="AD40" i="33"/>
  <c r="BG40" i="33"/>
  <c r="BA40" i="33"/>
  <c r="K41" i="33"/>
  <c r="AS41" i="33"/>
  <c r="BE41" i="33"/>
  <c r="AT41" i="33"/>
  <c r="AR41" i="33"/>
  <c r="AL42" i="33"/>
  <c r="AM42" i="33"/>
  <c r="I43" i="33"/>
  <c r="AL43" i="33"/>
  <c r="AF43" i="33"/>
  <c r="BA43" i="33"/>
  <c r="X44" i="33"/>
  <c r="AJ44" i="33"/>
  <c r="Y44" i="33"/>
  <c r="W44" i="33"/>
  <c r="Q45" i="33"/>
  <c r="R45" i="33"/>
  <c r="AY45" i="33"/>
  <c r="Q46" i="33"/>
  <c r="K46" i="33"/>
  <c r="R46" i="33"/>
  <c r="AF46" i="33"/>
  <c r="C47" i="33"/>
  <c r="O47" i="33"/>
  <c r="D47" i="33"/>
  <c r="B47" i="33"/>
  <c r="AD48" i="33"/>
  <c r="BG48" i="33"/>
  <c r="BH48" i="33"/>
  <c r="K49" i="33"/>
  <c r="AS49" i="33"/>
  <c r="BE49" i="33"/>
  <c r="AT49" i="33"/>
  <c r="AR49" i="33"/>
  <c r="I51" i="33"/>
  <c r="BA51" i="33"/>
  <c r="X52" i="33"/>
  <c r="AJ52" i="33"/>
  <c r="Y52" i="33"/>
  <c r="W52" i="33"/>
  <c r="Q53" i="33"/>
  <c r="R53" i="33"/>
  <c r="AY53" i="33"/>
  <c r="Q54" i="33"/>
  <c r="K54" i="33"/>
  <c r="AF54" i="33"/>
  <c r="C55" i="33"/>
  <c r="O55" i="33"/>
  <c r="D55" i="33"/>
  <c r="B55" i="33"/>
  <c r="BG55" i="33"/>
  <c r="BH55" i="33"/>
  <c r="AD56" i="33"/>
  <c r="BG56" i="33"/>
  <c r="BA56" i="33"/>
  <c r="BH56" i="33"/>
  <c r="K57" i="33"/>
  <c r="AS57" i="33"/>
  <c r="BE57" i="33"/>
  <c r="AT57" i="33"/>
  <c r="AR57" i="33"/>
  <c r="AL58" i="33"/>
  <c r="AM58" i="33"/>
  <c r="I59" i="33"/>
  <c r="AL59" i="33"/>
  <c r="AE59" i="33"/>
  <c r="AF59" i="33"/>
  <c r="BA59" i="33"/>
  <c r="X60" i="33"/>
  <c r="AJ60" i="33"/>
  <c r="Y60" i="33"/>
  <c r="W60" i="33"/>
  <c r="Q61" i="33"/>
  <c r="R61" i="33"/>
  <c r="AY61" i="33"/>
  <c r="R62" i="33"/>
  <c r="AF62" i="33"/>
  <c r="C63" i="33"/>
  <c r="O63" i="33"/>
  <c r="D63" i="33"/>
  <c r="B63" i="33"/>
  <c r="BG63" i="33"/>
  <c r="BH63" i="33"/>
  <c r="AD64" i="33"/>
  <c r="K65" i="33"/>
  <c r="AS65" i="33"/>
  <c r="BE65" i="33"/>
  <c r="AT65" i="33"/>
  <c r="AR65" i="33"/>
  <c r="AL66" i="33"/>
  <c r="AM66" i="33"/>
  <c r="I67" i="33"/>
  <c r="AL67" i="33"/>
  <c r="BA67" i="33"/>
  <c r="X68" i="33"/>
  <c r="AJ68" i="33"/>
  <c r="Y68" i="33"/>
  <c r="W68" i="33"/>
  <c r="Q69" i="33"/>
  <c r="R69" i="33"/>
  <c r="AY69" i="33"/>
  <c r="Q70" i="33"/>
  <c r="J70" i="33"/>
  <c r="K70" i="33"/>
  <c r="R70" i="33"/>
  <c r="AF70" i="33"/>
  <c r="C71" i="33"/>
  <c r="O71" i="33"/>
  <c r="D71" i="33"/>
  <c r="B71" i="33"/>
  <c r="BG71" i="33"/>
  <c r="AD72" i="33"/>
  <c r="BA72" i="33"/>
  <c r="K73" i="33"/>
  <c r="W73" i="33"/>
  <c r="AS73" i="33"/>
  <c r="BE73" i="33"/>
  <c r="AT73" i="33"/>
  <c r="AR73" i="33"/>
  <c r="AL74" i="33"/>
  <c r="AM74" i="33"/>
  <c r="I75" i="33"/>
  <c r="AL75" i="33"/>
  <c r="BA75" i="33"/>
  <c r="B76" i="33"/>
  <c r="X76" i="33"/>
  <c r="AJ76" i="33"/>
  <c r="Y76" i="33"/>
  <c r="W76" i="33"/>
  <c r="Q77" i="33"/>
  <c r="R77" i="33"/>
  <c r="AY77" i="33"/>
  <c r="Q78" i="33"/>
  <c r="K78" i="33"/>
  <c r="R78" i="33"/>
  <c r="AR78" i="33"/>
  <c r="C79" i="33"/>
  <c r="O79" i="33"/>
  <c r="D79" i="33"/>
  <c r="B79" i="33"/>
  <c r="BG79" i="33"/>
  <c r="BH79" i="33"/>
  <c r="O80" i="33"/>
  <c r="AR82" i="33"/>
  <c r="C84" i="33"/>
  <c r="H84" i="33"/>
  <c r="I84" i="33"/>
  <c r="D84" i="33"/>
  <c r="Y85" i="33"/>
  <c r="C89" i="33"/>
  <c r="O89" i="33"/>
  <c r="D89" i="33"/>
  <c r="P89" i="33"/>
  <c r="B89" i="33"/>
  <c r="I89" i="33"/>
  <c r="AJ89" i="33"/>
  <c r="BG89" i="33"/>
  <c r="AZ89" i="33"/>
  <c r="BH89" i="33"/>
  <c r="BA89" i="33"/>
  <c r="S12" i="34"/>
  <c r="R16" i="34"/>
  <c r="S26" i="34"/>
  <c r="F32" i="34"/>
  <c r="S38" i="34"/>
  <c r="Q57" i="34"/>
  <c r="BG37" i="33"/>
  <c r="I38" i="33"/>
  <c r="J38" i="33" s="1"/>
  <c r="AD39" i="33"/>
  <c r="AE39" i="33" s="1"/>
  <c r="AY40" i="33"/>
  <c r="AZ40" i="33" s="1"/>
  <c r="I42" i="33"/>
  <c r="J42" i="33" s="1"/>
  <c r="AD43" i="33"/>
  <c r="AE43" i="33" s="1"/>
  <c r="AY44" i="33"/>
  <c r="AZ44" i="33" s="1"/>
  <c r="I46" i="33"/>
  <c r="J46" i="33" s="1"/>
  <c r="AD47" i="33"/>
  <c r="AE47" i="33" s="1"/>
  <c r="AY48" i="33"/>
  <c r="AZ48" i="33" s="1"/>
  <c r="I50" i="33"/>
  <c r="J50" i="33" s="1"/>
  <c r="AD51" i="33"/>
  <c r="AE51" i="33" s="1"/>
  <c r="AY52" i="33"/>
  <c r="AZ52" i="33" s="1"/>
  <c r="I54" i="33"/>
  <c r="J54" i="33" s="1"/>
  <c r="AD55" i="33"/>
  <c r="AY56" i="33"/>
  <c r="AZ56" i="33" s="1"/>
  <c r="I58" i="33"/>
  <c r="AD59" i="33"/>
  <c r="AY60" i="33"/>
  <c r="I62" i="33"/>
  <c r="J62" i="33" s="1"/>
  <c r="AD63" i="33"/>
  <c r="AE63" i="33" s="1"/>
  <c r="AY64" i="33"/>
  <c r="I66" i="33"/>
  <c r="J66" i="33" s="1"/>
  <c r="AD67" i="33"/>
  <c r="AE67" i="33" s="1"/>
  <c r="AY68" i="33"/>
  <c r="AZ68" i="33" s="1"/>
  <c r="I70" i="33"/>
  <c r="AD71" i="33"/>
  <c r="AE71" i="33" s="1"/>
  <c r="AY72" i="33"/>
  <c r="AZ72" i="33" s="1"/>
  <c r="I74" i="33"/>
  <c r="J74" i="33" s="1"/>
  <c r="AD75" i="33"/>
  <c r="AE75" i="33" s="1"/>
  <c r="AY76" i="33"/>
  <c r="I78" i="33"/>
  <c r="J78" i="33" s="1"/>
  <c r="AD79" i="33"/>
  <c r="AE79" i="33" s="1"/>
  <c r="AS80" i="33"/>
  <c r="AR80" i="33"/>
  <c r="BE80" i="33"/>
  <c r="C82" i="33"/>
  <c r="B82" i="33"/>
  <c r="O82" i="33"/>
  <c r="X83" i="33"/>
  <c r="W83" i="33"/>
  <c r="AJ83" i="33"/>
  <c r="J86" i="33"/>
  <c r="X86" i="33"/>
  <c r="AJ86" i="33"/>
  <c r="Y86" i="33"/>
  <c r="AK86" i="33"/>
  <c r="W86" i="33"/>
  <c r="Q87" i="33"/>
  <c r="R87" i="33"/>
  <c r="C88" i="33"/>
  <c r="B88" i="33"/>
  <c r="H88" i="33"/>
  <c r="P88" i="33"/>
  <c r="AL91" i="33"/>
  <c r="AS91" i="33"/>
  <c r="BE91" i="33"/>
  <c r="AT91" i="33"/>
  <c r="BF91" i="33"/>
  <c r="AR91" i="33"/>
  <c r="AL92" i="33"/>
  <c r="AM92" i="33"/>
  <c r="J8" i="34"/>
  <c r="E8" i="34"/>
  <c r="Q8" i="34"/>
  <c r="K8" i="34"/>
  <c r="D8" i="34"/>
  <c r="S14" i="34"/>
  <c r="J24" i="34"/>
  <c r="E24" i="34"/>
  <c r="Q24" i="34"/>
  <c r="K24" i="34"/>
  <c r="D24" i="34"/>
  <c r="J40" i="34"/>
  <c r="E40" i="34"/>
  <c r="Q40" i="34"/>
  <c r="K40" i="34"/>
  <c r="D40" i="34"/>
  <c r="K55" i="34"/>
  <c r="F55" i="34"/>
  <c r="Q55" i="34"/>
  <c r="J55" i="34"/>
  <c r="D55" i="34"/>
  <c r="D59" i="34"/>
  <c r="Q59" i="34"/>
  <c r="K59" i="34"/>
  <c r="F59" i="34"/>
  <c r="E59" i="34"/>
  <c r="R59" i="34"/>
  <c r="K62" i="34"/>
  <c r="F62" i="34"/>
  <c r="Q62" i="34"/>
  <c r="J62" i="34"/>
  <c r="D62" i="34"/>
  <c r="E62" i="34"/>
  <c r="R62" i="34"/>
  <c r="J74" i="34"/>
  <c r="E74" i="34"/>
  <c r="R74" i="34"/>
  <c r="F74" i="34"/>
  <c r="K74" i="34"/>
  <c r="Q74" i="34"/>
  <c r="K83" i="34"/>
  <c r="F83" i="34"/>
  <c r="E83" i="34"/>
  <c r="D83" i="34"/>
  <c r="Q83" i="34"/>
  <c r="J83" i="34"/>
  <c r="R83" i="34"/>
  <c r="D15" i="35"/>
  <c r="H15" i="35"/>
  <c r="I15" i="35"/>
  <c r="C15" i="35"/>
  <c r="B15" i="35"/>
  <c r="R18" i="35"/>
  <c r="V18" i="35"/>
  <c r="Q18" i="35"/>
  <c r="P18" i="35"/>
  <c r="H8" i="33"/>
  <c r="K8" i="33" s="1"/>
  <c r="AC8" i="33"/>
  <c r="AF8" i="33" s="1"/>
  <c r="AX8" i="33"/>
  <c r="BA8" i="33" s="1"/>
  <c r="H9" i="33"/>
  <c r="K9" i="33" s="1"/>
  <c r="AC9" i="33"/>
  <c r="AF9" i="33" s="1"/>
  <c r="AX9" i="33"/>
  <c r="BA9" i="33" s="1"/>
  <c r="H10" i="33"/>
  <c r="K10" i="33" s="1"/>
  <c r="AC10" i="33"/>
  <c r="AF10" i="33" s="1"/>
  <c r="AX10" i="33"/>
  <c r="H11" i="33"/>
  <c r="K11" i="33" s="1"/>
  <c r="AC11" i="33"/>
  <c r="AF11" i="33" s="1"/>
  <c r="AX11" i="33"/>
  <c r="BA11" i="33" s="1"/>
  <c r="H12" i="33"/>
  <c r="K12" i="33" s="1"/>
  <c r="AC12" i="33"/>
  <c r="AF12" i="33" s="1"/>
  <c r="AX12" i="33"/>
  <c r="BA12" i="33" s="1"/>
  <c r="H13" i="33"/>
  <c r="K13" i="33" s="1"/>
  <c r="AC13" i="33"/>
  <c r="AF13" i="33" s="1"/>
  <c r="AX13" i="33"/>
  <c r="BA13" i="33" s="1"/>
  <c r="H14" i="33"/>
  <c r="AC14" i="33"/>
  <c r="AF14" i="33" s="1"/>
  <c r="AX14" i="33"/>
  <c r="BA14" i="33" s="1"/>
  <c r="H15" i="33"/>
  <c r="K15" i="33" s="1"/>
  <c r="AC15" i="33"/>
  <c r="AX15" i="33"/>
  <c r="BA15" i="33" s="1"/>
  <c r="H16" i="33"/>
  <c r="K16" i="33" s="1"/>
  <c r="AC16" i="33"/>
  <c r="AF16" i="33" s="1"/>
  <c r="AX16" i="33"/>
  <c r="BA16" i="33" s="1"/>
  <c r="H17" i="33"/>
  <c r="K17" i="33" s="1"/>
  <c r="AC17" i="33"/>
  <c r="AF17" i="33" s="1"/>
  <c r="AX17" i="33"/>
  <c r="H18" i="33"/>
  <c r="K18" i="33" s="1"/>
  <c r="AC18" i="33"/>
  <c r="AF18" i="33" s="1"/>
  <c r="AX18" i="33"/>
  <c r="BA18" i="33" s="1"/>
  <c r="H19" i="33"/>
  <c r="K19" i="33" s="1"/>
  <c r="AC19" i="33"/>
  <c r="AX19" i="33"/>
  <c r="BA19" i="33" s="1"/>
  <c r="H20" i="33"/>
  <c r="AC20" i="33"/>
  <c r="AF20" i="33" s="1"/>
  <c r="AX20" i="33"/>
  <c r="BA20" i="33" s="1"/>
  <c r="H21" i="33"/>
  <c r="K21" i="33" s="1"/>
  <c r="AC21" i="33"/>
  <c r="AF21" i="33" s="1"/>
  <c r="AX21" i="33"/>
  <c r="BA21" i="33" s="1"/>
  <c r="H22" i="33"/>
  <c r="K22" i="33" s="1"/>
  <c r="AC22" i="33"/>
  <c r="AF22" i="33" s="1"/>
  <c r="AX22" i="33"/>
  <c r="BA22" i="33" s="1"/>
  <c r="H23" i="33"/>
  <c r="K23" i="33" s="1"/>
  <c r="AC23" i="33"/>
  <c r="AF23" i="33" s="1"/>
  <c r="AX23" i="33"/>
  <c r="BA23" i="33" s="1"/>
  <c r="H24" i="33"/>
  <c r="AC24" i="33"/>
  <c r="AF24" i="33" s="1"/>
  <c r="AX24" i="33"/>
  <c r="H25" i="33"/>
  <c r="K25" i="33" s="1"/>
  <c r="AC25" i="33"/>
  <c r="AF25" i="33" s="1"/>
  <c r="AX25" i="33"/>
  <c r="BA25" i="33" s="1"/>
  <c r="H26" i="33"/>
  <c r="K26" i="33" s="1"/>
  <c r="AC26" i="33"/>
  <c r="AF26" i="33" s="1"/>
  <c r="AX26" i="33"/>
  <c r="BA26" i="33" s="1"/>
  <c r="H27" i="33"/>
  <c r="K27" i="33" s="1"/>
  <c r="AC27" i="33"/>
  <c r="AF27" i="33" s="1"/>
  <c r="AX27" i="33"/>
  <c r="H28" i="33"/>
  <c r="K28" i="33" s="1"/>
  <c r="AC28" i="33"/>
  <c r="AF28" i="33" s="1"/>
  <c r="AX28" i="33"/>
  <c r="BA28" i="33" s="1"/>
  <c r="H29" i="33"/>
  <c r="K29" i="33" s="1"/>
  <c r="AC29" i="33"/>
  <c r="AF29" i="33" s="1"/>
  <c r="AX29" i="33"/>
  <c r="BA29" i="33" s="1"/>
  <c r="H30" i="33"/>
  <c r="K30" i="33" s="1"/>
  <c r="AC30" i="33"/>
  <c r="AF30" i="33" s="1"/>
  <c r="AX30" i="33"/>
  <c r="BA30" i="33" s="1"/>
  <c r="H31" i="33"/>
  <c r="K31" i="33" s="1"/>
  <c r="AC31" i="33"/>
  <c r="AF31" i="33" s="1"/>
  <c r="AX31" i="33"/>
  <c r="BA31" i="33" s="1"/>
  <c r="H32" i="33"/>
  <c r="K32" i="33" s="1"/>
  <c r="AC32" i="33"/>
  <c r="AF32" i="33" s="1"/>
  <c r="AX32" i="33"/>
  <c r="BA32" i="33" s="1"/>
  <c r="H33" i="33"/>
  <c r="K33" i="33" s="1"/>
  <c r="AC33" i="33"/>
  <c r="AF33" i="33" s="1"/>
  <c r="AX33" i="33"/>
  <c r="BA33" i="33" s="1"/>
  <c r="H34" i="33"/>
  <c r="K34" i="33" s="1"/>
  <c r="AC34" i="33"/>
  <c r="AF34" i="33" s="1"/>
  <c r="AX34" i="33"/>
  <c r="BA34" i="33" s="1"/>
  <c r="H35" i="33"/>
  <c r="K35" i="33" s="1"/>
  <c r="AC35" i="33"/>
  <c r="AX35" i="33"/>
  <c r="BA35" i="33" s="1"/>
  <c r="H36" i="33"/>
  <c r="K36" i="33" s="1"/>
  <c r="AC36" i="33"/>
  <c r="AF36" i="33" s="1"/>
  <c r="AX36" i="33"/>
  <c r="BA36" i="33" s="1"/>
  <c r="H37" i="33"/>
  <c r="K37" i="33" s="1"/>
  <c r="AC37" i="33"/>
  <c r="AF37" i="33" s="1"/>
  <c r="AX37" i="33"/>
  <c r="BA37" i="33" s="1"/>
  <c r="B38" i="33"/>
  <c r="AD38" i="33"/>
  <c r="AE38" i="33" s="1"/>
  <c r="W39" i="33"/>
  <c r="AY39" i="33"/>
  <c r="AZ39" i="33" s="1"/>
  <c r="AR40" i="33"/>
  <c r="I41" i="33"/>
  <c r="J41" i="33" s="1"/>
  <c r="B42" i="33"/>
  <c r="AD42" i="33"/>
  <c r="AE42" i="33" s="1"/>
  <c r="W43" i="33"/>
  <c r="AY43" i="33"/>
  <c r="AZ43" i="33" s="1"/>
  <c r="AR44" i="33"/>
  <c r="I45" i="33"/>
  <c r="J45" i="33" s="1"/>
  <c r="B46" i="33"/>
  <c r="AD46" i="33"/>
  <c r="AE46" i="33" s="1"/>
  <c r="W47" i="33"/>
  <c r="AY47" i="33"/>
  <c r="AR48" i="33"/>
  <c r="I49" i="33"/>
  <c r="J49" i="33" s="1"/>
  <c r="B50" i="33"/>
  <c r="AD50" i="33"/>
  <c r="W51" i="33"/>
  <c r="AY51" i="33"/>
  <c r="AZ51" i="33" s="1"/>
  <c r="AR52" i="33"/>
  <c r="I53" i="33"/>
  <c r="J53" i="33" s="1"/>
  <c r="B54" i="33"/>
  <c r="AD54" i="33"/>
  <c r="AE54" i="33" s="1"/>
  <c r="W55" i="33"/>
  <c r="AY55" i="33"/>
  <c r="AZ55" i="33" s="1"/>
  <c r="AR56" i="33"/>
  <c r="I57" i="33"/>
  <c r="J57" i="33" s="1"/>
  <c r="B58" i="33"/>
  <c r="AD58" i="33"/>
  <c r="AE58" i="33" s="1"/>
  <c r="W59" i="33"/>
  <c r="AY59" i="33"/>
  <c r="AR60" i="33"/>
  <c r="I61" i="33"/>
  <c r="J61" i="33" s="1"/>
  <c r="B62" i="33"/>
  <c r="AD62" i="33"/>
  <c r="AE62" i="33" s="1"/>
  <c r="W63" i="33"/>
  <c r="AY63" i="33"/>
  <c r="AZ63" i="33" s="1"/>
  <c r="AR64" i="33"/>
  <c r="I65" i="33"/>
  <c r="J65" i="33" s="1"/>
  <c r="B66" i="33"/>
  <c r="AD66" i="33"/>
  <c r="AE66" i="33" s="1"/>
  <c r="W67" i="33"/>
  <c r="AY67" i="33"/>
  <c r="AZ67" i="33" s="1"/>
  <c r="AR68" i="33"/>
  <c r="I69" i="33"/>
  <c r="J69" i="33" s="1"/>
  <c r="B70" i="33"/>
  <c r="AD70" i="33"/>
  <c r="AE70" i="33" s="1"/>
  <c r="W71" i="33"/>
  <c r="AY71" i="33"/>
  <c r="AZ71" i="33" s="1"/>
  <c r="AR72" i="33"/>
  <c r="I73" i="33"/>
  <c r="J73" i="33" s="1"/>
  <c r="B74" i="33"/>
  <c r="AD74" i="33"/>
  <c r="AE74" i="33" s="1"/>
  <c r="W75" i="33"/>
  <c r="AY75" i="33"/>
  <c r="AZ75" i="33" s="1"/>
  <c r="AR76" i="33"/>
  <c r="I77" i="33"/>
  <c r="J77" i="33" s="1"/>
  <c r="B78" i="33"/>
  <c r="AD78" i="33"/>
  <c r="AE78" i="33" s="1"/>
  <c r="W79" i="33"/>
  <c r="AY79" i="33"/>
  <c r="AZ79" i="33" s="1"/>
  <c r="X80" i="33"/>
  <c r="AJ80" i="33"/>
  <c r="Y80" i="33"/>
  <c r="AT80" i="33"/>
  <c r="BF80" i="33"/>
  <c r="Q81" i="33"/>
  <c r="R81" i="33"/>
  <c r="AS81" i="33"/>
  <c r="BE81" i="33"/>
  <c r="AT81" i="33"/>
  <c r="D82" i="33"/>
  <c r="P82" i="33"/>
  <c r="AL82" i="33"/>
  <c r="AE82" i="33"/>
  <c r="AM82" i="33"/>
  <c r="C83" i="33"/>
  <c r="O83" i="33"/>
  <c r="D83" i="33"/>
  <c r="Y83" i="33"/>
  <c r="AK83" i="33"/>
  <c r="BG83" i="33"/>
  <c r="BG84" i="33"/>
  <c r="AZ84" i="33"/>
  <c r="BA84" i="33"/>
  <c r="C85" i="33"/>
  <c r="O85" i="33"/>
  <c r="D85" i="33"/>
  <c r="P85" i="33"/>
  <c r="B85" i="33"/>
  <c r="BH85" i="33"/>
  <c r="AC86" i="33"/>
  <c r="AS86" i="33"/>
  <c r="BH86" i="33" s="1"/>
  <c r="AR86" i="33"/>
  <c r="AX86" i="33"/>
  <c r="BA86" i="33" s="1"/>
  <c r="BF86" i="33"/>
  <c r="BG86" i="33" s="1"/>
  <c r="D88" i="33"/>
  <c r="Q90" i="33"/>
  <c r="J90" i="33"/>
  <c r="K90" i="33"/>
  <c r="X90" i="33"/>
  <c r="AJ90" i="33"/>
  <c r="Y90" i="33"/>
  <c r="AK90" i="33"/>
  <c r="W90" i="33"/>
  <c r="Q91" i="33"/>
  <c r="J91" i="33"/>
  <c r="R91" i="33"/>
  <c r="AX91" i="33"/>
  <c r="C92" i="33"/>
  <c r="B92" i="33"/>
  <c r="H92" i="33"/>
  <c r="P92" i="33"/>
  <c r="Q92" i="33" s="1"/>
  <c r="F8" i="34"/>
  <c r="R8" i="34"/>
  <c r="J12" i="34"/>
  <c r="M12" i="34" s="1"/>
  <c r="E12" i="34"/>
  <c r="Q12" i="34"/>
  <c r="K12" i="34"/>
  <c r="L12" i="34" s="1"/>
  <c r="D12" i="34"/>
  <c r="S18" i="34"/>
  <c r="F24" i="34"/>
  <c r="R24" i="34"/>
  <c r="J28" i="34"/>
  <c r="E28" i="34"/>
  <c r="Q28" i="34"/>
  <c r="T28" i="34" s="1"/>
  <c r="K28" i="34"/>
  <c r="L28" i="34" s="1"/>
  <c r="D28" i="34"/>
  <c r="S34" i="34"/>
  <c r="F40" i="34"/>
  <c r="R40" i="34"/>
  <c r="J44" i="34"/>
  <c r="E44" i="34"/>
  <c r="Q44" i="34"/>
  <c r="K44" i="34"/>
  <c r="L44" i="34" s="1"/>
  <c r="D44" i="34"/>
  <c r="R44" i="34"/>
  <c r="S44" i="34" s="1"/>
  <c r="J48" i="34"/>
  <c r="E48" i="34"/>
  <c r="Q48" i="34"/>
  <c r="T48" i="34" s="1"/>
  <c r="K48" i="34"/>
  <c r="L48" i="34" s="1"/>
  <c r="D48" i="34"/>
  <c r="R48" i="34"/>
  <c r="S48" i="34" s="1"/>
  <c r="E55" i="34"/>
  <c r="S70" i="34"/>
  <c r="L70" i="34"/>
  <c r="J72" i="34"/>
  <c r="E72" i="34"/>
  <c r="R72" i="34"/>
  <c r="F72" i="34"/>
  <c r="K72" i="34"/>
  <c r="D72" i="34"/>
  <c r="Q72" i="34"/>
  <c r="D74" i="34"/>
  <c r="W18" i="35"/>
  <c r="I81" i="33"/>
  <c r="J81" i="33" s="1"/>
  <c r="AD82" i="33"/>
  <c r="AY83" i="33"/>
  <c r="AZ83" i="33" s="1"/>
  <c r="AS84" i="33"/>
  <c r="BF84" i="33"/>
  <c r="AX84" i="33"/>
  <c r="C86" i="33"/>
  <c r="R86" i="33" s="1"/>
  <c r="P86" i="33"/>
  <c r="Q86" i="33" s="1"/>
  <c r="H86" i="33"/>
  <c r="K86" i="33" s="1"/>
  <c r="X87" i="33"/>
  <c r="AM87" i="33" s="1"/>
  <c r="AK87" i="33"/>
  <c r="AL87" i="33" s="1"/>
  <c r="AC87" i="33"/>
  <c r="AS88" i="33"/>
  <c r="BH88" i="33" s="1"/>
  <c r="BF88" i="33"/>
  <c r="BG88" i="33" s="1"/>
  <c r="AX88" i="33"/>
  <c r="C90" i="33"/>
  <c r="P90" i="33"/>
  <c r="H90" i="33"/>
  <c r="X91" i="33"/>
  <c r="AK91" i="33"/>
  <c r="AC91" i="33"/>
  <c r="AS92" i="33"/>
  <c r="BH92" i="33" s="1"/>
  <c r="BF92" i="33"/>
  <c r="BG92" i="33" s="1"/>
  <c r="AX92" i="33"/>
  <c r="J10" i="34"/>
  <c r="E10" i="34"/>
  <c r="Q10" i="34"/>
  <c r="K10" i="34"/>
  <c r="L10" i="34" s="1"/>
  <c r="D10" i="34"/>
  <c r="J14" i="34"/>
  <c r="E14" i="34"/>
  <c r="Q14" i="34"/>
  <c r="T14" i="34" s="1"/>
  <c r="K14" i="34"/>
  <c r="L14" i="34" s="1"/>
  <c r="D14" i="34"/>
  <c r="J18" i="34"/>
  <c r="E18" i="34"/>
  <c r="Q18" i="34"/>
  <c r="K18" i="34"/>
  <c r="L18" i="34" s="1"/>
  <c r="D18" i="34"/>
  <c r="J22" i="34"/>
  <c r="E22" i="34"/>
  <c r="Q22" i="34"/>
  <c r="K22" i="34"/>
  <c r="L22" i="34" s="1"/>
  <c r="D22" i="34"/>
  <c r="J26" i="34"/>
  <c r="E26" i="34"/>
  <c r="Q26" i="34"/>
  <c r="K26" i="34"/>
  <c r="D26" i="34"/>
  <c r="J30" i="34"/>
  <c r="E30" i="34"/>
  <c r="Q30" i="34"/>
  <c r="K30" i="34"/>
  <c r="D30" i="34"/>
  <c r="J34" i="34"/>
  <c r="E34" i="34"/>
  <c r="Q34" i="34"/>
  <c r="K34" i="34"/>
  <c r="L34" i="34" s="1"/>
  <c r="D34" i="34"/>
  <c r="J38" i="34"/>
  <c r="E38" i="34"/>
  <c r="Q38" i="34"/>
  <c r="K38" i="34"/>
  <c r="L38" i="34" s="1"/>
  <c r="D38" i="34"/>
  <c r="J42" i="34"/>
  <c r="M42" i="34" s="1"/>
  <c r="E42" i="34"/>
  <c r="Q42" i="34"/>
  <c r="K42" i="34"/>
  <c r="L42" i="34" s="1"/>
  <c r="D42" i="34"/>
  <c r="J46" i="34"/>
  <c r="E46" i="34"/>
  <c r="Q46" i="34"/>
  <c r="T46" i="34" s="1"/>
  <c r="K46" i="34"/>
  <c r="L46" i="34" s="1"/>
  <c r="D46" i="34"/>
  <c r="T58" i="34"/>
  <c r="M58" i="34"/>
  <c r="R9" i="35"/>
  <c r="P9" i="35"/>
  <c r="W9" i="35"/>
  <c r="V9" i="35"/>
  <c r="Q9" i="35"/>
  <c r="D20" i="35"/>
  <c r="B20" i="35"/>
  <c r="C20" i="35"/>
  <c r="I20" i="35"/>
  <c r="H20" i="35"/>
  <c r="K17" i="36"/>
  <c r="F17" i="36"/>
  <c r="J17" i="36"/>
  <c r="D17" i="36"/>
  <c r="E17" i="36"/>
  <c r="S46" i="34"/>
  <c r="R52" i="34"/>
  <c r="D52" i="34"/>
  <c r="Q52" i="34"/>
  <c r="K52" i="34"/>
  <c r="E52" i="34"/>
  <c r="F52" i="34"/>
  <c r="M63" i="34"/>
  <c r="L75" i="34"/>
  <c r="T75" i="34"/>
  <c r="M75" i="34"/>
  <c r="S75" i="34"/>
  <c r="D84" i="34"/>
  <c r="J84" i="34"/>
  <c r="E84" i="34"/>
  <c r="R84" i="34"/>
  <c r="F84" i="34"/>
  <c r="AF9" i="35"/>
  <c r="AJ9" i="35"/>
  <c r="AK9" i="35"/>
  <c r="AE9" i="35"/>
  <c r="AD9" i="35"/>
  <c r="D13" i="35"/>
  <c r="H13" i="35"/>
  <c r="C13" i="35"/>
  <c r="B13" i="35"/>
  <c r="AF14" i="35"/>
  <c r="AD14" i="35"/>
  <c r="AK14" i="35"/>
  <c r="AJ14" i="35"/>
  <c r="AE14" i="35"/>
  <c r="D25" i="35"/>
  <c r="H25" i="35"/>
  <c r="C25" i="35"/>
  <c r="I25" i="35"/>
  <c r="B25" i="35"/>
  <c r="L69" i="34"/>
  <c r="M69" i="34"/>
  <c r="T69" i="34"/>
  <c r="L71" i="34"/>
  <c r="T71" i="34"/>
  <c r="S71" i="34"/>
  <c r="M71" i="34"/>
  <c r="J76" i="34"/>
  <c r="E76" i="34"/>
  <c r="R76" i="34"/>
  <c r="F76" i="34"/>
  <c r="Q76" i="34"/>
  <c r="D76" i="34"/>
  <c r="R10" i="35"/>
  <c r="V10" i="35"/>
  <c r="Q10" i="35"/>
  <c r="P10" i="35"/>
  <c r="D12" i="35"/>
  <c r="B12" i="35"/>
  <c r="I12" i="35"/>
  <c r="H12" i="35"/>
  <c r="C12" i="35"/>
  <c r="AF15" i="35"/>
  <c r="AJ15" i="35"/>
  <c r="AE15" i="35"/>
  <c r="AD15" i="35"/>
  <c r="R17" i="35"/>
  <c r="P17" i="35"/>
  <c r="W17" i="35"/>
  <c r="V17" i="35"/>
  <c r="Q17" i="35"/>
  <c r="AF19" i="35"/>
  <c r="AJ19" i="35"/>
  <c r="AE19" i="35"/>
  <c r="AK19" i="35"/>
  <c r="AD19" i="35"/>
  <c r="AD84" i="33"/>
  <c r="AY85" i="33"/>
  <c r="AZ85" i="33" s="1"/>
  <c r="I87" i="33"/>
  <c r="J87" i="33" s="1"/>
  <c r="AD88" i="33"/>
  <c r="AE88" i="33" s="1"/>
  <c r="AY89" i="33"/>
  <c r="I91" i="33"/>
  <c r="AD92" i="33"/>
  <c r="AE92" i="33" s="1"/>
  <c r="L9" i="34"/>
  <c r="S9" i="34"/>
  <c r="L11" i="34"/>
  <c r="M11" i="34"/>
  <c r="S11" i="34"/>
  <c r="L13" i="34"/>
  <c r="M13" i="34"/>
  <c r="S13" i="34"/>
  <c r="L15" i="34"/>
  <c r="S15" i="34"/>
  <c r="L17" i="34"/>
  <c r="M17" i="34"/>
  <c r="S17" i="34"/>
  <c r="L19" i="34"/>
  <c r="S19" i="34"/>
  <c r="L21" i="34"/>
  <c r="M21" i="34"/>
  <c r="S21" i="34"/>
  <c r="L23" i="34"/>
  <c r="M23" i="34"/>
  <c r="S23" i="34"/>
  <c r="M25" i="34"/>
  <c r="L27" i="34"/>
  <c r="S27" i="34"/>
  <c r="L29" i="34"/>
  <c r="M29" i="34"/>
  <c r="S29" i="34"/>
  <c r="L31" i="34"/>
  <c r="M31" i="34"/>
  <c r="S31" i="34"/>
  <c r="L35" i="34"/>
  <c r="S35" i="34"/>
  <c r="L37" i="34"/>
  <c r="M37" i="34"/>
  <c r="S37" i="34"/>
  <c r="L39" i="34"/>
  <c r="S39" i="34"/>
  <c r="L41" i="34"/>
  <c r="M41" i="34"/>
  <c r="S41" i="34"/>
  <c r="L43" i="34"/>
  <c r="M43" i="34"/>
  <c r="S43" i="34"/>
  <c r="M45" i="34"/>
  <c r="S45" i="34"/>
  <c r="L47" i="34"/>
  <c r="M47" i="34"/>
  <c r="S47" i="34"/>
  <c r="L49" i="34"/>
  <c r="K51" i="34"/>
  <c r="F51" i="34"/>
  <c r="J51" i="34"/>
  <c r="R51" i="34"/>
  <c r="R54" i="34"/>
  <c r="D54" i="34"/>
  <c r="F54" i="34"/>
  <c r="K54" i="34"/>
  <c r="R56" i="34"/>
  <c r="S56" i="34" s="1"/>
  <c r="D56" i="34"/>
  <c r="K56" i="34"/>
  <c r="L56" i="34" s="1"/>
  <c r="R61" i="34"/>
  <c r="D61" i="34"/>
  <c r="F61" i="34"/>
  <c r="K61" i="34"/>
  <c r="R63" i="34"/>
  <c r="S63" i="34" s="1"/>
  <c r="D63" i="34"/>
  <c r="K63" i="34"/>
  <c r="L63" i="34" s="1"/>
  <c r="J66" i="34"/>
  <c r="E66" i="34"/>
  <c r="Q66" i="34"/>
  <c r="J70" i="34"/>
  <c r="E70" i="34"/>
  <c r="T70" i="34" s="1"/>
  <c r="D70" i="34"/>
  <c r="L77" i="34"/>
  <c r="L79" i="34"/>
  <c r="T79" i="34"/>
  <c r="S79" i="34"/>
  <c r="Q91" i="34"/>
  <c r="K91" i="34"/>
  <c r="F91" i="34"/>
  <c r="E91" i="34"/>
  <c r="R91" i="34"/>
  <c r="J91" i="34"/>
  <c r="D91" i="34"/>
  <c r="W10" i="35"/>
  <c r="R12" i="35"/>
  <c r="V12" i="35"/>
  <c r="W12" i="35"/>
  <c r="Q12" i="35"/>
  <c r="AK15" i="35"/>
  <c r="AF17" i="35"/>
  <c r="AJ17" i="35"/>
  <c r="AK17" i="35"/>
  <c r="AE17" i="35"/>
  <c r="R21" i="35"/>
  <c r="P21" i="35"/>
  <c r="W21" i="35"/>
  <c r="V21" i="35"/>
  <c r="D23" i="35"/>
  <c r="H23" i="35"/>
  <c r="B23" i="35"/>
  <c r="I23" i="35"/>
  <c r="C23" i="35"/>
  <c r="R50" i="34"/>
  <c r="S50" i="34" s="1"/>
  <c r="H50" i="34" s="1"/>
  <c r="O50" i="34" s="1"/>
  <c r="D50" i="34"/>
  <c r="J50" i="34"/>
  <c r="M50" i="34" s="1"/>
  <c r="K53" i="34"/>
  <c r="F53" i="34"/>
  <c r="M65" i="34"/>
  <c r="T65" i="34"/>
  <c r="J68" i="34"/>
  <c r="E68" i="34"/>
  <c r="M68" i="34" s="1"/>
  <c r="K68" i="34"/>
  <c r="L68" i="34" s="1"/>
  <c r="R68" i="34"/>
  <c r="S68" i="34" s="1"/>
  <c r="J78" i="34"/>
  <c r="E78" i="34"/>
  <c r="R78" i="34"/>
  <c r="F78" i="34"/>
  <c r="D10" i="35"/>
  <c r="B10" i="35"/>
  <c r="H10" i="35"/>
  <c r="C10" i="35"/>
  <c r="AF12" i="35"/>
  <c r="AD12" i="35"/>
  <c r="AJ12" i="35"/>
  <c r="AE12" i="35"/>
  <c r="R15" i="35"/>
  <c r="P15" i="35"/>
  <c r="V15" i="35"/>
  <c r="Q15" i="35"/>
  <c r="D18" i="35"/>
  <c r="B18" i="35"/>
  <c r="H18" i="35"/>
  <c r="C18" i="35"/>
  <c r="R20" i="35"/>
  <c r="V20" i="35"/>
  <c r="P20" i="35"/>
  <c r="W20" i="35"/>
  <c r="AF23" i="35"/>
  <c r="AJ23" i="35"/>
  <c r="AE23" i="35"/>
  <c r="AD23" i="35"/>
  <c r="R81" i="34"/>
  <c r="D81" i="34"/>
  <c r="Q81" i="34"/>
  <c r="K81" i="34"/>
  <c r="E81" i="34"/>
  <c r="K86" i="34"/>
  <c r="F86" i="34"/>
  <c r="R86" i="34"/>
  <c r="E86" i="34"/>
  <c r="J86" i="34"/>
  <c r="R89" i="34"/>
  <c r="D89" i="34"/>
  <c r="Q89" i="34"/>
  <c r="K89" i="34"/>
  <c r="E89" i="34"/>
  <c r="K92" i="34"/>
  <c r="F92" i="34"/>
  <c r="R92" i="34"/>
  <c r="E92" i="34"/>
  <c r="J92" i="34"/>
  <c r="D8" i="35"/>
  <c r="B8" i="35"/>
  <c r="R8" i="35"/>
  <c r="V8" i="35"/>
  <c r="AF10" i="35"/>
  <c r="AD10" i="35"/>
  <c r="D11" i="35"/>
  <c r="H11" i="35"/>
  <c r="R13" i="35"/>
  <c r="P13" i="35"/>
  <c r="AF13" i="35"/>
  <c r="AJ13" i="35"/>
  <c r="D16" i="35"/>
  <c r="B16" i="35"/>
  <c r="R16" i="35"/>
  <c r="V16" i="35"/>
  <c r="AF18" i="35"/>
  <c r="AD18" i="35"/>
  <c r="D19" i="35"/>
  <c r="H19" i="35"/>
  <c r="I19" i="35"/>
  <c r="R19" i="35"/>
  <c r="P19" i="35"/>
  <c r="V19" i="35"/>
  <c r="R22" i="35"/>
  <c r="V22" i="35"/>
  <c r="Q22" i="35"/>
  <c r="AF22" i="35"/>
  <c r="AD22" i="35"/>
  <c r="AE22" i="35"/>
  <c r="R24" i="35"/>
  <c r="V24" i="35"/>
  <c r="Q24" i="35"/>
  <c r="W24" i="35"/>
  <c r="K22" i="36"/>
  <c r="F22" i="36"/>
  <c r="J22" i="36"/>
  <c r="E22" i="36"/>
  <c r="D22" i="36"/>
  <c r="K80" i="34"/>
  <c r="F80" i="34"/>
  <c r="J80" i="34"/>
  <c r="R80" i="34"/>
  <c r="F81" i="34"/>
  <c r="D86" i="34"/>
  <c r="K88" i="34"/>
  <c r="F88" i="34"/>
  <c r="J88" i="34"/>
  <c r="R88" i="34"/>
  <c r="F89" i="34"/>
  <c r="D92" i="34"/>
  <c r="C8" i="35"/>
  <c r="P8" i="35"/>
  <c r="AF8" i="35"/>
  <c r="AD8" i="35"/>
  <c r="D9" i="35"/>
  <c r="H9" i="35"/>
  <c r="AE10" i="35"/>
  <c r="B11" i="35"/>
  <c r="R11" i="35"/>
  <c r="P11" i="35"/>
  <c r="AF11" i="35"/>
  <c r="AJ11" i="35"/>
  <c r="Q13" i="35"/>
  <c r="AD13" i="35"/>
  <c r="D14" i="35"/>
  <c r="B14" i="35"/>
  <c r="R14" i="35"/>
  <c r="V14" i="35"/>
  <c r="C16" i="35"/>
  <c r="P16" i="35"/>
  <c r="AF16" i="35"/>
  <c r="AD16" i="35"/>
  <c r="D17" i="35"/>
  <c r="H17" i="35"/>
  <c r="AE18" i="35"/>
  <c r="B19" i="35"/>
  <c r="Q19" i="35"/>
  <c r="AF21" i="35"/>
  <c r="AJ21" i="35"/>
  <c r="AK21" i="35"/>
  <c r="D22" i="35"/>
  <c r="B22" i="35"/>
  <c r="H22" i="35"/>
  <c r="P22" i="35"/>
  <c r="AJ22" i="35"/>
  <c r="P24" i="35"/>
  <c r="K27" i="35"/>
  <c r="Y28" i="35"/>
  <c r="Q82" i="34"/>
  <c r="K82" i="34"/>
  <c r="F82" i="34"/>
  <c r="R87" i="34"/>
  <c r="S87" i="34" s="1"/>
  <c r="D87" i="34"/>
  <c r="J87" i="34"/>
  <c r="M87" i="34" s="1"/>
  <c r="Q90" i="34"/>
  <c r="K90" i="34"/>
  <c r="F90" i="34"/>
  <c r="AF20" i="35"/>
  <c r="AD20" i="35"/>
  <c r="D21" i="35"/>
  <c r="H21" i="35"/>
  <c r="Y23" i="35"/>
  <c r="AF25" i="35"/>
  <c r="AJ25" i="35"/>
  <c r="AE25" i="35"/>
  <c r="AE26" i="35"/>
  <c r="AF26" i="35"/>
  <c r="AJ26" i="35"/>
  <c r="AD26" i="35"/>
  <c r="C28" i="35"/>
  <c r="D28" i="35"/>
  <c r="H28" i="35"/>
  <c r="B28" i="35"/>
  <c r="K11" i="36"/>
  <c r="F11" i="36"/>
  <c r="J11" i="36"/>
  <c r="D11" i="36"/>
  <c r="E11" i="36"/>
  <c r="K13" i="36"/>
  <c r="F13" i="36"/>
  <c r="J13" i="36"/>
  <c r="D13" i="36"/>
  <c r="K28" i="36"/>
  <c r="F28" i="36"/>
  <c r="J28" i="36"/>
  <c r="E28" i="36"/>
  <c r="D28" i="36"/>
  <c r="W23" i="35"/>
  <c r="X23" i="35" s="1"/>
  <c r="K24" i="35"/>
  <c r="I24" i="35"/>
  <c r="AM24" i="35"/>
  <c r="AK24" i="35"/>
  <c r="AL24" i="35" s="1"/>
  <c r="Y25" i="35"/>
  <c r="W25" i="35"/>
  <c r="I26" i="35"/>
  <c r="J26" i="35" s="1"/>
  <c r="K15" i="36"/>
  <c r="F15" i="36"/>
  <c r="J15" i="36"/>
  <c r="D15" i="36"/>
  <c r="K24" i="36"/>
  <c r="F24" i="36"/>
  <c r="J24" i="36"/>
  <c r="E24" i="36"/>
  <c r="D24" i="36"/>
  <c r="P23" i="35"/>
  <c r="B24" i="35"/>
  <c r="J24" i="35"/>
  <c r="AD24" i="35"/>
  <c r="P25" i="35"/>
  <c r="X25" i="35"/>
  <c r="B26" i="35"/>
  <c r="Q27" i="35"/>
  <c r="R27" i="35"/>
  <c r="K9" i="36"/>
  <c r="F9" i="36"/>
  <c r="J9" i="36"/>
  <c r="D9" i="36"/>
  <c r="E15" i="36"/>
  <c r="K19" i="36"/>
  <c r="F19" i="36"/>
  <c r="J19" i="36"/>
  <c r="D19" i="36"/>
  <c r="K26" i="36"/>
  <c r="F26" i="36"/>
  <c r="J26" i="36"/>
  <c r="E26" i="36"/>
  <c r="D26" i="36"/>
  <c r="W26" i="35"/>
  <c r="X26" i="35" s="1"/>
  <c r="I27" i="35"/>
  <c r="J27" i="35" s="1"/>
  <c r="AK27" i="35"/>
  <c r="AL27" i="35" s="1"/>
  <c r="W28" i="35"/>
  <c r="K10" i="36"/>
  <c r="F10" i="36"/>
  <c r="K14" i="36"/>
  <c r="F14" i="36"/>
  <c r="K18" i="36"/>
  <c r="F18" i="36"/>
  <c r="B8" i="37"/>
  <c r="AK28" i="35"/>
  <c r="AL28" i="35" s="1"/>
  <c r="K8" i="36"/>
  <c r="F8" i="36"/>
  <c r="E10" i="36"/>
  <c r="K12" i="36"/>
  <c r="F12" i="36"/>
  <c r="E14" i="36"/>
  <c r="K16" i="36"/>
  <c r="F16" i="36"/>
  <c r="E18" i="36"/>
  <c r="K20" i="36"/>
  <c r="F20" i="36"/>
  <c r="K21" i="36"/>
  <c r="F21" i="36"/>
  <c r="J21" i="36"/>
  <c r="E21" i="36"/>
  <c r="K23" i="36"/>
  <c r="F23" i="36"/>
  <c r="J23" i="36"/>
  <c r="E23" i="36"/>
  <c r="K25" i="36"/>
  <c r="F25" i="36"/>
  <c r="J25" i="36"/>
  <c r="E25" i="36"/>
  <c r="K27" i="36"/>
  <c r="F27" i="36"/>
  <c r="J27" i="36"/>
  <c r="E27" i="36"/>
  <c r="G29" i="31" l="1"/>
  <c r="N29" i="31" s="1"/>
  <c r="H29" i="31"/>
  <c r="V45" i="31"/>
  <c r="M77" i="34"/>
  <c r="AM78" i="33"/>
  <c r="BH83" i="33"/>
  <c r="AM22" i="33"/>
  <c r="L22" i="31"/>
  <c r="T40" i="31"/>
  <c r="T18" i="34"/>
  <c r="K92" i="33"/>
  <c r="T15" i="31"/>
  <c r="G22" i="31"/>
  <c r="T45" i="34"/>
  <c r="T29" i="34"/>
  <c r="AZ25" i="33"/>
  <c r="L61" i="31"/>
  <c r="S61" i="31"/>
  <c r="L53" i="31"/>
  <c r="S53" i="31"/>
  <c r="M66" i="31"/>
  <c r="U45" i="31"/>
  <c r="I45" i="31" s="1"/>
  <c r="N37" i="31"/>
  <c r="K45" i="33"/>
  <c r="R9" i="33"/>
  <c r="AL12" i="33"/>
  <c r="T67" i="31"/>
  <c r="T60" i="34"/>
  <c r="M60" i="34"/>
  <c r="T22" i="34"/>
  <c r="M28" i="34"/>
  <c r="T58" i="31"/>
  <c r="H33" i="31"/>
  <c r="O33" i="31" s="1"/>
  <c r="T87" i="34"/>
  <c r="T56" i="34"/>
  <c r="S30" i="34"/>
  <c r="L65" i="34"/>
  <c r="AF75" i="33"/>
  <c r="T49" i="34"/>
  <c r="R92" i="33"/>
  <c r="M39" i="34"/>
  <c r="R41" i="33"/>
  <c r="L25" i="34"/>
  <c r="AF67" i="33"/>
  <c r="AF50" i="33"/>
  <c r="BA39" i="33"/>
  <c r="Q10" i="33"/>
  <c r="AM24" i="33"/>
  <c r="AM59" i="33"/>
  <c r="R25" i="33"/>
  <c r="AL30" i="33"/>
  <c r="L13" i="31"/>
  <c r="S13" i="31"/>
  <c r="Q18" i="33"/>
  <c r="BA76" i="33"/>
  <c r="BH28" i="33"/>
  <c r="T66" i="34"/>
  <c r="T18" i="31"/>
  <c r="T50" i="31"/>
  <c r="BA55" i="33"/>
  <c r="R12" i="33"/>
  <c r="AM12" i="33"/>
  <c r="AM26" i="33"/>
  <c r="T17" i="34"/>
  <c r="M70" i="34"/>
  <c r="BA24" i="33"/>
  <c r="AF19" i="33"/>
  <c r="L30" i="34"/>
  <c r="AF78" i="33"/>
  <c r="BG72" i="33"/>
  <c r="BH64" i="33"/>
  <c r="K62" i="33"/>
  <c r="AM51" i="33"/>
  <c r="AM50" i="33"/>
  <c r="BH47" i="33"/>
  <c r="BA83" i="33"/>
  <c r="AM19" i="33"/>
  <c r="AE31" i="33"/>
  <c r="AZ28" i="33"/>
  <c r="R24" i="33"/>
  <c r="BH10" i="33"/>
  <c r="AZ33" i="33"/>
  <c r="BH24" i="33"/>
  <c r="R20" i="33"/>
  <c r="BG14" i="33"/>
  <c r="Q12" i="33"/>
  <c r="AZ10" i="33"/>
  <c r="Q8" i="33"/>
  <c r="J8" i="33"/>
  <c r="AL35" i="33"/>
  <c r="BG28" i="33"/>
  <c r="BG18" i="33"/>
  <c r="S67" i="34"/>
  <c r="T67" i="34"/>
  <c r="AE35" i="33"/>
  <c r="T77" i="34"/>
  <c r="M26" i="34"/>
  <c r="X28" i="35"/>
  <c r="T73" i="34"/>
  <c r="L67" i="34"/>
  <c r="M33" i="34"/>
  <c r="M9" i="34"/>
  <c r="M56" i="34"/>
  <c r="M38" i="34"/>
  <c r="T34" i="34"/>
  <c r="T30" i="34"/>
  <c r="L26" i="34"/>
  <c r="O26" i="34" s="1"/>
  <c r="M22" i="34"/>
  <c r="BA92" i="33"/>
  <c r="AF87" i="33"/>
  <c r="M44" i="34"/>
  <c r="AE50" i="33"/>
  <c r="AZ47" i="33"/>
  <c r="BA17" i="33"/>
  <c r="AF91" i="33"/>
  <c r="AZ64" i="33"/>
  <c r="BA27" i="33"/>
  <c r="AM75" i="33"/>
  <c r="AM67" i="33"/>
  <c r="BA64" i="33"/>
  <c r="AF51" i="33"/>
  <c r="AL50" i="33"/>
  <c r="BG47" i="33"/>
  <c r="AE26" i="33"/>
  <c r="Q25" i="33"/>
  <c r="BG11" i="33"/>
  <c r="AZ76" i="33"/>
  <c r="M73" i="34"/>
  <c r="T43" i="34"/>
  <c r="S65" i="34"/>
  <c r="T39" i="34"/>
  <c r="Q16" i="33"/>
  <c r="BH8" i="33"/>
  <c r="BH16" i="33"/>
  <c r="BG36" i="33"/>
  <c r="AL25" i="33"/>
  <c r="J24" i="33"/>
  <c r="AL21" i="33"/>
  <c r="BH15" i="33"/>
  <c r="BH14" i="33"/>
  <c r="BH9" i="33"/>
  <c r="R8" i="33"/>
  <c r="J37" i="33"/>
  <c r="AL31" i="33"/>
  <c r="BH19" i="33"/>
  <c r="BH18" i="33"/>
  <c r="BG33" i="33"/>
  <c r="G87" i="34"/>
  <c r="N87" i="34" s="1"/>
  <c r="M66" i="34"/>
  <c r="M49" i="34"/>
  <c r="S33" i="34"/>
  <c r="T38" i="34"/>
  <c r="M10" i="34"/>
  <c r="L73" i="34"/>
  <c r="L33" i="34"/>
  <c r="M46" i="34"/>
  <c r="T42" i="34"/>
  <c r="T26" i="34"/>
  <c r="T10" i="34"/>
  <c r="BA88" i="33"/>
  <c r="M48" i="34"/>
  <c r="K20" i="33"/>
  <c r="BA10" i="33"/>
  <c r="AE91" i="33"/>
  <c r="AF35" i="33"/>
  <c r="K24" i="33"/>
  <c r="M67" i="34"/>
  <c r="AF92" i="33"/>
  <c r="BA85" i="33"/>
  <c r="T25" i="34"/>
  <c r="BG26" i="33"/>
  <c r="R17" i="33"/>
  <c r="R16" i="33"/>
  <c r="AL13" i="33"/>
  <c r="AZ36" i="33"/>
  <c r="AL34" i="33"/>
  <c r="R23" i="33"/>
  <c r="AM21" i="33"/>
  <c r="AL19" i="33"/>
  <c r="R13" i="33"/>
  <c r="Q33" i="33"/>
  <c r="BG27" i="33"/>
  <c r="R22" i="33"/>
  <c r="AZ14" i="33"/>
  <c r="N12" i="34"/>
  <c r="O12" i="34"/>
  <c r="G12" i="34"/>
  <c r="H12" i="34"/>
  <c r="V27" i="31"/>
  <c r="U27" i="31"/>
  <c r="H42" i="34"/>
  <c r="O42" i="34" s="1"/>
  <c r="G42" i="34"/>
  <c r="N42" i="34" s="1"/>
  <c r="H26" i="34"/>
  <c r="G26" i="34"/>
  <c r="N10" i="34"/>
  <c r="H10" i="34"/>
  <c r="G10" i="34"/>
  <c r="O10" i="34"/>
  <c r="G68" i="34"/>
  <c r="N68" i="34" s="1"/>
  <c r="H68" i="34"/>
  <c r="V68" i="34" s="1"/>
  <c r="H38" i="34"/>
  <c r="O38" i="34" s="1"/>
  <c r="G38" i="34"/>
  <c r="N38" i="34" s="1"/>
  <c r="G44" i="34"/>
  <c r="N44" i="34" s="1"/>
  <c r="H44" i="34"/>
  <c r="O44" i="34" s="1"/>
  <c r="M28" i="36"/>
  <c r="L28" i="36"/>
  <c r="T88" i="34"/>
  <c r="S88" i="34"/>
  <c r="M88" i="34"/>
  <c r="L88" i="34"/>
  <c r="M22" i="36"/>
  <c r="L22" i="36"/>
  <c r="G35" i="34"/>
  <c r="N35" i="34" s="1"/>
  <c r="H35" i="34"/>
  <c r="O35" i="34" s="1"/>
  <c r="G27" i="34"/>
  <c r="U27" i="34" s="1"/>
  <c r="N27" i="34"/>
  <c r="H27" i="34"/>
  <c r="O27" i="34"/>
  <c r="G19" i="34"/>
  <c r="O19" i="34"/>
  <c r="H19" i="34"/>
  <c r="N19" i="34"/>
  <c r="U15" i="34"/>
  <c r="V15" i="34"/>
  <c r="G11" i="34"/>
  <c r="N11" i="34"/>
  <c r="H11" i="34"/>
  <c r="O11" i="34"/>
  <c r="AM15" i="35"/>
  <c r="AL15" i="35"/>
  <c r="M52" i="34"/>
  <c r="L52" i="34"/>
  <c r="S52" i="34"/>
  <c r="T52" i="34"/>
  <c r="AL83" i="33"/>
  <c r="AE83" i="33"/>
  <c r="AF83" i="33"/>
  <c r="AM83" i="33"/>
  <c r="BG80" i="33"/>
  <c r="AZ80" i="33"/>
  <c r="BA80" i="33"/>
  <c r="BH80" i="33"/>
  <c r="T83" i="34"/>
  <c r="S83" i="34"/>
  <c r="M83" i="34"/>
  <c r="L83" i="34"/>
  <c r="Q79" i="33"/>
  <c r="J79" i="33"/>
  <c r="K79" i="33"/>
  <c r="R79" i="33"/>
  <c r="Q55" i="33"/>
  <c r="J55" i="33"/>
  <c r="K55" i="33"/>
  <c r="R55" i="33"/>
  <c r="N28" i="34"/>
  <c r="O28" i="34"/>
  <c r="G28" i="34"/>
  <c r="H28" i="34"/>
  <c r="V28" i="34" s="1"/>
  <c r="Q43" i="33"/>
  <c r="J43" i="33"/>
  <c r="K43" i="33"/>
  <c r="R43" i="33"/>
  <c r="BG50" i="33"/>
  <c r="AZ50" i="33"/>
  <c r="BA50" i="33"/>
  <c r="BH50" i="33"/>
  <c r="Q44" i="33"/>
  <c r="J44" i="33"/>
  <c r="K44" i="33"/>
  <c r="R44" i="33"/>
  <c r="G46" i="32"/>
  <c r="N46" i="32"/>
  <c r="H46" i="32"/>
  <c r="O46" i="32"/>
  <c r="G30" i="32"/>
  <c r="N30" i="32"/>
  <c r="H30" i="32"/>
  <c r="O30" i="32"/>
  <c r="H59" i="31"/>
  <c r="O59" i="31" s="1"/>
  <c r="G59" i="31"/>
  <c r="U59" i="31" s="1"/>
  <c r="U49" i="31"/>
  <c r="S68" i="31"/>
  <c r="L68" i="31"/>
  <c r="I37" i="31"/>
  <c r="H49" i="31"/>
  <c r="O49" i="31" s="1"/>
  <c r="V11" i="31"/>
  <c r="U11" i="31"/>
  <c r="L8" i="36"/>
  <c r="M8" i="36"/>
  <c r="M11" i="36"/>
  <c r="L11" i="36"/>
  <c r="AM25" i="35"/>
  <c r="AL25" i="35"/>
  <c r="K14" i="35"/>
  <c r="J14" i="35"/>
  <c r="AM8" i="35"/>
  <c r="AL8" i="35"/>
  <c r="Y24" i="35"/>
  <c r="X24" i="35"/>
  <c r="AM13" i="35"/>
  <c r="AL13" i="35"/>
  <c r="T53" i="34"/>
  <c r="M53" i="34"/>
  <c r="S53" i="34"/>
  <c r="L53" i="34"/>
  <c r="Y10" i="35"/>
  <c r="X10" i="35"/>
  <c r="N18" i="34"/>
  <c r="O18" i="34"/>
  <c r="G18" i="34"/>
  <c r="H18" i="34"/>
  <c r="V18" i="34" s="1"/>
  <c r="Q83" i="33"/>
  <c r="J83" i="33"/>
  <c r="K83" i="33"/>
  <c r="R83" i="33"/>
  <c r="N30" i="34"/>
  <c r="G30" i="34"/>
  <c r="U30" i="34" s="1"/>
  <c r="O30" i="34"/>
  <c r="H30" i="34"/>
  <c r="V30" i="34" s="1"/>
  <c r="AL86" i="33"/>
  <c r="AE86" i="33"/>
  <c r="AM86" i="33"/>
  <c r="AF86" i="33"/>
  <c r="S32" i="34"/>
  <c r="L32" i="34"/>
  <c r="T32" i="34"/>
  <c r="M32" i="34"/>
  <c r="AL85" i="33"/>
  <c r="AE85" i="33"/>
  <c r="AF85" i="33"/>
  <c r="AM85" i="33"/>
  <c r="AL52" i="33"/>
  <c r="AE52" i="33"/>
  <c r="AF52" i="33"/>
  <c r="AM52" i="33"/>
  <c r="BG41" i="33"/>
  <c r="AZ41" i="33"/>
  <c r="BA41" i="33"/>
  <c r="BH41" i="33"/>
  <c r="L26" i="31"/>
  <c r="S26" i="31"/>
  <c r="L18" i="31"/>
  <c r="S18" i="31"/>
  <c r="AL81" i="33"/>
  <c r="AE81" i="33"/>
  <c r="AM81" i="33"/>
  <c r="AF81" i="33"/>
  <c r="Q51" i="33"/>
  <c r="J51" i="33"/>
  <c r="K51" i="33"/>
  <c r="R51" i="33"/>
  <c r="L20" i="32"/>
  <c r="M20" i="32"/>
  <c r="S52" i="31"/>
  <c r="L52" i="31"/>
  <c r="S20" i="31"/>
  <c r="L20" i="31"/>
  <c r="M12" i="31"/>
  <c r="S20" i="34"/>
  <c r="T20" i="34"/>
  <c r="L20" i="34"/>
  <c r="M20" i="34"/>
  <c r="Q80" i="33"/>
  <c r="J80" i="33"/>
  <c r="R80" i="33"/>
  <c r="K80" i="33"/>
  <c r="AL69" i="33"/>
  <c r="AE69" i="33"/>
  <c r="AF69" i="33"/>
  <c r="AM69" i="33"/>
  <c r="Q48" i="33"/>
  <c r="J48" i="33"/>
  <c r="K48" i="33"/>
  <c r="R48" i="33"/>
  <c r="M11" i="32"/>
  <c r="L11" i="32"/>
  <c r="M51" i="31"/>
  <c r="M35" i="31"/>
  <c r="M19" i="31"/>
  <c r="AL65" i="33"/>
  <c r="AE65" i="33"/>
  <c r="AF65" i="33"/>
  <c r="AM65" i="33"/>
  <c r="AL57" i="33"/>
  <c r="AE57" i="33"/>
  <c r="AF57" i="33"/>
  <c r="AM57" i="33"/>
  <c r="AL49" i="33"/>
  <c r="AE49" i="33"/>
  <c r="AF49" i="33"/>
  <c r="AM49" i="33"/>
  <c r="G48" i="32"/>
  <c r="N48" i="32"/>
  <c r="H48" i="32"/>
  <c r="O48" i="32"/>
  <c r="G40" i="32"/>
  <c r="N40" i="32"/>
  <c r="H40" i="32"/>
  <c r="O40" i="32"/>
  <c r="G32" i="32"/>
  <c r="N32" i="32"/>
  <c r="H32" i="32"/>
  <c r="O32" i="32"/>
  <c r="G24" i="32"/>
  <c r="N24" i="32"/>
  <c r="H24" i="32"/>
  <c r="O24" i="32"/>
  <c r="M9" i="32"/>
  <c r="L9" i="32"/>
  <c r="U62" i="31"/>
  <c r="I62" i="31" s="1"/>
  <c r="H51" i="31"/>
  <c r="V51" i="31" s="1"/>
  <c r="G51" i="31"/>
  <c r="N51" i="31" s="1"/>
  <c r="H35" i="31"/>
  <c r="V35" i="31" s="1"/>
  <c r="G35" i="31"/>
  <c r="N35" i="31" s="1"/>
  <c r="U30" i="31"/>
  <c r="I30" i="31" s="1"/>
  <c r="V30" i="31"/>
  <c r="U17" i="31"/>
  <c r="V17" i="31"/>
  <c r="M68" i="31"/>
  <c r="G57" i="31"/>
  <c r="U57" i="31" s="1"/>
  <c r="H57" i="31"/>
  <c r="V57" i="31" s="1"/>
  <c r="M44" i="31"/>
  <c r="AL45" i="33"/>
  <c r="AE45" i="33"/>
  <c r="AF45" i="33"/>
  <c r="AM45" i="33"/>
  <c r="V19" i="31"/>
  <c r="U19" i="31"/>
  <c r="T43" i="31"/>
  <c r="T59" i="31"/>
  <c r="L20" i="36"/>
  <c r="M20" i="36"/>
  <c r="M9" i="36"/>
  <c r="L9" i="36"/>
  <c r="K21" i="35"/>
  <c r="J21" i="35"/>
  <c r="M81" i="34"/>
  <c r="T81" i="34"/>
  <c r="L81" i="34"/>
  <c r="S81" i="34"/>
  <c r="S78" i="34"/>
  <c r="T78" i="34"/>
  <c r="M78" i="34"/>
  <c r="L78" i="34"/>
  <c r="S76" i="34"/>
  <c r="T76" i="34"/>
  <c r="M76" i="34"/>
  <c r="L76" i="34"/>
  <c r="AM14" i="35"/>
  <c r="AL14" i="35"/>
  <c r="M17" i="36"/>
  <c r="L17" i="36"/>
  <c r="Q82" i="33"/>
  <c r="J82" i="33"/>
  <c r="K82" i="33"/>
  <c r="R82" i="33"/>
  <c r="V38" i="34"/>
  <c r="U38" i="34"/>
  <c r="V12" i="34"/>
  <c r="U12" i="34"/>
  <c r="BG73" i="33"/>
  <c r="AZ73" i="33"/>
  <c r="BA73" i="33"/>
  <c r="BH73" i="33"/>
  <c r="BG65" i="33"/>
  <c r="AZ65" i="33"/>
  <c r="BA65" i="33"/>
  <c r="BH65" i="33"/>
  <c r="AL44" i="33"/>
  <c r="AE44" i="33"/>
  <c r="AF44" i="33"/>
  <c r="AM44" i="33"/>
  <c r="N48" i="34"/>
  <c r="H48" i="34"/>
  <c r="V48" i="34" s="1"/>
  <c r="G48" i="34"/>
  <c r="U48" i="34" s="1"/>
  <c r="N22" i="34"/>
  <c r="H22" i="34"/>
  <c r="V22" i="34" s="1"/>
  <c r="O22" i="34"/>
  <c r="G22" i="34"/>
  <c r="BG90" i="33"/>
  <c r="AZ90" i="33"/>
  <c r="BA90" i="33"/>
  <c r="BH90" i="33"/>
  <c r="BG45" i="33"/>
  <c r="AZ45" i="33"/>
  <c r="BA45" i="33"/>
  <c r="BH45" i="33"/>
  <c r="AL61" i="33"/>
  <c r="AE61" i="33"/>
  <c r="AF61" i="33"/>
  <c r="AM61" i="33"/>
  <c r="T57" i="34"/>
  <c r="L57" i="34"/>
  <c r="S57" i="34"/>
  <c r="M57" i="34"/>
  <c r="Q68" i="33"/>
  <c r="J68" i="33"/>
  <c r="K68" i="33"/>
  <c r="R68" i="33"/>
  <c r="Q52" i="33"/>
  <c r="J52" i="33"/>
  <c r="K52" i="33"/>
  <c r="R52" i="33"/>
  <c r="G38" i="32"/>
  <c r="N38" i="32"/>
  <c r="H38" i="32"/>
  <c r="O38" i="32"/>
  <c r="U70" i="31"/>
  <c r="I70" i="31" s="1"/>
  <c r="U9" i="31"/>
  <c r="V9" i="31"/>
  <c r="AL26" i="35"/>
  <c r="AM26" i="35"/>
  <c r="K17" i="35"/>
  <c r="J17" i="35"/>
  <c r="AM11" i="35"/>
  <c r="AL11" i="35"/>
  <c r="M89" i="34"/>
  <c r="T89" i="34"/>
  <c r="L89" i="34"/>
  <c r="S89" i="34"/>
  <c r="K19" i="35"/>
  <c r="J19" i="35"/>
  <c r="K11" i="35"/>
  <c r="J11" i="35"/>
  <c r="Y8" i="35"/>
  <c r="X8" i="35"/>
  <c r="T86" i="34"/>
  <c r="L86" i="34"/>
  <c r="M86" i="34"/>
  <c r="S86" i="34"/>
  <c r="H56" i="34"/>
  <c r="O56" i="34" s="1"/>
  <c r="G56" i="34"/>
  <c r="U56" i="34" s="1"/>
  <c r="G29" i="34"/>
  <c r="U29" i="34" s="1"/>
  <c r="O29" i="34"/>
  <c r="H29" i="34"/>
  <c r="V29" i="34" s="1"/>
  <c r="N29" i="34"/>
  <c r="U9" i="34"/>
  <c r="V9" i="34"/>
  <c r="AM9" i="35"/>
  <c r="AL9" i="35"/>
  <c r="T68" i="34"/>
  <c r="M34" i="34"/>
  <c r="AL80" i="33"/>
  <c r="AE80" i="33"/>
  <c r="AF80" i="33"/>
  <c r="AM80" i="33"/>
  <c r="Y18" i="35"/>
  <c r="X18" i="35"/>
  <c r="Q63" i="33"/>
  <c r="J63" i="33"/>
  <c r="K63" i="33"/>
  <c r="R63" i="33"/>
  <c r="L14" i="32"/>
  <c r="M14" i="32"/>
  <c r="L66" i="31"/>
  <c r="S66" i="31"/>
  <c r="L58" i="31"/>
  <c r="S58" i="31"/>
  <c r="L50" i="31"/>
  <c r="S50" i="31"/>
  <c r="L42" i="31"/>
  <c r="S42" i="31"/>
  <c r="L34" i="31"/>
  <c r="S34" i="31"/>
  <c r="L10" i="31"/>
  <c r="S10" i="31"/>
  <c r="M85" i="34"/>
  <c r="T85" i="34"/>
  <c r="L85" i="34"/>
  <c r="S85" i="34"/>
  <c r="BG58" i="33"/>
  <c r="AZ58" i="33"/>
  <c r="BA58" i="33"/>
  <c r="BH58" i="33"/>
  <c r="M19" i="32"/>
  <c r="L19" i="32"/>
  <c r="L27" i="36"/>
  <c r="M27" i="36"/>
  <c r="L25" i="36"/>
  <c r="M25" i="36"/>
  <c r="L23" i="36"/>
  <c r="M23" i="36"/>
  <c r="L21" i="36"/>
  <c r="M21" i="36"/>
  <c r="L12" i="36"/>
  <c r="M12" i="36"/>
  <c r="X27" i="35"/>
  <c r="Y27" i="35"/>
  <c r="M24" i="36"/>
  <c r="L24" i="36"/>
  <c r="M15" i="36"/>
  <c r="L15" i="36"/>
  <c r="AM20" i="35"/>
  <c r="AL20" i="35"/>
  <c r="Y19" i="35"/>
  <c r="X19" i="35"/>
  <c r="K23" i="35"/>
  <c r="J23" i="35"/>
  <c r="Y21" i="35"/>
  <c r="X21" i="35"/>
  <c r="AM17" i="35"/>
  <c r="AL17" i="35"/>
  <c r="G79" i="34"/>
  <c r="U79" i="34" s="1"/>
  <c r="H79" i="34"/>
  <c r="V79" i="34" s="1"/>
  <c r="G67" i="34"/>
  <c r="U67" i="34" s="1"/>
  <c r="H67" i="34"/>
  <c r="V67" i="34" s="1"/>
  <c r="H63" i="34"/>
  <c r="V63" i="34" s="1"/>
  <c r="G63" i="34"/>
  <c r="N63" i="34" s="1"/>
  <c r="M61" i="34"/>
  <c r="S61" i="34"/>
  <c r="L61" i="34"/>
  <c r="T61" i="34"/>
  <c r="T51" i="34"/>
  <c r="S51" i="34"/>
  <c r="M51" i="34"/>
  <c r="L51" i="34"/>
  <c r="G49" i="34"/>
  <c r="U49" i="34" s="1"/>
  <c r="H49" i="34"/>
  <c r="V49" i="34" s="1"/>
  <c r="N49" i="34"/>
  <c r="G47" i="34"/>
  <c r="N47" i="34" s="1"/>
  <c r="H47" i="34"/>
  <c r="V47" i="34" s="1"/>
  <c r="O47" i="34"/>
  <c r="G39" i="34"/>
  <c r="U39" i="34" s="1"/>
  <c r="H39" i="34"/>
  <c r="V39" i="34" s="1"/>
  <c r="U35" i="34"/>
  <c r="V35" i="34"/>
  <c r="G31" i="34"/>
  <c r="U31" i="34" s="1"/>
  <c r="H31" i="34"/>
  <c r="V31" i="34" s="1"/>
  <c r="V27" i="34"/>
  <c r="G23" i="34"/>
  <c r="U23" i="34" s="1"/>
  <c r="O23" i="34"/>
  <c r="H23" i="34"/>
  <c r="V23" i="34" s="1"/>
  <c r="N23" i="34"/>
  <c r="U19" i="34"/>
  <c r="V19" i="34"/>
  <c r="G15" i="34"/>
  <c r="N15" i="34"/>
  <c r="O15" i="34"/>
  <c r="H15" i="34"/>
  <c r="U11" i="34"/>
  <c r="V11" i="34"/>
  <c r="G69" i="34"/>
  <c r="U69" i="34" s="1"/>
  <c r="H69" i="34"/>
  <c r="V69" i="34" s="1"/>
  <c r="T84" i="34"/>
  <c r="M84" i="34"/>
  <c r="G75" i="34"/>
  <c r="N75" i="34" s="1"/>
  <c r="H75" i="34"/>
  <c r="O75" i="34" s="1"/>
  <c r="K20" i="35"/>
  <c r="J20" i="35"/>
  <c r="M30" i="34"/>
  <c r="M14" i="34"/>
  <c r="T44" i="34"/>
  <c r="S40" i="34"/>
  <c r="M40" i="34"/>
  <c r="L40" i="34"/>
  <c r="T40" i="34"/>
  <c r="T12" i="34"/>
  <c r="S8" i="34"/>
  <c r="M8" i="34"/>
  <c r="L8" i="34"/>
  <c r="T8" i="34"/>
  <c r="Q85" i="33"/>
  <c r="J85" i="33"/>
  <c r="R85" i="33"/>
  <c r="K85" i="33"/>
  <c r="K15" i="35"/>
  <c r="J15" i="35"/>
  <c r="T55" i="34"/>
  <c r="L55" i="34"/>
  <c r="S55" i="34"/>
  <c r="M55" i="34"/>
  <c r="BG91" i="33"/>
  <c r="AZ91" i="33"/>
  <c r="BH91" i="33"/>
  <c r="BA91" i="33"/>
  <c r="Q89" i="33"/>
  <c r="J89" i="33"/>
  <c r="K89" i="33"/>
  <c r="R89" i="33"/>
  <c r="Q84" i="33"/>
  <c r="J84" i="33"/>
  <c r="K84" i="33"/>
  <c r="R84" i="33"/>
  <c r="AL76" i="33"/>
  <c r="AE76" i="33"/>
  <c r="AF76" i="33"/>
  <c r="AM76" i="33"/>
  <c r="Q71" i="33"/>
  <c r="J71" i="33"/>
  <c r="K71" i="33"/>
  <c r="R71" i="33"/>
  <c r="AL60" i="33"/>
  <c r="AE60" i="33"/>
  <c r="AF60" i="33"/>
  <c r="AM60" i="33"/>
  <c r="BG49" i="33"/>
  <c r="AZ49" i="33"/>
  <c r="BA49" i="33"/>
  <c r="BH49" i="33"/>
  <c r="Q39" i="33"/>
  <c r="J39" i="33"/>
  <c r="K39" i="33"/>
  <c r="R39" i="33"/>
  <c r="M18" i="32"/>
  <c r="L18" i="32"/>
  <c r="T68" i="31"/>
  <c r="S64" i="31"/>
  <c r="L64" i="31"/>
  <c r="S63" i="31"/>
  <c r="L63" i="31"/>
  <c r="T60" i="31"/>
  <c r="S56" i="31"/>
  <c r="L56" i="31"/>
  <c r="S55" i="31"/>
  <c r="L55" i="31"/>
  <c r="T52" i="31"/>
  <c r="S48" i="31"/>
  <c r="L48" i="31"/>
  <c r="S47" i="31"/>
  <c r="L47" i="31"/>
  <c r="T44" i="31"/>
  <c r="S40" i="31"/>
  <c r="L40" i="31"/>
  <c r="S39" i="31"/>
  <c r="L39" i="31"/>
  <c r="T36" i="31"/>
  <c r="S32" i="31"/>
  <c r="L32" i="31"/>
  <c r="S31" i="31"/>
  <c r="L31" i="31"/>
  <c r="T28" i="31"/>
  <c r="S24" i="31"/>
  <c r="L24" i="31"/>
  <c r="S23" i="31"/>
  <c r="L23" i="31"/>
  <c r="T20" i="31"/>
  <c r="S16" i="31"/>
  <c r="L16" i="31"/>
  <c r="S15" i="31"/>
  <c r="L15" i="31"/>
  <c r="T12" i="31"/>
  <c r="S8" i="31"/>
  <c r="L8" i="31"/>
  <c r="S7" i="31"/>
  <c r="L7" i="31"/>
  <c r="U28" i="34"/>
  <c r="U22" i="34"/>
  <c r="V10" i="34"/>
  <c r="U10" i="34"/>
  <c r="BG77" i="33"/>
  <c r="AZ77" i="33"/>
  <c r="BA77" i="33"/>
  <c r="BH77" i="33"/>
  <c r="BG53" i="33"/>
  <c r="AZ53" i="33"/>
  <c r="BA53" i="33"/>
  <c r="BH53" i="33"/>
  <c r="H70" i="31"/>
  <c r="O70" i="31" s="1"/>
  <c r="M52" i="31"/>
  <c r="S28" i="31"/>
  <c r="L28" i="31"/>
  <c r="M20" i="31"/>
  <c r="G66" i="34"/>
  <c r="U66" i="34" s="1"/>
  <c r="H66" i="34"/>
  <c r="O66" i="34" s="1"/>
  <c r="S64" i="34"/>
  <c r="T64" i="34"/>
  <c r="M64" i="34"/>
  <c r="L64" i="34"/>
  <c r="AL77" i="33"/>
  <c r="AE77" i="33"/>
  <c r="AF77" i="33"/>
  <c r="AM77" i="33"/>
  <c r="BG66" i="33"/>
  <c r="AZ66" i="33"/>
  <c r="BA66" i="33"/>
  <c r="BH66" i="33"/>
  <c r="Q56" i="33"/>
  <c r="J56" i="33"/>
  <c r="K56" i="33"/>
  <c r="R56" i="33"/>
  <c r="Q40" i="33"/>
  <c r="J40" i="33"/>
  <c r="K40" i="33"/>
  <c r="R40" i="33"/>
  <c r="S36" i="34"/>
  <c r="T36" i="34"/>
  <c r="L36" i="34"/>
  <c r="M36" i="34"/>
  <c r="AL89" i="33"/>
  <c r="AE89" i="33"/>
  <c r="AF89" i="33"/>
  <c r="AM89" i="33"/>
  <c r="BG82" i="33"/>
  <c r="AZ82" i="33"/>
  <c r="BH82" i="33"/>
  <c r="BA82" i="33"/>
  <c r="AL73" i="33"/>
  <c r="AE73" i="33"/>
  <c r="AF73" i="33"/>
  <c r="AM73" i="33"/>
  <c r="BG62" i="33"/>
  <c r="AZ62" i="33"/>
  <c r="BA62" i="33"/>
  <c r="BH62" i="33"/>
  <c r="BG46" i="33"/>
  <c r="AZ46" i="33"/>
  <c r="BA46" i="33"/>
  <c r="BH46" i="33"/>
  <c r="AL41" i="33"/>
  <c r="AE41" i="33"/>
  <c r="AF41" i="33"/>
  <c r="AM41" i="33"/>
  <c r="G42" i="32"/>
  <c r="N42" i="32"/>
  <c r="H42" i="32"/>
  <c r="O42" i="32"/>
  <c r="G34" i="32"/>
  <c r="N34" i="32"/>
  <c r="H34" i="32"/>
  <c r="O34" i="32"/>
  <c r="G26" i="32"/>
  <c r="N26" i="32"/>
  <c r="H26" i="32"/>
  <c r="O26" i="32"/>
  <c r="M13" i="32"/>
  <c r="L13" i="32"/>
  <c r="U65" i="31"/>
  <c r="I65" i="31" s="1"/>
  <c r="V65" i="31"/>
  <c r="M50" i="31"/>
  <c r="N43" i="31"/>
  <c r="H43" i="31"/>
  <c r="O43" i="31" s="1"/>
  <c r="G43" i="31"/>
  <c r="U43" i="31" s="1"/>
  <c r="V38" i="31"/>
  <c r="U25" i="31"/>
  <c r="V25" i="31"/>
  <c r="N11" i="31"/>
  <c r="H11" i="31"/>
  <c r="O11" i="31"/>
  <c r="G11" i="31"/>
  <c r="Q75" i="33"/>
  <c r="J75" i="33"/>
  <c r="K75" i="33"/>
  <c r="R75" i="33"/>
  <c r="Q59" i="33"/>
  <c r="J59" i="33"/>
  <c r="K59" i="33"/>
  <c r="R59" i="33"/>
  <c r="AL56" i="33"/>
  <c r="AE56" i="33"/>
  <c r="AF56" i="33"/>
  <c r="AM56" i="33"/>
  <c r="BG42" i="33"/>
  <c r="AZ42" i="33"/>
  <c r="BA42" i="33"/>
  <c r="BH42" i="33"/>
  <c r="N69" i="31"/>
  <c r="I69" i="31" s="1"/>
  <c r="H65" i="31"/>
  <c r="O65" i="31" s="1"/>
  <c r="G38" i="31"/>
  <c r="N38" i="31" s="1"/>
  <c r="H25" i="31"/>
  <c r="I9" i="31"/>
  <c r="G49" i="31"/>
  <c r="N49" i="31" s="1"/>
  <c r="H17" i="31"/>
  <c r="T11" i="31"/>
  <c r="M13" i="36"/>
  <c r="L13" i="36"/>
  <c r="U87" i="34"/>
  <c r="AM21" i="35"/>
  <c r="AL21" i="35"/>
  <c r="AM22" i="35"/>
  <c r="AL22" i="35"/>
  <c r="G65" i="34"/>
  <c r="U65" i="34" s="1"/>
  <c r="H65" i="34"/>
  <c r="V65" i="34" s="1"/>
  <c r="G77" i="34"/>
  <c r="U77" i="34" s="1"/>
  <c r="N77" i="34"/>
  <c r="H77" i="34"/>
  <c r="V77" i="34" s="1"/>
  <c r="U47" i="34"/>
  <c r="G43" i="34"/>
  <c r="U43" i="34" s="1"/>
  <c r="H43" i="34"/>
  <c r="V43" i="34" s="1"/>
  <c r="Y17" i="35"/>
  <c r="X17" i="35"/>
  <c r="K13" i="35"/>
  <c r="J13" i="35"/>
  <c r="S24" i="34"/>
  <c r="M24" i="34"/>
  <c r="L24" i="34"/>
  <c r="T24" i="34"/>
  <c r="S74" i="34"/>
  <c r="T74" i="34"/>
  <c r="M74" i="34"/>
  <c r="L74" i="34"/>
  <c r="V44" i="34"/>
  <c r="V26" i="34"/>
  <c r="U26" i="34"/>
  <c r="L10" i="32"/>
  <c r="M10" i="32"/>
  <c r="T72" i="31"/>
  <c r="AL48" i="33"/>
  <c r="AE48" i="33"/>
  <c r="AF48" i="33"/>
  <c r="AM48" i="33"/>
  <c r="AL40" i="33"/>
  <c r="AE40" i="33"/>
  <c r="AF40" i="33"/>
  <c r="AM40" i="33"/>
  <c r="AM94" i="33" s="1"/>
  <c r="M36" i="31"/>
  <c r="S12" i="31"/>
  <c r="L12" i="31"/>
  <c r="Q72" i="33"/>
  <c r="J72" i="33"/>
  <c r="K72" i="33"/>
  <c r="R72" i="33"/>
  <c r="Q76" i="33"/>
  <c r="J76" i="33"/>
  <c r="K76" i="33"/>
  <c r="R76" i="33"/>
  <c r="N27" i="31"/>
  <c r="I27" i="31" s="1"/>
  <c r="H27" i="31"/>
  <c r="O27" i="31"/>
  <c r="G27" i="31"/>
  <c r="U22" i="31"/>
  <c r="V22" i="31"/>
  <c r="M60" i="31"/>
  <c r="S44" i="31"/>
  <c r="L44" i="31"/>
  <c r="G41" i="31"/>
  <c r="U41" i="31" s="1"/>
  <c r="N41" i="31"/>
  <c r="I41" i="31" s="1"/>
  <c r="H41" i="31"/>
  <c r="V41" i="31" s="1"/>
  <c r="L18" i="36"/>
  <c r="M18" i="36"/>
  <c r="L10" i="36"/>
  <c r="M10" i="36"/>
  <c r="J28" i="35"/>
  <c r="K28" i="35"/>
  <c r="T82" i="34"/>
  <c r="M82" i="34"/>
  <c r="K22" i="35"/>
  <c r="J22" i="35"/>
  <c r="Y16" i="35"/>
  <c r="X16" i="35"/>
  <c r="G73" i="34"/>
  <c r="U73" i="34" s="1"/>
  <c r="H73" i="34"/>
  <c r="V73" i="34" s="1"/>
  <c r="V50" i="34"/>
  <c r="G50" i="34"/>
  <c r="N50" i="34" s="1"/>
  <c r="T91" i="34"/>
  <c r="M91" i="34"/>
  <c r="M54" i="34"/>
  <c r="S54" i="34"/>
  <c r="L54" i="34"/>
  <c r="T54" i="34"/>
  <c r="G45" i="34"/>
  <c r="N45" i="34" s="1"/>
  <c r="H45" i="34"/>
  <c r="V45" i="34" s="1"/>
  <c r="G37" i="34"/>
  <c r="U37" i="34" s="1"/>
  <c r="H37" i="34"/>
  <c r="O37" i="34" s="1"/>
  <c r="G21" i="34"/>
  <c r="U21" i="34" s="1"/>
  <c r="O21" i="34"/>
  <c r="H21" i="34"/>
  <c r="V21" i="34" s="1"/>
  <c r="N21" i="34"/>
  <c r="G13" i="34"/>
  <c r="O13" i="34"/>
  <c r="H13" i="34"/>
  <c r="N13" i="34"/>
  <c r="K12" i="35"/>
  <c r="J12" i="35"/>
  <c r="H46" i="34"/>
  <c r="V46" i="34" s="1"/>
  <c r="G46" i="34"/>
  <c r="U46" i="34" s="1"/>
  <c r="O46" i="34"/>
  <c r="M18" i="34"/>
  <c r="S72" i="34"/>
  <c r="T72" i="34"/>
  <c r="M72" i="34"/>
  <c r="L72" i="34"/>
  <c r="G70" i="34"/>
  <c r="U70" i="34" s="1"/>
  <c r="H70" i="34"/>
  <c r="O70" i="34" s="1"/>
  <c r="AL90" i="33"/>
  <c r="AE90" i="33"/>
  <c r="AM90" i="33"/>
  <c r="AF90" i="33"/>
  <c r="BG81" i="33"/>
  <c r="AZ81" i="33"/>
  <c r="BA81" i="33"/>
  <c r="BH81" i="33"/>
  <c r="N14" i="34"/>
  <c r="G14" i="34"/>
  <c r="O14" i="34"/>
  <c r="H14" i="34"/>
  <c r="L16" i="36"/>
  <c r="M16" i="36"/>
  <c r="L14" i="36"/>
  <c r="M14" i="36"/>
  <c r="M26" i="36"/>
  <c r="L26" i="36"/>
  <c r="M19" i="36"/>
  <c r="L19" i="36"/>
  <c r="T90" i="34"/>
  <c r="M90" i="34"/>
  <c r="AM16" i="35"/>
  <c r="AL16" i="35"/>
  <c r="Y14" i="35"/>
  <c r="X14" i="35"/>
  <c r="Y11" i="35"/>
  <c r="X11" i="35"/>
  <c r="K9" i="35"/>
  <c r="J9" i="35"/>
  <c r="T80" i="34"/>
  <c r="S80" i="34"/>
  <c r="M80" i="34"/>
  <c r="L80" i="34"/>
  <c r="Y22" i="35"/>
  <c r="X22" i="35"/>
  <c r="AM18" i="35"/>
  <c r="AL18" i="35"/>
  <c r="K16" i="35"/>
  <c r="J16" i="35"/>
  <c r="Y13" i="35"/>
  <c r="X13" i="35"/>
  <c r="AM10" i="35"/>
  <c r="AL10" i="35"/>
  <c r="K8" i="35"/>
  <c r="J8" i="35"/>
  <c r="T92" i="34"/>
  <c r="L92" i="34"/>
  <c r="M92" i="34"/>
  <c r="S92" i="34"/>
  <c r="AM23" i="35"/>
  <c r="AL23" i="35"/>
  <c r="Y20" i="35"/>
  <c r="X20" i="35"/>
  <c r="K18" i="35"/>
  <c r="J18" i="35"/>
  <c r="Y15" i="35"/>
  <c r="X15" i="35"/>
  <c r="AM12" i="35"/>
  <c r="AL12" i="35"/>
  <c r="K10" i="35"/>
  <c r="J10" i="35"/>
  <c r="Y12" i="35"/>
  <c r="X12" i="35"/>
  <c r="G41" i="34"/>
  <c r="N41" i="34" s="1"/>
  <c r="H41" i="34"/>
  <c r="V41" i="34" s="1"/>
  <c r="G33" i="34"/>
  <c r="U33" i="34" s="1"/>
  <c r="H33" i="34"/>
  <c r="V33" i="34" s="1"/>
  <c r="G25" i="34"/>
  <c r="U25" i="34" s="1"/>
  <c r="O25" i="34"/>
  <c r="H25" i="34"/>
  <c r="V25" i="34" s="1"/>
  <c r="N25" i="34"/>
  <c r="G17" i="34"/>
  <c r="U17" i="34" s="1"/>
  <c r="O17" i="34"/>
  <c r="H17" i="34"/>
  <c r="V17" i="34" s="1"/>
  <c r="N17" i="34"/>
  <c r="U13" i="34"/>
  <c r="V13" i="34"/>
  <c r="G9" i="34"/>
  <c r="O9" i="34"/>
  <c r="H9" i="34"/>
  <c r="N9" i="34"/>
  <c r="AM19" i="35"/>
  <c r="AL19" i="35"/>
  <c r="G71" i="34"/>
  <c r="U71" i="34" s="1"/>
  <c r="H71" i="34"/>
  <c r="V71" i="34" s="1"/>
  <c r="K25" i="35"/>
  <c r="J25" i="35"/>
  <c r="Y9" i="35"/>
  <c r="X9" i="35"/>
  <c r="H87" i="34"/>
  <c r="O87" i="34" s="1"/>
  <c r="G34" i="34"/>
  <c r="U34" i="34" s="1"/>
  <c r="H34" i="34"/>
  <c r="V34" i="34" s="1"/>
  <c r="U18" i="34"/>
  <c r="Q88" i="33"/>
  <c r="J88" i="33"/>
  <c r="K88" i="33"/>
  <c r="R88" i="33"/>
  <c r="T62" i="34"/>
  <c r="M62" i="34"/>
  <c r="L62" i="34"/>
  <c r="S62" i="34"/>
  <c r="T59" i="34"/>
  <c r="M59" i="34"/>
  <c r="V14" i="34"/>
  <c r="U14" i="34"/>
  <c r="AL68" i="33"/>
  <c r="AE68" i="33"/>
  <c r="AF68" i="33"/>
  <c r="AM68" i="33"/>
  <c r="BG57" i="33"/>
  <c r="BG95" i="33" s="1"/>
  <c r="AZ57" i="33"/>
  <c r="BA57" i="33"/>
  <c r="BH57" i="33"/>
  <c r="Q47" i="33"/>
  <c r="J47" i="33"/>
  <c r="K47" i="33"/>
  <c r="R47" i="33"/>
  <c r="U42" i="34"/>
  <c r="S16" i="34"/>
  <c r="L16" i="34"/>
  <c r="T16" i="34"/>
  <c r="M16" i="34"/>
  <c r="AL72" i="33"/>
  <c r="AE72" i="33"/>
  <c r="AF72" i="33"/>
  <c r="AM72" i="33"/>
  <c r="BG69" i="33"/>
  <c r="AZ69" i="33"/>
  <c r="BA69" i="33"/>
  <c r="BH69" i="33"/>
  <c r="Q67" i="33"/>
  <c r="J67" i="33"/>
  <c r="K67" i="33"/>
  <c r="R67" i="33"/>
  <c r="AL64" i="33"/>
  <c r="AE64" i="33"/>
  <c r="AF64" i="33"/>
  <c r="AM64" i="33"/>
  <c r="BG61" i="33"/>
  <c r="AZ61" i="33"/>
  <c r="BA61" i="33"/>
  <c r="BH61" i="33"/>
  <c r="L16" i="32"/>
  <c r="M16" i="32"/>
  <c r="L12" i="32"/>
  <c r="M12" i="32"/>
  <c r="L8" i="32"/>
  <c r="M8" i="32"/>
  <c r="H62" i="31"/>
  <c r="O62" i="31" s="1"/>
  <c r="S36" i="31"/>
  <c r="L36" i="31"/>
  <c r="M28" i="31"/>
  <c r="BG74" i="33"/>
  <c r="AZ74" i="33"/>
  <c r="BA74" i="33"/>
  <c r="BH74" i="33"/>
  <c r="Q64" i="33"/>
  <c r="J64" i="33"/>
  <c r="K64" i="33"/>
  <c r="R64" i="33"/>
  <c r="AL53" i="33"/>
  <c r="AE53" i="33"/>
  <c r="AF53" i="33"/>
  <c r="AM53" i="33"/>
  <c r="M15" i="32"/>
  <c r="L15" i="32"/>
  <c r="M7" i="32"/>
  <c r="L7" i="32"/>
  <c r="M27" i="31"/>
  <c r="BG87" i="33"/>
  <c r="AZ87" i="33"/>
  <c r="BA87" i="33"/>
  <c r="BH87" i="33"/>
  <c r="BG78" i="33"/>
  <c r="AZ78" i="33"/>
  <c r="BA78" i="33"/>
  <c r="BH78" i="33"/>
  <c r="BG70" i="33"/>
  <c r="AZ70" i="33"/>
  <c r="BA70" i="33"/>
  <c r="BH70" i="33"/>
  <c r="Q60" i="33"/>
  <c r="J60" i="33"/>
  <c r="K60" i="33"/>
  <c r="R60" i="33"/>
  <c r="BG54" i="33"/>
  <c r="AZ54" i="33"/>
  <c r="BA54" i="33"/>
  <c r="BH54" i="33"/>
  <c r="BG38" i="33"/>
  <c r="AZ38" i="33"/>
  <c r="BA38" i="33"/>
  <c r="BH38" i="33"/>
  <c r="BH94" i="33" s="1"/>
  <c r="G44" i="32"/>
  <c r="N44" i="32"/>
  <c r="H44" i="32"/>
  <c r="O44" i="32"/>
  <c r="G36" i="32"/>
  <c r="N36" i="32"/>
  <c r="H36" i="32"/>
  <c r="O36" i="32"/>
  <c r="G28" i="32"/>
  <c r="N28" i="32"/>
  <c r="H28" i="32"/>
  <c r="O28" i="32"/>
  <c r="G22" i="32"/>
  <c r="N22" i="32"/>
  <c r="H22" i="32"/>
  <c r="O22" i="32" s="1"/>
  <c r="M17" i="32"/>
  <c r="L17" i="32"/>
  <c r="H67" i="31"/>
  <c r="V67" i="31" s="1"/>
  <c r="O67" i="31"/>
  <c r="G67" i="31"/>
  <c r="N67" i="31" s="1"/>
  <c r="M63" i="31"/>
  <c r="V54" i="31"/>
  <c r="U46" i="31"/>
  <c r="V46" i="31"/>
  <c r="M42" i="31"/>
  <c r="U33" i="31"/>
  <c r="I33" i="31" s="1"/>
  <c r="V33" i="31"/>
  <c r="N19" i="31"/>
  <c r="H19" i="31"/>
  <c r="O19" i="31"/>
  <c r="G19" i="31"/>
  <c r="U14" i="31"/>
  <c r="I14" i="31" s="1"/>
  <c r="V14" i="31"/>
  <c r="T66" i="31"/>
  <c r="S60" i="31"/>
  <c r="L60" i="31"/>
  <c r="T42" i="31"/>
  <c r="I25" i="31"/>
  <c r="G14" i="31"/>
  <c r="G9" i="31"/>
  <c r="G54" i="31"/>
  <c r="N54" i="31" s="1"/>
  <c r="G46" i="31"/>
  <c r="N46" i="31" s="1"/>
  <c r="I17" i="31"/>
  <c r="U13" i="31" l="1"/>
  <c r="V13" i="31"/>
  <c r="V75" i="34"/>
  <c r="O51" i="31"/>
  <c r="O13" i="31"/>
  <c r="G13" i="31"/>
  <c r="N13" i="31"/>
  <c r="I13" i="31" s="1"/>
  <c r="H13" i="31"/>
  <c r="N65" i="34"/>
  <c r="O69" i="34"/>
  <c r="N67" i="34"/>
  <c r="N59" i="31"/>
  <c r="I59" i="31" s="1"/>
  <c r="G53" i="31"/>
  <c r="U53" i="31" s="1"/>
  <c r="H53" i="31"/>
  <c r="O53" i="31" s="1"/>
  <c r="L73" i="31"/>
  <c r="V62" i="31"/>
  <c r="M72" i="31"/>
  <c r="U44" i="34"/>
  <c r="N43" i="34"/>
  <c r="V70" i="31"/>
  <c r="O61" i="31"/>
  <c r="G61" i="31"/>
  <c r="N61" i="31" s="1"/>
  <c r="H61" i="31"/>
  <c r="V61" i="31" s="1"/>
  <c r="U29" i="31"/>
  <c r="O22" i="31"/>
  <c r="N22" i="31"/>
  <c r="I22" i="31" s="1"/>
  <c r="H22" i="31"/>
  <c r="V29" i="31"/>
  <c r="O29" i="31"/>
  <c r="N37" i="34"/>
  <c r="L51" i="32"/>
  <c r="K94" i="33"/>
  <c r="O39" i="34"/>
  <c r="O63" i="34"/>
  <c r="N57" i="31"/>
  <c r="I57" i="31" s="1"/>
  <c r="O35" i="31"/>
  <c r="V49" i="31"/>
  <c r="I29" i="31"/>
  <c r="AL31" i="35"/>
  <c r="O41" i="34"/>
  <c r="N34" i="34"/>
  <c r="V37" i="34"/>
  <c r="J31" i="35"/>
  <c r="N70" i="34"/>
  <c r="BA94" i="33"/>
  <c r="U75" i="34"/>
  <c r="N71" i="34"/>
  <c r="N33" i="34"/>
  <c r="U45" i="34"/>
  <c r="N46" i="34"/>
  <c r="N73" i="34"/>
  <c r="R94" i="33"/>
  <c r="N79" i="34"/>
  <c r="U68" i="34"/>
  <c r="AF94" i="33"/>
  <c r="AE95" i="33"/>
  <c r="S95" i="34"/>
  <c r="X31" i="35"/>
  <c r="N26" i="34"/>
  <c r="J95" i="33"/>
  <c r="AZ95" i="33"/>
  <c r="Q95" i="33"/>
  <c r="N56" i="34"/>
  <c r="AL95" i="33"/>
  <c r="U63" i="34"/>
  <c r="N36" i="31"/>
  <c r="I36" i="31" s="1"/>
  <c r="H36" i="31"/>
  <c r="O36" i="31" s="1"/>
  <c r="G36" i="31"/>
  <c r="N16" i="32"/>
  <c r="H16" i="32"/>
  <c r="O16" i="32" s="1"/>
  <c r="G16" i="32"/>
  <c r="G19" i="36"/>
  <c r="N19" i="36" s="1"/>
  <c r="H19" i="36"/>
  <c r="O19" i="36" s="1"/>
  <c r="G72" i="34"/>
  <c r="N72" i="34" s="1"/>
  <c r="H72" i="34"/>
  <c r="O72" i="34" s="1"/>
  <c r="H54" i="34"/>
  <c r="V54" i="34" s="1"/>
  <c r="G54" i="34"/>
  <c r="N54" i="34" s="1"/>
  <c r="H44" i="31"/>
  <c r="G44" i="31"/>
  <c r="N44" i="31" s="1"/>
  <c r="O44" i="31"/>
  <c r="G36" i="34"/>
  <c r="N36" i="34" s="1"/>
  <c r="H36" i="34"/>
  <c r="O36" i="34" s="1"/>
  <c r="N28" i="31"/>
  <c r="H28" i="31"/>
  <c r="V28" i="31" s="1"/>
  <c r="G28" i="31"/>
  <c r="U28" i="31" s="1"/>
  <c r="O28" i="31"/>
  <c r="V15" i="31"/>
  <c r="U15" i="31"/>
  <c r="M94" i="34"/>
  <c r="O15" i="36"/>
  <c r="G15" i="36"/>
  <c r="N15" i="36" s="1"/>
  <c r="H15" i="36"/>
  <c r="U34" i="31"/>
  <c r="G86" i="34"/>
  <c r="N86" i="34" s="1"/>
  <c r="H86" i="34"/>
  <c r="O86" i="34" s="1"/>
  <c r="H20" i="36"/>
  <c r="O20" i="36" s="1"/>
  <c r="G20" i="36"/>
  <c r="N20" i="36" s="1"/>
  <c r="N20" i="31"/>
  <c r="H20" i="31"/>
  <c r="G20" i="31"/>
  <c r="O20" i="31"/>
  <c r="U26" i="31"/>
  <c r="V26" i="31"/>
  <c r="U67" i="31"/>
  <c r="I67" i="31" s="1"/>
  <c r="I46" i="31"/>
  <c r="O45" i="34"/>
  <c r="N12" i="31"/>
  <c r="H12" i="31"/>
  <c r="G12" i="31"/>
  <c r="O12" i="31"/>
  <c r="N24" i="34"/>
  <c r="O24" i="34"/>
  <c r="G24" i="34"/>
  <c r="H24" i="34"/>
  <c r="V24" i="34" s="1"/>
  <c r="V87" i="34"/>
  <c r="I11" i="31"/>
  <c r="U38" i="31"/>
  <c r="I38" i="31" s="1"/>
  <c r="O13" i="32"/>
  <c r="G13" i="32"/>
  <c r="N13" i="32"/>
  <c r="H13" i="32"/>
  <c r="V8" i="31"/>
  <c r="U8" i="31"/>
  <c r="V23" i="31"/>
  <c r="U23" i="31"/>
  <c r="H48" i="31"/>
  <c r="O48" i="31" s="1"/>
  <c r="G48" i="31"/>
  <c r="N48" i="31" s="1"/>
  <c r="I48" i="31" s="1"/>
  <c r="G63" i="31"/>
  <c r="O63" i="31"/>
  <c r="N63" i="31"/>
  <c r="H63" i="31"/>
  <c r="V63" i="31" s="1"/>
  <c r="V8" i="34"/>
  <c r="U8" i="34"/>
  <c r="O31" i="34"/>
  <c r="H61" i="34"/>
  <c r="O61" i="34" s="1"/>
  <c r="G61" i="34"/>
  <c r="N61" i="34" s="1"/>
  <c r="U41" i="34"/>
  <c r="H89" i="34"/>
  <c r="V89" i="34" s="1"/>
  <c r="G89" i="34"/>
  <c r="N89" i="34" s="1"/>
  <c r="O9" i="36"/>
  <c r="G9" i="36"/>
  <c r="N9" i="36"/>
  <c r="H9" i="36"/>
  <c r="L88" i="31"/>
  <c r="V20" i="31"/>
  <c r="U20" i="31"/>
  <c r="H26" i="31"/>
  <c r="N26" i="31"/>
  <c r="G26" i="31"/>
  <c r="O26" i="31"/>
  <c r="V43" i="31"/>
  <c r="V56" i="34"/>
  <c r="U51" i="31"/>
  <c r="I51" i="31" s="1"/>
  <c r="U54" i="31"/>
  <c r="I54" i="31" s="1"/>
  <c r="O12" i="32"/>
  <c r="N12" i="32"/>
  <c r="H12" i="32"/>
  <c r="G12" i="32"/>
  <c r="V42" i="34"/>
  <c r="O71" i="34"/>
  <c r="O33" i="34"/>
  <c r="U92" i="34"/>
  <c r="V92" i="34"/>
  <c r="G80" i="34"/>
  <c r="U80" i="34" s="1"/>
  <c r="H80" i="34"/>
  <c r="O80" i="34" s="1"/>
  <c r="N80" i="34"/>
  <c r="G26" i="36"/>
  <c r="N26" i="36" s="1"/>
  <c r="H26" i="36"/>
  <c r="O26" i="36" s="1"/>
  <c r="U50" i="34"/>
  <c r="O73" i="34"/>
  <c r="V12" i="31"/>
  <c r="U12" i="31"/>
  <c r="O10" i="32"/>
  <c r="N10" i="32"/>
  <c r="H10" i="32"/>
  <c r="G10" i="32"/>
  <c r="O43" i="34"/>
  <c r="O77" i="34"/>
  <c r="O65" i="34"/>
  <c r="O13" i="36"/>
  <c r="G13" i="36"/>
  <c r="H13" i="36"/>
  <c r="N13" i="36"/>
  <c r="I49" i="31"/>
  <c r="U36" i="34"/>
  <c r="N66" i="34"/>
  <c r="N7" i="31"/>
  <c r="H7" i="31"/>
  <c r="G7" i="31"/>
  <c r="O7" i="31"/>
  <c r="V16" i="31"/>
  <c r="U16" i="31"/>
  <c r="N24" i="31"/>
  <c r="H24" i="31"/>
  <c r="O24" i="31"/>
  <c r="G24" i="31"/>
  <c r="N39" i="31"/>
  <c r="H39" i="31"/>
  <c r="G39" i="31"/>
  <c r="O39" i="31"/>
  <c r="V48" i="31"/>
  <c r="U48" i="31"/>
  <c r="H56" i="31"/>
  <c r="O56" i="31" s="1"/>
  <c r="G56" i="31"/>
  <c r="N56" i="31" s="1"/>
  <c r="U63" i="31"/>
  <c r="H18" i="32"/>
  <c r="O18" i="32" s="1"/>
  <c r="G18" i="32"/>
  <c r="N18" i="32" s="1"/>
  <c r="G55" i="34"/>
  <c r="N55" i="34" s="1"/>
  <c r="H55" i="34"/>
  <c r="V55" i="34" s="1"/>
  <c r="T94" i="34"/>
  <c r="N31" i="34"/>
  <c r="N39" i="34"/>
  <c r="U61" i="34"/>
  <c r="O67" i="34"/>
  <c r="O79" i="34"/>
  <c r="G24" i="36"/>
  <c r="N24" i="36" s="1"/>
  <c r="H24" i="36"/>
  <c r="O24" i="36" s="1"/>
  <c r="U10" i="31"/>
  <c r="V10" i="31"/>
  <c r="G17" i="36"/>
  <c r="N17" i="36" s="1"/>
  <c r="H17" i="36"/>
  <c r="O17" i="36" s="1"/>
  <c r="G76" i="34"/>
  <c r="N76" i="34" s="1"/>
  <c r="H76" i="34"/>
  <c r="O76" i="34" s="1"/>
  <c r="G78" i="34"/>
  <c r="U78" i="34" s="1"/>
  <c r="H78" i="34"/>
  <c r="O78" i="34" s="1"/>
  <c r="O9" i="32"/>
  <c r="G9" i="32"/>
  <c r="N9" i="32"/>
  <c r="H9" i="32"/>
  <c r="N20" i="34"/>
  <c r="O20" i="34"/>
  <c r="G20" i="34"/>
  <c r="U20" i="34" s="1"/>
  <c r="H20" i="34"/>
  <c r="V20" i="34" s="1"/>
  <c r="V66" i="34"/>
  <c r="G52" i="31"/>
  <c r="N52" i="31" s="1"/>
  <c r="I52" i="31" s="1"/>
  <c r="H52" i="31"/>
  <c r="O52" i="31" s="1"/>
  <c r="U18" i="31"/>
  <c r="V18" i="31"/>
  <c r="H53" i="34"/>
  <c r="V53" i="34" s="1"/>
  <c r="G53" i="34"/>
  <c r="U53" i="34" s="1"/>
  <c r="G68" i="31"/>
  <c r="N68" i="31" s="1"/>
  <c r="H68" i="31"/>
  <c r="O68" i="31" s="1"/>
  <c r="L95" i="34"/>
  <c r="G83" i="34"/>
  <c r="N83" i="34" s="1"/>
  <c r="H83" i="34"/>
  <c r="O83" i="34" s="1"/>
  <c r="V70" i="34"/>
  <c r="H52" i="34"/>
  <c r="O52" i="34" s="1"/>
  <c r="G52" i="34"/>
  <c r="N52" i="34" s="1"/>
  <c r="G88" i="34"/>
  <c r="N88" i="34" s="1"/>
  <c r="H88" i="34"/>
  <c r="V88" i="34" s="1"/>
  <c r="O28" i="36"/>
  <c r="N28" i="36"/>
  <c r="G28" i="36"/>
  <c r="H28" i="36"/>
  <c r="O68" i="34"/>
  <c r="U35" i="31"/>
  <c r="I35" i="31" s="1"/>
  <c r="G17" i="32"/>
  <c r="N17" i="32" s="1"/>
  <c r="H17" i="32"/>
  <c r="O17" i="32" s="1"/>
  <c r="O8" i="32"/>
  <c r="N8" i="32"/>
  <c r="H8" i="32"/>
  <c r="G8" i="32"/>
  <c r="V16" i="34"/>
  <c r="U16" i="34"/>
  <c r="G62" i="34"/>
  <c r="N62" i="34" s="1"/>
  <c r="H62" i="34"/>
  <c r="V62" i="34" s="1"/>
  <c r="O92" i="34"/>
  <c r="G92" i="34"/>
  <c r="H92" i="34"/>
  <c r="N92" i="34"/>
  <c r="N8" i="31"/>
  <c r="H8" i="31"/>
  <c r="O8" i="31"/>
  <c r="G8" i="31"/>
  <c r="N23" i="31"/>
  <c r="I23" i="31" s="1"/>
  <c r="H23" i="31"/>
  <c r="G23" i="31"/>
  <c r="O23" i="31"/>
  <c r="H40" i="31"/>
  <c r="O40" i="31"/>
  <c r="G40" i="31"/>
  <c r="U40" i="31" s="1"/>
  <c r="H55" i="31"/>
  <c r="V55" i="31" s="1"/>
  <c r="G55" i="31"/>
  <c r="N55" i="31" s="1"/>
  <c r="O55" i="31"/>
  <c r="G40" i="34"/>
  <c r="U40" i="34" s="1"/>
  <c r="H40" i="34"/>
  <c r="V40" i="34" s="1"/>
  <c r="G51" i="34"/>
  <c r="U51" i="34" s="1"/>
  <c r="H51" i="34"/>
  <c r="V51" i="34" s="1"/>
  <c r="O19" i="32"/>
  <c r="G19" i="32"/>
  <c r="N19" i="32" s="1"/>
  <c r="H19" i="32"/>
  <c r="G57" i="34"/>
  <c r="N57" i="34" s="1"/>
  <c r="H57" i="34"/>
  <c r="O57" i="34" s="1"/>
  <c r="G32" i="34"/>
  <c r="U32" i="34" s="1"/>
  <c r="H32" i="34"/>
  <c r="V32" i="34" s="1"/>
  <c r="O11" i="36"/>
  <c r="G11" i="36"/>
  <c r="H11" i="36"/>
  <c r="N11" i="36"/>
  <c r="G22" i="36"/>
  <c r="N22" i="36" s="1"/>
  <c r="H22" i="36"/>
  <c r="O22" i="36" s="1"/>
  <c r="O15" i="32"/>
  <c r="G15" i="32"/>
  <c r="N15" i="32" s="1"/>
  <c r="H15" i="32"/>
  <c r="V36" i="31"/>
  <c r="U36" i="31"/>
  <c r="O14" i="36"/>
  <c r="N14" i="36"/>
  <c r="H14" i="36"/>
  <c r="G14" i="36"/>
  <c r="O10" i="36"/>
  <c r="N10" i="36"/>
  <c r="H10" i="36"/>
  <c r="G10" i="36"/>
  <c r="L31" i="36"/>
  <c r="V44" i="31"/>
  <c r="U44" i="31"/>
  <c r="I43" i="31"/>
  <c r="N16" i="31"/>
  <c r="I16" i="31" s="1"/>
  <c r="H16" i="31"/>
  <c r="O16" i="31"/>
  <c r="G16" i="31"/>
  <c r="H31" i="31"/>
  <c r="V31" i="31" s="1"/>
  <c r="G31" i="31"/>
  <c r="U31" i="31" s="1"/>
  <c r="V40" i="31"/>
  <c r="H21" i="36"/>
  <c r="O21" i="36" s="1"/>
  <c r="G21" i="36"/>
  <c r="N21" i="36" s="1"/>
  <c r="O25" i="36"/>
  <c r="H25" i="36"/>
  <c r="G25" i="36"/>
  <c r="N25" i="36" s="1"/>
  <c r="H34" i="31"/>
  <c r="O34" i="31" s="1"/>
  <c r="N34" i="31"/>
  <c r="G34" i="31"/>
  <c r="H50" i="31"/>
  <c r="O50" i="31" s="1"/>
  <c r="G50" i="31"/>
  <c r="U50" i="31" s="1"/>
  <c r="H66" i="31"/>
  <c r="V66" i="31" s="1"/>
  <c r="G66" i="31"/>
  <c r="N66" i="31" s="1"/>
  <c r="V76" i="34"/>
  <c r="U76" i="34"/>
  <c r="L87" i="31"/>
  <c r="H20" i="32"/>
  <c r="O20" i="32" s="1"/>
  <c r="G20" i="32"/>
  <c r="N20" i="32" s="1"/>
  <c r="U52" i="34"/>
  <c r="N60" i="31"/>
  <c r="G60" i="31"/>
  <c r="U60" i="31" s="1"/>
  <c r="H60" i="31"/>
  <c r="V60" i="31" s="1"/>
  <c r="I19" i="31"/>
  <c r="O7" i="32"/>
  <c r="G7" i="32"/>
  <c r="N7" i="32"/>
  <c r="H7" i="32"/>
  <c r="N16" i="34"/>
  <c r="O16" i="34"/>
  <c r="G16" i="34"/>
  <c r="H16" i="34"/>
  <c r="O34" i="34"/>
  <c r="H16" i="36"/>
  <c r="O16" i="36" s="1"/>
  <c r="G16" i="36"/>
  <c r="N16" i="36" s="1"/>
  <c r="V72" i="34"/>
  <c r="H18" i="36"/>
  <c r="O18" i="36" s="1"/>
  <c r="G18" i="36"/>
  <c r="N18" i="36" s="1"/>
  <c r="O41" i="31"/>
  <c r="G74" i="34"/>
  <c r="U74" i="34" s="1"/>
  <c r="H74" i="34"/>
  <c r="O74" i="34" s="1"/>
  <c r="U24" i="34"/>
  <c r="G64" i="34"/>
  <c r="N64" i="34" s="1"/>
  <c r="H64" i="34"/>
  <c r="V64" i="34" s="1"/>
  <c r="V7" i="31"/>
  <c r="U7" i="31"/>
  <c r="N15" i="31"/>
  <c r="H15" i="31"/>
  <c r="G15" i="31"/>
  <c r="O15" i="31"/>
  <c r="V24" i="31"/>
  <c r="U24" i="31"/>
  <c r="H32" i="31"/>
  <c r="V32" i="31" s="1"/>
  <c r="O32" i="31"/>
  <c r="G32" i="31"/>
  <c r="N32" i="31" s="1"/>
  <c r="V39" i="31"/>
  <c r="U39" i="31"/>
  <c r="G47" i="31"/>
  <c r="N47" i="31" s="1"/>
  <c r="H47" i="31"/>
  <c r="V47" i="31" s="1"/>
  <c r="V56" i="31"/>
  <c r="U56" i="31"/>
  <c r="N64" i="31"/>
  <c r="H64" i="31"/>
  <c r="V64" i="31" s="1"/>
  <c r="O64" i="31"/>
  <c r="G64" i="31"/>
  <c r="U64" i="31" s="1"/>
  <c r="N8" i="34"/>
  <c r="O8" i="34"/>
  <c r="G8" i="34"/>
  <c r="H8" i="34"/>
  <c r="N69" i="34"/>
  <c r="O49" i="34"/>
  <c r="O12" i="36"/>
  <c r="N12" i="36"/>
  <c r="H12" i="36"/>
  <c r="G12" i="36"/>
  <c r="H23" i="36"/>
  <c r="O23" i="36" s="1"/>
  <c r="G23" i="36"/>
  <c r="N23" i="36" s="1"/>
  <c r="H27" i="36"/>
  <c r="O27" i="36" s="1"/>
  <c r="D13" i="37" s="1"/>
  <c r="G27" i="36"/>
  <c r="N27" i="36" s="1"/>
  <c r="H85" i="34"/>
  <c r="O85" i="34" s="1"/>
  <c r="G85" i="34"/>
  <c r="U85" i="34" s="1"/>
  <c r="H10" i="31"/>
  <c r="N10" i="31"/>
  <c r="G10" i="31"/>
  <c r="O10" i="31"/>
  <c r="H42" i="31"/>
  <c r="O42" i="31" s="1"/>
  <c r="G42" i="31"/>
  <c r="U42" i="31" s="1"/>
  <c r="H58" i="31"/>
  <c r="V58" i="31" s="1"/>
  <c r="G58" i="31"/>
  <c r="U58" i="31" s="1"/>
  <c r="H14" i="32"/>
  <c r="O14" i="32" s="1"/>
  <c r="G14" i="32"/>
  <c r="N14" i="32" s="1"/>
  <c r="U57" i="34"/>
  <c r="O48" i="34"/>
  <c r="H81" i="34"/>
  <c r="V81" i="34" s="1"/>
  <c r="G81" i="34"/>
  <c r="N81" i="34" s="1"/>
  <c r="V59" i="31"/>
  <c r="O57" i="31"/>
  <c r="S73" i="31"/>
  <c r="L89" i="31"/>
  <c r="O11" i="32"/>
  <c r="G11" i="32"/>
  <c r="N11" i="32"/>
  <c r="H11" i="32"/>
  <c r="U52" i="31"/>
  <c r="H18" i="31"/>
  <c r="N18" i="31"/>
  <c r="G18" i="31"/>
  <c r="O18" i="31"/>
  <c r="O8" i="36"/>
  <c r="N8" i="36"/>
  <c r="H8" i="36"/>
  <c r="G8" i="36"/>
  <c r="V68" i="31"/>
  <c r="U68" i="31"/>
  <c r="I10" i="31" l="1"/>
  <c r="I60" i="31"/>
  <c r="N31" i="31"/>
  <c r="I31" i="31" s="1"/>
  <c r="N40" i="31"/>
  <c r="N76" i="31" s="1"/>
  <c r="U54" i="34"/>
  <c r="I39" i="31"/>
  <c r="N58" i="31"/>
  <c r="I58" i="31" s="1"/>
  <c r="O55" i="34"/>
  <c r="U61" i="31"/>
  <c r="I61" i="31" s="1"/>
  <c r="O47" i="31"/>
  <c r="O88" i="34"/>
  <c r="I34" i="31"/>
  <c r="I68" i="31"/>
  <c r="V42" i="31"/>
  <c r="I15" i="31"/>
  <c r="I63" i="31"/>
  <c r="V53" i="31"/>
  <c r="O62" i="34"/>
  <c r="I44" i="31"/>
  <c r="N53" i="31"/>
  <c r="I53" i="31" s="1"/>
  <c r="U55" i="34"/>
  <c r="N51" i="34"/>
  <c r="U81" i="34"/>
  <c r="O54" i="34"/>
  <c r="O81" i="34"/>
  <c r="N85" i="34"/>
  <c r="O32" i="34"/>
  <c r="N53" i="34"/>
  <c r="V86" i="34"/>
  <c r="V74" i="34"/>
  <c r="U88" i="34"/>
  <c r="O40" i="34"/>
  <c r="V57" i="34"/>
  <c r="V83" i="34"/>
  <c r="O51" i="34"/>
  <c r="U86" i="34"/>
  <c r="V61" i="34"/>
  <c r="D15" i="37"/>
  <c r="D5" i="37"/>
  <c r="D10" i="37" s="1"/>
  <c r="I7" i="31"/>
  <c r="V78" i="34"/>
  <c r="I20" i="31"/>
  <c r="U66" i="31"/>
  <c r="I66" i="31" s="1"/>
  <c r="N34" i="36"/>
  <c r="N33" i="36"/>
  <c r="N53" i="32"/>
  <c r="N54" i="32"/>
  <c r="O64" i="34"/>
  <c r="V50" i="31"/>
  <c r="O56" i="32"/>
  <c r="V85" i="34"/>
  <c r="U89" i="34"/>
  <c r="V34" i="31"/>
  <c r="V80" i="34"/>
  <c r="V52" i="31"/>
  <c r="V78" i="31" s="1"/>
  <c r="O58" i="31"/>
  <c r="N42" i="31"/>
  <c r="I42" i="31" s="1"/>
  <c r="U62" i="34"/>
  <c r="O60" i="31"/>
  <c r="V52" i="34"/>
  <c r="N50" i="31"/>
  <c r="I50" i="31" s="1"/>
  <c r="U55" i="31"/>
  <c r="I55" i="31" s="1"/>
  <c r="O31" i="31"/>
  <c r="O78" i="31" s="1"/>
  <c r="O36" i="36"/>
  <c r="N32" i="34"/>
  <c r="N40" i="34"/>
  <c r="I40" i="31"/>
  <c r="I8" i="31"/>
  <c r="O53" i="34"/>
  <c r="I56" i="31"/>
  <c r="I24" i="31"/>
  <c r="U64" i="34"/>
  <c r="U32" i="31"/>
  <c r="I32" i="31" s="1"/>
  <c r="N74" i="34"/>
  <c r="U83" i="34"/>
  <c r="V36" i="34"/>
  <c r="I26" i="31"/>
  <c r="O89" i="34"/>
  <c r="U47" i="31"/>
  <c r="I47" i="31" s="1"/>
  <c r="I18" i="31"/>
  <c r="I64" i="31"/>
  <c r="U72" i="34"/>
  <c r="O66" i="31"/>
  <c r="N78" i="34"/>
  <c r="I12" i="31"/>
  <c r="I28" i="31"/>
  <c r="U98" i="34" l="1"/>
  <c r="U76" i="31"/>
  <c r="O100" i="34"/>
  <c r="O80" i="31"/>
  <c r="V100" i="34"/>
  <c r="N98" i="34"/>
  <c r="D6" i="37"/>
  <c r="D8" i="37" s="1"/>
  <c r="D11" i="37" s="1"/>
  <c r="N97" i="34"/>
  <c r="U97" i="34"/>
  <c r="D16" i="37"/>
  <c r="U75" i="31"/>
  <c r="N75" i="31"/>
  <c r="N85" i="31" s="1"/>
  <c r="D17" i="37"/>
  <c r="C19" i="19" l="1"/>
  <c r="C20" i="19"/>
  <c r="C21" i="19"/>
  <c r="C22" i="19"/>
  <c r="C23" i="19"/>
  <c r="C24" i="19"/>
  <c r="C25" i="19"/>
  <c r="C26" i="19"/>
  <c r="C27" i="19"/>
  <c r="C28" i="19"/>
  <c r="C29" i="19"/>
  <c r="C30" i="19"/>
  <c r="C31" i="19"/>
  <c r="C32" i="19"/>
  <c r="C33" i="19"/>
  <c r="C34" i="19"/>
  <c r="C35" i="19"/>
  <c r="C36" i="19"/>
  <c r="C37" i="19"/>
  <c r="C38" i="19"/>
  <c r="C39" i="19"/>
  <c r="C40" i="19"/>
  <c r="C41" i="19"/>
  <c r="C42" i="19"/>
  <c r="C43" i="19"/>
  <c r="C44" i="19"/>
  <c r="C45" i="19"/>
  <c r="C46" i="19"/>
  <c r="C47" i="19"/>
  <c r="C48" i="19"/>
  <c r="C49" i="19"/>
  <c r="C50" i="19"/>
  <c r="C51" i="19"/>
  <c r="C52" i="19"/>
  <c r="C53" i="19"/>
  <c r="C18" i="19"/>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25" i="3"/>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29" i="2"/>
  <c r="B2" i="17" l="1"/>
  <c r="D68" i="19" l="1"/>
  <c r="D67" i="19"/>
  <c r="D66" i="19"/>
  <c r="D65" i="19"/>
  <c r="D64" i="19"/>
  <c r="D63" i="19"/>
  <c r="D62" i="19"/>
  <c r="D61" i="19"/>
  <c r="E10" i="19"/>
  <c r="B52" i="19" s="1"/>
  <c r="E9" i="19"/>
  <c r="B44" i="19" s="1"/>
  <c r="E8" i="19"/>
  <c r="B36" i="19" s="1"/>
  <c r="E7" i="19"/>
  <c r="B28" i="19" s="1"/>
  <c r="E6" i="19"/>
  <c r="B20" i="19" s="1"/>
  <c r="F65" i="19" l="1"/>
  <c r="H63" i="19"/>
  <c r="B19" i="19"/>
  <c r="B21" i="19"/>
  <c r="B23" i="19"/>
  <c r="B25" i="19"/>
  <c r="B27" i="19"/>
  <c r="B29" i="19"/>
  <c r="B31" i="19"/>
  <c r="B33" i="19"/>
  <c r="B35" i="19"/>
  <c r="B37" i="19"/>
  <c r="B39" i="19"/>
  <c r="B41" i="19"/>
  <c r="B43" i="19"/>
  <c r="B45" i="19"/>
  <c r="B47" i="19"/>
  <c r="B49" i="19"/>
  <c r="B51" i="19"/>
  <c r="B53" i="19"/>
  <c r="I8" i="19"/>
  <c r="J8" i="19" s="1"/>
  <c r="B18" i="19"/>
  <c r="B22" i="19"/>
  <c r="B24" i="19"/>
  <c r="B26" i="19"/>
  <c r="B30" i="19"/>
  <c r="B32" i="19"/>
  <c r="B34" i="19"/>
  <c r="B38" i="19"/>
  <c r="B40" i="19"/>
  <c r="B42" i="19"/>
  <c r="B46" i="19"/>
  <c r="B48" i="19"/>
  <c r="B50" i="19"/>
  <c r="G11" i="9"/>
  <c r="G10" i="9"/>
  <c r="I11" i="19" l="1"/>
  <c r="J11" i="19" s="1"/>
  <c r="I10" i="19"/>
  <c r="J10" i="19" s="1"/>
  <c r="I9" i="19"/>
  <c r="J9" i="19" s="1"/>
  <c r="F61" i="19"/>
  <c r="H67" i="19"/>
  <c r="F66" i="19"/>
  <c r="H64" i="19"/>
  <c r="F64" i="19"/>
  <c r="H62" i="19"/>
  <c r="F63" i="19"/>
  <c r="I63" i="19" s="1"/>
  <c r="H61" i="19"/>
  <c r="F68" i="19"/>
  <c r="H66" i="19"/>
  <c r="I66" i="19" s="1"/>
  <c r="F67" i="19"/>
  <c r="H65" i="19"/>
  <c r="I65" i="19" s="1"/>
  <c r="I7" i="19"/>
  <c r="F62" i="19"/>
  <c r="H68" i="19"/>
  <c r="I67" i="19" l="1"/>
  <c r="I61" i="19"/>
  <c r="J7" i="19"/>
  <c r="I12" i="19"/>
  <c r="J12" i="19" s="1"/>
  <c r="I62" i="19"/>
  <c r="I68" i="19"/>
  <c r="I64" i="19"/>
  <c r="C11" i="16"/>
  <c r="B14" i="16"/>
  <c r="B23" i="16"/>
  <c r="C23" i="16"/>
  <c r="B27" i="16"/>
  <c r="C35" i="16"/>
  <c r="B38" i="16"/>
  <c r="B43" i="16"/>
  <c r="B51" i="16"/>
  <c r="B67" i="16"/>
  <c r="A8" i="16"/>
  <c r="D8" i="16" s="1"/>
  <c r="A9" i="16"/>
  <c r="A10" i="16"/>
  <c r="M10" i="16" s="1"/>
  <c r="A11" i="16"/>
  <c r="H11" i="16" s="1"/>
  <c r="A12" i="16"/>
  <c r="G12" i="16" s="1"/>
  <c r="A13" i="16"/>
  <c r="D13" i="16" s="1"/>
  <c r="A14" i="16"/>
  <c r="A15" i="16"/>
  <c r="B15" i="16" s="1"/>
  <c r="A16" i="16"/>
  <c r="C16" i="16" s="1"/>
  <c r="A17" i="16"/>
  <c r="A18" i="16"/>
  <c r="B18" i="16" s="1"/>
  <c r="A19" i="16"/>
  <c r="G19" i="16" s="1"/>
  <c r="A20" i="16"/>
  <c r="A21" i="16"/>
  <c r="D21" i="16" s="1"/>
  <c r="A22" i="16"/>
  <c r="B22" i="16" s="1"/>
  <c r="A23" i="16"/>
  <c r="N23" i="16" s="1"/>
  <c r="A24" i="16"/>
  <c r="M24" i="16" s="1"/>
  <c r="A25" i="16"/>
  <c r="A26" i="16"/>
  <c r="B26" i="16" s="1"/>
  <c r="A27" i="16"/>
  <c r="C27" i="16" s="1"/>
  <c r="A28" i="16"/>
  <c r="D28" i="16" s="1"/>
  <c r="A29" i="16"/>
  <c r="N29" i="16" s="1"/>
  <c r="A30" i="16"/>
  <c r="M30" i="16" s="1"/>
  <c r="A31" i="16"/>
  <c r="A32" i="16"/>
  <c r="C32" i="16" s="1"/>
  <c r="A33" i="16"/>
  <c r="A34" i="16"/>
  <c r="B34" i="16" s="1"/>
  <c r="A35" i="16"/>
  <c r="B35" i="16" s="1"/>
  <c r="A36" i="16"/>
  <c r="D36" i="16" s="1"/>
  <c r="A37" i="16"/>
  <c r="A38" i="16"/>
  <c r="N38" i="16" s="1"/>
  <c r="A39" i="16"/>
  <c r="A40" i="16"/>
  <c r="C40" i="16" s="1"/>
  <c r="A41" i="16"/>
  <c r="A42" i="16"/>
  <c r="B42" i="16" s="1"/>
  <c r="A43" i="16"/>
  <c r="C43" i="16" s="1"/>
  <c r="A44" i="16"/>
  <c r="D44" i="16" s="1"/>
  <c r="A45" i="16"/>
  <c r="D45" i="16" s="1"/>
  <c r="A46" i="16"/>
  <c r="G46" i="16" s="1"/>
  <c r="A47" i="16"/>
  <c r="N47" i="16" s="1"/>
  <c r="A48" i="16"/>
  <c r="D48" i="16" s="1"/>
  <c r="A49" i="16"/>
  <c r="H49" i="16" s="1"/>
  <c r="A50" i="16"/>
  <c r="M50" i="16" s="1"/>
  <c r="A51" i="16"/>
  <c r="A52" i="16"/>
  <c r="H52" i="16" s="1"/>
  <c r="A53" i="16"/>
  <c r="D53" i="16" s="1"/>
  <c r="A54" i="16"/>
  <c r="G54" i="16" s="1"/>
  <c r="A55" i="16"/>
  <c r="A56" i="16"/>
  <c r="C56" i="16" s="1"/>
  <c r="A57" i="16"/>
  <c r="A58" i="16"/>
  <c r="N58" i="16" s="1"/>
  <c r="A59" i="16"/>
  <c r="M59" i="16" s="1"/>
  <c r="A60" i="16"/>
  <c r="G60" i="16" s="1"/>
  <c r="A61" i="16"/>
  <c r="H61" i="16" s="1"/>
  <c r="A62" i="16"/>
  <c r="M62" i="16" s="1"/>
  <c r="A63" i="16"/>
  <c r="B63" i="16" s="1"/>
  <c r="A64" i="16"/>
  <c r="D64" i="16" s="1"/>
  <c r="A65" i="16"/>
  <c r="C65" i="16" s="1"/>
  <c r="A66" i="16"/>
  <c r="B66" i="16" s="1"/>
  <c r="A67" i="16"/>
  <c r="A68" i="16"/>
  <c r="B68" i="16" s="1"/>
  <c r="A69" i="16"/>
  <c r="A70" i="16"/>
  <c r="M70" i="16" s="1"/>
  <c r="A7" i="16"/>
  <c r="C63" i="16" l="1"/>
  <c r="D52" i="16"/>
  <c r="J52" i="16" s="1"/>
  <c r="G50" i="16"/>
  <c r="H15" i="16"/>
  <c r="N18" i="16"/>
  <c r="H42" i="16"/>
  <c r="G15" i="16"/>
  <c r="B60" i="16"/>
  <c r="D50" i="16"/>
  <c r="B11" i="16"/>
  <c r="H34" i="16"/>
  <c r="D70" i="16"/>
  <c r="C59" i="16"/>
  <c r="D32" i="16"/>
  <c r="C19" i="16"/>
  <c r="G27" i="16"/>
  <c r="B70" i="16"/>
  <c r="B58" i="16"/>
  <c r="B46" i="16"/>
  <c r="B30" i="16"/>
  <c r="B19" i="16"/>
  <c r="G66" i="16"/>
  <c r="H23" i="16"/>
  <c r="N70" i="16"/>
  <c r="D68" i="16"/>
  <c r="D16" i="16"/>
  <c r="G62" i="16"/>
  <c r="G23" i="16"/>
  <c r="C15" i="16"/>
  <c r="H58" i="16"/>
  <c r="H19" i="16"/>
  <c r="D54" i="16"/>
  <c r="D66" i="16"/>
  <c r="B54" i="16"/>
  <c r="D40" i="16"/>
  <c r="D24" i="16"/>
  <c r="H54" i="16"/>
  <c r="N24" i="16"/>
  <c r="I70" i="19"/>
  <c r="I69" i="19"/>
  <c r="I71" i="19" s="1"/>
  <c r="L7" i="19"/>
  <c r="K7" i="19"/>
  <c r="N69" i="16"/>
  <c r="B69" i="16"/>
  <c r="M69" i="16"/>
  <c r="G41" i="16"/>
  <c r="H41" i="16"/>
  <c r="B41" i="16"/>
  <c r="C41" i="16"/>
  <c r="N17" i="16"/>
  <c r="G17" i="16"/>
  <c r="B17" i="16"/>
  <c r="M17" i="16"/>
  <c r="H17" i="16"/>
  <c r="C17" i="16"/>
  <c r="M8" i="16"/>
  <c r="H8" i="16"/>
  <c r="N8" i="16"/>
  <c r="P8" i="16" s="1"/>
  <c r="B8" i="16"/>
  <c r="C68" i="16"/>
  <c r="D29" i="16"/>
  <c r="P29" i="16" s="1"/>
  <c r="C24" i="16"/>
  <c r="R24" i="16" s="1"/>
  <c r="C8" i="16"/>
  <c r="G69" i="16"/>
  <c r="H65" i="16"/>
  <c r="G58" i="16"/>
  <c r="G42" i="16"/>
  <c r="G34" i="16"/>
  <c r="H26" i="16"/>
  <c r="M41" i="16"/>
  <c r="M18" i="16"/>
  <c r="M61" i="16"/>
  <c r="B61" i="16"/>
  <c r="G61" i="16"/>
  <c r="N57" i="16"/>
  <c r="G57" i="16"/>
  <c r="B57" i="16"/>
  <c r="M57" i="16"/>
  <c r="H57" i="16"/>
  <c r="M49" i="16"/>
  <c r="N49" i="16"/>
  <c r="G49" i="16"/>
  <c r="B49" i="16"/>
  <c r="C49" i="16"/>
  <c r="M45" i="16"/>
  <c r="G45" i="16"/>
  <c r="N45" i="16"/>
  <c r="B45" i="16"/>
  <c r="C45" i="16"/>
  <c r="N37" i="16"/>
  <c r="G37" i="16"/>
  <c r="H37" i="16"/>
  <c r="B37" i="16"/>
  <c r="M37" i="16"/>
  <c r="C37" i="16"/>
  <c r="N33" i="16"/>
  <c r="G33" i="16"/>
  <c r="H33" i="16"/>
  <c r="B33" i="16"/>
  <c r="C33" i="16"/>
  <c r="H29" i="16"/>
  <c r="M29" i="16"/>
  <c r="B29" i="16"/>
  <c r="G29" i="16"/>
  <c r="C29" i="16"/>
  <c r="H25" i="16"/>
  <c r="M25" i="16"/>
  <c r="B25" i="16"/>
  <c r="N25" i="16"/>
  <c r="G25" i="16"/>
  <c r="C25" i="16"/>
  <c r="G21" i="16"/>
  <c r="B21" i="16"/>
  <c r="H21" i="16"/>
  <c r="C21" i="16"/>
  <c r="N13" i="16"/>
  <c r="G13" i="16"/>
  <c r="B13" i="16"/>
  <c r="H13" i="16"/>
  <c r="C13" i="16"/>
  <c r="M9" i="16"/>
  <c r="N9" i="16"/>
  <c r="G9" i="16"/>
  <c r="H9" i="16"/>
  <c r="B9" i="16"/>
  <c r="C9" i="16"/>
  <c r="R9" i="16" s="1"/>
  <c r="D61" i="16"/>
  <c r="M64" i="16"/>
  <c r="N64" i="16"/>
  <c r="H64" i="16"/>
  <c r="M56" i="16"/>
  <c r="R56" i="16" s="1"/>
  <c r="N56" i="16"/>
  <c r="H48" i="16"/>
  <c r="M48" i="16"/>
  <c r="N48" i="16"/>
  <c r="G48" i="16"/>
  <c r="B48" i="16"/>
  <c r="N40" i="16"/>
  <c r="G40" i="16"/>
  <c r="M40" i="16"/>
  <c r="R40" i="16" s="1"/>
  <c r="H40" i="16"/>
  <c r="B40" i="16"/>
  <c r="M32" i="16"/>
  <c r="R32" i="16" s="1"/>
  <c r="N32" i="16"/>
  <c r="G32" i="16"/>
  <c r="L32" i="16" s="1"/>
  <c r="H32" i="16"/>
  <c r="J32" i="16" s="1"/>
  <c r="B32" i="16"/>
  <c r="G24" i="16"/>
  <c r="H24" i="16"/>
  <c r="B24" i="16"/>
  <c r="N20" i="16"/>
  <c r="G20" i="16"/>
  <c r="H20" i="16"/>
  <c r="M20" i="16"/>
  <c r="B20" i="16"/>
  <c r="N16" i="16"/>
  <c r="G16" i="16"/>
  <c r="L16" i="16" s="1"/>
  <c r="H16" i="16"/>
  <c r="B16" i="16"/>
  <c r="M12" i="16"/>
  <c r="H12" i="16"/>
  <c r="N12" i="16"/>
  <c r="B12" i="16"/>
  <c r="D57" i="16"/>
  <c r="J57" i="16" s="1"/>
  <c r="C52" i="16"/>
  <c r="C48" i="16"/>
  <c r="R48" i="16" s="1"/>
  <c r="D37" i="16"/>
  <c r="N7" i="16"/>
  <c r="G7" i="16"/>
  <c r="C7" i="16"/>
  <c r="M7" i="16"/>
  <c r="M67" i="16"/>
  <c r="N67" i="16"/>
  <c r="D67" i="16"/>
  <c r="G67" i="16"/>
  <c r="M63" i="16"/>
  <c r="R63" i="16" s="1"/>
  <c r="N63" i="16"/>
  <c r="D63" i="16"/>
  <c r="G63" i="16"/>
  <c r="L63" i="16" s="1"/>
  <c r="N59" i="16"/>
  <c r="G59" i="16"/>
  <c r="L59" i="16" s="1"/>
  <c r="D59" i="16"/>
  <c r="H59" i="16"/>
  <c r="M55" i="16"/>
  <c r="N55" i="16"/>
  <c r="G55" i="16"/>
  <c r="D55" i="16"/>
  <c r="H55" i="16"/>
  <c r="M51" i="16"/>
  <c r="G51" i="16"/>
  <c r="N51" i="16"/>
  <c r="H51" i="16"/>
  <c r="D51" i="16"/>
  <c r="M47" i="16"/>
  <c r="G47" i="16"/>
  <c r="H47" i="16"/>
  <c r="D47" i="16"/>
  <c r="G43" i="16"/>
  <c r="H43" i="16"/>
  <c r="M43" i="16"/>
  <c r="D43" i="16"/>
  <c r="N43" i="16"/>
  <c r="M39" i="16"/>
  <c r="G39" i="16"/>
  <c r="N39" i="16"/>
  <c r="H39" i="16"/>
  <c r="D39" i="16"/>
  <c r="M35" i="16"/>
  <c r="R35" i="16" s="1"/>
  <c r="G35" i="16"/>
  <c r="N35" i="16"/>
  <c r="H35" i="16"/>
  <c r="D35" i="16"/>
  <c r="H31" i="16"/>
  <c r="M31" i="16"/>
  <c r="N31" i="16"/>
  <c r="D31" i="16"/>
  <c r="N27" i="16"/>
  <c r="H27" i="16"/>
  <c r="D27" i="16"/>
  <c r="D7" i="16"/>
  <c r="D69" i="16"/>
  <c r="P69" i="16" s="1"/>
  <c r="C64" i="16"/>
  <c r="D62" i="16"/>
  <c r="D60" i="16"/>
  <c r="B59" i="16"/>
  <c r="C57" i="16"/>
  <c r="L57" i="16" s="1"/>
  <c r="C55" i="16"/>
  <c r="B52" i="16"/>
  <c r="B50" i="16"/>
  <c r="C47" i="16"/>
  <c r="C39" i="16"/>
  <c r="C31" i="16"/>
  <c r="D20" i="16"/>
  <c r="J20" i="16" s="1"/>
  <c r="D12" i="16"/>
  <c r="B10" i="16"/>
  <c r="H7" i="16"/>
  <c r="G64" i="16"/>
  <c r="H56" i="16"/>
  <c r="H38" i="16"/>
  <c r="G31" i="16"/>
  <c r="G8" i="16"/>
  <c r="M33" i="16"/>
  <c r="R33" i="16" s="1"/>
  <c r="M27" i="16"/>
  <c r="N21" i="16"/>
  <c r="M16" i="16"/>
  <c r="N65" i="16"/>
  <c r="B65" i="16"/>
  <c r="G65" i="16"/>
  <c r="L65" i="16" s="1"/>
  <c r="N53" i="16"/>
  <c r="G53" i="16"/>
  <c r="B53" i="16"/>
  <c r="H53" i="16"/>
  <c r="J40" i="16"/>
  <c r="P24" i="16"/>
  <c r="J8" i="16"/>
  <c r="H69" i="16"/>
  <c r="J69" i="16" s="1"/>
  <c r="M65" i="16"/>
  <c r="R65" i="16" s="1"/>
  <c r="M53" i="16"/>
  <c r="N41" i="16"/>
  <c r="M13" i="16"/>
  <c r="M68" i="16"/>
  <c r="R68" i="16" s="1"/>
  <c r="N68" i="16"/>
  <c r="G68" i="16"/>
  <c r="L68" i="16" s="1"/>
  <c r="H68" i="16"/>
  <c r="M60" i="16"/>
  <c r="H60" i="16"/>
  <c r="N60" i="16"/>
  <c r="M52" i="16"/>
  <c r="N52" i="16"/>
  <c r="H44" i="16"/>
  <c r="M44" i="16"/>
  <c r="G44" i="16"/>
  <c r="B44" i="16"/>
  <c r="M36" i="16"/>
  <c r="N36" i="16"/>
  <c r="G36" i="16"/>
  <c r="H36" i="16"/>
  <c r="B36" i="16"/>
  <c r="G28" i="16"/>
  <c r="M28" i="16"/>
  <c r="H28" i="16"/>
  <c r="N28" i="16"/>
  <c r="B28" i="16"/>
  <c r="C61" i="16"/>
  <c r="R61" i="16" s="1"/>
  <c r="B56" i="16"/>
  <c r="G70" i="16"/>
  <c r="C70" i="16"/>
  <c r="R70" i="16" s="1"/>
  <c r="H70" i="16"/>
  <c r="M66" i="16"/>
  <c r="H66" i="16"/>
  <c r="C66" i="16"/>
  <c r="L66" i="16" s="1"/>
  <c r="N66" i="16"/>
  <c r="N62" i="16"/>
  <c r="H62" i="16"/>
  <c r="C62" i="16"/>
  <c r="R62" i="16" s="1"/>
  <c r="M58" i="16"/>
  <c r="C58" i="16"/>
  <c r="M54" i="16"/>
  <c r="C54" i="16"/>
  <c r="R54" i="16" s="1"/>
  <c r="N54" i="16"/>
  <c r="N50" i="16"/>
  <c r="H50" i="16"/>
  <c r="C50" i="16"/>
  <c r="R50" i="16" s="1"/>
  <c r="N46" i="16"/>
  <c r="H46" i="16"/>
  <c r="C46" i="16"/>
  <c r="M46" i="16"/>
  <c r="D46" i="16"/>
  <c r="M42" i="16"/>
  <c r="N42" i="16"/>
  <c r="C42" i="16"/>
  <c r="L42" i="16" s="1"/>
  <c r="D42" i="16"/>
  <c r="C38" i="16"/>
  <c r="D38" i="16"/>
  <c r="P38" i="16" s="1"/>
  <c r="M34" i="16"/>
  <c r="C34" i="16"/>
  <c r="N34" i="16"/>
  <c r="D34" i="16"/>
  <c r="J34" i="16" s="1"/>
  <c r="N30" i="16"/>
  <c r="G30" i="16"/>
  <c r="C30" i="16"/>
  <c r="R30" i="16" s="1"/>
  <c r="D30" i="16"/>
  <c r="M26" i="16"/>
  <c r="G26" i="16"/>
  <c r="C26" i="16"/>
  <c r="D26" i="16"/>
  <c r="J26" i="16" s="1"/>
  <c r="G22" i="16"/>
  <c r="M22" i="16"/>
  <c r="H22" i="16"/>
  <c r="N22" i="16"/>
  <c r="C22" i="16"/>
  <c r="D22" i="16"/>
  <c r="G18" i="16"/>
  <c r="H18" i="16"/>
  <c r="C18" i="16"/>
  <c r="D18" i="16"/>
  <c r="G14" i="16"/>
  <c r="H14" i="16"/>
  <c r="M14" i="16"/>
  <c r="C14" i="16"/>
  <c r="N14" i="16"/>
  <c r="D14" i="16"/>
  <c r="N10" i="16"/>
  <c r="H10" i="16"/>
  <c r="C10" i="16"/>
  <c r="R10" i="16" s="1"/>
  <c r="G10" i="16"/>
  <c r="D10" i="16"/>
  <c r="B7" i="16"/>
  <c r="C69" i="16"/>
  <c r="L69" i="16" s="1"/>
  <c r="C67" i="16"/>
  <c r="D65" i="16"/>
  <c r="P65" i="16" s="1"/>
  <c r="B64" i="16"/>
  <c r="B62" i="16"/>
  <c r="C60" i="16"/>
  <c r="L60" i="16" s="1"/>
  <c r="D58" i="16"/>
  <c r="J58" i="16" s="1"/>
  <c r="D56" i="16"/>
  <c r="B55" i="16"/>
  <c r="C53" i="16"/>
  <c r="R53" i="16" s="1"/>
  <c r="C51" i="16"/>
  <c r="R51" i="16" s="1"/>
  <c r="D49" i="16"/>
  <c r="J49" i="16" s="1"/>
  <c r="B47" i="16"/>
  <c r="C44" i="16"/>
  <c r="D41" i="16"/>
  <c r="P41" i="16" s="1"/>
  <c r="B39" i="16"/>
  <c r="C36" i="16"/>
  <c r="D33" i="16"/>
  <c r="B31" i="16"/>
  <c r="C28" i="16"/>
  <c r="D25" i="16"/>
  <c r="C20" i="16"/>
  <c r="D17" i="16"/>
  <c r="C12" i="16"/>
  <c r="L12" i="16" s="1"/>
  <c r="D9" i="16"/>
  <c r="H67" i="16"/>
  <c r="H63" i="16"/>
  <c r="G56" i="16"/>
  <c r="L56" i="16" s="1"/>
  <c r="G52" i="16"/>
  <c r="H45" i="16"/>
  <c r="G38" i="16"/>
  <c r="H30" i="16"/>
  <c r="N61" i="16"/>
  <c r="N44" i="16"/>
  <c r="M38" i="16"/>
  <c r="N26" i="16"/>
  <c r="M21" i="16"/>
  <c r="M23" i="16"/>
  <c r="R23" i="16" s="1"/>
  <c r="M19" i="16"/>
  <c r="R19" i="16" s="1"/>
  <c r="N19" i="16"/>
  <c r="M15" i="16"/>
  <c r="R15" i="16" s="1"/>
  <c r="N15" i="16"/>
  <c r="M11" i="16"/>
  <c r="G11" i="16"/>
  <c r="L11" i="16" s="1"/>
  <c r="D23" i="16"/>
  <c r="P23" i="16" s="1"/>
  <c r="D19" i="16"/>
  <c r="D15" i="16"/>
  <c r="D11" i="16"/>
  <c r="N11" i="16"/>
  <c r="L24" i="16"/>
  <c r="R17" i="16"/>
  <c r="P64" i="16"/>
  <c r="R8" i="16"/>
  <c r="P21" i="16"/>
  <c r="P13" i="16"/>
  <c r="L50" i="16"/>
  <c r="L34" i="16"/>
  <c r="P45" i="16"/>
  <c r="L40" i="16"/>
  <c r="R16" i="16"/>
  <c r="R59" i="16"/>
  <c r="R43" i="16"/>
  <c r="L43" i="16"/>
  <c r="L35" i="16"/>
  <c r="R27" i="16"/>
  <c r="L27" i="16"/>
  <c r="L23" i="16"/>
  <c r="L19" i="16"/>
  <c r="L15" i="16"/>
  <c r="R11" i="16"/>
  <c r="J61" i="16"/>
  <c r="J48" i="16"/>
  <c r="P53" i="16"/>
  <c r="P66" i="16"/>
  <c r="P58" i="16"/>
  <c r="P70" i="16"/>
  <c r="P54" i="16"/>
  <c r="J19" i="16"/>
  <c r="J66" i="16"/>
  <c r="J54" i="16"/>
  <c r="J50" i="16"/>
  <c r="A50" i="15"/>
  <c r="C50" i="15" s="1"/>
  <c r="A51" i="15"/>
  <c r="B51" i="15" s="1"/>
  <c r="A9" i="15"/>
  <c r="C9" i="15" s="1"/>
  <c r="A10" i="15"/>
  <c r="A11" i="15"/>
  <c r="A12" i="15"/>
  <c r="C12" i="15" s="1"/>
  <c r="A13" i="15"/>
  <c r="C13" i="15" s="1"/>
  <c r="A14" i="15"/>
  <c r="A15" i="15"/>
  <c r="B15" i="15" s="1"/>
  <c r="A16" i="15"/>
  <c r="C16" i="15" s="1"/>
  <c r="A17" i="15"/>
  <c r="B17" i="15" s="1"/>
  <c r="A18" i="15"/>
  <c r="A19" i="15"/>
  <c r="B19" i="15" s="1"/>
  <c r="A20" i="15"/>
  <c r="C20" i="15" s="1"/>
  <c r="A21" i="15"/>
  <c r="C21" i="15" s="1"/>
  <c r="A22" i="15"/>
  <c r="A23" i="15"/>
  <c r="A24" i="15"/>
  <c r="C24" i="15" s="1"/>
  <c r="A25" i="15"/>
  <c r="C25" i="15" s="1"/>
  <c r="A26" i="15"/>
  <c r="A27" i="15"/>
  <c r="B27" i="15" s="1"/>
  <c r="A28" i="15"/>
  <c r="C28" i="15" s="1"/>
  <c r="A29" i="15"/>
  <c r="B29" i="15" s="1"/>
  <c r="A30" i="15"/>
  <c r="A31" i="15"/>
  <c r="C31" i="15" s="1"/>
  <c r="A32" i="15"/>
  <c r="C32" i="15" s="1"/>
  <c r="A33" i="15"/>
  <c r="B33" i="15" s="1"/>
  <c r="A34" i="15"/>
  <c r="A35" i="15"/>
  <c r="A36" i="15"/>
  <c r="C36" i="15" s="1"/>
  <c r="A37" i="15"/>
  <c r="C37" i="15" s="1"/>
  <c r="A38" i="15"/>
  <c r="A39" i="15"/>
  <c r="B39" i="15" s="1"/>
  <c r="A40" i="15"/>
  <c r="C40" i="15" s="1"/>
  <c r="A41" i="15"/>
  <c r="C41" i="15" s="1"/>
  <c r="A42" i="15"/>
  <c r="A43" i="15"/>
  <c r="A44" i="15"/>
  <c r="C44" i="15" s="1"/>
  <c r="A45" i="15"/>
  <c r="C45" i="15" s="1"/>
  <c r="A46" i="15"/>
  <c r="C46" i="15" s="1"/>
  <c r="A47" i="15"/>
  <c r="B47" i="15" s="1"/>
  <c r="A48" i="15"/>
  <c r="C48" i="15" s="1"/>
  <c r="A49" i="15"/>
  <c r="C49" i="15" s="1"/>
  <c r="A8" i="15"/>
  <c r="C8" i="15" s="1"/>
  <c r="B49" i="15" l="1"/>
  <c r="P46" i="16"/>
  <c r="R47" i="16"/>
  <c r="R31" i="16"/>
  <c r="C33" i="15"/>
  <c r="R49" i="16"/>
  <c r="R58" i="16"/>
  <c r="L55" i="16"/>
  <c r="L29" i="16"/>
  <c r="L33" i="16"/>
  <c r="R45" i="16"/>
  <c r="C17" i="15"/>
  <c r="B45" i="15"/>
  <c r="C29" i="15"/>
  <c r="B41" i="15"/>
  <c r="B25" i="15"/>
  <c r="B9" i="15"/>
  <c r="B13" i="15"/>
  <c r="B37" i="15"/>
  <c r="B21" i="15"/>
  <c r="C51" i="15"/>
  <c r="P40" i="16"/>
  <c r="P27" i="16"/>
  <c r="P39" i="16"/>
  <c r="L62" i="16"/>
  <c r="R12" i="16"/>
  <c r="L48" i="16"/>
  <c r="R52" i="16"/>
  <c r="J28" i="16"/>
  <c r="J24" i="16"/>
  <c r="J31" i="16"/>
  <c r="J70" i="16"/>
  <c r="J45" i="16"/>
  <c r="J60" i="16"/>
  <c r="J65" i="16"/>
  <c r="L18" i="16"/>
  <c r="L70" i="16"/>
  <c r="J37" i="16"/>
  <c r="J44" i="16"/>
  <c r="R44" i="16"/>
  <c r="P16" i="16"/>
  <c r="R41" i="16"/>
  <c r="P11" i="16"/>
  <c r="R36" i="16"/>
  <c r="R26" i="16"/>
  <c r="P32" i="16"/>
  <c r="R64" i="16"/>
  <c r="P63" i="16"/>
  <c r="P61" i="16"/>
  <c r="R67" i="16"/>
  <c r="P30" i="16"/>
  <c r="R46" i="16"/>
  <c r="P15" i="16"/>
  <c r="P56" i="16"/>
  <c r="R14" i="16"/>
  <c r="P22" i="16"/>
  <c r="R34" i="16"/>
  <c r="P42" i="16"/>
  <c r="P68" i="16"/>
  <c r="R21" i="16"/>
  <c r="R37" i="16"/>
  <c r="L31" i="16"/>
  <c r="L20" i="16"/>
  <c r="J33" i="16"/>
  <c r="L39" i="16"/>
  <c r="J62" i="16"/>
  <c r="J53" i="16"/>
  <c r="J25" i="16"/>
  <c r="L38" i="16"/>
  <c r="L7" i="16"/>
  <c r="L13" i="16"/>
  <c r="L22" i="16"/>
  <c r="L28" i="16"/>
  <c r="J18" i="16"/>
  <c r="L25" i="16"/>
  <c r="L8" i="16"/>
  <c r="J10" i="16"/>
  <c r="L54" i="16"/>
  <c r="L51" i="16"/>
  <c r="P49" i="16"/>
  <c r="L49" i="16"/>
  <c r="J22" i="16"/>
  <c r="L41" i="16"/>
  <c r="J63" i="16"/>
  <c r="R7" i="16"/>
  <c r="P10" i="16"/>
  <c r="P17" i="16"/>
  <c r="L10" i="16"/>
  <c r="R57" i="16"/>
  <c r="L9" i="16"/>
  <c r="R29" i="16"/>
  <c r="L58" i="16"/>
  <c r="L64" i="16"/>
  <c r="R13" i="16"/>
  <c r="L26" i="16"/>
  <c r="L47" i="16"/>
  <c r="R42" i="16"/>
  <c r="R66" i="16"/>
  <c r="J42" i="16"/>
  <c r="J56" i="16"/>
  <c r="R25" i="16"/>
  <c r="L52" i="16"/>
  <c r="L14" i="16"/>
  <c r="P18" i="16"/>
  <c r="R20" i="16"/>
  <c r="G35" i="15"/>
  <c r="H35" i="15"/>
  <c r="G23" i="15"/>
  <c r="H23" i="15"/>
  <c r="I23" i="15" s="1"/>
  <c r="H11" i="15"/>
  <c r="G11" i="15"/>
  <c r="C15" i="15"/>
  <c r="C11" i="15"/>
  <c r="G42" i="15"/>
  <c r="H42" i="15"/>
  <c r="G38" i="15"/>
  <c r="H38" i="15"/>
  <c r="G34" i="15"/>
  <c r="H34" i="15"/>
  <c r="G30" i="15"/>
  <c r="H30" i="15"/>
  <c r="G26" i="15"/>
  <c r="H26" i="15"/>
  <c r="G22" i="15"/>
  <c r="H22" i="15"/>
  <c r="G18" i="15"/>
  <c r="H18" i="15"/>
  <c r="G14" i="15"/>
  <c r="H14" i="15"/>
  <c r="G10" i="15"/>
  <c r="H10" i="15"/>
  <c r="B8" i="15"/>
  <c r="B48" i="15"/>
  <c r="B44" i="15"/>
  <c r="B40" i="15"/>
  <c r="B36" i="15"/>
  <c r="B32" i="15"/>
  <c r="B28" i="15"/>
  <c r="B24" i="15"/>
  <c r="B20" i="15"/>
  <c r="B16" i="15"/>
  <c r="B12" i="15"/>
  <c r="D50" i="15"/>
  <c r="D48" i="15"/>
  <c r="D46" i="15"/>
  <c r="D44" i="15"/>
  <c r="D42" i="15"/>
  <c r="D40" i="15"/>
  <c r="D38" i="15"/>
  <c r="D36" i="15"/>
  <c r="D34" i="15"/>
  <c r="D32" i="15"/>
  <c r="D30" i="15"/>
  <c r="D28" i="15"/>
  <c r="D26" i="15"/>
  <c r="D24" i="15"/>
  <c r="D22" i="15"/>
  <c r="D20" i="15"/>
  <c r="D18" i="15"/>
  <c r="D16" i="15"/>
  <c r="D14" i="15"/>
  <c r="D12" i="15"/>
  <c r="D10" i="15"/>
  <c r="G43" i="15"/>
  <c r="H43" i="15"/>
  <c r="G31" i="15"/>
  <c r="H31" i="15"/>
  <c r="C43" i="15"/>
  <c r="C39" i="15"/>
  <c r="C27" i="15"/>
  <c r="C23" i="15"/>
  <c r="C19" i="15"/>
  <c r="G49" i="15"/>
  <c r="H49" i="15"/>
  <c r="G45" i="15"/>
  <c r="H45" i="15"/>
  <c r="G41" i="15"/>
  <c r="H41" i="15"/>
  <c r="G37" i="15"/>
  <c r="H37" i="15"/>
  <c r="G33" i="15"/>
  <c r="H33" i="15"/>
  <c r="I33" i="15" s="1"/>
  <c r="G29" i="15"/>
  <c r="H29" i="15"/>
  <c r="G25" i="15"/>
  <c r="H25" i="15"/>
  <c r="I25" i="15" s="1"/>
  <c r="G21" i="15"/>
  <c r="H21" i="15"/>
  <c r="G17" i="15"/>
  <c r="H17" i="15"/>
  <c r="G13" i="15"/>
  <c r="H13" i="15"/>
  <c r="G9" i="15"/>
  <c r="H9" i="15"/>
  <c r="B43" i="15"/>
  <c r="B35" i="15"/>
  <c r="B31" i="15"/>
  <c r="B23" i="15"/>
  <c r="B11" i="15"/>
  <c r="D8" i="15"/>
  <c r="C42" i="15"/>
  <c r="C38" i="15"/>
  <c r="C34" i="15"/>
  <c r="C30" i="15"/>
  <c r="C26" i="15"/>
  <c r="C22" i="15"/>
  <c r="C18" i="15"/>
  <c r="C14" i="15"/>
  <c r="C10" i="15"/>
  <c r="G8" i="15"/>
  <c r="G47" i="15"/>
  <c r="H47" i="15"/>
  <c r="G39" i="15"/>
  <c r="H39" i="15"/>
  <c r="G27" i="15"/>
  <c r="H27" i="15"/>
  <c r="G19" i="15"/>
  <c r="H19" i="15"/>
  <c r="G15" i="15"/>
  <c r="H15" i="15"/>
  <c r="G50" i="15"/>
  <c r="H50" i="15"/>
  <c r="C47" i="15"/>
  <c r="C35" i="15"/>
  <c r="G46" i="15"/>
  <c r="H46" i="15"/>
  <c r="H48" i="15"/>
  <c r="G48" i="15"/>
  <c r="H44" i="15"/>
  <c r="G44" i="15"/>
  <c r="H40" i="15"/>
  <c r="G40" i="15"/>
  <c r="H36" i="15"/>
  <c r="G36" i="15"/>
  <c r="G32" i="15"/>
  <c r="H32" i="15"/>
  <c r="G28" i="15"/>
  <c r="H28" i="15"/>
  <c r="G24" i="15"/>
  <c r="H24" i="15"/>
  <c r="H20" i="15"/>
  <c r="G20" i="15"/>
  <c r="G16" i="15"/>
  <c r="H16" i="15"/>
  <c r="G12" i="15"/>
  <c r="H12" i="15"/>
  <c r="G51" i="15"/>
  <c r="H51" i="15"/>
  <c r="B50" i="15"/>
  <c r="B46" i="15"/>
  <c r="B42" i="15"/>
  <c r="B38" i="15"/>
  <c r="B34" i="15"/>
  <c r="B30" i="15"/>
  <c r="B26" i="15"/>
  <c r="B22" i="15"/>
  <c r="B18" i="15"/>
  <c r="B14" i="15"/>
  <c r="B10" i="15"/>
  <c r="D51" i="15"/>
  <c r="D49" i="15"/>
  <c r="D47" i="15"/>
  <c r="D45" i="15"/>
  <c r="D43" i="15"/>
  <c r="D41" i="15"/>
  <c r="D39" i="15"/>
  <c r="D37" i="15"/>
  <c r="D35" i="15"/>
  <c r="D33" i="15"/>
  <c r="D31" i="15"/>
  <c r="D29" i="15"/>
  <c r="D27" i="15"/>
  <c r="D25" i="15"/>
  <c r="D23" i="15"/>
  <c r="D21" i="15"/>
  <c r="D19" i="15"/>
  <c r="D17" i="15"/>
  <c r="D15" i="15"/>
  <c r="D13" i="15"/>
  <c r="D11" i="15"/>
  <c r="D9" i="15"/>
  <c r="H8" i="15"/>
  <c r="L67" i="16"/>
  <c r="P33" i="16"/>
  <c r="P14" i="16"/>
  <c r="P34" i="16"/>
  <c r="R60" i="16"/>
  <c r="R39" i="16"/>
  <c r="L45" i="16"/>
  <c r="L53" i="16"/>
  <c r="J14" i="16"/>
  <c r="J38" i="16"/>
  <c r="J23" i="16"/>
  <c r="L46" i="16"/>
  <c r="L44" i="16"/>
  <c r="J17" i="16"/>
  <c r="R38" i="16"/>
  <c r="R22" i="16"/>
  <c r="L30" i="16"/>
  <c r="R28" i="16"/>
  <c r="L36" i="16"/>
  <c r="L37" i="16"/>
  <c r="P57" i="16"/>
  <c r="R18" i="16"/>
  <c r="L17" i="16"/>
  <c r="P62" i="16"/>
  <c r="P12" i="16"/>
  <c r="J12" i="16"/>
  <c r="P59" i="16"/>
  <c r="J59" i="16"/>
  <c r="P67" i="16"/>
  <c r="J67" i="16"/>
  <c r="J16" i="16"/>
  <c r="P28" i="16"/>
  <c r="J64" i="16"/>
  <c r="J11" i="16"/>
  <c r="J30" i="16"/>
  <c r="J46" i="16"/>
  <c r="P26" i="16"/>
  <c r="P50" i="16"/>
  <c r="R55" i="16"/>
  <c r="J9" i="16"/>
  <c r="J39" i="16"/>
  <c r="R69" i="16"/>
  <c r="L21" i="16"/>
  <c r="L61" i="16"/>
  <c r="J13" i="16"/>
  <c r="P19" i="16"/>
  <c r="P52" i="16"/>
  <c r="P20" i="16"/>
  <c r="P43" i="16"/>
  <c r="J43" i="16"/>
  <c r="J47" i="16"/>
  <c r="P47" i="16"/>
  <c r="P51" i="16"/>
  <c r="J51" i="16"/>
  <c r="P48" i="16"/>
  <c r="J29" i="16"/>
  <c r="P36" i="16"/>
  <c r="J21" i="16"/>
  <c r="J55" i="16"/>
  <c r="P55" i="16"/>
  <c r="J27" i="16"/>
  <c r="P9" i="16"/>
  <c r="J36" i="16"/>
  <c r="J41" i="16"/>
  <c r="J15" i="16"/>
  <c r="J35" i="16"/>
  <c r="P25" i="16"/>
  <c r="P37" i="16"/>
  <c r="J68" i="16"/>
  <c r="P60" i="16"/>
  <c r="P7" i="16"/>
  <c r="J7" i="16"/>
  <c r="P31" i="16"/>
  <c r="P35" i="16"/>
  <c r="P44" i="16"/>
  <c r="A9" i="14"/>
  <c r="G9" i="14" s="1"/>
  <c r="A10" i="14"/>
  <c r="H10" i="14" s="1"/>
  <c r="A11" i="14"/>
  <c r="G11" i="14" s="1"/>
  <c r="A12" i="14"/>
  <c r="A13" i="14"/>
  <c r="D13" i="14" s="1"/>
  <c r="A14" i="14"/>
  <c r="A15" i="14"/>
  <c r="D15" i="14" s="1"/>
  <c r="A16" i="14"/>
  <c r="C16" i="14" s="1"/>
  <c r="A17" i="14"/>
  <c r="G17" i="14" s="1"/>
  <c r="A18" i="14"/>
  <c r="C18" i="14" s="1"/>
  <c r="A19" i="14"/>
  <c r="D19" i="14" s="1"/>
  <c r="A20" i="14"/>
  <c r="A21" i="14"/>
  <c r="A22" i="14"/>
  <c r="A23" i="14"/>
  <c r="G23" i="14" s="1"/>
  <c r="A24" i="14"/>
  <c r="C24" i="14" s="1"/>
  <c r="A25" i="14"/>
  <c r="A26" i="14"/>
  <c r="D26" i="14" s="1"/>
  <c r="A27" i="14"/>
  <c r="D27" i="14" s="1"/>
  <c r="A28" i="14"/>
  <c r="A29" i="14"/>
  <c r="G29" i="14" s="1"/>
  <c r="A30" i="14"/>
  <c r="A31" i="14"/>
  <c r="A32" i="14"/>
  <c r="D32" i="14" s="1"/>
  <c r="A33" i="14"/>
  <c r="A34" i="14"/>
  <c r="D34" i="14" s="1"/>
  <c r="A35" i="14"/>
  <c r="D35" i="14" s="1"/>
  <c r="A36" i="14"/>
  <c r="A37" i="14"/>
  <c r="D37" i="14" s="1"/>
  <c r="A38" i="14"/>
  <c r="A39" i="14"/>
  <c r="B39" i="14" s="1"/>
  <c r="A40" i="14"/>
  <c r="B40" i="14" s="1"/>
  <c r="A41" i="14"/>
  <c r="D41" i="14" s="1"/>
  <c r="A42" i="14"/>
  <c r="C42" i="14" s="1"/>
  <c r="A43" i="14"/>
  <c r="G43" i="14" s="1"/>
  <c r="A44" i="14"/>
  <c r="A45" i="14"/>
  <c r="A46" i="14"/>
  <c r="A47" i="14"/>
  <c r="A48" i="14"/>
  <c r="C48" i="14" s="1"/>
  <c r="A49" i="14"/>
  <c r="G49" i="14" s="1"/>
  <c r="A8" i="14"/>
  <c r="D8" i="14" s="1"/>
  <c r="D42" i="14" l="1"/>
  <c r="H26" i="14"/>
  <c r="J26" i="14" s="1"/>
  <c r="J77" i="16"/>
  <c r="J72" i="16"/>
  <c r="P72" i="16"/>
  <c r="P77" i="16"/>
  <c r="J41" i="15"/>
  <c r="J11" i="15"/>
  <c r="J27" i="15"/>
  <c r="J43" i="15"/>
  <c r="J51" i="15"/>
  <c r="J8" i="15"/>
  <c r="J16" i="15"/>
  <c r="J24" i="15"/>
  <c r="J32" i="15"/>
  <c r="J40" i="15"/>
  <c r="J48" i="15"/>
  <c r="J17" i="15"/>
  <c r="K25" i="15"/>
  <c r="E25" i="15"/>
  <c r="J25" i="15"/>
  <c r="J33" i="15"/>
  <c r="E33" i="15"/>
  <c r="K33" i="15"/>
  <c r="J19" i="15"/>
  <c r="J35" i="15"/>
  <c r="C38" i="14"/>
  <c r="C11" i="14"/>
  <c r="J13" i="15"/>
  <c r="J21" i="15"/>
  <c r="J29" i="15"/>
  <c r="J37" i="15"/>
  <c r="J45" i="15"/>
  <c r="J46" i="15"/>
  <c r="J18" i="15"/>
  <c r="J22" i="15"/>
  <c r="J30" i="15"/>
  <c r="J34" i="15"/>
  <c r="J38" i="15"/>
  <c r="J42" i="15"/>
  <c r="D48" i="14"/>
  <c r="J9" i="15"/>
  <c r="J49" i="15"/>
  <c r="J10" i="15"/>
  <c r="C34" i="14"/>
  <c r="H34" i="14"/>
  <c r="J34" i="14" s="1"/>
  <c r="B23" i="14"/>
  <c r="J15" i="15"/>
  <c r="K23" i="15"/>
  <c r="J23" i="15"/>
  <c r="E23" i="15"/>
  <c r="J31" i="15"/>
  <c r="J39" i="15"/>
  <c r="J47" i="15"/>
  <c r="J50" i="15"/>
  <c r="J12" i="15"/>
  <c r="J20" i="15"/>
  <c r="J28" i="15"/>
  <c r="J36" i="15"/>
  <c r="J44" i="15"/>
  <c r="J14" i="15"/>
  <c r="J26" i="15"/>
  <c r="G21" i="14"/>
  <c r="D49" i="14"/>
  <c r="D43" i="14"/>
  <c r="D40" i="14"/>
  <c r="C30" i="14"/>
  <c r="C26" i="14"/>
  <c r="D21" i="14"/>
  <c r="D17" i="14"/>
  <c r="C13" i="14"/>
  <c r="G8" i="14"/>
  <c r="H42" i="14"/>
  <c r="J42" i="14" s="1"/>
  <c r="G37" i="14"/>
  <c r="G27" i="14"/>
  <c r="H22" i="14"/>
  <c r="G13" i="14"/>
  <c r="B24" i="14"/>
  <c r="D29" i="14"/>
  <c r="D25" i="14"/>
  <c r="C8" i="14"/>
  <c r="C46" i="14"/>
  <c r="D33" i="14"/>
  <c r="D24" i="14"/>
  <c r="D18" i="14"/>
  <c r="C10" i="14"/>
  <c r="G45" i="14"/>
  <c r="G39" i="14"/>
  <c r="G33" i="14"/>
  <c r="G25" i="14"/>
  <c r="H18" i="14"/>
  <c r="G41" i="14"/>
  <c r="D45" i="14"/>
  <c r="C22" i="14"/>
  <c r="D9" i="14"/>
  <c r="H38" i="14"/>
  <c r="G12" i="14"/>
  <c r="H12" i="14"/>
  <c r="D12" i="14"/>
  <c r="B12" i="14"/>
  <c r="G48" i="14"/>
  <c r="H48" i="14"/>
  <c r="G44" i="14"/>
  <c r="H44" i="14"/>
  <c r="B44" i="14"/>
  <c r="G40" i="14"/>
  <c r="H40" i="14"/>
  <c r="G36" i="14"/>
  <c r="H36" i="14"/>
  <c r="B36" i="14"/>
  <c r="G32" i="14"/>
  <c r="H32" i="14"/>
  <c r="G28" i="14"/>
  <c r="H28" i="14"/>
  <c r="B28" i="14"/>
  <c r="G24" i="14"/>
  <c r="H24" i="14"/>
  <c r="I24" i="14" s="1"/>
  <c r="G20" i="14"/>
  <c r="H20" i="14"/>
  <c r="B20" i="14"/>
  <c r="G16" i="14"/>
  <c r="H16" i="14"/>
  <c r="D16" i="14"/>
  <c r="C40" i="14"/>
  <c r="C32" i="14"/>
  <c r="H47" i="14"/>
  <c r="C47" i="14"/>
  <c r="H43" i="14"/>
  <c r="B43" i="14"/>
  <c r="C43" i="14"/>
  <c r="H39" i="14"/>
  <c r="C39" i="14"/>
  <c r="H35" i="14"/>
  <c r="B35" i="14"/>
  <c r="C35" i="14"/>
  <c r="H31" i="14"/>
  <c r="C31" i="14"/>
  <c r="H27" i="14"/>
  <c r="B27" i="14"/>
  <c r="C27" i="14"/>
  <c r="H23" i="14"/>
  <c r="C23" i="14"/>
  <c r="H19" i="14"/>
  <c r="B19" i="14"/>
  <c r="C19" i="14"/>
  <c r="H15" i="14"/>
  <c r="H11" i="14"/>
  <c r="B11" i="14"/>
  <c r="D47" i="14"/>
  <c r="D44" i="14"/>
  <c r="D39" i="14"/>
  <c r="D36" i="14"/>
  <c r="D31" i="14"/>
  <c r="D28" i="14"/>
  <c r="D23" i="14"/>
  <c r="D20" i="14"/>
  <c r="C15" i="14"/>
  <c r="C12" i="14"/>
  <c r="G47" i="14"/>
  <c r="G31" i="14"/>
  <c r="G15" i="14"/>
  <c r="B48" i="14"/>
  <c r="B32" i="14"/>
  <c r="B16" i="14"/>
  <c r="B8" i="14"/>
  <c r="H8" i="14"/>
  <c r="B46" i="14"/>
  <c r="G46" i="14"/>
  <c r="B42" i="14"/>
  <c r="G42" i="14"/>
  <c r="B38" i="14"/>
  <c r="G38" i="14"/>
  <c r="B34" i="14"/>
  <c r="G34" i="14"/>
  <c r="B30" i="14"/>
  <c r="G30" i="14"/>
  <c r="B26" i="14"/>
  <c r="G26" i="14"/>
  <c r="B22" i="14"/>
  <c r="G22" i="14"/>
  <c r="B18" i="14"/>
  <c r="G18" i="14"/>
  <c r="B14" i="14"/>
  <c r="G14" i="14"/>
  <c r="D14" i="14"/>
  <c r="B10" i="14"/>
  <c r="G10" i="14"/>
  <c r="D10" i="14"/>
  <c r="D46" i="14"/>
  <c r="C44" i="14"/>
  <c r="D38" i="14"/>
  <c r="C36" i="14"/>
  <c r="D30" i="14"/>
  <c r="C28" i="14"/>
  <c r="D22" i="14"/>
  <c r="C20" i="14"/>
  <c r="C14" i="14"/>
  <c r="D11" i="14"/>
  <c r="H46" i="14"/>
  <c r="G35" i="14"/>
  <c r="H30" i="14"/>
  <c r="G19" i="14"/>
  <c r="H14" i="14"/>
  <c r="B47" i="14"/>
  <c r="B31" i="14"/>
  <c r="B15" i="14"/>
  <c r="B49" i="14"/>
  <c r="H49" i="14"/>
  <c r="B45" i="14"/>
  <c r="H45" i="14"/>
  <c r="B41" i="14"/>
  <c r="H41" i="14"/>
  <c r="B37" i="14"/>
  <c r="H37" i="14"/>
  <c r="B33" i="14"/>
  <c r="H33" i="14"/>
  <c r="B29" i="14"/>
  <c r="H29" i="14"/>
  <c r="B25" i="14"/>
  <c r="H25" i="14"/>
  <c r="B21" i="14"/>
  <c r="H21" i="14"/>
  <c r="B17" i="14"/>
  <c r="H17" i="14"/>
  <c r="B13" i="14"/>
  <c r="H13" i="14"/>
  <c r="B9" i="14"/>
  <c r="H9" i="14"/>
  <c r="C9" i="14"/>
  <c r="C49" i="14"/>
  <c r="C45" i="14"/>
  <c r="C41" i="14"/>
  <c r="C37" i="14"/>
  <c r="C33" i="14"/>
  <c r="C29" i="14"/>
  <c r="C25" i="14"/>
  <c r="C21" i="14"/>
  <c r="C17" i="14"/>
  <c r="J9" i="13"/>
  <c r="O9" i="13" s="1"/>
  <c r="J10" i="13"/>
  <c r="J11" i="13"/>
  <c r="O11" i="13" s="1"/>
  <c r="J12" i="13"/>
  <c r="J13" i="13"/>
  <c r="O13" i="13" s="1"/>
  <c r="J14" i="13"/>
  <c r="P14" i="13" s="1"/>
  <c r="J15" i="13"/>
  <c r="O15" i="13" s="1"/>
  <c r="J16" i="13"/>
  <c r="P16" i="13" s="1"/>
  <c r="J17" i="13"/>
  <c r="O17" i="13" s="1"/>
  <c r="J18" i="13"/>
  <c r="J19" i="13"/>
  <c r="O19" i="13" s="1"/>
  <c r="J20" i="13"/>
  <c r="M20" i="13" s="1"/>
  <c r="J21" i="13"/>
  <c r="O21" i="13" s="1"/>
  <c r="J22" i="13"/>
  <c r="J23" i="13"/>
  <c r="O23" i="13" s="1"/>
  <c r="J24" i="13"/>
  <c r="P24" i="13" s="1"/>
  <c r="J25" i="13"/>
  <c r="O25" i="13" s="1"/>
  <c r="J26" i="13"/>
  <c r="J27" i="13"/>
  <c r="O27" i="13" s="1"/>
  <c r="J28" i="13"/>
  <c r="J29" i="13"/>
  <c r="O29" i="13" s="1"/>
  <c r="J30" i="13"/>
  <c r="P30" i="13" s="1"/>
  <c r="J31" i="13"/>
  <c r="O31" i="13" s="1"/>
  <c r="J32" i="13"/>
  <c r="P32" i="13" s="1"/>
  <c r="J33" i="13"/>
  <c r="O33" i="13" s="1"/>
  <c r="J34" i="13"/>
  <c r="J35" i="13"/>
  <c r="M35" i="13" s="1"/>
  <c r="J36" i="13"/>
  <c r="M36" i="13" s="1"/>
  <c r="J37" i="13"/>
  <c r="O37" i="13" s="1"/>
  <c r="J38" i="13"/>
  <c r="P38" i="13" s="1"/>
  <c r="J39" i="13"/>
  <c r="M39" i="13" s="1"/>
  <c r="J40" i="13"/>
  <c r="J41" i="13"/>
  <c r="O41" i="13" s="1"/>
  <c r="J42" i="13"/>
  <c r="J43" i="13"/>
  <c r="L43" i="13" s="1"/>
  <c r="J44" i="13"/>
  <c r="M44" i="13" s="1"/>
  <c r="J45" i="13"/>
  <c r="O45" i="13" s="1"/>
  <c r="J46" i="13"/>
  <c r="P46" i="13" s="1"/>
  <c r="J47" i="13"/>
  <c r="O47" i="13" s="1"/>
  <c r="J48" i="13"/>
  <c r="P48" i="13" s="1"/>
  <c r="J49" i="13"/>
  <c r="O49" i="13" s="1"/>
  <c r="J8" i="13"/>
  <c r="A9" i="13"/>
  <c r="A10" i="13"/>
  <c r="A11" i="13"/>
  <c r="A12" i="13"/>
  <c r="A13" i="13"/>
  <c r="A14" i="13"/>
  <c r="A15" i="13"/>
  <c r="A16" i="13"/>
  <c r="A17" i="13"/>
  <c r="A18" i="13"/>
  <c r="A19" i="13"/>
  <c r="A20" i="13"/>
  <c r="A21" i="13"/>
  <c r="A22" i="13"/>
  <c r="A23" i="13"/>
  <c r="A24" i="13"/>
  <c r="A25" i="13"/>
  <c r="A26" i="13"/>
  <c r="A27" i="13"/>
  <c r="A28" i="13"/>
  <c r="A29" i="13"/>
  <c r="A30" i="13"/>
  <c r="A31" i="13"/>
  <c r="A32" i="13"/>
  <c r="G32" i="13" s="1"/>
  <c r="A33" i="13"/>
  <c r="A34" i="13"/>
  <c r="A35" i="13"/>
  <c r="A36" i="13"/>
  <c r="A37" i="13"/>
  <c r="A38" i="13"/>
  <c r="A39" i="13"/>
  <c r="A40" i="13"/>
  <c r="G40" i="13" s="1"/>
  <c r="A41" i="13"/>
  <c r="A42" i="13"/>
  <c r="A43" i="13"/>
  <c r="A44" i="13"/>
  <c r="G44" i="13" s="1"/>
  <c r="A45" i="13"/>
  <c r="D45" i="13" s="1"/>
  <c r="A46" i="13"/>
  <c r="A47" i="13"/>
  <c r="A48" i="13"/>
  <c r="D48" i="13" s="1"/>
  <c r="A49" i="13"/>
  <c r="A8" i="13"/>
  <c r="G41" i="13" l="1"/>
  <c r="D29" i="13"/>
  <c r="G21" i="13"/>
  <c r="D13" i="13"/>
  <c r="G9" i="13"/>
  <c r="D41" i="13"/>
  <c r="D17" i="13"/>
  <c r="G45" i="13"/>
  <c r="G17" i="13"/>
  <c r="L39" i="13"/>
  <c r="G37" i="13"/>
  <c r="G36" i="13"/>
  <c r="G20" i="13"/>
  <c r="D40" i="13"/>
  <c r="D9" i="13"/>
  <c r="G29" i="13"/>
  <c r="G16" i="13"/>
  <c r="L35" i="13"/>
  <c r="D49" i="13"/>
  <c r="G47" i="13"/>
  <c r="D43" i="13"/>
  <c r="G39" i="13"/>
  <c r="D35" i="13"/>
  <c r="G31" i="13"/>
  <c r="D27" i="13"/>
  <c r="G23" i="13"/>
  <c r="D19" i="13"/>
  <c r="G15" i="13"/>
  <c r="D11" i="13"/>
  <c r="D33" i="13"/>
  <c r="G49" i="13"/>
  <c r="G28" i="13"/>
  <c r="G13" i="13"/>
  <c r="M47" i="13"/>
  <c r="O43" i="13"/>
  <c r="G25" i="13"/>
  <c r="D34" i="13"/>
  <c r="D22" i="13"/>
  <c r="C44" i="13"/>
  <c r="D25" i="13"/>
  <c r="G48" i="13"/>
  <c r="G33" i="13"/>
  <c r="G24" i="13"/>
  <c r="G12" i="13"/>
  <c r="M43" i="13"/>
  <c r="O35" i="13"/>
  <c r="M22" i="13"/>
  <c r="P26" i="13"/>
  <c r="G35" i="13"/>
  <c r="G19" i="13"/>
  <c r="L47" i="13"/>
  <c r="M38" i="13"/>
  <c r="M34" i="13"/>
  <c r="M14" i="13"/>
  <c r="P42" i="13"/>
  <c r="D31" i="13"/>
  <c r="D23" i="13"/>
  <c r="D15" i="13"/>
  <c r="D37" i="13"/>
  <c r="D21" i="13"/>
  <c r="G27" i="13"/>
  <c r="L8" i="13"/>
  <c r="M45" i="13"/>
  <c r="M41" i="13"/>
  <c r="M37" i="13"/>
  <c r="M33" i="13"/>
  <c r="O39" i="13"/>
  <c r="P22" i="13"/>
  <c r="G43" i="13"/>
  <c r="G11" i="13"/>
  <c r="M49" i="13"/>
  <c r="M30" i="13"/>
  <c r="P10" i="13"/>
  <c r="F42" i="13"/>
  <c r="F26" i="13"/>
  <c r="C26" i="13"/>
  <c r="F14" i="13"/>
  <c r="C14" i="13"/>
  <c r="D38" i="13"/>
  <c r="O32" i="13"/>
  <c r="L32" i="13"/>
  <c r="M12" i="13"/>
  <c r="F46" i="13"/>
  <c r="F30" i="13"/>
  <c r="C30" i="13"/>
  <c r="D46" i="13"/>
  <c r="C46" i="13"/>
  <c r="C38" i="13"/>
  <c r="D30" i="13"/>
  <c r="D26" i="13"/>
  <c r="D18" i="13"/>
  <c r="D14" i="13"/>
  <c r="D10" i="13"/>
  <c r="O44" i="13"/>
  <c r="L44" i="13"/>
  <c r="O40" i="13"/>
  <c r="L40" i="13"/>
  <c r="O28" i="13"/>
  <c r="L28" i="13"/>
  <c r="O20" i="13"/>
  <c r="L20" i="13"/>
  <c r="M40" i="13"/>
  <c r="P36" i="13"/>
  <c r="F48" i="13"/>
  <c r="F44" i="13"/>
  <c r="F40" i="13"/>
  <c r="F36" i="13"/>
  <c r="C36" i="13"/>
  <c r="F32" i="13"/>
  <c r="C32" i="13"/>
  <c r="F28" i="13"/>
  <c r="C28" i="13"/>
  <c r="F24" i="13"/>
  <c r="C24" i="13"/>
  <c r="F20" i="13"/>
  <c r="C20" i="13"/>
  <c r="F16" i="13"/>
  <c r="C16" i="13"/>
  <c r="D42" i="13"/>
  <c r="C40" i="13"/>
  <c r="M46" i="13"/>
  <c r="M26" i="13"/>
  <c r="M18" i="13"/>
  <c r="M10" i="13"/>
  <c r="P40" i="13"/>
  <c r="G8" i="13"/>
  <c r="F38" i="13"/>
  <c r="F34" i="13"/>
  <c r="C34" i="13"/>
  <c r="F22" i="13"/>
  <c r="C22" i="13"/>
  <c r="F18" i="13"/>
  <c r="C18" i="13"/>
  <c r="F10" i="13"/>
  <c r="C10" i="13"/>
  <c r="O48" i="13"/>
  <c r="L48" i="13"/>
  <c r="O36" i="13"/>
  <c r="L36" i="13"/>
  <c r="O24" i="13"/>
  <c r="L24" i="13"/>
  <c r="O16" i="13"/>
  <c r="L16" i="13"/>
  <c r="O12" i="13"/>
  <c r="L12" i="13"/>
  <c r="M28" i="13"/>
  <c r="P20" i="13"/>
  <c r="F12" i="13"/>
  <c r="C12" i="13"/>
  <c r="C8" i="13"/>
  <c r="C48" i="13"/>
  <c r="F47" i="13"/>
  <c r="C47" i="13"/>
  <c r="F43" i="13"/>
  <c r="C43" i="13"/>
  <c r="F39" i="13"/>
  <c r="C39" i="13"/>
  <c r="F35" i="13"/>
  <c r="C35" i="13"/>
  <c r="F31" i="13"/>
  <c r="C31" i="13"/>
  <c r="F27" i="13"/>
  <c r="C27" i="13"/>
  <c r="F23" i="13"/>
  <c r="C23" i="13"/>
  <c r="F19" i="13"/>
  <c r="C19" i="13"/>
  <c r="F15" i="13"/>
  <c r="C15" i="13"/>
  <c r="F11" i="13"/>
  <c r="C11" i="13"/>
  <c r="D8" i="13"/>
  <c r="D47" i="13"/>
  <c r="D44" i="13"/>
  <c r="C42" i="13"/>
  <c r="D39" i="13"/>
  <c r="D36" i="13"/>
  <c r="D32" i="13"/>
  <c r="D28" i="13"/>
  <c r="D24" i="13"/>
  <c r="D20" i="13"/>
  <c r="D16" i="13"/>
  <c r="D12" i="13"/>
  <c r="F8" i="13"/>
  <c r="G46" i="13"/>
  <c r="G42" i="13"/>
  <c r="G38" i="13"/>
  <c r="G34" i="13"/>
  <c r="G30" i="13"/>
  <c r="G26" i="13"/>
  <c r="G22" i="13"/>
  <c r="G18" i="13"/>
  <c r="G14" i="13"/>
  <c r="G10" i="13"/>
  <c r="P8" i="13"/>
  <c r="M8" i="13"/>
  <c r="O46" i="13"/>
  <c r="L46" i="13"/>
  <c r="O42" i="13"/>
  <c r="L42" i="13"/>
  <c r="O38" i="13"/>
  <c r="L38" i="13"/>
  <c r="O34" i="13"/>
  <c r="L34" i="13"/>
  <c r="O30" i="13"/>
  <c r="L30" i="13"/>
  <c r="O26" i="13"/>
  <c r="L26" i="13"/>
  <c r="O22" i="13"/>
  <c r="L22" i="13"/>
  <c r="O18" i="13"/>
  <c r="L18" i="13"/>
  <c r="O14" i="13"/>
  <c r="L14" i="13"/>
  <c r="O10" i="13"/>
  <c r="L10" i="13"/>
  <c r="M48" i="13"/>
  <c r="M42" i="13"/>
  <c r="M32" i="13"/>
  <c r="M24" i="13"/>
  <c r="M16" i="13"/>
  <c r="O8" i="13"/>
  <c r="P44" i="13"/>
  <c r="P34" i="13"/>
  <c r="P28" i="13"/>
  <c r="P18" i="13"/>
  <c r="P12" i="13"/>
  <c r="C49" i="13"/>
  <c r="C45" i="13"/>
  <c r="C41" i="13"/>
  <c r="C37" i="13"/>
  <c r="C33" i="13"/>
  <c r="C29" i="13"/>
  <c r="C25" i="13"/>
  <c r="C21" i="13"/>
  <c r="C17" i="13"/>
  <c r="C13" i="13"/>
  <c r="C9" i="13"/>
  <c r="F49" i="13"/>
  <c r="F45" i="13"/>
  <c r="F41" i="13"/>
  <c r="F37" i="13"/>
  <c r="F33" i="13"/>
  <c r="F29" i="13"/>
  <c r="F25" i="13"/>
  <c r="F21" i="13"/>
  <c r="F17" i="13"/>
  <c r="F13" i="13"/>
  <c r="F9" i="13"/>
  <c r="P47" i="13"/>
  <c r="P43" i="13"/>
  <c r="P39" i="13"/>
  <c r="P35" i="13"/>
  <c r="P31" i="13"/>
  <c r="M31" i="13"/>
  <c r="P27" i="13"/>
  <c r="M27" i="13"/>
  <c r="P23" i="13"/>
  <c r="M23" i="13"/>
  <c r="P19" i="13"/>
  <c r="M19" i="13"/>
  <c r="P15" i="13"/>
  <c r="M15" i="13"/>
  <c r="P11" i="13"/>
  <c r="M11" i="13"/>
  <c r="L31" i="13"/>
  <c r="L27" i="13"/>
  <c r="L23" i="13"/>
  <c r="L19" i="13"/>
  <c r="L15" i="13"/>
  <c r="L11" i="13"/>
  <c r="P49" i="13"/>
  <c r="P45" i="13"/>
  <c r="P41" i="13"/>
  <c r="P37" i="13"/>
  <c r="P33" i="13"/>
  <c r="P29" i="13"/>
  <c r="M29" i="13"/>
  <c r="P25" i="13"/>
  <c r="M25" i="13"/>
  <c r="P21" i="13"/>
  <c r="M21" i="13"/>
  <c r="P17" i="13"/>
  <c r="M17" i="13"/>
  <c r="P13" i="13"/>
  <c r="M13" i="13"/>
  <c r="P9" i="13"/>
  <c r="M9" i="13"/>
  <c r="L49" i="13"/>
  <c r="L45" i="13"/>
  <c r="L41" i="13"/>
  <c r="L37" i="13"/>
  <c r="L33" i="13"/>
  <c r="L29" i="13"/>
  <c r="L25" i="13"/>
  <c r="L21" i="13"/>
  <c r="L17" i="13"/>
  <c r="L13" i="13"/>
  <c r="L9" i="13"/>
  <c r="J53" i="15"/>
  <c r="J35" i="14"/>
  <c r="K24" i="14"/>
  <c r="J41" i="14"/>
  <c r="J11" i="14"/>
  <c r="J31" i="14"/>
  <c r="J45" i="14"/>
  <c r="J25" i="14"/>
  <c r="J46" i="14"/>
  <c r="J20" i="14"/>
  <c r="E24" i="14"/>
  <c r="J24" i="14"/>
  <c r="J29" i="14"/>
  <c r="J27" i="14"/>
  <c r="J37" i="14"/>
  <c r="J47" i="14"/>
  <c r="J16" i="14"/>
  <c r="J18" i="14"/>
  <c r="J49" i="14"/>
  <c r="J30" i="14"/>
  <c r="J36" i="14"/>
  <c r="J10" i="14"/>
  <c r="J14" i="14"/>
  <c r="J23" i="14"/>
  <c r="J39" i="14"/>
  <c r="J9" i="14"/>
  <c r="J19" i="14"/>
  <c r="J33" i="14"/>
  <c r="J48" i="14"/>
  <c r="J17" i="14"/>
  <c r="J40" i="14"/>
  <c r="J13" i="14"/>
  <c r="J15" i="14"/>
  <c r="J32" i="14"/>
  <c r="J22" i="14"/>
  <c r="J38" i="14"/>
  <c r="J28" i="14"/>
  <c r="J44" i="14"/>
  <c r="J12" i="14"/>
  <c r="J21" i="14"/>
  <c r="J43" i="14"/>
  <c r="J8" i="14"/>
  <c r="D5" i="10"/>
  <c r="E5" i="10"/>
  <c r="F5" i="10"/>
  <c r="F6" i="10" s="1"/>
  <c r="C5" i="10"/>
  <c r="D4" i="10"/>
  <c r="D6" i="10" s="1"/>
  <c r="E4" i="10"/>
  <c r="F4" i="10"/>
  <c r="C4" i="10"/>
  <c r="F10" i="9"/>
  <c r="G4" i="10" s="1"/>
  <c r="F11" i="9"/>
  <c r="G5" i="10" s="1"/>
  <c r="G6" i="10" s="1"/>
  <c r="C6" i="10" l="1"/>
  <c r="E6" i="10"/>
  <c r="G51" i="13"/>
  <c r="P51" i="13"/>
  <c r="J51" i="14"/>
  <c r="E16" i="3" l="1"/>
  <c r="B117" i="3" s="1"/>
  <c r="E15" i="3"/>
  <c r="B107" i="3" s="1"/>
  <c r="E14" i="3"/>
  <c r="B97" i="3" s="1"/>
  <c r="E13" i="3"/>
  <c r="B92" i="3" s="1"/>
  <c r="E12" i="3"/>
  <c r="B83" i="3" s="1"/>
  <c r="E11" i="3"/>
  <c r="B75" i="3" s="1"/>
  <c r="E10" i="3"/>
  <c r="B66" i="3" s="1"/>
  <c r="E9" i="3"/>
  <c r="B58" i="3" s="1"/>
  <c r="E8" i="3"/>
  <c r="B51" i="3" s="1"/>
  <c r="E7" i="3"/>
  <c r="B43" i="3" s="1"/>
  <c r="E6" i="3"/>
  <c r="B36" i="3" s="1"/>
  <c r="E5" i="3"/>
  <c r="B28" i="3" s="1"/>
  <c r="B29" i="2"/>
  <c r="E19" i="2"/>
  <c r="B133" i="2" s="1"/>
  <c r="E18" i="2"/>
  <c r="B122" i="2" s="1"/>
  <c r="E17" i="2"/>
  <c r="B116" i="2" s="1"/>
  <c r="E16" i="2"/>
  <c r="B108" i="2" s="1"/>
  <c r="E15" i="2"/>
  <c r="B97" i="2" s="1"/>
  <c r="E14" i="2"/>
  <c r="B94" i="2" s="1"/>
  <c r="E13" i="2"/>
  <c r="B88" i="2" s="1"/>
  <c r="E12" i="2"/>
  <c r="B80" i="2" s="1"/>
  <c r="E11" i="2"/>
  <c r="B69" i="2" s="1"/>
  <c r="E10" i="2"/>
  <c r="B66" i="2" s="1"/>
  <c r="E9" i="2"/>
  <c r="B60" i="2" s="1"/>
  <c r="E8" i="2"/>
  <c r="B52" i="2" s="1"/>
  <c r="E7" i="2"/>
  <c r="B45" i="2" s="1"/>
  <c r="E6" i="2"/>
  <c r="B38" i="2" s="1"/>
  <c r="E5" i="2"/>
  <c r="B30" i="2" s="1"/>
  <c r="I36" i="16" l="1"/>
  <c r="O35" i="16"/>
  <c r="E16" i="16"/>
  <c r="I16" i="16"/>
  <c r="O16" i="16"/>
  <c r="I23" i="16"/>
  <c r="O23" i="16"/>
  <c r="B37" i="2"/>
  <c r="E8" i="16"/>
  <c r="O8" i="16"/>
  <c r="Q8" i="16" s="1"/>
  <c r="I8" i="16"/>
  <c r="K8" i="16" s="1"/>
  <c r="O63" i="16"/>
  <c r="I63" i="16"/>
  <c r="B31" i="2"/>
  <c r="I42" i="16"/>
  <c r="O41" i="16"/>
  <c r="B35" i="2"/>
  <c r="I45" i="16"/>
  <c r="O44" i="16"/>
  <c r="O70" i="16"/>
  <c r="I70" i="16"/>
  <c r="I56" i="16"/>
  <c r="O55" i="16"/>
  <c r="I7" i="16"/>
  <c r="O7" i="16"/>
  <c r="E7" i="16"/>
  <c r="B39" i="2"/>
  <c r="E19" i="15"/>
  <c r="I19" i="15"/>
  <c r="I19" i="14"/>
  <c r="E19" i="14"/>
  <c r="I36" i="15"/>
  <c r="E35" i="14"/>
  <c r="E37" i="15"/>
  <c r="I34" i="14"/>
  <c r="E11" i="14"/>
  <c r="I11" i="14"/>
  <c r="E11" i="15"/>
  <c r="I11" i="15"/>
  <c r="I44" i="15"/>
  <c r="E42" i="14"/>
  <c r="I41" i="14"/>
  <c r="E44" i="15"/>
  <c r="E27" i="14"/>
  <c r="I28" i="15"/>
  <c r="I27" i="14"/>
  <c r="E28" i="15"/>
  <c r="E38" i="16"/>
  <c r="E23" i="16"/>
  <c r="E47" i="16"/>
  <c r="B55" i="2"/>
  <c r="B61" i="2"/>
  <c r="B85" i="2"/>
  <c r="B91" i="2"/>
  <c r="B119" i="2"/>
  <c r="B125" i="2"/>
  <c r="E30" i="16"/>
  <c r="E58" i="16"/>
  <c r="B83" i="2"/>
  <c r="B89" i="2"/>
  <c r="B117" i="2"/>
  <c r="B123" i="2"/>
  <c r="B65" i="2"/>
  <c r="B111" i="2"/>
  <c r="E66" i="16"/>
  <c r="E44" i="16"/>
  <c r="B57" i="2"/>
  <c r="B63" i="2"/>
  <c r="B93" i="2"/>
  <c r="B40" i="3"/>
  <c r="B72" i="3"/>
  <c r="B104" i="3"/>
  <c r="B38" i="3"/>
  <c r="B70" i="3"/>
  <c r="B102" i="3"/>
  <c r="B118" i="3"/>
  <c r="B48" i="3"/>
  <c r="B80" i="3"/>
  <c r="B112" i="3"/>
  <c r="B46" i="3"/>
  <c r="B78" i="3"/>
  <c r="B110" i="3"/>
  <c r="B44" i="3"/>
  <c r="B52" i="3"/>
  <c r="B76" i="3"/>
  <c r="B84" i="3"/>
  <c r="B108" i="3"/>
  <c r="B116" i="3"/>
  <c r="B42" i="3"/>
  <c r="B50" i="3"/>
  <c r="B74" i="3"/>
  <c r="B82" i="3"/>
  <c r="B106" i="3"/>
  <c r="B114" i="3"/>
  <c r="B47" i="2"/>
  <c r="B75" i="2"/>
  <c r="B49" i="2"/>
  <c r="B77" i="2"/>
  <c r="B103" i="2"/>
  <c r="B131" i="2"/>
  <c r="B27" i="3"/>
  <c r="B59" i="3"/>
  <c r="B91" i="3"/>
  <c r="B55" i="3"/>
  <c r="B87" i="3"/>
  <c r="B109" i="2"/>
  <c r="B25" i="3"/>
  <c r="B57" i="3"/>
  <c r="B89" i="3"/>
  <c r="B53" i="2"/>
  <c r="B81" i="2"/>
  <c r="B107" i="2"/>
  <c r="B115" i="2"/>
  <c r="B139" i="2"/>
  <c r="B33" i="2"/>
  <c r="B51" i="2"/>
  <c r="B59" i="2"/>
  <c r="B67" i="2"/>
  <c r="B79" i="2"/>
  <c r="B87" i="2"/>
  <c r="B95" i="2"/>
  <c r="B105" i="2"/>
  <c r="B113" i="2"/>
  <c r="B121" i="2"/>
  <c r="B37" i="3"/>
  <c r="B39" i="3"/>
  <c r="B41" i="3"/>
  <c r="B45" i="3"/>
  <c r="B47" i="3"/>
  <c r="B49" i="3"/>
  <c r="B53" i="3"/>
  <c r="B69" i="3"/>
  <c r="B71" i="3"/>
  <c r="B73" i="3"/>
  <c r="B77" i="3"/>
  <c r="B79" i="3"/>
  <c r="B81" i="3"/>
  <c r="B85" i="3"/>
  <c r="B101" i="3"/>
  <c r="B103" i="3"/>
  <c r="B105" i="3"/>
  <c r="B109" i="3"/>
  <c r="B111" i="3"/>
  <c r="B113" i="3"/>
  <c r="B115" i="3"/>
  <c r="B29" i="3"/>
  <c r="B33" i="3"/>
  <c r="B61" i="3"/>
  <c r="B63" i="3"/>
  <c r="B67" i="3"/>
  <c r="B31" i="3"/>
  <c r="B35" i="3"/>
  <c r="B65" i="3"/>
  <c r="B93" i="3"/>
  <c r="B95" i="3"/>
  <c r="B99" i="3"/>
  <c r="B26" i="3"/>
  <c r="B30" i="3"/>
  <c r="B34" i="3"/>
  <c r="B56" i="3"/>
  <c r="B60" i="3"/>
  <c r="B64" i="3"/>
  <c r="B68" i="3"/>
  <c r="B86" i="3"/>
  <c r="B88" i="3"/>
  <c r="B90" i="3"/>
  <c r="B94" i="3"/>
  <c r="B96" i="3"/>
  <c r="B98" i="3"/>
  <c r="B100" i="3"/>
  <c r="B32" i="3"/>
  <c r="B54" i="3"/>
  <c r="B62" i="3"/>
  <c r="B99" i="2"/>
  <c r="B74" i="2"/>
  <c r="B72" i="2"/>
  <c r="B70" i="2"/>
  <c r="B68" i="2"/>
  <c r="B140" i="2"/>
  <c r="B138" i="2"/>
  <c r="B136" i="2"/>
  <c r="B134" i="2"/>
  <c r="B132" i="2"/>
  <c r="B130" i="2"/>
  <c r="B128" i="2"/>
  <c r="B126" i="2"/>
  <c r="B124" i="2"/>
  <c r="B129" i="2"/>
  <c r="B137" i="2"/>
  <c r="B46" i="2"/>
  <c r="B44" i="2"/>
  <c r="B42" i="2"/>
  <c r="B40" i="2"/>
  <c r="B102" i="2"/>
  <c r="B100" i="2"/>
  <c r="B98" i="2"/>
  <c r="B96" i="2"/>
  <c r="B101" i="2"/>
  <c r="B43" i="2"/>
  <c r="B41" i="2"/>
  <c r="B73" i="2"/>
  <c r="B71" i="2"/>
  <c r="B127" i="2"/>
  <c r="B135" i="2"/>
  <c r="B32" i="2"/>
  <c r="B34" i="2"/>
  <c r="B36" i="2"/>
  <c r="B48" i="2"/>
  <c r="B50" i="2"/>
  <c r="B54" i="2"/>
  <c r="B56" i="2"/>
  <c r="B58" i="2"/>
  <c r="B62" i="2"/>
  <c r="B64" i="2"/>
  <c r="B76" i="2"/>
  <c r="B78" i="2"/>
  <c r="B82" i="2"/>
  <c r="B84" i="2"/>
  <c r="B86" i="2"/>
  <c r="B90" i="2"/>
  <c r="B92" i="2"/>
  <c r="B104" i="2"/>
  <c r="B106" i="2"/>
  <c r="B110" i="2"/>
  <c r="B112" i="2"/>
  <c r="B114" i="2"/>
  <c r="B118" i="2"/>
  <c r="B120" i="2"/>
  <c r="K7" i="16" l="1"/>
  <c r="K11" i="14"/>
  <c r="Q44" i="16"/>
  <c r="Q23" i="16"/>
  <c r="K44" i="15"/>
  <c r="K28" i="15"/>
  <c r="K19" i="15"/>
  <c r="K27" i="14"/>
  <c r="O29" i="16"/>
  <c r="I30" i="16"/>
  <c r="K30" i="16" s="1"/>
  <c r="O24" i="16"/>
  <c r="I24" i="16"/>
  <c r="O28" i="16"/>
  <c r="I29" i="16"/>
  <c r="I15" i="16"/>
  <c r="O15" i="16"/>
  <c r="E15" i="16"/>
  <c r="O46" i="16"/>
  <c r="I47" i="16"/>
  <c r="I58" i="16"/>
  <c r="O57" i="16"/>
  <c r="I6" i="2"/>
  <c r="J6" i="2" s="1"/>
  <c r="I10" i="16"/>
  <c r="E10" i="16"/>
  <c r="O10" i="16"/>
  <c r="I61" i="16"/>
  <c r="O60" i="16"/>
  <c r="O17" i="16"/>
  <c r="E17" i="16"/>
  <c r="I17" i="16"/>
  <c r="K16" i="16"/>
  <c r="I40" i="16"/>
  <c r="O39" i="16"/>
  <c r="O12" i="16"/>
  <c r="E12" i="16"/>
  <c r="I12" i="16"/>
  <c r="O43" i="16"/>
  <c r="I44" i="16"/>
  <c r="K44" i="16" s="1"/>
  <c r="O42" i="16"/>
  <c r="I43" i="16"/>
  <c r="O52" i="16"/>
  <c r="I53" i="16"/>
  <c r="I69" i="16"/>
  <c r="O69" i="16"/>
  <c r="O64" i="16"/>
  <c r="I28" i="16"/>
  <c r="I46" i="16"/>
  <c r="O45" i="16"/>
  <c r="O34" i="16"/>
  <c r="I35" i="16"/>
  <c r="O27" i="16"/>
  <c r="I27" i="16"/>
  <c r="I54" i="16"/>
  <c r="O53" i="16"/>
  <c r="O26" i="16"/>
  <c r="I26" i="16"/>
  <c r="I37" i="16"/>
  <c r="O36" i="16"/>
  <c r="O9" i="16"/>
  <c r="I9" i="16"/>
  <c r="E9" i="16"/>
  <c r="O59" i="16"/>
  <c r="I60" i="16"/>
  <c r="I68" i="16"/>
  <c r="O68" i="16"/>
  <c r="O37" i="16"/>
  <c r="I38" i="16"/>
  <c r="K38" i="16" s="1"/>
  <c r="I49" i="16"/>
  <c r="O48" i="16"/>
  <c r="O18" i="16"/>
  <c r="I18" i="16"/>
  <c r="I67" i="16"/>
  <c r="O67" i="16"/>
  <c r="I34" i="16"/>
  <c r="O33" i="16"/>
  <c r="I19" i="16"/>
  <c r="O19" i="16"/>
  <c r="O20" i="16"/>
  <c r="I20" i="16"/>
  <c r="O47" i="16"/>
  <c r="Q47" i="16" s="1"/>
  <c r="I48" i="16"/>
  <c r="I62" i="16"/>
  <c r="O62" i="16"/>
  <c r="I9" i="2"/>
  <c r="J9" i="2" s="1"/>
  <c r="O66" i="16"/>
  <c r="Q66" i="16" s="1"/>
  <c r="I66" i="16"/>
  <c r="O50" i="16"/>
  <c r="I51" i="16"/>
  <c r="O38" i="16"/>
  <c r="Q38" i="16" s="1"/>
  <c r="I39" i="16"/>
  <c r="O65" i="16"/>
  <c r="I65" i="16"/>
  <c r="I64" i="16"/>
  <c r="O61" i="16"/>
  <c r="I52" i="16"/>
  <c r="O51" i="16"/>
  <c r="I32" i="16"/>
  <c r="O31" i="16"/>
  <c r="E14" i="16"/>
  <c r="O14" i="16"/>
  <c r="I14" i="16"/>
  <c r="O21" i="16"/>
  <c r="I21" i="16"/>
  <c r="O22" i="16"/>
  <c r="I22" i="16"/>
  <c r="I50" i="16"/>
  <c r="O49" i="16"/>
  <c r="O54" i="16"/>
  <c r="I55" i="16"/>
  <c r="I11" i="16"/>
  <c r="E11" i="16"/>
  <c r="O11" i="16"/>
  <c r="I57" i="16"/>
  <c r="O56" i="16"/>
  <c r="O25" i="16"/>
  <c r="I25" i="16"/>
  <c r="I33" i="16"/>
  <c r="O32" i="16"/>
  <c r="I41" i="16"/>
  <c r="O40" i="16"/>
  <c r="O58" i="16"/>
  <c r="Q58" i="16" s="1"/>
  <c r="I59" i="16"/>
  <c r="O30" i="16"/>
  <c r="Q30" i="16" s="1"/>
  <c r="I31" i="16"/>
  <c r="Q7" i="16"/>
  <c r="E13" i="16"/>
  <c r="O13" i="16"/>
  <c r="I13" i="16"/>
  <c r="Q16" i="16"/>
  <c r="I49" i="14"/>
  <c r="E49" i="14"/>
  <c r="E51" i="15"/>
  <c r="I51" i="15"/>
  <c r="E20" i="15"/>
  <c r="I20" i="15"/>
  <c r="E20" i="14"/>
  <c r="I20" i="14"/>
  <c r="E27" i="15"/>
  <c r="I26" i="14"/>
  <c r="E26" i="14"/>
  <c r="I27" i="15"/>
  <c r="E21" i="15"/>
  <c r="E21" i="14"/>
  <c r="I21" i="15"/>
  <c r="I21" i="14"/>
  <c r="I39" i="15"/>
  <c r="E40" i="15"/>
  <c r="E38" i="14"/>
  <c r="I37" i="14"/>
  <c r="E42" i="15"/>
  <c r="I39" i="14"/>
  <c r="E40" i="14"/>
  <c r="I41" i="15"/>
  <c r="E18" i="15"/>
  <c r="E18" i="14"/>
  <c r="I18" i="15"/>
  <c r="I18" i="14"/>
  <c r="E47" i="15"/>
  <c r="E45" i="14"/>
  <c r="I47" i="15"/>
  <c r="I44" i="14"/>
  <c r="I30" i="15"/>
  <c r="E30" i="15"/>
  <c r="E29" i="14"/>
  <c r="I29" i="14"/>
  <c r="E43" i="15"/>
  <c r="E41" i="14"/>
  <c r="K41" i="14" s="1"/>
  <c r="I42" i="15"/>
  <c r="I40" i="14"/>
  <c r="I40" i="15"/>
  <c r="E41" i="15"/>
  <c r="E39" i="14"/>
  <c r="I38" i="14"/>
  <c r="E36" i="14"/>
  <c r="E38" i="15"/>
  <c r="I37" i="15"/>
  <c r="K37" i="15" s="1"/>
  <c r="I35" i="14"/>
  <c r="K35" i="14" s="1"/>
  <c r="I30" i="14"/>
  <c r="I31" i="15"/>
  <c r="E31" i="15"/>
  <c r="K31" i="15" s="1"/>
  <c r="E30" i="14"/>
  <c r="E9" i="14"/>
  <c r="E9" i="15"/>
  <c r="I9" i="15"/>
  <c r="K9" i="15" s="1"/>
  <c r="I9" i="14"/>
  <c r="I8" i="3"/>
  <c r="J8" i="3" s="1"/>
  <c r="E31" i="14"/>
  <c r="E32" i="15"/>
  <c r="I32" i="15"/>
  <c r="I31" i="14"/>
  <c r="I10" i="14"/>
  <c r="I10" i="15"/>
  <c r="E10" i="15"/>
  <c r="E10" i="14"/>
  <c r="I48" i="14"/>
  <c r="E34" i="15"/>
  <c r="I43" i="15"/>
  <c r="E32" i="14"/>
  <c r="E14" i="15"/>
  <c r="I14" i="14"/>
  <c r="I14" i="15"/>
  <c r="E14" i="14"/>
  <c r="E16" i="15"/>
  <c r="I16" i="14"/>
  <c r="I16" i="15"/>
  <c r="K16" i="15" s="1"/>
  <c r="E16" i="14"/>
  <c r="I38" i="15"/>
  <c r="K38" i="15" s="1"/>
  <c r="E39" i="15"/>
  <c r="I36" i="14"/>
  <c r="E37" i="14"/>
  <c r="E26" i="15"/>
  <c r="I25" i="14"/>
  <c r="I26" i="15"/>
  <c r="K26" i="15" s="1"/>
  <c r="E25" i="14"/>
  <c r="I8" i="15"/>
  <c r="E8" i="14"/>
  <c r="E8" i="15"/>
  <c r="I8" i="14"/>
  <c r="I28" i="14"/>
  <c r="E28" i="14"/>
  <c r="I29" i="15"/>
  <c r="E29" i="15"/>
  <c r="I45" i="14"/>
  <c r="K45" i="14" s="1"/>
  <c r="I48" i="15"/>
  <c r="E48" i="15"/>
  <c r="E46" i="14"/>
  <c r="E46" i="15"/>
  <c r="E44" i="14"/>
  <c r="I46" i="15"/>
  <c r="K46" i="15" s="1"/>
  <c r="I43" i="14"/>
  <c r="E47" i="14"/>
  <c r="I49" i="15"/>
  <c r="E49" i="15"/>
  <c r="I46" i="14"/>
  <c r="K46" i="14" s="1"/>
  <c r="E15" i="15"/>
  <c r="E15" i="14"/>
  <c r="I15" i="15"/>
  <c r="K15" i="15" s="1"/>
  <c r="I15" i="14"/>
  <c r="I17" i="15"/>
  <c r="I17" i="14"/>
  <c r="E17" i="14"/>
  <c r="E17" i="15"/>
  <c r="E48" i="14"/>
  <c r="E50" i="15"/>
  <c r="I50" i="15"/>
  <c r="I47" i="14"/>
  <c r="E13" i="15"/>
  <c r="E13" i="14"/>
  <c r="I13" i="15"/>
  <c r="I13" i="14"/>
  <c r="I12" i="14"/>
  <c r="E12" i="14"/>
  <c r="E12" i="15"/>
  <c r="I12" i="15"/>
  <c r="E35" i="15"/>
  <c r="I32" i="14"/>
  <c r="I34" i="15"/>
  <c r="E33" i="14"/>
  <c r="E22" i="15"/>
  <c r="I22" i="15"/>
  <c r="I22" i="14"/>
  <c r="E22" i="14"/>
  <c r="I45" i="15"/>
  <c r="E45" i="15"/>
  <c r="I42" i="14"/>
  <c r="K42" i="14" s="1"/>
  <c r="E43" i="14"/>
  <c r="E36" i="15"/>
  <c r="K36" i="15" s="1"/>
  <c r="I35" i="15"/>
  <c r="E34" i="14"/>
  <c r="I33" i="14"/>
  <c r="E23" i="14"/>
  <c r="I24" i="15"/>
  <c r="E24" i="15"/>
  <c r="I23" i="14"/>
  <c r="K11" i="15"/>
  <c r="K19" i="14"/>
  <c r="K23" i="16"/>
  <c r="I17" i="2"/>
  <c r="J17" i="2" s="1"/>
  <c r="E54" i="16"/>
  <c r="E21" i="16"/>
  <c r="E22" i="16"/>
  <c r="E52" i="16"/>
  <c r="E31" i="16"/>
  <c r="E64" i="16"/>
  <c r="E34" i="16"/>
  <c r="E45" i="16"/>
  <c r="E53" i="16"/>
  <c r="E33" i="16"/>
  <c r="E62" i="16"/>
  <c r="E42" i="16"/>
  <c r="E32" i="16"/>
  <c r="E49" i="16"/>
  <c r="K47" i="16"/>
  <c r="E24" i="16"/>
  <c r="Q24" i="16" s="1"/>
  <c r="E46" i="16"/>
  <c r="E37" i="16"/>
  <c r="E25" i="16"/>
  <c r="E67" i="16"/>
  <c r="E69" i="16"/>
  <c r="E51" i="16"/>
  <c r="E18" i="16"/>
  <c r="E48" i="16"/>
  <c r="E65" i="16"/>
  <c r="E29" i="16"/>
  <c r="K66" i="16"/>
  <c r="E55" i="16"/>
  <c r="Q55" i="16" s="1"/>
  <c r="E41" i="16"/>
  <c r="Q41" i="16" s="1"/>
  <c r="E43" i="16"/>
  <c r="E61" i="16"/>
  <c r="Q61" i="16" s="1"/>
  <c r="E63" i="16"/>
  <c r="E70" i="16"/>
  <c r="E60" i="16"/>
  <c r="Q60" i="16" s="1"/>
  <c r="K58" i="16"/>
  <c r="E40" i="16"/>
  <c r="E28" i="16"/>
  <c r="E68" i="16"/>
  <c r="E56" i="16"/>
  <c r="E36" i="16"/>
  <c r="E26" i="16"/>
  <c r="Q26" i="16" s="1"/>
  <c r="E19" i="16"/>
  <c r="E20" i="16"/>
  <c r="E50" i="16"/>
  <c r="E57" i="16"/>
  <c r="E59" i="16"/>
  <c r="E27" i="16"/>
  <c r="Q27" i="16" s="1"/>
  <c r="E35" i="16"/>
  <c r="Q35" i="16" s="1"/>
  <c r="E39" i="16"/>
  <c r="I17" i="3"/>
  <c r="J17" i="3" s="1"/>
  <c r="I16" i="3"/>
  <c r="J16" i="3" s="1"/>
  <c r="I12" i="3"/>
  <c r="J12" i="3" s="1"/>
  <c r="I19" i="2"/>
  <c r="J19" i="2" s="1"/>
  <c r="I10" i="2"/>
  <c r="J10" i="2" s="1"/>
  <c r="I14" i="3"/>
  <c r="J14" i="3" s="1"/>
  <c r="I18" i="2"/>
  <c r="J18" i="2" s="1"/>
  <c r="I20" i="2"/>
  <c r="J20" i="2" s="1"/>
  <c r="I15" i="3"/>
  <c r="J15" i="3" s="1"/>
  <c r="I13" i="3"/>
  <c r="J13" i="3" s="1"/>
  <c r="I6" i="3"/>
  <c r="J6" i="3" s="1"/>
  <c r="I9" i="3"/>
  <c r="J9" i="3" s="1"/>
  <c r="I10" i="3"/>
  <c r="J10" i="3" s="1"/>
  <c r="I11" i="3"/>
  <c r="J11" i="3" s="1"/>
  <c r="I7" i="3"/>
  <c r="J7" i="3" s="1"/>
  <c r="I12" i="2"/>
  <c r="J12" i="2" s="1"/>
  <c r="I11" i="2"/>
  <c r="J11" i="2" s="1"/>
  <c r="I15" i="2"/>
  <c r="J15" i="2" s="1"/>
  <c r="I8" i="2"/>
  <c r="J8" i="2" s="1"/>
  <c r="I13" i="2"/>
  <c r="J13" i="2" s="1"/>
  <c r="I7" i="2"/>
  <c r="J7" i="2" s="1"/>
  <c r="I14" i="2"/>
  <c r="J14" i="2" s="1"/>
  <c r="I21" i="2"/>
  <c r="I16" i="2"/>
  <c r="J16" i="2" s="1"/>
  <c r="K22" i="14" l="1"/>
  <c r="K32" i="15"/>
  <c r="K34" i="15"/>
  <c r="K14" i="15"/>
  <c r="K20" i="14"/>
  <c r="K15" i="14"/>
  <c r="K31" i="14"/>
  <c r="K33" i="14"/>
  <c r="Q46" i="16"/>
  <c r="Q64" i="16"/>
  <c r="K12" i="16"/>
  <c r="Q36" i="16"/>
  <c r="Q48" i="16"/>
  <c r="Q67" i="16"/>
  <c r="Q40" i="16"/>
  <c r="Q32" i="16"/>
  <c r="Q31" i="16"/>
  <c r="Q18" i="16"/>
  <c r="Q11" i="16"/>
  <c r="Q53" i="16"/>
  <c r="Q59" i="16"/>
  <c r="Q19" i="16"/>
  <c r="Q68" i="16"/>
  <c r="Q43" i="16"/>
  <c r="Q29" i="16"/>
  <c r="Q51" i="16"/>
  <c r="Q37" i="16"/>
  <c r="Q52" i="16"/>
  <c r="Q54" i="16"/>
  <c r="Q39" i="16"/>
  <c r="Q57" i="16"/>
  <c r="Q28" i="16"/>
  <c r="Q22" i="16"/>
  <c r="K15" i="16"/>
  <c r="K29" i="15"/>
  <c r="K49" i="15"/>
  <c r="K39" i="15"/>
  <c r="K10" i="15"/>
  <c r="K42" i="15"/>
  <c r="K47" i="15"/>
  <c r="K43" i="15"/>
  <c r="K27" i="15"/>
  <c r="K24" i="15"/>
  <c r="K48" i="15"/>
  <c r="K45" i="15"/>
  <c r="K8" i="15"/>
  <c r="K38" i="14"/>
  <c r="K32" i="14"/>
  <c r="K25" i="14"/>
  <c r="K40" i="14"/>
  <c r="K13" i="14"/>
  <c r="K23" i="14"/>
  <c r="K8" i="14"/>
  <c r="K36" i="14"/>
  <c r="K30" i="14"/>
  <c r="Q50" i="16"/>
  <c r="Q65" i="16"/>
  <c r="Q69" i="16"/>
  <c r="Q62" i="16"/>
  <c r="Q45" i="16"/>
  <c r="Q20" i="16"/>
  <c r="Q56" i="16"/>
  <c r="Q33" i="16"/>
  <c r="Q21" i="16"/>
  <c r="Q13" i="16"/>
  <c r="K14" i="16"/>
  <c r="K9" i="16"/>
  <c r="K17" i="16"/>
  <c r="Q10" i="16"/>
  <c r="Q25" i="16"/>
  <c r="K11" i="16"/>
  <c r="Q17" i="16"/>
  <c r="Q9" i="16"/>
  <c r="Q49" i="16"/>
  <c r="Q34" i="16"/>
  <c r="K13" i="16"/>
  <c r="Q14" i="16"/>
  <c r="Q12" i="16"/>
  <c r="K10" i="16"/>
  <c r="Q15" i="16"/>
  <c r="K17" i="14"/>
  <c r="K43" i="14"/>
  <c r="K14" i="14"/>
  <c r="K44" i="14"/>
  <c r="K39" i="14"/>
  <c r="K50" i="15"/>
  <c r="K17" i="15"/>
  <c r="K28" i="14"/>
  <c r="K48" i="14"/>
  <c r="K41" i="15"/>
  <c r="K34" i="14"/>
  <c r="K29" i="14"/>
  <c r="K18" i="14"/>
  <c r="K37" i="14"/>
  <c r="K21" i="14"/>
  <c r="K26" i="14"/>
  <c r="K35" i="15"/>
  <c r="K22" i="15"/>
  <c r="K12" i="15"/>
  <c r="K12" i="14"/>
  <c r="K13" i="15"/>
  <c r="K47" i="14"/>
  <c r="K16" i="14"/>
  <c r="K10" i="14"/>
  <c r="K9" i="14"/>
  <c r="K40" i="15"/>
  <c r="K30" i="15"/>
  <c r="K18" i="15"/>
  <c r="K21" i="15"/>
  <c r="K20" i="15"/>
  <c r="K51" i="15"/>
  <c r="K49" i="14"/>
  <c r="K28" i="16"/>
  <c r="K24" i="16"/>
  <c r="K64" i="16"/>
  <c r="K22" i="16"/>
  <c r="K20" i="16"/>
  <c r="K36" i="16"/>
  <c r="K41" i="16"/>
  <c r="K45" i="16"/>
  <c r="K52" i="16"/>
  <c r="K34" i="16"/>
  <c r="K68" i="16"/>
  <c r="K39" i="16"/>
  <c r="K33" i="16"/>
  <c r="K27" i="16"/>
  <c r="K63" i="16"/>
  <c r="Q63" i="16"/>
  <c r="K48" i="16"/>
  <c r="K70" i="16"/>
  <c r="Q70" i="16"/>
  <c r="K42" i="16"/>
  <c r="Q42" i="16"/>
  <c r="K29" i="16"/>
  <c r="K57" i="16"/>
  <c r="K56" i="16"/>
  <c r="K26" i="16"/>
  <c r="K49" i="16"/>
  <c r="K54" i="16"/>
  <c r="K51" i="16"/>
  <c r="K67" i="16"/>
  <c r="K35" i="16"/>
  <c r="K43" i="16"/>
  <c r="K32" i="16"/>
  <c r="K62" i="16"/>
  <c r="K46" i="16"/>
  <c r="K40" i="16"/>
  <c r="K37" i="16"/>
  <c r="K69" i="16"/>
  <c r="K61" i="16"/>
  <c r="K55" i="16"/>
  <c r="K25" i="16"/>
  <c r="K31" i="16"/>
  <c r="K50" i="16"/>
  <c r="K59" i="16"/>
  <c r="K19" i="16"/>
  <c r="K53" i="16"/>
  <c r="K18" i="16"/>
  <c r="K65" i="16"/>
  <c r="K60" i="16"/>
  <c r="K21" i="16"/>
  <c r="I22" i="2"/>
  <c r="J22" i="2" s="1"/>
  <c r="L5" i="2" s="1"/>
  <c r="I18" i="3"/>
  <c r="J18" i="3" s="1"/>
  <c r="L5" i="3" s="1"/>
  <c r="J54" i="15" l="1"/>
  <c r="K5" i="2"/>
  <c r="J52" i="14"/>
  <c r="K5" i="3"/>
  <c r="P73" i="16"/>
  <c r="J73" i="16"/>
  <c r="J75" i="16" l="1"/>
</calcChain>
</file>

<file path=xl/sharedStrings.xml><?xml version="1.0" encoding="utf-8"?>
<sst xmlns="http://schemas.openxmlformats.org/spreadsheetml/2006/main" count="4067" uniqueCount="697">
  <si>
    <t>Input from EMP (for the whole of the UK)</t>
  </si>
  <si>
    <t>Value of top slot (£M)</t>
  </si>
  <si>
    <t>Total number of positions</t>
  </si>
  <si>
    <t>Checking how our total value compares with that of EMP</t>
  </si>
  <si>
    <t>VIRGIN ENTERTAINMENT GENRE</t>
  </si>
  <si>
    <t>Common ratio: r</t>
  </si>
  <si>
    <t>r is for the range</t>
  </si>
  <si>
    <t>Page no</t>
  </si>
  <si>
    <t>Our total value (£M)</t>
  </si>
  <si>
    <t>Our total value as a ratio of EMP</t>
  </si>
  <si>
    <t>Our total value as a ratio of EMP: minimum</t>
  </si>
  <si>
    <t>Our total value as a ratio of EMP: maximum</t>
  </si>
  <si>
    <t>LCN</t>
  </si>
  <si>
    <t>Page No</t>
  </si>
  <si>
    <t>Average Value (£M)</t>
  </si>
  <si>
    <t>Total Value (£M)</t>
  </si>
  <si>
    <t>Top slot - page 1 middle</t>
  </si>
  <si>
    <t>101-107</t>
  </si>
  <si>
    <t>Page 1 middle - Page 2 middle</t>
  </si>
  <si>
    <t>108-114</t>
  </si>
  <si>
    <t>Page 2 middle - Page 3 middle</t>
  </si>
  <si>
    <t>115-121</t>
  </si>
  <si>
    <t>Page 3 middle - page 4 middle</t>
  </si>
  <si>
    <t>122-128</t>
  </si>
  <si>
    <t>Page 4 middle - page 5 middle</t>
  </si>
  <si>
    <t>129-135</t>
  </si>
  <si>
    <t>Page 5 middle - page 6 middle</t>
  </si>
  <si>
    <t>136-142</t>
  </si>
  <si>
    <t>Page 6 middle - page 7 middle</t>
  </si>
  <si>
    <t>143-150</t>
  </si>
  <si>
    <t>Page 7 middle - page 8 middle</t>
  </si>
  <si>
    <t>151-157</t>
  </si>
  <si>
    <t>Page 8 middle - page 9 middle</t>
  </si>
  <si>
    <t>158-164</t>
  </si>
  <si>
    <t>Page 9 middle - page 10 middle</t>
  </si>
  <si>
    <t>165-171</t>
  </si>
  <si>
    <t>Page 10 middle - page 11 middle</t>
  </si>
  <si>
    <t>172-178</t>
  </si>
  <si>
    <t>Page 11 middle - page 12 middle</t>
  </si>
  <si>
    <t>179-185</t>
  </si>
  <si>
    <t>Page 12 middle - page 13 middle</t>
  </si>
  <si>
    <t>186-194</t>
  </si>
  <si>
    <t>Page 13 middle - page 14 middle</t>
  </si>
  <si>
    <t>195-201</t>
  </si>
  <si>
    <t>Page 14 middle - bottom slot</t>
  </si>
  <si>
    <t>202-209</t>
  </si>
  <si>
    <t>210-216</t>
  </si>
  <si>
    <t>Total</t>
  </si>
  <si>
    <t>Position</t>
  </si>
  <si>
    <t>Slot value (£M)</t>
  </si>
  <si>
    <t>Channel</t>
  </si>
  <si>
    <t>BBC Scotland</t>
  </si>
  <si>
    <t>BBC One HD</t>
  </si>
  <si>
    <t>Sky One HD</t>
  </si>
  <si>
    <t>Sky One</t>
  </si>
  <si>
    <t>ITV</t>
  </si>
  <si>
    <t>ITV +1</t>
  </si>
  <si>
    <t>ITV2</t>
  </si>
  <si>
    <t>ITV2 +1</t>
  </si>
  <si>
    <t>ITV3</t>
  </si>
  <si>
    <t>ITV4</t>
  </si>
  <si>
    <t>ITVBe</t>
  </si>
  <si>
    <t>Sky Arts</t>
  </si>
  <si>
    <t>Pick</t>
  </si>
  <si>
    <t>W</t>
  </si>
  <si>
    <t>alibi</t>
  </si>
  <si>
    <t>Dave</t>
  </si>
  <si>
    <t>Drama</t>
  </si>
  <si>
    <t>Really</t>
  </si>
  <si>
    <t>Comedy Central</t>
  </si>
  <si>
    <t>Comedy Central +1</t>
  </si>
  <si>
    <t>MTV</t>
  </si>
  <si>
    <t>Challenge</t>
  </si>
  <si>
    <t>Channel 4 HD</t>
  </si>
  <si>
    <t>Channel 4 +1</t>
  </si>
  <si>
    <t>4seven</t>
  </si>
  <si>
    <t>E4 HD</t>
  </si>
  <si>
    <t>E4 +1</t>
  </si>
  <si>
    <t>More4</t>
  </si>
  <si>
    <t>CBS Reality</t>
  </si>
  <si>
    <t>Horror Channel</t>
  </si>
  <si>
    <t>Channel 5 HD</t>
  </si>
  <si>
    <t>Channel 5</t>
  </si>
  <si>
    <t>5STAR</t>
  </si>
  <si>
    <t>5Select</t>
  </si>
  <si>
    <t>5 USA</t>
  </si>
  <si>
    <t>E!</t>
  </si>
  <si>
    <t>FOX</t>
  </si>
  <si>
    <t>Real Lives</t>
  </si>
  <si>
    <t>BBC Alba</t>
  </si>
  <si>
    <t>BBC Two HD</t>
  </si>
  <si>
    <t>BBC Four HD</t>
  </si>
  <si>
    <t>S4C</t>
  </si>
  <si>
    <t>SKY ENTERTAINMENT SECTION</t>
  </si>
  <si>
    <t>101 - 108</t>
  </si>
  <si>
    <t>Page 1 middle - page 2 middle</t>
  </si>
  <si>
    <t>109 - 116</t>
  </si>
  <si>
    <t>Page 2 middle - page 3 middle</t>
  </si>
  <si>
    <t>117 - 124</t>
  </si>
  <si>
    <t>125 - 132</t>
  </si>
  <si>
    <t>133 - 141</t>
  </si>
  <si>
    <t>142 - 149</t>
  </si>
  <si>
    <t>150 - 157</t>
  </si>
  <si>
    <t>158- 165</t>
  </si>
  <si>
    <t>166-173</t>
  </si>
  <si>
    <t>174-182</t>
  </si>
  <si>
    <t>183- 192</t>
  </si>
  <si>
    <t>Page 11 middle - bottom slot</t>
  </si>
  <si>
    <t xml:space="preserve">193 - 199 </t>
  </si>
  <si>
    <t>Basis</t>
  </si>
  <si>
    <t>Wales</t>
  </si>
  <si>
    <t>UK</t>
  </si>
  <si>
    <t>Weighting scheme 1</t>
  </si>
  <si>
    <t>BBC One viewership (in minutes 2017)</t>
  </si>
  <si>
    <t>Weighting scheme 2</t>
  </si>
  <si>
    <t>Total Sky platform viewership (in minutes 2017)</t>
  </si>
  <si>
    <t>Average</t>
  </si>
  <si>
    <t>Slot value for whole of UK (£M)</t>
  </si>
  <si>
    <t>Channel 4</t>
  </si>
  <si>
    <t>E4</t>
  </si>
  <si>
    <t>BBC Four</t>
  </si>
  <si>
    <t xml:space="preserve">LCN </t>
  </si>
  <si>
    <t>Counterfactual</t>
  </si>
  <si>
    <t>Slot position</t>
  </si>
  <si>
    <t>Virgin Media Previews</t>
  </si>
  <si>
    <t>BBC One/HD*</t>
  </si>
  <si>
    <t>ITV/STV HD*</t>
  </si>
  <si>
    <t>BBC One HD/BBC Scotland HD*</t>
  </si>
  <si>
    <t>Sky Witness HD</t>
  </si>
  <si>
    <t>Sky Witness</t>
  </si>
  <si>
    <t>ITV HD*</t>
  </si>
  <si>
    <t>ITV Be +1</t>
  </si>
  <si>
    <t>Sky Two</t>
  </si>
  <si>
    <t>Gold HD</t>
  </si>
  <si>
    <t>Yesterday</t>
  </si>
  <si>
    <t>Dave ja vu</t>
  </si>
  <si>
    <t>SYFY</t>
  </si>
  <si>
    <t>SYFY +1</t>
  </si>
  <si>
    <t>Universal TV</t>
  </si>
  <si>
    <t>Universal TV +1</t>
  </si>
  <si>
    <t>Sky Witness +1</t>
  </si>
  <si>
    <t>4Seven</t>
  </si>
  <si>
    <t>5Star</t>
  </si>
  <si>
    <t>5Spike</t>
  </si>
  <si>
    <t>Channel 5 +1</t>
  </si>
  <si>
    <t>FOX +1</t>
  </si>
  <si>
    <t>Regional Channels</t>
  </si>
  <si>
    <t>BBC Scotland HD*</t>
  </si>
  <si>
    <t>Universal TV HD</t>
  </si>
  <si>
    <t>SYFY HD</t>
  </si>
  <si>
    <t>S4C HD</t>
  </si>
  <si>
    <t>TLC HD</t>
  </si>
  <si>
    <t>Change in slot position</t>
  </si>
  <si>
    <t>England</t>
  </si>
  <si>
    <t>NI</t>
  </si>
  <si>
    <t>Scotland</t>
  </si>
  <si>
    <t>BBC One</t>
  </si>
  <si>
    <t>BBC Two</t>
  </si>
  <si>
    <t>Sky Atlantic HD</t>
  </si>
  <si>
    <t>W HD</t>
  </si>
  <si>
    <t>Dave HD</t>
  </si>
  <si>
    <t>ComedyCentral</t>
  </si>
  <si>
    <t>Universal HD</t>
  </si>
  <si>
    <t>London Live</t>
  </si>
  <si>
    <t>ITV2 HD</t>
  </si>
  <si>
    <t>ITV3 HD</t>
  </si>
  <si>
    <t>ITV4 HD</t>
  </si>
  <si>
    <t>SkySp Mix HD</t>
  </si>
  <si>
    <t>Sky Arts HD</t>
  </si>
  <si>
    <t>E HD</t>
  </si>
  <si>
    <t>FOX HD</t>
  </si>
  <si>
    <t>MTV HD</t>
  </si>
  <si>
    <t>ComedyXtra</t>
  </si>
  <si>
    <t>alibi HD</t>
  </si>
  <si>
    <t>Good Food HD</t>
  </si>
  <si>
    <t>More4 HD</t>
  </si>
  <si>
    <t>4Music</t>
  </si>
  <si>
    <t>5USA</t>
  </si>
  <si>
    <t>QUEST</t>
  </si>
  <si>
    <t>UTV</t>
  </si>
  <si>
    <t>STV</t>
  </si>
  <si>
    <t>Cardiff TV</t>
  </si>
  <si>
    <t>Note: Will change only in Wales</t>
  </si>
  <si>
    <t>BBC 1</t>
  </si>
  <si>
    <t>Total TV</t>
  </si>
  <si>
    <t>England &amp; Ulster combined</t>
  </si>
  <si>
    <t>Ulster</t>
  </si>
  <si>
    <t>Total yearly minutes (000s)</t>
  </si>
  <si>
    <t>Universe: DSAT</t>
  </si>
  <si>
    <t>Target: Individuals (4+) in BBC areas, watching through Sky platform only</t>
  </si>
  <si>
    <t>Period: 01.01.2017 - 03.12.2017</t>
  </si>
  <si>
    <t>Source: BARB, 7-day consolidated</t>
  </si>
  <si>
    <t>Weight for:</t>
  </si>
  <si>
    <t>England and NI combined</t>
  </si>
  <si>
    <t>Discovery HD</t>
  </si>
  <si>
    <t>National Geographic HD</t>
  </si>
  <si>
    <t>History HD</t>
  </si>
  <si>
    <t>Channels</t>
  </si>
  <si>
    <t>Number of channels moved down</t>
  </si>
  <si>
    <t>Any channel below Really</t>
  </si>
  <si>
    <t>Counterfactual LCN +2</t>
  </si>
  <si>
    <t>Same as counterfactual</t>
  </si>
  <si>
    <t>Channels changing LCN</t>
  </si>
  <si>
    <t>All channels from Sky Atlantic HD (Counterfactual LCN 108) onwards</t>
  </si>
  <si>
    <t>Annual slot value (£M, adjusting for Scotland)</t>
  </si>
  <si>
    <t>Note: We assume that slot values provided by EMP and hence those calculated below are for a period of 5 years, and that the corresponding annual values are 1/5th of these values.</t>
  </si>
  <si>
    <t>Commercial: 1 if commercial, 0 otherwise</t>
  </si>
  <si>
    <t>Number of commercial channels moved down</t>
  </si>
  <si>
    <t>Change in annual slot value (£M, adjusting for Scotland)</t>
  </si>
  <si>
    <t>Annual slot value (£M, adjusting for Wales)</t>
  </si>
  <si>
    <t>Change in annual slot value (£M, adjusting for Wales)</t>
  </si>
  <si>
    <t>None</t>
  </si>
  <si>
    <t>Annual slot value (£M)</t>
  </si>
  <si>
    <t>Change in annual slot value (£M)</t>
  </si>
  <si>
    <t>Any channel below S4C HD</t>
  </si>
  <si>
    <t>Annual losses to commercial channels moving down (£M, adjusting for Scotland)</t>
  </si>
  <si>
    <t>Annual losses to commercial channels moving down (£M, adjusting for Wales)</t>
  </si>
  <si>
    <t>Annual losses to commercial channels moving down (£M)</t>
  </si>
  <si>
    <t>Additional (to decision) losses if Local TV is moved up as well</t>
  </si>
  <si>
    <t>Changing LCN: 1 if Yes, 0 if NO</t>
  </si>
  <si>
    <t>Number of channels changing LCN</t>
  </si>
  <si>
    <t xml:space="preserve"> </t>
  </si>
  <si>
    <t>Information</t>
  </si>
  <si>
    <t xml:space="preserve">Title </t>
  </si>
  <si>
    <t>Objective</t>
  </si>
  <si>
    <t>Version</t>
  </si>
  <si>
    <t>Confidentiality status</t>
  </si>
  <si>
    <t>Contents</t>
  </si>
  <si>
    <t>Sheet</t>
  </si>
  <si>
    <t>Description</t>
  </si>
  <si>
    <t>Viewing data</t>
  </si>
  <si>
    <t>Terms and conditions</t>
  </si>
  <si>
    <t xml:space="preserve">The terms and conditions on which OFCOM is making available the model are set out below.                                      </t>
  </si>
  <si>
    <t>No representation or warranty is given as to the accuracy, completeness or correctness of the provided Model and it is provided 'as is'. It is provided without any representation or endorsement made and without warranty of any kind, whether express or implied, including but not limited to the implied warranties of satisfactory quality, fitness for a particular purpose, non-infringement, compatibility, security and accuracy.</t>
  </si>
  <si>
    <t xml:space="preserve">OFCOM does not accept any responsibility for any loss, disruption or damage to your data or your computer system which may occur whilst using the Model or material derived from the Model. OFCOM does not warrant that the functions contained in the Model will be uninterrupted or error free. Also, OFCOM does not warrant that defects will be corrected, or that the Model provided is free of viruses. </t>
  </si>
  <si>
    <t xml:space="preserve">In no event will OFCOM be liable for any loss or damage including, without limitation, indirect or consequential loss or damage, or any loss or damages whatsoever arising from use or loss of use of, data or profits arising out of or in connection with the use or otherwise of the provided Model. By using this Model, you agree to the above.                                           </t>
  </si>
  <si>
    <t>Nation weights - Sky</t>
  </si>
  <si>
    <t>VM-Gen Ent - EMP slot values</t>
  </si>
  <si>
    <t>VM-Gen Ent EPG</t>
  </si>
  <si>
    <t>Impacts - Virgin Media</t>
  </si>
  <si>
    <t>Impacts - Sky - England and NI</t>
  </si>
  <si>
    <t>Impacts - Sky - Scotland</t>
  </si>
  <si>
    <t>Impacts - Sky - Wales</t>
  </si>
  <si>
    <t>Counterfactual based on: https://www.virginmedia.com/virgin-tv-edit/tips-and-tricks/virgin-tv-channel-guide.html (accessed on 12/06/2019).</t>
  </si>
  <si>
    <t>Counterfactual based on: https://www.sky.com/tv-guide (accessed on 12/06/2019; for each nation, we have used the corresponding guide of that nation).</t>
  </si>
  <si>
    <t xml:space="preserve">Total number of positions </t>
  </si>
  <si>
    <t>SKY KIDS SECTION</t>
  </si>
  <si>
    <t xml:space="preserve">601 - 608 </t>
  </si>
  <si>
    <t>609 - 616</t>
  </si>
  <si>
    <t>617 -625</t>
  </si>
  <si>
    <t>626 - 644</t>
  </si>
  <si>
    <t>Page 4 middle - bottom slot</t>
  </si>
  <si>
    <t>645 - 648</t>
  </si>
  <si>
    <t xml:space="preserve">Total </t>
  </si>
  <si>
    <t>Position of CBBC and CBeebies</t>
  </si>
  <si>
    <t>Channels affected</t>
  </si>
  <si>
    <t>Owner</t>
  </si>
  <si>
    <t>Current position</t>
  </si>
  <si>
    <t>Current slot value (£M)</t>
  </si>
  <si>
    <t>Disney Junior HD</t>
  </si>
  <si>
    <t>Disney</t>
  </si>
  <si>
    <t>Disney Junior +</t>
  </si>
  <si>
    <t>Disney Channel HD</t>
  </si>
  <si>
    <t>Disney Channel +1</t>
  </si>
  <si>
    <t>Disney XD HD</t>
  </si>
  <si>
    <t>Disney XD +1</t>
  </si>
  <si>
    <t>CBBC HD</t>
  </si>
  <si>
    <t>BBC</t>
  </si>
  <si>
    <t>CBeebies HD</t>
  </si>
  <si>
    <t>Indicative cost to commercial broadcasters (£M)</t>
  </si>
  <si>
    <t>Number of commercial channels affected</t>
  </si>
  <si>
    <t>Decision regarding Children's channels</t>
  </si>
  <si>
    <t>Decision is about</t>
  </si>
  <si>
    <t>First 8 slots</t>
  </si>
  <si>
    <t>Within the first 8 slots of the children's genre</t>
  </si>
  <si>
    <t>Position under first 8 slots decision</t>
  </si>
  <si>
    <t>Slot value under first 8 slots decision</t>
  </si>
  <si>
    <t>Change in slot value under first 8 slots decision (£M)</t>
  </si>
  <si>
    <t>Indicative annual cost to commercial broadcasters (£M)</t>
  </si>
  <si>
    <t>Impacts - Sky - Kids</t>
  </si>
  <si>
    <t>Estimates UK-wide slot prices for each slot on the Sky General entertainment genre using inputs from EMP</t>
  </si>
  <si>
    <t>Sky-Gen Ent - EMP slot values</t>
  </si>
  <si>
    <t>Review of prominence for public service broadcasting: Statement on changes to the EPG Code</t>
  </si>
  <si>
    <t>Contents sheet</t>
  </si>
  <si>
    <t>Estimates UK-wide slot values for each slot on the Virgin Media General Entertainment genre using inputs from EMP</t>
  </si>
  <si>
    <t>Estimates potential impact of our decision on the Sky Children's genre</t>
  </si>
  <si>
    <t>This model has been created solely for the purpose of estimating financial impacts of changes to the EPG Code. As indicated in Annex 3 of our statement, these estimates are indicative only and should be considered on that basis.  </t>
  </si>
  <si>
    <r>
      <t xml:space="preserve">EPG under minimum compliance with our decisions (and our Local TV consultation proposal) </t>
    </r>
    <r>
      <rPr>
        <sz val="11"/>
        <color theme="1"/>
        <rFont val="Symbol"/>
        <family val="1"/>
        <charset val="2"/>
      </rPr>
      <t>-</t>
    </r>
    <r>
      <rPr>
        <sz val="11"/>
        <color theme="1"/>
        <rFont val="Calibri"/>
        <family val="2"/>
        <scheme val="minor"/>
      </rPr>
      <t xml:space="preserve"> as discussed in Annex 3 of our statement: https://www.ofcom.org.uk/__data/assets/pdf_file/0021/154380/annex-3-ofcoms-assessment-of-evidence-base.pdf.</t>
    </r>
  </si>
  <si>
    <t>EPG under minimum compliance with our decisions</t>
  </si>
  <si>
    <t>For different nations, presents Sky General Entertainment counterfactual EPG and EPG under minimum compliance with our decisions (and our Local TV consultation proposal)</t>
  </si>
  <si>
    <t>Estimates potential impact of our decisions (and our Local TV consultation proposal) on the Virgin Media General Entertainment EPG</t>
  </si>
  <si>
    <t>Estimates potential impact of our decisions (and our Local TV consultation proposal) on the Sky General Entertainment EPG in England and NI</t>
  </si>
  <si>
    <t>Estimates potential impact of our decisions (and our Local TV consultation proposal) on the Sky General Entertainment EPG in Wales</t>
  </si>
  <si>
    <t>Estimates potential impact of our decisions (and our Local TV consultation proposal) on the Sky General Entertainment EPG in Scotland</t>
  </si>
  <si>
    <t>EPG under minimum compliance with our decisions and our Local TV consultation proposal</t>
  </si>
  <si>
    <t>Channels changing LCN due to our decisions:</t>
  </si>
  <si>
    <t>Same as under our decisions</t>
  </si>
  <si>
    <t xml:space="preserve">Number of channels which would have to change LCN not due to our decisions but if our Local TV consultation proposal was implemented </t>
  </si>
  <si>
    <t>Page number</t>
  </si>
  <si>
    <t>EPG under minimum compliance with our decisions (and our Local TV consultation proposal) - as discussed in Annex 3 of our statement: https://www.ofcom.org.uk/__data/assets/pdf_file/0021/154380/annex-3-ofcoms-assessment-of-evidence-base.pdf.</t>
  </si>
  <si>
    <t>EPG under minimum compliance with our decision regarding Channel 4</t>
  </si>
  <si>
    <t>EPG under minimum compliance with our decision regarding Channel 4 and minimum compliance with our Local TV consultation proposal</t>
  </si>
  <si>
    <t>Minimum compliance with our decisions</t>
  </si>
  <si>
    <t>Minimum compliance with our decisions and our Local TV consultation proposal</t>
  </si>
  <si>
    <t>Presents Virgin Media General Entertainment counterfactual EPG, EPG under minimum compliance with our decisions (and our Local TV consultation proposal)</t>
  </si>
  <si>
    <t>Non-Confidential</t>
  </si>
  <si>
    <t xml:space="preserve">All right, title and interest in the provided model (the ‘Model’) constructed in Excel to estimate the impact of changes to the EPG Code are owned by OFCOM. Such title and interest is protected by United Kingdom intellectual property laws and international treaty provisions. While you may freely use the Model for the purposes for which it is provided, as set out in the accompanying model documentation, it is not to be modified in any way or used for commercial gain or otherwise without the prior written permission of OFCOM.                                                                                   </t>
  </si>
  <si>
    <t>Source: BARB</t>
  </si>
  <si>
    <t>Source: Expert Media Partners, Report on the UK market in EPG Positions, July 2018, Table 2, https://www.ofcom.org.uk/__data/assets/pdf_file/0025/116287/expert-media-partners.pdf.</t>
  </si>
  <si>
    <t>Source: Expert Media Partners, Report on the UK market in EPG Positions, July 2018, Table 1, https://www.ofcom.org.uk/__data/assets/pdf_file/0025/116287/expert-media-partners.pdf.</t>
  </si>
  <si>
    <t>Our re-run of the Ofcom model</t>
  </si>
  <si>
    <t>Our re-run of the O&amp;O model</t>
  </si>
  <si>
    <t>O&amp;O - Revenues &amp; viewing</t>
  </si>
  <si>
    <r>
      <t xml:space="preserve">Presents total viewer hours and estimated advertising revenue from the O&amp;O model. Source: </t>
    </r>
    <r>
      <rPr>
        <i/>
        <sz val="9"/>
        <rFont val="Arial"/>
        <family val="2"/>
      </rPr>
      <t>O&amp;O model.</t>
    </r>
  </si>
  <si>
    <t>O&amp;O - other input parameters</t>
  </si>
  <si>
    <r>
      <t xml:space="preserve">Presents other input parameters from the O&amp;O model. Source: </t>
    </r>
    <r>
      <rPr>
        <i/>
        <sz val="9"/>
        <rFont val="Arial"/>
        <family val="2"/>
      </rPr>
      <t>O&amp;O model.</t>
    </r>
  </si>
  <si>
    <t>Sky-Gen Ent EPG</t>
  </si>
  <si>
    <t>Freeview-Gen Ent</t>
  </si>
  <si>
    <t>For different nations, presents Freeview General Entertainment counterfactual EPG and EPG under minimum compliance with our decisions</t>
  </si>
  <si>
    <t>Freeview-Gen Ent-more than min</t>
  </si>
  <si>
    <t>For different nations, presents Freeview General Entertainment counterfactual EPG and EPG under more than minimum compliance with our decisions</t>
  </si>
  <si>
    <t>Freesat-Gen Ent EPG</t>
  </si>
  <si>
    <t>Impacts - Sky Wales</t>
  </si>
  <si>
    <t>Estimates potential impact of our decisions on the Sky General Entertainment EPG in Wales</t>
  </si>
  <si>
    <t>Impacts - Freeview - non Scot</t>
  </si>
  <si>
    <t>Estimates potential impact of our decisions on the Freeview General Entertainment EPG in England, NI and Wales</t>
  </si>
  <si>
    <t>Impacts - Freeview - Scotland</t>
  </si>
  <si>
    <t>Estimates potential impact of our decisions on the Freeview General Entertainment EPG in Scotland</t>
  </si>
  <si>
    <t>Impacts - Freesat - non Wales</t>
  </si>
  <si>
    <t>Estimates potential impact of our decisions on the Freesat General Entertainment EPG in England, NI and Scotland</t>
  </si>
  <si>
    <t>Impacts - Freesat - Wales</t>
  </si>
  <si>
    <t>Estimates potential impact of our decisions on the Freesat General Entertainment EPG in Wales</t>
  </si>
  <si>
    <t>Additional C4 calculations</t>
  </si>
  <si>
    <t>Estimates gains in viewing share for Channel 4 and gains and losses in viewing to channels under our decision regarding Channel 4</t>
  </si>
  <si>
    <r>
      <rPr>
        <b/>
        <sz val="11"/>
        <color theme="1"/>
        <rFont val="Calibri"/>
        <family val="2"/>
        <scheme val="minor"/>
      </rPr>
      <t>Source:</t>
    </r>
    <r>
      <rPr>
        <sz val="11"/>
        <color theme="1"/>
        <rFont val="Calibri"/>
        <family val="2"/>
        <scheme val="minor"/>
      </rPr>
      <t xml:space="preserve"> O&amp;O model</t>
    </r>
  </si>
  <si>
    <t>Prominence: average audience and viewer hours analysis sheet</t>
  </si>
  <si>
    <t>FREEVIEW</t>
  </si>
  <si>
    <t>FREESAT</t>
  </si>
  <si>
    <t>SKY</t>
  </si>
  <si>
    <t>VIRGIN</t>
  </si>
  <si>
    <t>TOTAL</t>
  </si>
  <si>
    <t>TOTAL VIEWER HOURS (#)</t>
  </si>
  <si>
    <t>ESTIMATED AD REVENUE</t>
  </si>
  <si>
    <t>TOTAL ESTIMATED AD REVENUE</t>
  </si>
  <si>
    <t>BBC 2</t>
  </si>
  <si>
    <t>CH4</t>
  </si>
  <si>
    <t>CHANNEL 5</t>
  </si>
  <si>
    <t>ITV HD</t>
  </si>
  <si>
    <t>CBEEBIES</t>
  </si>
  <si>
    <t>DRAMA</t>
  </si>
  <si>
    <t>FILM4</t>
  </si>
  <si>
    <t>BBC NEWS</t>
  </si>
  <si>
    <t>DAVE</t>
  </si>
  <si>
    <t>MORE4</t>
  </si>
  <si>
    <t>OTHER CABLE/SATELLITE</t>
  </si>
  <si>
    <t>BBC 4</t>
  </si>
  <si>
    <t>SKY SPORTS MAIN EVENT</t>
  </si>
  <si>
    <t>PICK +1</t>
  </si>
  <si>
    <t>SKY 1</t>
  </si>
  <si>
    <t>SKY NEWS</t>
  </si>
  <si>
    <t>CH4+1</t>
  </si>
  <si>
    <t>ITV BREAKFAST</t>
  </si>
  <si>
    <t>REALLY</t>
  </si>
  <si>
    <t>CHALLENGE TV</t>
  </si>
  <si>
    <t>YESTERDAY</t>
  </si>
  <si>
    <t>5SPIKE</t>
  </si>
  <si>
    <t>E4+1</t>
  </si>
  <si>
    <t>SKY SPORTS NEWS</t>
  </si>
  <si>
    <t>CBS REALITY</t>
  </si>
  <si>
    <t>SONY MOVIE CHANNEL</t>
  </si>
  <si>
    <t>GOLD</t>
  </si>
  <si>
    <t>SKY WITNESS</t>
  </si>
  <si>
    <t>ITV2+1</t>
  </si>
  <si>
    <t>CBBC</t>
  </si>
  <si>
    <t>COMEDY CENTRAL</t>
  </si>
  <si>
    <t>ITVBE</t>
  </si>
  <si>
    <t>4SEVEN</t>
  </si>
  <si>
    <t>CBS ACTION</t>
  </si>
  <si>
    <t>UNIVERSAL</t>
  </si>
  <si>
    <t>TRUE ENTERTAINMENT</t>
  </si>
  <si>
    <t>HORROR CHANNEL</t>
  </si>
  <si>
    <t>MOVIES4MEN</t>
  </si>
  <si>
    <t>CHANNEL 5+1</t>
  </si>
  <si>
    <t>ALIBI</t>
  </si>
  <si>
    <t>STAR PLUS</t>
  </si>
  <si>
    <t>HOME</t>
  </si>
  <si>
    <t>SKY ATLANTIC</t>
  </si>
  <si>
    <t>QUEST RED</t>
  </si>
  <si>
    <t>4MUSIC</t>
  </si>
  <si>
    <t>BLAZE</t>
  </si>
  <si>
    <t>FOOD NETWORK</t>
  </si>
  <si>
    <t>FILM4+1</t>
  </si>
  <si>
    <t>TLC</t>
  </si>
  <si>
    <t>5SELECT</t>
  </si>
  <si>
    <t>TRAVEL CHANNEL</t>
  </si>
  <si>
    <t>ITV3+1</t>
  </si>
  <si>
    <t>TRU TV</t>
  </si>
  <si>
    <t>DISCOVERY</t>
  </si>
  <si>
    <t>TRUE MOVIES</t>
  </si>
  <si>
    <t>GOOD FOOD</t>
  </si>
  <si>
    <t>MORE4+1</t>
  </si>
  <si>
    <t>INVESTIGATION DISCOVERY</t>
  </si>
  <si>
    <t>TALKING PICTURES</t>
  </si>
  <si>
    <t>ITV BREAKFAST HD</t>
  </si>
  <si>
    <t>SONY CRIME CHANNEL 2</t>
  </si>
  <si>
    <t>CBS DRAMA</t>
  </si>
  <si>
    <t>SKY ARTS</t>
  </si>
  <si>
    <t>MOVIES 24</t>
  </si>
  <si>
    <t>ITV ENCORE</t>
  </si>
  <si>
    <t>HISTORY</t>
  </si>
  <si>
    <t>CRIME + INVESTIGATION</t>
  </si>
  <si>
    <t>COMEDY CENTRAL+1</t>
  </si>
  <si>
    <t>TCM</t>
  </si>
  <si>
    <t>DAVE JA VU</t>
  </si>
  <si>
    <t>SKY 2</t>
  </si>
  <si>
    <t>LIFETIME</t>
  </si>
  <si>
    <t>CBS REALITY+1</t>
  </si>
  <si>
    <t>COMEDY CENTRAL EXTRA</t>
  </si>
  <si>
    <t>NATIONAL GEOGRAPHIC</t>
  </si>
  <si>
    <t>QUEST+1</t>
  </si>
  <si>
    <t>UNIVERSAL+1</t>
  </si>
  <si>
    <t>MOVIES 24+</t>
  </si>
  <si>
    <t>SKY WITNESS +1</t>
  </si>
  <si>
    <t>5 USA+1</t>
  </si>
  <si>
    <t>DISCOVERY TURBO</t>
  </si>
  <si>
    <t>SKY 1 +1</t>
  </si>
  <si>
    <t>LONDON LIVE</t>
  </si>
  <si>
    <t>FOX+1</t>
  </si>
  <si>
    <t>ANIMAL PLANET</t>
  </si>
  <si>
    <t>ALIBI+1</t>
  </si>
  <si>
    <t>VINTAGE TV</t>
  </si>
  <si>
    <t>H2</t>
  </si>
  <si>
    <t>NATIONAL GEOGRAPHIC WILD</t>
  </si>
  <si>
    <t>DISCOVERY SCIENCE</t>
  </si>
  <si>
    <t>SONY CRIME CHANNEL</t>
  </si>
  <si>
    <t>5STAR+1</t>
  </si>
  <si>
    <t>INVESTIGATION DISCOVERY +1</t>
  </si>
  <si>
    <t>GOLD+1</t>
  </si>
  <si>
    <t>TLC +1</t>
  </si>
  <si>
    <t>KEEP IT COUNTRY</t>
  </si>
  <si>
    <t>DISCOVERY+1</t>
  </si>
  <si>
    <t>CHALLENGE+1</t>
  </si>
  <si>
    <t>ITV4+1</t>
  </si>
  <si>
    <t>REAL LIVES</t>
  </si>
  <si>
    <t>TRUE MOVIES +1</t>
  </si>
  <si>
    <t>FORCES TV</t>
  </si>
  <si>
    <t>HISTORY +1</t>
  </si>
  <si>
    <t>EDEN</t>
  </si>
  <si>
    <t>SONY MOVIE CHANNEL +1</t>
  </si>
  <si>
    <t>SYFY+1</t>
  </si>
  <si>
    <t>NATIONAL GEOGRAPHIC + 1</t>
  </si>
  <si>
    <t>DISCOVERY SHED</t>
  </si>
  <si>
    <t>YESTERDAY+1</t>
  </si>
  <si>
    <t>ITV BREAKFAST +1</t>
  </si>
  <si>
    <t>RETRO MOVIES</t>
  </si>
  <si>
    <t>DISCOVERY HISTORY</t>
  </si>
  <si>
    <t>PLANET</t>
  </si>
  <si>
    <t>MOVIES4MEN+1</t>
  </si>
  <si>
    <t>NOW 80S</t>
  </si>
  <si>
    <t>CRIME + INVESTIGATION+1</t>
  </si>
  <si>
    <t>DISCOVERY HISTORY + 1</t>
  </si>
  <si>
    <t>DISCOVERY HOME &amp; HEALTH</t>
  </si>
  <si>
    <t>VH1</t>
  </si>
  <si>
    <t>CLUBLAND TV</t>
  </si>
  <si>
    <t>TRUE ENTERTAINMENT+1</t>
  </si>
  <si>
    <t>DISCOVERY SCIENCE+1</t>
  </si>
  <si>
    <t>HOME+1</t>
  </si>
  <si>
    <t>SONY CRIME CHANNEL +1</t>
  </si>
  <si>
    <t>REAL LIVES +1</t>
  </si>
  <si>
    <t>SKY ATLANTIC +1</t>
  </si>
  <si>
    <t>QUEST RED +1</t>
  </si>
  <si>
    <t>DMAX</t>
  </si>
  <si>
    <t>EDEN+1</t>
  </si>
  <si>
    <t>TRAVEL CHANNEL+1</t>
  </si>
  <si>
    <t>STV2</t>
  </si>
  <si>
    <t>COMEDY CENTRAL EXTRA+1</t>
  </si>
  <si>
    <t>NOW 90S</t>
  </si>
  <si>
    <t>ANIMAL PLANET+1</t>
  </si>
  <si>
    <t>TLC +2</t>
  </si>
  <si>
    <t>VICE</t>
  </si>
  <si>
    <t>ITV ENCORE +1</t>
  </si>
  <si>
    <t>CHANNEL STARZ</t>
  </si>
  <si>
    <t>5SPIKE +1</t>
  </si>
  <si>
    <t>LIFETIME +1</t>
  </si>
  <si>
    <t>DISCOVERY HOME &amp; HEALTH+1</t>
  </si>
  <si>
    <t>CBS ACTION +1</t>
  </si>
  <si>
    <t>MOTORS TV</t>
  </si>
  <si>
    <t>FREESPORTS</t>
  </si>
  <si>
    <t>TRU TV +1</t>
  </si>
  <si>
    <t>DMAX+1</t>
  </si>
  <si>
    <t>TOGETHER</t>
  </si>
  <si>
    <t>AMC</t>
  </si>
  <si>
    <t>SHOWCASE</t>
  </si>
  <si>
    <t>HORSE &amp; COUNTRY</t>
  </si>
  <si>
    <t>GINX</t>
  </si>
  <si>
    <t>TRUE CRIME +1</t>
  </si>
  <si>
    <t>MYTV</t>
  </si>
  <si>
    <t>VOX AFRICA</t>
  </si>
  <si>
    <t>DISCOVERY SHED +1</t>
  </si>
  <si>
    <t>DISCOVERY HOME &amp; HEALTH +2</t>
  </si>
  <si>
    <t>HOME &amp; LEISURE TV</t>
  </si>
  <si>
    <t>SONY MIX</t>
  </si>
  <si>
    <t>SEE TV</t>
  </si>
  <si>
    <t>AIT INTERNATIONAL</t>
  </si>
  <si>
    <t>BLIGHTY</t>
  </si>
  <si>
    <t>BLIGHTY+1</t>
  </si>
  <si>
    <t>BRAVO</t>
  </si>
  <si>
    <t>BRAVO 2</t>
  </si>
  <si>
    <t>BRAVO+1</t>
  </si>
  <si>
    <t>DISCOVERY HD</t>
  </si>
  <si>
    <t>DISCOVERY KIDS</t>
  </si>
  <si>
    <t>DISCOVERY REAL TIME</t>
  </si>
  <si>
    <t>DISCOVERY REAL TIME+1</t>
  </si>
  <si>
    <t>DISCOVERY TRAVEL AND LIVING</t>
  </si>
  <si>
    <t>DISCOVERY TURBO +1</t>
  </si>
  <si>
    <t>DISCOVERY+1.5</t>
  </si>
  <si>
    <t>DMAX+1.5</t>
  </si>
  <si>
    <t>DMAX+2</t>
  </si>
  <si>
    <t>FX+1</t>
  </si>
  <si>
    <t>G2 FAMILY</t>
  </si>
  <si>
    <t>GNTV</t>
  </si>
  <si>
    <t>HISTORY HD</t>
  </si>
  <si>
    <t>HOLIDAY &amp; CRUISE</t>
  </si>
  <si>
    <t>HOLLYWOOD TV</t>
  </si>
  <si>
    <t>IDEAL WORLD</t>
  </si>
  <si>
    <t>LIFE SHOWCASE</t>
  </si>
  <si>
    <t>LOADED TV</t>
  </si>
  <si>
    <t>MEN &amp; MOTORS</t>
  </si>
  <si>
    <t>MGM HD</t>
  </si>
  <si>
    <t>MOVIE MIX +1</t>
  </si>
  <si>
    <t>MOVIES4MEN2</t>
  </si>
  <si>
    <t>MOVIES4MEN2+1</t>
  </si>
  <si>
    <t>NAT GEO HD</t>
  </si>
  <si>
    <t>PARAMOUNT NETWORK</t>
  </si>
  <si>
    <t>PBS AMERICA</t>
  </si>
  <si>
    <t>PICK</t>
  </si>
  <si>
    <t>PROPELLER</t>
  </si>
  <si>
    <t>QVC</t>
  </si>
  <si>
    <t>RTE 2 (OLD)</t>
  </si>
  <si>
    <t>SKY ARTS 2</t>
  </si>
  <si>
    <t>SKY ARTS+1</t>
  </si>
  <si>
    <t>SKY REAL LIVES</t>
  </si>
  <si>
    <t>SKY REAL LIVES 2</t>
  </si>
  <si>
    <t>SKY REAL LIVES+1</t>
  </si>
  <si>
    <t>SKY TRAVEL</t>
  </si>
  <si>
    <t>STV GLASGOW</t>
  </si>
  <si>
    <t>SUNRISE TV</t>
  </si>
  <si>
    <t>TBN UK</t>
  </si>
  <si>
    <t>TCM2</t>
  </si>
  <si>
    <t>TNT</t>
  </si>
  <si>
    <t>TRAVEL CHANNEL 2</t>
  </si>
  <si>
    <t>TRAVELXP</t>
  </si>
  <si>
    <t>TRUE DRAMA</t>
  </si>
  <si>
    <t>TRUE MOVIES 2</t>
  </si>
  <si>
    <t>UKTV STYLE 2</t>
  </si>
  <si>
    <t>WELLBEING</t>
  </si>
  <si>
    <t>WELLBEING NETWORK</t>
  </si>
  <si>
    <t>WORLD MOVIES TV</t>
  </si>
  <si>
    <t>YOU TV</t>
  </si>
  <si>
    <t>YOUR TV</t>
  </si>
  <si>
    <t>ZONE REALITY EXTRA</t>
  </si>
  <si>
    <t>Source: BARB/Overnights.tv</t>
  </si>
  <si>
    <t>GOLD + 1</t>
  </si>
  <si>
    <t>TLC + 1</t>
  </si>
  <si>
    <t>DISCOVERY +1</t>
  </si>
  <si>
    <t>W + 1</t>
  </si>
  <si>
    <t>ITVBE + 1</t>
  </si>
  <si>
    <t>CHALLENGE + 1</t>
  </si>
  <si>
    <t>HISTORY + 1</t>
  </si>
  <si>
    <t>NATIONAL GEOGRAPHIC +1</t>
  </si>
  <si>
    <t>GOOD FOOD + 1</t>
  </si>
  <si>
    <t>FOOD NETWORK + 1</t>
  </si>
  <si>
    <t>TG4</t>
  </si>
  <si>
    <t>END</t>
  </si>
  <si>
    <t>Northern Ireland</t>
  </si>
  <si>
    <t>Freeview</t>
  </si>
  <si>
    <t>Freesat</t>
  </si>
  <si>
    <t>Change per 1 slot move</t>
  </si>
  <si>
    <t>Counterfactual based on: https://www.freeview.co.uk/tv-guide and https://www.freeview.co.uk/app/uploads/2019/04/Freeview-Channel-Guide-2019.pdf (accessed on 12/06/2019; for each nation, we have used the corresponding guide of that nation).</t>
  </si>
  <si>
    <r>
      <t xml:space="preserve">EPG under minimum compliance with our decisions </t>
    </r>
    <r>
      <rPr>
        <sz val="11"/>
        <color theme="1"/>
        <rFont val="Symbol"/>
        <family val="1"/>
        <charset val="2"/>
      </rPr>
      <t>-</t>
    </r>
    <r>
      <rPr>
        <sz val="11"/>
        <color theme="1"/>
        <rFont val="Calibri"/>
        <family val="2"/>
        <scheme val="minor"/>
      </rPr>
      <t xml:space="preserve"> as discussed in Annex 3 of our statement: https://www.ofcom.org.uk/__data/assets/pdf_file/0021/154380/annex-3-ofcoms-assessment-of-evidence-base.pdf.</t>
    </r>
  </si>
  <si>
    <t xml:space="preserve">BBC Two </t>
  </si>
  <si>
    <t>NI Local TV</t>
  </si>
  <si>
    <t>Scotland Local TV</t>
  </si>
  <si>
    <t>Wales Local TV</t>
  </si>
  <si>
    <t xml:space="preserve">Film4 </t>
  </si>
  <si>
    <t>Ideal World</t>
  </si>
  <si>
    <t>Create and Craft</t>
  </si>
  <si>
    <t>Home</t>
  </si>
  <si>
    <t>Sony Movie Channel</t>
  </si>
  <si>
    <t>STV +1</t>
  </si>
  <si>
    <t>ITV3 +1</t>
  </si>
  <si>
    <t>QVC Beauty</t>
  </si>
  <si>
    <t>QVC Style</t>
  </si>
  <si>
    <t>Quest</t>
  </si>
  <si>
    <t>Quest Red</t>
  </si>
  <si>
    <t>CBS Action</t>
  </si>
  <si>
    <t>Sony Crime</t>
  </si>
  <si>
    <t>Food Network</t>
  </si>
  <si>
    <t>Gems TV</t>
  </si>
  <si>
    <t>Film4 +1</t>
  </si>
  <si>
    <t>movies 4men</t>
  </si>
  <si>
    <t>The Jewellery Channel</t>
  </si>
  <si>
    <t>Sony Movie Channel +1</t>
  </si>
  <si>
    <t>RTE One</t>
  </si>
  <si>
    <t>RTE Two</t>
  </si>
  <si>
    <t>Paramount Network</t>
  </si>
  <si>
    <t>5Star +1</t>
  </si>
  <si>
    <t>5USA +1</t>
  </si>
  <si>
    <t>ITVBe +1</t>
  </si>
  <si>
    <t>ITV4 +1</t>
  </si>
  <si>
    <t>Sony Crime Channel +1</t>
  </si>
  <si>
    <t>True Entertainment</t>
  </si>
  <si>
    <t>True Movies</t>
  </si>
  <si>
    <t>Blaze</t>
  </si>
  <si>
    <t>The Store</t>
  </si>
  <si>
    <t>CBS Reality +1</t>
  </si>
  <si>
    <t>Sony True Crime</t>
  </si>
  <si>
    <t>Sony True Crime +1</t>
  </si>
  <si>
    <t>CBS Drama</t>
  </si>
  <si>
    <t>Your TV</t>
  </si>
  <si>
    <t>Sewing Quarter</t>
  </si>
  <si>
    <t>Jewellery Maker</t>
  </si>
  <si>
    <t>Quest +1</t>
  </si>
  <si>
    <t>Quest Red +1</t>
  </si>
  <si>
    <t>Dave Ja VU</t>
  </si>
  <si>
    <t>Blaze +1</t>
  </si>
  <si>
    <t>Talking Pictures TV</t>
  </si>
  <si>
    <t>Hochanda</t>
  </si>
  <si>
    <t>EPG under more than minimum compliance with our decisions - as discussed in Annex 3 of our statement: https://www.ofcom.org.uk/__data/assets/pdf_file/0021/154380/annex-3-ofcoms-assessment-of-evidence-base.pdf.</t>
  </si>
  <si>
    <t>EPG under more than minimum compliance with our decisions</t>
  </si>
  <si>
    <t>Counterfactual based on: https://www.freesat.co.uk/tv-guide/ (accessed on 12/06/2019; for each nation, we have used the corresponding guide of that nation).</t>
  </si>
  <si>
    <t>EPG under minimum compliance with our decisions - as discussed in Annex 3 of our statement: https://www.ofcom.org.uk/__data/assets/pdf_file/0021/154380/annex-3-ofcoms-assessment-of-evidence-base.pdf.</t>
  </si>
  <si>
    <t>BBC Scotland HD</t>
  </si>
  <si>
    <t>UTV HD</t>
  </si>
  <si>
    <t>STV HD</t>
  </si>
  <si>
    <t>UTV +1</t>
  </si>
  <si>
    <t>Comments, if any</t>
  </si>
  <si>
    <t>O&amp;O channel name</t>
  </si>
  <si>
    <t>Annual viewing hours on VM (in millions)</t>
  </si>
  <si>
    <t>Annual revenues on VM (£m)</t>
  </si>
  <si>
    <t>Annual viewing hours (in millions, UK-wide)</t>
  </si>
  <si>
    <t>Change in annual viewing hours (in millions)</t>
  </si>
  <si>
    <t>Change in annual revenues (£m)</t>
  </si>
  <si>
    <t>Not available</t>
  </si>
  <si>
    <t>PICK has blanks in it; hence using numbers for PICK +1</t>
  </si>
  <si>
    <t>Regional channels has Local Tv which is London Live on Virgin Media</t>
  </si>
  <si>
    <t>Loss in viewing to channels moved down</t>
  </si>
  <si>
    <t>Gain in viewing to channels moved up</t>
  </si>
  <si>
    <t>Loss in revenues to commercial channels moved down</t>
  </si>
  <si>
    <t>Loss in viewing as proportion of gain in viewing</t>
  </si>
  <si>
    <t>Number of commerical channels moving down 2 slots</t>
  </si>
  <si>
    <t>Number of commerical channels moving down 3 slots</t>
  </si>
  <si>
    <t>Number of commerical channels moving down 1 slot</t>
  </si>
  <si>
    <t>Annual viewing hours on Sky (in millions, adjusted for Wales)</t>
  </si>
  <si>
    <t>Annual revenues on Sky (£m, adjusted for Wales)</t>
  </si>
  <si>
    <t>Change in annual viewing hours (in millions, adjusted for Wales)</t>
  </si>
  <si>
    <t>Change in annual revenues (£m, adjusted for Wales)</t>
  </si>
  <si>
    <t>Any channel below Hochanda</t>
  </si>
  <si>
    <t>EPG under mimimum compliance with our decisions</t>
  </si>
  <si>
    <t>Comments if any</t>
  </si>
  <si>
    <t>Annual viewing hours on Freeview (in millions, adjusted for Scotland)</t>
  </si>
  <si>
    <t>Annual revenues on Freeview (£m, adjusted for Scotland)</t>
  </si>
  <si>
    <t>Change in annual viewing hours (in millions, adjusted for Scotland)</t>
  </si>
  <si>
    <t>Change in annual revenues (£m, adjusted for Scotland)</t>
  </si>
  <si>
    <t>(?) STV2 or STV GLASGOW</t>
  </si>
  <si>
    <t xml:space="preserve">Not available </t>
  </si>
  <si>
    <t>Any channel below Channel 4 + 1</t>
  </si>
  <si>
    <t>Counterfactual LCN +1</t>
  </si>
  <si>
    <t>All channels from BBC Scotland HD (Counterfactual LCN 108) onwards</t>
  </si>
  <si>
    <t>Annual viewing hours on Freesat (in millions, adjusted for Wales)</t>
  </si>
  <si>
    <t>Annual revenues on Freesat (£m, adjusted for Wales)</t>
  </si>
  <si>
    <t>Following Channel 4 decision</t>
  </si>
  <si>
    <t>UK-wide viewing (in millions)</t>
  </si>
  <si>
    <t>All TV channels</t>
  </si>
  <si>
    <t>Share of viewing of Channel 4</t>
  </si>
  <si>
    <t>Percent increase in Channel 4 viewing</t>
  </si>
  <si>
    <t>Percent increase in Channel 4 share of viewing</t>
  </si>
  <si>
    <t>Gain in revenues to C4</t>
  </si>
  <si>
    <t>Gain in viewing to C4</t>
  </si>
  <si>
    <t>Losses in viewing to demoted channels</t>
  </si>
  <si>
    <t>Gain in viewing as proportion of viewing losses</t>
  </si>
  <si>
    <t>INPUTS (Ofcom model re-run) --&gt;</t>
  </si>
  <si>
    <t>IMPACTS (O&amp;O model re-run) --&gt;</t>
  </si>
  <si>
    <t>IMPACTS (Ofcom model re-run) --&gt;</t>
  </si>
  <si>
    <t>INPUTS (O&amp;O model re-run) --&gt;</t>
  </si>
  <si>
    <t>Ofcom re-runs of Ofcom and O&amp;O models</t>
  </si>
  <si>
    <t>Estimate EPG slot prices and forecast potential financial impact of changes to the linear EPG Code using our re-runs of the Ofcom and O&amp;O models</t>
  </si>
  <si>
    <r>
      <t xml:space="preserve">Contains viewing data on Sky which is used as an input to construct weights for individual Nations on the Sky platform. Source: </t>
    </r>
    <r>
      <rPr>
        <i/>
        <sz val="9"/>
        <rFont val="Arial"/>
        <family val="2"/>
      </rPr>
      <t>BARB. Sky viewing of individuals by ITV areas.</t>
    </r>
  </si>
  <si>
    <r>
      <t xml:space="preserve">Uses viewing data on Sky to construct weights for individual Nations on the Sky platform. Source: </t>
    </r>
    <r>
      <rPr>
        <i/>
        <sz val="9"/>
        <rFont val="Arial"/>
        <family val="2"/>
      </rPr>
      <t>BARB.</t>
    </r>
  </si>
  <si>
    <t>For different nations, presents Freesat General Entertainment counterfactual EPG and EPG under minimum compliance with our decisions</t>
  </si>
  <si>
    <t>Viewing data (2)</t>
  </si>
  <si>
    <t>Nation weights - Sky (2)</t>
  </si>
  <si>
    <t>VM-Gen Ent EPG (2)</t>
  </si>
  <si>
    <t>Sky-Gen Ent EPG (2)</t>
  </si>
  <si>
    <t>O&amp;O's 'key assumption'</t>
  </si>
  <si>
    <t>Assessing the impact of our decisions using O&amp;O's 'key assumption' and viewing hours and advertising revenues from O&amp;O's model</t>
  </si>
  <si>
    <t>Assessing the impact of our decisions using our estimated EPG slot values and our modelling approach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</si>
</sst>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0;[Red]0.00"/>
    <numFmt numFmtId="166" formatCode="0;[Red]0"/>
    <numFmt numFmtId="167" formatCode="0.0%"/>
    <numFmt numFmtId="168" formatCode="_-* #,##0_-;\-* #,##0_-;_-* &quot;-&quot;??_-;_-@_-"/>
    <numFmt numFmtId="169" formatCode="0.00000000E+00"/>
  </numFmts>
  <fonts count="23" x14ac:knownFonts="1">
    <font>
      <sz val="11"/>
      <color theme="1"/>
      <name val="Calibri"/>
      <family val="2"/>
      <scheme val="minor"/>
    </font>
    <font>
      <b/>
      <sz val="11"/>
      <color theme="1"/>
      <name val="Calibri"/>
      <family val="2"/>
      <scheme val="minor"/>
    </font>
    <font>
      <sz val="11"/>
      <color theme="1"/>
      <name val="Calibri"/>
      <family val="2"/>
      <scheme val="minor"/>
    </font>
    <font>
      <sz val="11"/>
      <name val="Calibri"/>
      <family val="2"/>
      <scheme val="minor"/>
    </font>
    <font>
      <sz val="9"/>
      <name val="Arial"/>
      <family val="2"/>
    </font>
    <font>
      <b/>
      <sz val="22"/>
      <name val="Arial"/>
      <family val="2"/>
    </font>
    <font>
      <b/>
      <sz val="19"/>
      <name val="Arial"/>
      <family val="2"/>
    </font>
    <font>
      <b/>
      <sz val="14"/>
      <name val="Arial"/>
      <family val="2"/>
    </font>
    <font>
      <b/>
      <sz val="9"/>
      <name val="Arial"/>
      <family val="2"/>
    </font>
    <font>
      <i/>
      <sz val="9"/>
      <name val="Arial"/>
      <family val="2"/>
    </font>
    <font>
      <b/>
      <sz val="12"/>
      <name val="Arial"/>
      <family val="2"/>
    </font>
    <font>
      <sz val="11"/>
      <color theme="1"/>
      <name val="Symbol"/>
      <family val="1"/>
      <charset val="2"/>
    </font>
    <font>
      <i/>
      <sz val="11"/>
      <color theme="1"/>
      <name val="Calibri"/>
      <family val="2"/>
      <scheme val="minor"/>
    </font>
    <font>
      <b/>
      <sz val="11"/>
      <color theme="0"/>
      <name val="Calibri"/>
      <family val="2"/>
      <scheme val="minor"/>
    </font>
    <font>
      <sz val="11"/>
      <color theme="0"/>
      <name val="Calibri"/>
      <family val="2"/>
      <scheme val="minor"/>
    </font>
    <font>
      <b/>
      <i/>
      <sz val="9"/>
      <name val="Arial"/>
      <family val="2"/>
    </font>
    <font>
      <sz val="11"/>
      <color rgb="FF222222"/>
      <name val="Calibri"/>
      <family val="2"/>
    </font>
    <font>
      <b/>
      <sz val="11"/>
      <color theme="0"/>
      <name val="Calibri"/>
      <family val="2"/>
    </font>
    <font>
      <b/>
      <sz val="14"/>
      <color theme="0"/>
      <name val="Calibri"/>
      <family val="2"/>
      <scheme val="minor"/>
    </font>
    <font>
      <b/>
      <sz val="20"/>
      <color theme="0"/>
      <name val="Calibri"/>
      <family val="2"/>
    </font>
    <font>
      <b/>
      <sz val="11"/>
      <color theme="8" tint="-0.249977111117893"/>
      <name val="Calibri"/>
      <family val="2"/>
      <scheme val="minor"/>
    </font>
    <font>
      <i/>
      <sz val="11"/>
      <name val="Calibri"/>
      <family val="2"/>
      <scheme val="minor"/>
    </font>
    <font>
      <sz val="11"/>
      <color rgb="FF000000"/>
      <name val="Calibri"/>
      <family val="2"/>
      <scheme val="minor"/>
    </font>
  </fonts>
  <fills count="11">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theme="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4" tint="-0.49998474074526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1" tint="0.249977111117893"/>
        <bgColor indexed="64"/>
      </patternFill>
    </fill>
  </fills>
  <borders count="2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s>
  <cellStyleXfs count="7">
    <xf numFmtId="0" fontId="0" fillId="0" borderId="0"/>
    <xf numFmtId="43" fontId="2" fillId="0" borderId="0" applyFont="0" applyFill="0" applyBorder="0" applyAlignment="0" applyProtection="0"/>
    <xf numFmtId="0" fontId="4" fillId="0" borderId="0">
      <alignment vertical="center"/>
    </xf>
    <xf numFmtId="0" fontId="7" fillId="0" borderId="0" applyNumberFormat="0" applyFill="0" applyBorder="0" applyAlignment="0" applyProtection="0">
      <alignment vertical="center"/>
    </xf>
    <xf numFmtId="0" fontId="10" fillId="0" borderId="0" applyNumberFormat="0" applyFill="0" applyBorder="0" applyAlignment="0" applyProtection="0">
      <alignment horizontal="left" vertical="center"/>
    </xf>
    <xf numFmtId="9" fontId="2" fillId="0" borderId="0" applyFont="0" applyFill="0" applyBorder="0" applyAlignment="0" applyProtection="0"/>
    <xf numFmtId="0" fontId="4" fillId="0" borderId="0">
      <alignment vertical="center"/>
    </xf>
  </cellStyleXfs>
  <cellXfs count="158">
    <xf numFmtId="0" fontId="0" fillId="0" borderId="0" xfId="0"/>
    <xf numFmtId="0" fontId="1" fillId="0" borderId="0" xfId="0" applyFont="1"/>
    <xf numFmtId="0" fontId="0" fillId="0" borderId="0" xfId="0" applyAlignment="1">
      <alignment wrapText="1"/>
    </xf>
    <xf numFmtId="0" fontId="1" fillId="0" borderId="0" xfId="0" applyFont="1" applyAlignment="1">
      <alignment wrapText="1"/>
    </xf>
    <xf numFmtId="0" fontId="1" fillId="0" borderId="1" xfId="0" applyFont="1" applyBorder="1" applyAlignment="1">
      <alignment horizontal="center"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2" fontId="0" fillId="0" borderId="0" xfId="0" applyNumberFormat="1"/>
    <xf numFmtId="0" fontId="0" fillId="0" borderId="0" xfId="0" applyAlignment="1">
      <alignment horizontal="center" vertical="top" wrapText="1"/>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164" fontId="0" fillId="0" borderId="8" xfId="0" applyNumberFormat="1" applyBorder="1" applyAlignment="1">
      <alignment horizontal="center"/>
    </xf>
    <xf numFmtId="164" fontId="0" fillId="0" borderId="6" xfId="0" applyNumberForma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 fillId="0" borderId="11" xfId="0" applyFont="1" applyBorder="1" applyAlignment="1">
      <alignment horizontal="center"/>
    </xf>
    <xf numFmtId="0" fontId="0" fillId="0" borderId="12" xfId="0" applyBorder="1"/>
    <xf numFmtId="0" fontId="1" fillId="0" borderId="13" xfId="0" applyFont="1" applyBorder="1" applyAlignment="1">
      <alignment horizontal="center" vertical="center"/>
    </xf>
    <xf numFmtId="0" fontId="1" fillId="0" borderId="0" xfId="0" applyFont="1" applyAlignment="1">
      <alignment horizontal="center"/>
    </xf>
    <xf numFmtId="0" fontId="0" fillId="0" borderId="0" xfId="0" applyAlignment="1">
      <alignment horizontal="center"/>
    </xf>
    <xf numFmtId="0" fontId="1" fillId="2" borderId="0" xfId="0" applyFont="1" applyFill="1" applyAlignment="1">
      <alignment wrapText="1"/>
    </xf>
    <xf numFmtId="0" fontId="1" fillId="2" borderId="0" xfId="0" applyFont="1" applyFill="1"/>
    <xf numFmtId="165" fontId="0" fillId="0" borderId="0" xfId="0" applyNumberFormat="1"/>
    <xf numFmtId="0" fontId="1" fillId="0" borderId="2" xfId="0" applyFont="1" applyBorder="1" applyAlignment="1">
      <alignment horizontal="center" vertical="center" wrapText="1"/>
    </xf>
    <xf numFmtId="0" fontId="0" fillId="0" borderId="4" xfId="0" applyBorder="1" applyAlignment="1">
      <alignment horizontal="center" vertical="top"/>
    </xf>
    <xf numFmtId="0" fontId="0" fillId="0" borderId="5" xfId="0" applyBorder="1" applyAlignment="1">
      <alignment horizontal="center" vertical="center"/>
    </xf>
    <xf numFmtId="0" fontId="0" fillId="0" borderId="7" xfId="0" applyBorder="1" applyAlignment="1">
      <alignment horizontal="center" vertical="top"/>
    </xf>
    <xf numFmtId="0" fontId="0" fillId="0" borderId="8" xfId="0" applyBorder="1" applyAlignment="1">
      <alignment horizontal="center" vertical="center"/>
    </xf>
    <xf numFmtId="0" fontId="0" fillId="0" borderId="9" xfId="0" applyBorder="1" applyAlignment="1">
      <alignment horizontal="center" vertical="top"/>
    </xf>
    <xf numFmtId="0" fontId="0" fillId="0" borderId="10" xfId="0" applyBorder="1" applyAlignment="1">
      <alignment horizontal="center" vertical="center"/>
    </xf>
    <xf numFmtId="0" fontId="1" fillId="0" borderId="13" xfId="0" applyFont="1" applyBorder="1" applyAlignment="1">
      <alignment horizontal="center"/>
    </xf>
    <xf numFmtId="0" fontId="0" fillId="0" borderId="12" xfId="0" applyBorder="1" applyAlignment="1">
      <alignment horizontal="center"/>
    </xf>
    <xf numFmtId="0" fontId="0" fillId="3" borderId="0" xfId="0" applyFill="1"/>
    <xf numFmtId="3" fontId="0" fillId="0" borderId="0" xfId="0" applyNumberFormat="1"/>
    <xf numFmtId="166" fontId="0" fillId="0" borderId="0" xfId="0" applyNumberFormat="1"/>
    <xf numFmtId="0" fontId="0" fillId="0" borderId="0" xfId="0" applyFill="1"/>
    <xf numFmtId="3" fontId="3" fillId="0" borderId="0" xfId="0" applyNumberFormat="1" applyFont="1" applyFill="1"/>
    <xf numFmtId="3" fontId="0" fillId="0" borderId="0" xfId="0" applyNumberFormat="1" applyBorder="1"/>
    <xf numFmtId="3" fontId="0" fillId="0" borderId="14" xfId="0" applyNumberFormat="1" applyBorder="1"/>
    <xf numFmtId="0" fontId="1" fillId="0" borderId="15" xfId="0" applyFont="1" applyFill="1" applyBorder="1" applyAlignment="1">
      <alignment horizontal="center"/>
    </xf>
    <xf numFmtId="0" fontId="1" fillId="0" borderId="15" xfId="0" applyFont="1" applyBorder="1" applyAlignment="1">
      <alignment horizontal="center" wrapText="1"/>
    </xf>
    <xf numFmtId="0" fontId="1" fillId="0" borderId="15" xfId="0" applyFont="1" applyBorder="1" applyAlignment="1">
      <alignment horizontal="center"/>
    </xf>
    <xf numFmtId="0" fontId="1" fillId="0" borderId="16" xfId="0" applyFont="1" applyBorder="1" applyAlignment="1">
      <alignment horizontal="center"/>
    </xf>
    <xf numFmtId="0" fontId="1" fillId="0" borderId="15" xfId="0" applyFont="1" applyBorder="1"/>
    <xf numFmtId="0" fontId="0" fillId="0" borderId="0" xfId="0" applyFill="1" applyBorder="1" applyAlignment="1"/>
    <xf numFmtId="167" fontId="0" fillId="0" borderId="0" xfId="0" applyNumberFormat="1" applyFill="1" applyBorder="1" applyAlignment="1"/>
    <xf numFmtId="168" fontId="0" fillId="0" borderId="0" xfId="1" applyNumberFormat="1" applyFont="1" applyFill="1" applyBorder="1" applyAlignment="1"/>
    <xf numFmtId="0" fontId="0" fillId="0" borderId="0" xfId="0" applyBorder="1"/>
    <xf numFmtId="0" fontId="0" fillId="0" borderId="14" xfId="0" applyFill="1" applyBorder="1" applyAlignment="1"/>
    <xf numFmtId="0" fontId="1" fillId="0" borderId="0" xfId="0" applyFont="1" applyBorder="1" applyAlignment="1">
      <alignment horizontal="center"/>
    </xf>
    <xf numFmtId="0" fontId="1" fillId="0" borderId="0" xfId="0" applyFont="1" applyBorder="1" applyAlignment="1">
      <alignment horizontal="center" vertical="center"/>
    </xf>
    <xf numFmtId="0" fontId="4" fillId="0" borderId="0" xfId="2">
      <alignment vertical="center"/>
    </xf>
    <xf numFmtId="0" fontId="5" fillId="0" borderId="0" xfId="2" applyFont="1" applyAlignment="1"/>
    <xf numFmtId="0" fontId="7" fillId="0" borderId="0" xfId="3" applyAlignment="1">
      <alignment horizontal="left"/>
    </xf>
    <xf numFmtId="0" fontId="4" fillId="0" borderId="0" xfId="2" applyAlignment="1">
      <alignment horizontal="left" vertical="center" wrapText="1"/>
    </xf>
    <xf numFmtId="0" fontId="9" fillId="0" borderId="0" xfId="2" applyFont="1" applyAlignment="1">
      <alignment horizontal="left" vertical="center"/>
    </xf>
    <xf numFmtId="0" fontId="4" fillId="0" borderId="0" xfId="2" applyAlignment="1">
      <alignment horizontal="left" vertical="center"/>
    </xf>
    <xf numFmtId="164" fontId="4" fillId="0" borderId="0" xfId="2" applyNumberFormat="1" applyAlignment="1">
      <alignment horizontal="left" vertical="center"/>
    </xf>
    <xf numFmtId="0" fontId="4" fillId="0" borderId="0" xfId="2" applyAlignment="1">
      <alignment horizontal="left" vertical="center" wrapText="1" indent="1"/>
    </xf>
    <xf numFmtId="49" fontId="4" fillId="0" borderId="0" xfId="2" applyNumberFormat="1">
      <alignment vertical="center"/>
    </xf>
    <xf numFmtId="0" fontId="10" fillId="0" borderId="0" xfId="4" applyAlignment="1"/>
    <xf numFmtId="0" fontId="10" fillId="0" borderId="0" xfId="4" applyAlignment="1">
      <alignment vertical="center"/>
    </xf>
    <xf numFmtId="0" fontId="4" fillId="0" borderId="0" xfId="2" applyAlignment="1">
      <alignment vertical="center" wrapText="1"/>
    </xf>
    <xf numFmtId="0" fontId="0" fillId="0" borderId="0" xfId="0" applyAlignment="1">
      <alignment horizontal="left" vertical="center"/>
    </xf>
    <xf numFmtId="0" fontId="4" fillId="0" borderId="0" xfId="2" applyAlignment="1">
      <alignment vertical="center"/>
    </xf>
    <xf numFmtId="0" fontId="4" fillId="0" borderId="0" xfId="2" applyAlignment="1">
      <alignment horizontal="left" vertical="center" wrapText="1"/>
    </xf>
    <xf numFmtId="0" fontId="4" fillId="0" borderId="0" xfId="2" applyAlignment="1">
      <alignment horizontal="left" vertical="center"/>
    </xf>
    <xf numFmtId="0" fontId="0" fillId="0" borderId="0" xfId="0" applyAlignment="1">
      <alignment horizontal="left" vertical="center"/>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164" fontId="0" fillId="0" borderId="0" xfId="0" applyNumberFormat="1"/>
    <xf numFmtId="0" fontId="1" fillId="0" borderId="1" xfId="0" applyFont="1" applyBorder="1" applyAlignment="1">
      <alignment horizontal="center" vertical="center" wrapText="1"/>
    </xf>
    <xf numFmtId="164" fontId="1" fillId="0" borderId="13" xfId="0" applyNumberFormat="1" applyFont="1" applyBorder="1" applyAlignment="1">
      <alignment horizontal="center" vertical="center"/>
    </xf>
    <xf numFmtId="0" fontId="1" fillId="0" borderId="0" xfId="0" applyFont="1" applyFill="1" applyAlignment="1">
      <alignment wrapText="1"/>
    </xf>
    <xf numFmtId="0" fontId="0" fillId="0" borderId="0" xfId="0" applyFill="1" applyAlignment="1">
      <alignment wrapText="1"/>
    </xf>
    <xf numFmtId="1" fontId="0" fillId="0" borderId="0" xfId="0" applyNumberFormat="1"/>
    <xf numFmtId="0" fontId="8" fillId="0" borderId="0" xfId="2" applyFont="1" applyFill="1" applyAlignment="1">
      <alignment horizontal="left" vertical="center"/>
    </xf>
    <xf numFmtId="0" fontId="4" fillId="0" borderId="0" xfId="2" applyFill="1">
      <alignment vertical="center"/>
    </xf>
    <xf numFmtId="0" fontId="4" fillId="0" borderId="0" xfId="2" applyAlignment="1">
      <alignment horizontal="left" vertical="center" wrapText="1"/>
    </xf>
    <xf numFmtId="0" fontId="4" fillId="0" borderId="0" xfId="2" applyAlignment="1">
      <alignment horizontal="left" vertical="center"/>
    </xf>
    <xf numFmtId="0" fontId="0" fillId="0" borderId="0" xfId="0" applyAlignment="1">
      <alignment horizontal="left" vertical="center"/>
    </xf>
    <xf numFmtId="0" fontId="4" fillId="0" borderId="0" xfId="2" applyAlignment="1">
      <alignment vertical="center"/>
    </xf>
    <xf numFmtId="0" fontId="12" fillId="0" borderId="0" xfId="0" applyFont="1"/>
    <xf numFmtId="0" fontId="12" fillId="0" borderId="17" xfId="0" applyFont="1" applyFill="1" applyBorder="1" applyAlignment="1">
      <alignment horizontal="left" vertical="top"/>
    </xf>
    <xf numFmtId="0" fontId="1" fillId="0" borderId="17" xfId="0" applyFont="1" applyBorder="1" applyAlignment="1">
      <alignment horizontal="center"/>
    </xf>
    <xf numFmtId="0" fontId="0" fillId="0" borderId="0" xfId="0" applyBorder="1" applyAlignment="1">
      <alignment horizontal="center"/>
    </xf>
    <xf numFmtId="0" fontId="15" fillId="0" borderId="0" xfId="2" applyFont="1">
      <alignment vertical="center"/>
    </xf>
    <xf numFmtId="0" fontId="4" fillId="0" borderId="0" xfId="6">
      <alignment vertical="center"/>
    </xf>
    <xf numFmtId="0" fontId="4" fillId="0" borderId="0" xfId="6" applyAlignment="1">
      <alignment horizontal="left" vertical="center" wrapText="1"/>
    </xf>
    <xf numFmtId="0" fontId="4" fillId="0" borderId="0" xfId="6" applyAlignment="1">
      <alignment horizontal="left" vertical="center"/>
    </xf>
    <xf numFmtId="0" fontId="4" fillId="0" borderId="0" xfId="6" applyFill="1" applyAlignment="1">
      <alignment horizontal="left" vertical="center"/>
    </xf>
    <xf numFmtId="0" fontId="4" fillId="0" borderId="0" xfId="6" applyAlignment="1">
      <alignment vertical="center" wrapText="1"/>
    </xf>
    <xf numFmtId="0" fontId="16" fillId="0" borderId="0" xfId="0" applyFont="1" applyAlignment="1">
      <alignment horizontal="left" vertical="center" wrapText="1" indent="1"/>
    </xf>
    <xf numFmtId="0" fontId="13" fillId="4" borderId="0" xfId="0" applyFont="1" applyFill="1"/>
    <xf numFmtId="0" fontId="17" fillId="4" borderId="0" xfId="0" applyFont="1" applyFill="1" applyAlignment="1">
      <alignment horizontal="left" vertical="center"/>
    </xf>
    <xf numFmtId="1" fontId="13" fillId="4" borderId="0" xfId="0" applyNumberFormat="1" applyFont="1" applyFill="1"/>
    <xf numFmtId="0" fontId="0" fillId="0" borderId="0" xfId="0" applyAlignment="1">
      <alignment vertical="center"/>
    </xf>
    <xf numFmtId="0" fontId="16" fillId="0" borderId="0" xfId="0" applyFont="1" applyAlignment="1">
      <alignment horizontal="left" vertical="center" wrapText="1"/>
    </xf>
    <xf numFmtId="4" fontId="0" fillId="0" borderId="0" xfId="0" applyNumberFormat="1"/>
    <xf numFmtId="0" fontId="19" fillId="7" borderId="20" xfId="0" applyFont="1" applyFill="1" applyBorder="1" applyAlignment="1">
      <alignment horizontal="left" vertical="center" wrapText="1" indent="1"/>
    </xf>
    <xf numFmtId="1" fontId="20" fillId="8" borderId="19" xfId="0" applyNumberFormat="1" applyFont="1" applyFill="1" applyBorder="1" applyAlignment="1">
      <alignment horizontal="center" vertical="center" wrapText="1"/>
    </xf>
    <xf numFmtId="1" fontId="20" fillId="8" borderId="0" xfId="0" applyNumberFormat="1" applyFont="1" applyFill="1" applyBorder="1" applyAlignment="1">
      <alignment horizontal="center" vertical="center" wrapText="1"/>
    </xf>
    <xf numFmtId="0" fontId="1" fillId="0" borderId="0" xfId="0" applyFont="1" applyFill="1"/>
    <xf numFmtId="0" fontId="13" fillId="0" borderId="0" xfId="0" applyFont="1" applyFill="1"/>
    <xf numFmtId="0" fontId="0" fillId="0" borderId="14" xfId="0" applyBorder="1"/>
    <xf numFmtId="168" fontId="0" fillId="0" borderId="21" xfId="1" applyNumberFormat="1" applyFont="1" applyBorder="1" applyAlignment="1">
      <alignment horizontal="center"/>
    </xf>
    <xf numFmtId="1" fontId="0" fillId="9" borderId="21" xfId="0" applyNumberFormat="1" applyFill="1" applyBorder="1" applyAlignment="1">
      <alignment horizontal="center"/>
    </xf>
    <xf numFmtId="1" fontId="0" fillId="0" borderId="21" xfId="0" applyNumberFormat="1" applyBorder="1" applyAlignment="1">
      <alignment horizontal="center"/>
    </xf>
    <xf numFmtId="168" fontId="0" fillId="0" borderId="0" xfId="1" applyNumberFormat="1" applyFont="1" applyBorder="1" applyAlignment="1">
      <alignment horizontal="center"/>
    </xf>
    <xf numFmtId="1" fontId="0" fillId="9" borderId="0" xfId="0" applyNumberFormat="1" applyFill="1" applyBorder="1" applyAlignment="1">
      <alignment horizontal="center"/>
    </xf>
    <xf numFmtId="0" fontId="0" fillId="9" borderId="0" xfId="0" applyFill="1"/>
    <xf numFmtId="164" fontId="0" fillId="0" borderId="21" xfId="0" applyNumberFormat="1" applyBorder="1" applyAlignment="1">
      <alignment horizontal="center"/>
    </xf>
    <xf numFmtId="1" fontId="0" fillId="0" borderId="21" xfId="0" applyNumberFormat="1" applyFill="1" applyBorder="1" applyAlignment="1">
      <alignment horizontal="center"/>
    </xf>
    <xf numFmtId="0" fontId="3" fillId="0" borderId="14" xfId="0" applyFont="1" applyFill="1" applyBorder="1"/>
    <xf numFmtId="0" fontId="3" fillId="0" borderId="16" xfId="0" applyFont="1" applyFill="1" applyBorder="1"/>
    <xf numFmtId="168" fontId="0" fillId="0" borderId="22" xfId="1" applyNumberFormat="1" applyFont="1" applyBorder="1" applyAlignment="1">
      <alignment horizontal="center"/>
    </xf>
    <xf numFmtId="0" fontId="3" fillId="0" borderId="0" xfId="0" applyFont="1" applyFill="1"/>
    <xf numFmtId="0" fontId="0" fillId="0" borderId="14" xfId="0" applyFill="1" applyBorder="1" applyAlignment="1">
      <alignment horizontal="center"/>
    </xf>
    <xf numFmtId="0" fontId="21" fillId="0" borderId="0" xfId="0" applyFont="1" applyFill="1"/>
    <xf numFmtId="168" fontId="0" fillId="0" borderId="0" xfId="1" applyNumberFormat="1" applyFont="1"/>
    <xf numFmtId="0" fontId="13" fillId="10" borderId="0" xfId="0" applyFont="1" applyFill="1"/>
    <xf numFmtId="1" fontId="14" fillId="10" borderId="0" xfId="0" applyNumberFormat="1" applyFont="1" applyFill="1"/>
    <xf numFmtId="0" fontId="14" fillId="10" borderId="0" xfId="0" applyFont="1" applyFill="1"/>
    <xf numFmtId="0" fontId="0" fillId="0" borderId="0" xfId="0" applyNumberFormat="1"/>
    <xf numFmtId="167" fontId="0" fillId="0" borderId="0" xfId="5" applyNumberFormat="1" applyFont="1"/>
    <xf numFmtId="0" fontId="0" fillId="0" borderId="13" xfId="0" applyBorder="1" applyAlignment="1">
      <alignment vertical="center"/>
    </xf>
    <xf numFmtId="0" fontId="22" fillId="0" borderId="23" xfId="0" applyFont="1" applyBorder="1" applyAlignment="1">
      <alignment vertical="center"/>
    </xf>
    <xf numFmtId="169" fontId="0" fillId="0" borderId="0" xfId="0" applyNumberFormat="1"/>
    <xf numFmtId="0" fontId="0" fillId="0" borderId="23" xfId="0" applyBorder="1" applyAlignment="1">
      <alignment vertical="top"/>
    </xf>
    <xf numFmtId="0" fontId="22" fillId="0" borderId="0" xfId="0" applyFont="1"/>
    <xf numFmtId="0" fontId="0" fillId="0" borderId="23" xfId="0" applyBorder="1" applyAlignment="1">
      <alignment vertical="center"/>
    </xf>
    <xf numFmtId="0" fontId="4" fillId="0" borderId="0" xfId="6" applyAlignment="1">
      <alignment vertical="center"/>
    </xf>
    <xf numFmtId="0" fontId="1" fillId="0" borderId="0" xfId="0" applyFont="1" applyAlignment="1">
      <alignment vertical="center"/>
    </xf>
    <xf numFmtId="0" fontId="6" fillId="0" borderId="0" xfId="2" applyFont="1" applyFill="1" applyAlignment="1">
      <alignment horizontal="left" wrapText="1"/>
    </xf>
    <xf numFmtId="0" fontId="4" fillId="0" borderId="0" xfId="2" applyAlignment="1">
      <alignment horizontal="left" vertical="center" wrapText="1"/>
    </xf>
    <xf numFmtId="0" fontId="4" fillId="0" borderId="0" xfId="2" applyAlignment="1">
      <alignment horizontal="left" vertical="center"/>
    </xf>
    <xf numFmtId="0" fontId="0" fillId="0" borderId="0" xfId="0" applyAlignment="1">
      <alignment horizontal="left" vertical="center"/>
    </xf>
    <xf numFmtId="0" fontId="4" fillId="0" borderId="0" xfId="2" applyAlignment="1">
      <alignment vertical="center" wrapText="1"/>
    </xf>
    <xf numFmtId="0" fontId="4" fillId="0" borderId="0" xfId="6" applyAlignment="1">
      <alignment horizontal="left" vertical="top" wrapText="1"/>
    </xf>
    <xf numFmtId="0" fontId="4" fillId="0" borderId="0" xfId="6" applyFill="1" applyAlignment="1">
      <alignment horizontal="left" vertical="center"/>
    </xf>
    <xf numFmtId="0" fontId="4" fillId="0" borderId="0" xfId="2" applyAlignment="1">
      <alignment vertical="center"/>
    </xf>
    <xf numFmtId="0" fontId="4" fillId="0" borderId="0" xfId="2" applyFill="1" applyAlignment="1">
      <alignment vertical="center" wrapText="1"/>
    </xf>
    <xf numFmtId="0" fontId="1" fillId="0" borderId="1" xfId="0" applyFont="1" applyBorder="1" applyAlignment="1">
      <alignment horizontal="center"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0" fillId="0" borderId="0" xfId="0" applyAlignment="1">
      <alignment horizontal="center" wrapText="1"/>
    </xf>
    <xf numFmtId="0" fontId="0" fillId="0" borderId="0" xfId="0" applyFont="1" applyAlignment="1">
      <alignment horizontal="center" wrapText="1"/>
    </xf>
    <xf numFmtId="0" fontId="18" fillId="5" borderId="18" xfId="0" applyFont="1" applyFill="1" applyBorder="1" applyAlignment="1">
      <alignment horizontal="center" vertical="center"/>
    </xf>
    <xf numFmtId="0" fontId="18" fillId="5" borderId="19" xfId="0" applyFont="1" applyFill="1" applyBorder="1" applyAlignment="1">
      <alignment horizontal="center" vertical="center"/>
    </xf>
    <xf numFmtId="0" fontId="18" fillId="6" borderId="20" xfId="0" applyFont="1" applyFill="1" applyBorder="1" applyAlignment="1">
      <alignment horizontal="center" vertical="center"/>
    </xf>
    <xf numFmtId="0" fontId="18" fillId="6" borderId="18" xfId="0" applyFont="1" applyFill="1" applyBorder="1" applyAlignment="1">
      <alignment horizontal="center" vertical="center"/>
    </xf>
    <xf numFmtId="0" fontId="18" fillId="6" borderId="19" xfId="0" applyFont="1" applyFill="1" applyBorder="1" applyAlignment="1">
      <alignment horizontal="center" vertical="center"/>
    </xf>
    <xf numFmtId="0" fontId="18" fillId="5" borderId="20" xfId="0" applyFont="1" applyFill="1" applyBorder="1" applyAlignment="1">
      <alignment horizontal="center" vertical="center"/>
    </xf>
    <xf numFmtId="0" fontId="18" fillId="7" borderId="14" xfId="0" applyFont="1" applyFill="1" applyBorder="1" applyAlignment="1">
      <alignment horizontal="center"/>
    </xf>
    <xf numFmtId="0" fontId="18" fillId="7" borderId="0" xfId="0" applyFont="1" applyFill="1" applyBorder="1" applyAlignment="1">
      <alignment horizontal="center"/>
    </xf>
  </cellXfs>
  <cellStyles count="7">
    <cellStyle name="Comma" xfId="1" builtinId="3"/>
    <cellStyle name="H2" xfId="3" xr:uid="{224D35F6-2AEC-4C91-B25E-AA2D85DE1BCD}"/>
    <cellStyle name="H3" xfId="4" xr:uid="{69A86685-0F22-40A2-94B6-49940BCE4104}"/>
    <cellStyle name="Normal" xfId="0" builtinId="0"/>
    <cellStyle name="Normal 2" xfId="2" xr:uid="{DC434F11-D721-4A61-AF84-69CC887E3833}"/>
    <cellStyle name="Normal 2 2" xfId="6" xr:uid="{D0BD0B57-B77E-4BEC-A721-05EF74C084C8}"/>
    <cellStyle name="Percent" xfId="5"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117157</xdr:rowOff>
    </xdr:from>
    <xdr:ext cx="1527175" cy="647700"/>
    <xdr:pic>
      <xdr:nvPicPr>
        <xdr:cNvPr id="2" name="Picture 66">
          <a:extLst>
            <a:ext uri="{FF2B5EF4-FFF2-40B4-BE49-F238E27FC236}">
              <a16:creationId xmlns:a16="http://schemas.microsoft.com/office/drawing/2014/main" id="{E309BF75-0B5B-4BB5-9EED-7D91B77FB33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17157"/>
          <a:ext cx="1527175" cy="647700"/>
        </a:xfrm>
        <a:prstGeom prst="rect">
          <a:avLst/>
        </a:prstGeom>
        <a:noFill/>
        <a:ln w="1">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andodata2\models\UK%20TELEVISION%20MODEL\Models\2012.09.19%20O&amp;O%20TV%20Model%20v10.3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companies%20A%20to%20D\COBA\Project%20Anglo\2.%20Analysis%20&amp;%20Research\economic-model%20(1)%20-%20MW%20working%20vers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ouresh.Saha/OneDrive%20-%20Ofcom/New%20folder/Projects/EPG/Excel/2018-09-19-onwards/2018-09-19-Same%20as%20Ofcom%20mode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lice.soule/AppData/Local/Microsoft/Windows/INetCache/Content.Outlook/4Z6TRAVP/Con%20doc/Ofcom%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MODEL MAP"/>
      <sheetName val="NOTES"/>
      <sheetName val="SCENARIO SELECTOR"/>
      <sheetName val="SCENARIO 1"/>
      <sheetName val="SCENARIO 2"/>
      <sheetName val="SCENARIO 3"/>
      <sheetName val="SCENARIO 4"/>
      <sheetName val="SCENARIO 5"/>
      <sheetName val="INPUT FEED"/>
      <sheetName val="C_PLATFORMS"/>
      <sheetName val="C_SHARE-SPEND"/>
      <sheetName val="C_IMPACTS"/>
      <sheetName val="C_CPT"/>
      <sheetName val="C_OTHER REVENUES"/>
      <sheetName val="C_CONTENT SPEND"/>
      <sheetName val="C_FIXED COSTS"/>
      <sheetName val="C_TIME USE"/>
      <sheetName val="M_CALIBRATION"/>
      <sheetName val="O_OUTPUTS"/>
      <sheetName val="Generic"/>
    </sheetNames>
    <sheetDataSet>
      <sheetData sheetId="0"/>
      <sheetData sheetId="1"/>
      <sheetData sheetId="2"/>
      <sheetData sheetId="3">
        <row r="6">
          <cell r="E6">
            <v>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5">
          <cell r="D25" t="str">
            <v>BBC1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Contents"/>
      <sheetName val="Viewing data"/>
      <sheetName val="VM-Gen Ent"/>
      <sheetName val="Sky-Gen Ent-Scotland"/>
      <sheetName val="Sky-Gen Ent-Wales"/>
      <sheetName val="Sky-Gen Ent-Eng and NI"/>
      <sheetName val="VM-News"/>
      <sheetName val="Sky-News"/>
      <sheetName val="VM-Kids"/>
      <sheetName val="Sky-Kids"/>
    </sheetNames>
    <sheetDataSet>
      <sheetData sheetId="0"/>
      <sheetData sheetId="1">
        <row r="6">
          <cell r="B6" t="str">
            <v xml:space="preserve">Review of rules for prominence of public service broadcasters and local TV: Consultation on proposed changes to the linear EPG Code and future of the regime </v>
          </cell>
        </row>
      </sheetData>
      <sheetData sheetId="2">
        <row r="10">
          <cell r="B10">
            <v>140133186</v>
          </cell>
        </row>
      </sheetData>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Viewing data"/>
      <sheetName val="VM-Gen Ent"/>
      <sheetName val="Sky-Gen Ent-Scotland"/>
      <sheetName val="Sky-Gen Ent-Wales"/>
      <sheetName val="Sky-Gen Ent-Eng and NI"/>
      <sheetName val="VM-News"/>
      <sheetName val="Sky-News"/>
      <sheetName val="VM-Kids"/>
      <sheetName val="Sky-Kids"/>
    </sheetNames>
    <sheetDataSet>
      <sheetData sheetId="0">
        <row r="6">
          <cell r="B6" t="str">
            <v xml:space="preserve">Review of rules for prominence of public service broadcasters and local TV: Consultation on proposed changes to the linear EPG Code and future of the regime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Viewing data"/>
      <sheetName val="VM-Gen Ent"/>
      <sheetName val="Sky-Gen Ent-Scotland"/>
      <sheetName val="Sky-Gen Ent-Wales"/>
      <sheetName val="Sky-Gen Ent-Eng and NI"/>
      <sheetName val="VM-News"/>
      <sheetName val="Sky-News"/>
      <sheetName val="VM-Kids"/>
      <sheetName val="Sky-Kids"/>
    </sheetNames>
    <sheetDataSet>
      <sheetData sheetId="0">
        <row r="6">
          <cell r="B6" t="str">
            <v xml:space="preserve">Review of rules for prominence of public service broadcasters and local TV: Consultation on proposed changes to the linear EPG Code and future of the regime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F21AF-0F58-4641-B510-4A773852658B}">
  <sheetPr>
    <outlinePr summaryBelow="0"/>
    <pageSetUpPr autoPageBreaks="0"/>
  </sheetPr>
  <dimension ref="A1:J62"/>
  <sheetViews>
    <sheetView showGridLines="0" showRowColHeaders="0" tabSelected="1" defaultGridColor="0" colorId="22" zoomScaleNormal="95" zoomScaleSheetLayoutView="75" workbookViewId="0">
      <pane ySplit="2" topLeftCell="A3" activePane="bottomLeft" state="frozen"/>
      <selection activeCell="F30" sqref="F30"/>
      <selection pane="bottomLeft" activeCell="B2" sqref="B2:J2"/>
    </sheetView>
  </sheetViews>
  <sheetFormatPr defaultColWidth="11" defaultRowHeight="11.65" x14ac:dyDescent="0.45"/>
  <cols>
    <col min="1" max="1" width="21.265625" style="54" customWidth="1"/>
    <col min="2" max="2" width="37.06640625" style="54" customWidth="1"/>
    <col min="3" max="3" width="51.265625" style="54" customWidth="1"/>
    <col min="4" max="4" width="13" style="54" customWidth="1"/>
    <col min="5" max="16384" width="11" style="54"/>
  </cols>
  <sheetData>
    <row r="1" spans="1:10" ht="12" customHeight="1" x14ac:dyDescent="0.75">
      <c r="C1" s="55"/>
    </row>
    <row r="2" spans="1:10" ht="42" customHeight="1" x14ac:dyDescent="0.65">
      <c r="B2" s="136" t="str">
        <f>Workbook.Title</f>
        <v>Review of prominence for public service broadcasting: Statement on changes to the EPG Code</v>
      </c>
      <c r="C2" s="136"/>
      <c r="D2" s="136"/>
      <c r="E2" s="136"/>
      <c r="F2" s="136"/>
      <c r="G2" s="136"/>
      <c r="H2" s="136"/>
      <c r="I2" s="136"/>
      <c r="J2" s="136"/>
    </row>
    <row r="3" spans="1:10" ht="7.5" customHeight="1" x14ac:dyDescent="0.45"/>
    <row r="4" spans="1:10" ht="17.649999999999999" x14ac:dyDescent="0.5">
      <c r="A4" s="56" t="s">
        <v>222</v>
      </c>
    </row>
    <row r="5" spans="1:10" ht="6" customHeight="1" x14ac:dyDescent="0.45"/>
    <row r="6" spans="1:10" x14ac:dyDescent="0.45">
      <c r="A6" s="57" t="s">
        <v>223</v>
      </c>
      <c r="B6" s="79" t="s">
        <v>282</v>
      </c>
      <c r="C6" s="80"/>
      <c r="D6" s="80"/>
      <c r="E6" s="80"/>
      <c r="F6" s="80"/>
    </row>
    <row r="7" spans="1:10" x14ac:dyDescent="0.45">
      <c r="A7" s="57"/>
      <c r="B7" s="58" t="s">
        <v>685</v>
      </c>
    </row>
    <row r="8" spans="1:10" x14ac:dyDescent="0.45">
      <c r="A8" s="57" t="s">
        <v>224</v>
      </c>
      <c r="B8" s="59" t="s">
        <v>686</v>
      </c>
    </row>
    <row r="9" spans="1:10" x14ac:dyDescent="0.45">
      <c r="A9" s="57" t="s">
        <v>225</v>
      </c>
      <c r="B9" s="60">
        <v>1</v>
      </c>
    </row>
    <row r="10" spans="1:10" x14ac:dyDescent="0.45">
      <c r="A10" s="57" t="s">
        <v>226</v>
      </c>
      <c r="B10" s="59" t="s">
        <v>305</v>
      </c>
    </row>
    <row r="11" spans="1:10" x14ac:dyDescent="0.45">
      <c r="A11" s="61"/>
      <c r="B11" s="62"/>
    </row>
    <row r="12" spans="1:10" ht="17.649999999999999" x14ac:dyDescent="0.5">
      <c r="A12" s="56" t="s">
        <v>227</v>
      </c>
    </row>
    <row r="14" spans="1:10" ht="15" x14ac:dyDescent="0.4">
      <c r="A14" s="63" t="s">
        <v>228</v>
      </c>
      <c r="B14" s="63" t="s">
        <v>229</v>
      </c>
      <c r="C14" s="64"/>
      <c r="D14" s="63"/>
    </row>
    <row r="15" spans="1:10" x14ac:dyDescent="0.45">
      <c r="A15" s="54" t="s">
        <v>227</v>
      </c>
      <c r="B15" s="137" t="s">
        <v>283</v>
      </c>
      <c r="C15" s="137"/>
    </row>
    <row r="16" spans="1:10" x14ac:dyDescent="0.45">
      <c r="B16" s="81"/>
      <c r="C16" s="81"/>
    </row>
    <row r="17" spans="1:5" x14ac:dyDescent="0.45">
      <c r="A17" s="89" t="s">
        <v>310</v>
      </c>
      <c r="B17" s="81"/>
      <c r="C17" s="81"/>
    </row>
    <row r="18" spans="1:5" x14ac:dyDescent="0.45">
      <c r="A18" s="54" t="s">
        <v>681</v>
      </c>
      <c r="B18" s="68"/>
      <c r="C18" s="68"/>
    </row>
    <row r="19" spans="1:5" ht="11.45" customHeight="1" x14ac:dyDescent="0.45">
      <c r="A19" s="54" t="s">
        <v>230</v>
      </c>
      <c r="B19" s="67" t="s">
        <v>687</v>
      </c>
      <c r="C19" s="67"/>
      <c r="D19" s="67"/>
      <c r="E19" s="67"/>
    </row>
    <row r="20" spans="1:5" ht="11.45" customHeight="1" x14ac:dyDescent="0.45">
      <c r="A20" s="54" t="s">
        <v>236</v>
      </c>
      <c r="B20" s="69" t="s">
        <v>688</v>
      </c>
      <c r="C20" s="69"/>
    </row>
    <row r="21" spans="1:5" ht="23.25" x14ac:dyDescent="0.45">
      <c r="A21" s="65" t="s">
        <v>237</v>
      </c>
      <c r="B21" s="137" t="s">
        <v>284</v>
      </c>
      <c r="C21" s="137"/>
    </row>
    <row r="22" spans="1:5" ht="23.25" x14ac:dyDescent="0.45">
      <c r="A22" s="65" t="s">
        <v>281</v>
      </c>
      <c r="B22" s="138" t="s">
        <v>280</v>
      </c>
      <c r="C22" s="139"/>
      <c r="D22" s="139"/>
      <c r="E22" s="139"/>
    </row>
    <row r="23" spans="1:5" ht="11.45" customHeight="1" x14ac:dyDescent="0.45">
      <c r="A23" s="65" t="s">
        <v>238</v>
      </c>
      <c r="B23" s="59" t="s">
        <v>304</v>
      </c>
      <c r="C23" s="66"/>
      <c r="D23" s="66"/>
      <c r="E23" s="66"/>
    </row>
    <row r="24" spans="1:5" ht="11.45" customHeight="1" x14ac:dyDescent="0.45">
      <c r="A24" s="65" t="s">
        <v>316</v>
      </c>
      <c r="B24" s="59" t="s">
        <v>289</v>
      </c>
      <c r="C24" s="66"/>
      <c r="D24" s="66"/>
      <c r="E24" s="66"/>
    </row>
    <row r="25" spans="1:5" ht="11.45" customHeight="1" x14ac:dyDescent="0.45">
      <c r="A25" s="84" t="s">
        <v>683</v>
      </c>
      <c r="B25" s="69"/>
      <c r="C25" s="70"/>
      <c r="D25" s="70"/>
      <c r="E25" s="70"/>
    </row>
    <row r="26" spans="1:5" ht="11.45" customHeight="1" x14ac:dyDescent="0.45">
      <c r="A26" s="65" t="s">
        <v>239</v>
      </c>
      <c r="B26" s="59" t="s">
        <v>290</v>
      </c>
      <c r="C26" s="66"/>
      <c r="D26" s="66"/>
      <c r="E26" s="66"/>
    </row>
    <row r="27" spans="1:5" ht="22.8" customHeight="1" x14ac:dyDescent="0.45">
      <c r="A27" s="65" t="s">
        <v>240</v>
      </c>
      <c r="B27" s="59" t="s">
        <v>291</v>
      </c>
      <c r="C27" s="66"/>
      <c r="D27" s="66"/>
      <c r="E27" s="66"/>
    </row>
    <row r="28" spans="1:5" ht="11.45" customHeight="1" x14ac:dyDescent="0.45">
      <c r="A28" s="65" t="s">
        <v>241</v>
      </c>
      <c r="B28" s="59" t="s">
        <v>293</v>
      </c>
      <c r="C28" s="66"/>
      <c r="D28" s="66"/>
      <c r="E28" s="66"/>
    </row>
    <row r="29" spans="1:5" ht="11.45" customHeight="1" x14ac:dyDescent="0.45">
      <c r="A29" s="54" t="s">
        <v>242</v>
      </c>
      <c r="B29" s="59" t="s">
        <v>292</v>
      </c>
    </row>
    <row r="30" spans="1:5" ht="11.45" customHeight="1" x14ac:dyDescent="0.45">
      <c r="A30" s="54" t="s">
        <v>279</v>
      </c>
      <c r="B30" s="69" t="s">
        <v>285</v>
      </c>
    </row>
    <row r="31" spans="1:5" ht="11.45" customHeight="1" x14ac:dyDescent="0.45">
      <c r="B31" s="82"/>
    </row>
    <row r="32" spans="1:5" ht="11.45" customHeight="1" x14ac:dyDescent="0.45">
      <c r="A32" s="89" t="s">
        <v>311</v>
      </c>
      <c r="B32" s="82"/>
    </row>
    <row r="33" spans="1:5" ht="11.45" customHeight="1" x14ac:dyDescent="0.45">
      <c r="A33" s="90" t="s">
        <v>684</v>
      </c>
      <c r="B33" s="91"/>
      <c r="C33" s="91"/>
      <c r="D33" s="90"/>
      <c r="E33" s="90"/>
    </row>
    <row r="34" spans="1:5" ht="11.45" customHeight="1" x14ac:dyDescent="0.45">
      <c r="A34" s="90" t="s">
        <v>690</v>
      </c>
      <c r="B34" s="141" t="s">
        <v>687</v>
      </c>
      <c r="C34" s="141"/>
      <c r="D34" s="141"/>
      <c r="E34" s="141"/>
    </row>
    <row r="35" spans="1:5" ht="11.45" customHeight="1" x14ac:dyDescent="0.45">
      <c r="A35" s="90" t="s">
        <v>691</v>
      </c>
      <c r="B35" s="92" t="s">
        <v>688</v>
      </c>
      <c r="C35" s="91"/>
      <c r="D35" s="90"/>
      <c r="E35" s="90"/>
    </row>
    <row r="36" spans="1:5" ht="11.45" customHeight="1" x14ac:dyDescent="0.45">
      <c r="A36" s="90" t="s">
        <v>312</v>
      </c>
      <c r="B36" s="93" t="s">
        <v>313</v>
      </c>
      <c r="C36" s="91"/>
      <c r="D36" s="90"/>
      <c r="E36" s="90"/>
    </row>
    <row r="37" spans="1:5" ht="11.45" customHeight="1" x14ac:dyDescent="0.45">
      <c r="A37" s="90" t="s">
        <v>314</v>
      </c>
      <c r="B37" s="142" t="s">
        <v>315</v>
      </c>
      <c r="C37" s="142"/>
      <c r="D37" s="90"/>
      <c r="E37" s="90"/>
    </row>
    <row r="38" spans="1:5" ht="11.45" customHeight="1" x14ac:dyDescent="0.45">
      <c r="A38" s="94" t="s">
        <v>692</v>
      </c>
      <c r="B38" s="92" t="s">
        <v>304</v>
      </c>
      <c r="C38" s="83"/>
      <c r="D38" s="83"/>
      <c r="E38" s="83"/>
    </row>
    <row r="39" spans="1:5" ht="11.45" customHeight="1" x14ac:dyDescent="0.45">
      <c r="A39" s="94" t="s">
        <v>693</v>
      </c>
      <c r="B39" s="92" t="s">
        <v>289</v>
      </c>
      <c r="C39" s="83"/>
      <c r="D39" s="83"/>
      <c r="E39" s="83"/>
    </row>
    <row r="40" spans="1:5" ht="11.45" customHeight="1" x14ac:dyDescent="0.45">
      <c r="A40" s="94" t="s">
        <v>317</v>
      </c>
      <c r="B40" s="92" t="s">
        <v>318</v>
      </c>
      <c r="C40" s="83"/>
      <c r="D40" s="83"/>
      <c r="E40" s="83"/>
    </row>
    <row r="41" spans="1:5" ht="11.45" customHeight="1" x14ac:dyDescent="0.45">
      <c r="A41" s="94" t="s">
        <v>319</v>
      </c>
      <c r="B41" s="92" t="s">
        <v>320</v>
      </c>
      <c r="C41" s="83"/>
      <c r="D41" s="83"/>
      <c r="E41" s="83"/>
    </row>
    <row r="42" spans="1:5" ht="11.45" customHeight="1" x14ac:dyDescent="0.45">
      <c r="A42" s="94" t="s">
        <v>321</v>
      </c>
      <c r="B42" s="92" t="s">
        <v>689</v>
      </c>
      <c r="C42" s="83"/>
      <c r="D42" s="83"/>
      <c r="E42" s="83"/>
    </row>
    <row r="43" spans="1:5" ht="11.45" customHeight="1" x14ac:dyDescent="0.45">
      <c r="A43" s="134" t="s">
        <v>682</v>
      </c>
      <c r="B43" s="93"/>
      <c r="C43" s="83"/>
      <c r="D43" s="83"/>
      <c r="E43" s="83"/>
    </row>
    <row r="44" spans="1:5" ht="11.45" customHeight="1" x14ac:dyDescent="0.45">
      <c r="A44" s="94" t="s">
        <v>239</v>
      </c>
      <c r="B44" s="92" t="s">
        <v>290</v>
      </c>
      <c r="C44" s="83"/>
      <c r="D44" s="83"/>
      <c r="E44" s="83"/>
    </row>
    <row r="45" spans="1:5" ht="11.45" customHeight="1" x14ac:dyDescent="0.45">
      <c r="A45" s="94" t="s">
        <v>322</v>
      </c>
      <c r="B45" s="92" t="s">
        <v>323</v>
      </c>
      <c r="C45" s="83"/>
      <c r="D45" s="83"/>
      <c r="E45" s="83"/>
    </row>
    <row r="46" spans="1:5" ht="11.45" customHeight="1" x14ac:dyDescent="0.45">
      <c r="A46" s="94" t="s">
        <v>324</v>
      </c>
      <c r="B46" s="92" t="s">
        <v>325</v>
      </c>
      <c r="C46" s="83"/>
      <c r="D46" s="83"/>
      <c r="E46" s="83"/>
    </row>
    <row r="47" spans="1:5" ht="11.45" customHeight="1" x14ac:dyDescent="0.45">
      <c r="A47" s="94" t="s">
        <v>326</v>
      </c>
      <c r="B47" s="92" t="s">
        <v>327</v>
      </c>
      <c r="C47" s="83"/>
      <c r="D47" s="83"/>
      <c r="E47" s="83"/>
    </row>
    <row r="48" spans="1:5" ht="11.45" customHeight="1" x14ac:dyDescent="0.45">
      <c r="A48" s="94" t="s">
        <v>328</v>
      </c>
      <c r="B48" s="92" t="s">
        <v>329</v>
      </c>
      <c r="C48" s="83"/>
      <c r="D48" s="83"/>
      <c r="E48" s="83"/>
    </row>
    <row r="49" spans="1:5" ht="11.45" customHeight="1" x14ac:dyDescent="0.45">
      <c r="A49" s="94" t="s">
        <v>330</v>
      </c>
      <c r="B49" s="92" t="s">
        <v>331</v>
      </c>
      <c r="C49" s="83"/>
      <c r="D49" s="83"/>
      <c r="E49" s="83"/>
    </row>
    <row r="50" spans="1:5" ht="11.45" customHeight="1" x14ac:dyDescent="0.45">
      <c r="A50" s="90" t="s">
        <v>332</v>
      </c>
      <c r="B50" s="93" t="s">
        <v>333</v>
      </c>
      <c r="C50" s="90"/>
      <c r="D50" s="90"/>
      <c r="E50" s="90"/>
    </row>
    <row r="51" spans="1:5" ht="11.45" customHeight="1" x14ac:dyDescent="0.45">
      <c r="B51" s="82"/>
    </row>
    <row r="53" spans="1:5" ht="17.649999999999999" x14ac:dyDescent="0.5">
      <c r="A53" s="56" t="s">
        <v>231</v>
      </c>
    </row>
    <row r="55" spans="1:5" ht="15" customHeight="1" x14ac:dyDescent="0.45">
      <c r="A55" s="54" t="s">
        <v>232</v>
      </c>
    </row>
    <row r="56" spans="1:5" ht="28.9" customHeight="1" x14ac:dyDescent="0.45">
      <c r="A56" s="144" t="s">
        <v>286</v>
      </c>
      <c r="B56" s="144"/>
      <c r="C56" s="144"/>
      <c r="D56" s="144"/>
      <c r="E56" s="144"/>
    </row>
    <row r="57" spans="1:5" ht="46.5" customHeight="1" x14ac:dyDescent="0.45">
      <c r="A57" s="140" t="s">
        <v>306</v>
      </c>
      <c r="B57" s="140"/>
      <c r="C57" s="140"/>
      <c r="D57" s="140"/>
      <c r="E57" s="140"/>
    </row>
    <row r="58" spans="1:5" ht="38.65" customHeight="1" x14ac:dyDescent="0.45">
      <c r="A58" s="140" t="s">
        <v>233</v>
      </c>
      <c r="B58" s="140"/>
      <c r="C58" s="140"/>
      <c r="D58" s="140"/>
      <c r="E58" s="140"/>
    </row>
    <row r="59" spans="1:5" ht="36" customHeight="1" x14ac:dyDescent="0.45">
      <c r="A59" s="140" t="s">
        <v>234</v>
      </c>
      <c r="B59" s="140"/>
      <c r="C59" s="140"/>
      <c r="D59" s="140"/>
      <c r="E59" s="140"/>
    </row>
    <row r="60" spans="1:5" ht="32.25" customHeight="1" x14ac:dyDescent="0.45">
      <c r="A60" s="140" t="s">
        <v>235</v>
      </c>
      <c r="B60" s="140"/>
      <c r="C60" s="140"/>
      <c r="D60" s="140"/>
      <c r="E60" s="140"/>
    </row>
    <row r="61" spans="1:5" ht="42" customHeight="1" x14ac:dyDescent="0.45">
      <c r="A61" s="140"/>
      <c r="B61" s="140"/>
      <c r="C61" s="140"/>
      <c r="D61" s="140"/>
      <c r="E61" s="140"/>
    </row>
    <row r="62" spans="1:5" x14ac:dyDescent="0.45">
      <c r="A62" s="143"/>
      <c r="B62" s="143"/>
      <c r="C62" s="143"/>
      <c r="D62" s="143"/>
      <c r="E62" s="143"/>
    </row>
  </sheetData>
  <mergeCells count="13">
    <mergeCell ref="A60:E60"/>
    <mergeCell ref="A61:E61"/>
    <mergeCell ref="A62:E62"/>
    <mergeCell ref="A56:E56"/>
    <mergeCell ref="A57:E57"/>
    <mergeCell ref="A58:E58"/>
    <mergeCell ref="B2:J2"/>
    <mergeCell ref="B15:C15"/>
    <mergeCell ref="B21:C21"/>
    <mergeCell ref="B22:E22"/>
    <mergeCell ref="A59:E59"/>
    <mergeCell ref="B34:E34"/>
    <mergeCell ref="B37:C37"/>
  </mergeCells>
  <pageMargins left="0.70866141732283472" right="0.70866141732283472" top="0.51181102362204722" bottom="0.51181102362204722" header="0.51181102362204722" footer="0.35433070866141736"/>
  <pageSetup paperSize="9" orientation="landscape" horizontalDpi="4294967292" vertic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8AF9F-3E3E-4A14-8289-57300BF89E7A}">
  <sheetPr>
    <tabColor theme="8" tint="0.59999389629810485"/>
  </sheetPr>
  <dimension ref="A1:R77"/>
  <sheetViews>
    <sheetView workbookViewId="0"/>
  </sheetViews>
  <sheetFormatPr defaultRowHeight="14.25" x14ac:dyDescent="0.45"/>
  <cols>
    <col min="1" max="1" width="25.46484375" bestFit="1" customWidth="1"/>
    <col min="2" max="2" width="12.46484375" customWidth="1"/>
    <col min="4" max="4" width="11.265625" customWidth="1"/>
    <col min="6" max="6" width="12.796875" customWidth="1"/>
    <col min="7" max="7" width="13.46484375" customWidth="1"/>
    <col min="8" max="8" width="12.73046875" customWidth="1"/>
    <col min="13" max="13" width="12.86328125" customWidth="1"/>
    <col min="14" max="14" width="12.6640625" customWidth="1"/>
  </cols>
  <sheetData>
    <row r="1" spans="1:18" x14ac:dyDescent="0.45">
      <c r="A1" t="s">
        <v>696</v>
      </c>
    </row>
    <row r="3" spans="1:18" x14ac:dyDescent="0.45">
      <c r="C3" t="s">
        <v>122</v>
      </c>
      <c r="G3" t="s">
        <v>302</v>
      </c>
      <c r="M3" t="s">
        <v>303</v>
      </c>
    </row>
    <row r="6" spans="1:18" ht="57" x14ac:dyDescent="0.45">
      <c r="A6" t="s">
        <v>197</v>
      </c>
      <c r="B6" s="2" t="s">
        <v>206</v>
      </c>
      <c r="C6" t="s">
        <v>12</v>
      </c>
      <c r="D6" t="s">
        <v>123</v>
      </c>
      <c r="E6" s="2" t="s">
        <v>212</v>
      </c>
      <c r="G6" t="s">
        <v>12</v>
      </c>
      <c r="H6" t="s">
        <v>123</v>
      </c>
      <c r="I6" s="2" t="s">
        <v>212</v>
      </c>
      <c r="J6" s="2" t="s">
        <v>152</v>
      </c>
      <c r="K6" s="2" t="s">
        <v>213</v>
      </c>
      <c r="L6" s="2" t="s">
        <v>219</v>
      </c>
      <c r="M6" t="s">
        <v>12</v>
      </c>
      <c r="N6" t="s">
        <v>123</v>
      </c>
      <c r="O6" s="2" t="s">
        <v>212</v>
      </c>
      <c r="P6" s="2" t="s">
        <v>152</v>
      </c>
      <c r="Q6" s="2" t="s">
        <v>213</v>
      </c>
      <c r="R6" s="2" t="s">
        <v>219</v>
      </c>
    </row>
    <row r="7" spans="1:18" x14ac:dyDescent="0.45">
      <c r="A7" t="str">
        <f>'VM-Gen Ent EPG'!C9</f>
        <v>BBC One/HD*</v>
      </c>
      <c r="B7">
        <f>IF((LEFT(A7,3))="BBC",0,1)</f>
        <v>0</v>
      </c>
      <c r="C7">
        <f>INDEX('VM-Gen Ent EPG'!$A:$C,MATCH('Impacts - Virgin Media'!$A7,'VM-Gen Ent EPG'!$C:$C,0),1)</f>
        <v>101</v>
      </c>
      <c r="D7">
        <f>INDEX('VM-Gen Ent EPG'!$A:$C,MATCH('Impacts - Virgin Media'!$A7,'VM-Gen Ent EPG'!$C:$C,0),2)</f>
        <v>1</v>
      </c>
      <c r="E7" s="73">
        <f>(VLOOKUP(D7,' VM-Gen Ent - EMP slot values'!$A$29:$B$140,2,FALSE))/5</f>
        <v>4</v>
      </c>
      <c r="G7">
        <f>INDEX('VM-Gen Ent EPG'!$F:$H,MATCH($A7,'VM-Gen Ent EPG'!$H:$H,0),1)</f>
        <v>101</v>
      </c>
      <c r="H7">
        <f>INDEX('VM-Gen Ent EPG'!$F:$H,MATCH($A7,'VM-Gen Ent EPG'!$H:$H,0),2)</f>
        <v>1</v>
      </c>
      <c r="I7" s="73">
        <f>(VLOOKUP(H7,' VM-Gen Ent - EMP slot values'!$A$29:$B$140,2,FALSE))/5</f>
        <v>4</v>
      </c>
      <c r="J7">
        <f>$D7-H7</f>
        <v>0</v>
      </c>
      <c r="K7" s="7">
        <f>I7-$E7</f>
        <v>0</v>
      </c>
      <c r="L7">
        <f>IF(G7&lt;&gt;$C7,1,0)</f>
        <v>0</v>
      </c>
      <c r="M7">
        <f>INDEX('VM-Gen Ent EPG'!$K:$M,MATCH($A7,'VM-Gen Ent EPG'!$M:$M,0),1)</f>
        <v>101</v>
      </c>
      <c r="N7">
        <f>INDEX('VM-Gen Ent EPG'!$K:$M,MATCH($A7,'VM-Gen Ent EPG'!$M:$M,0),2)</f>
        <v>1</v>
      </c>
      <c r="O7" s="73">
        <f>(VLOOKUP(N7,' VM-Gen Ent - EMP slot values'!$A$29:$B$140,2,FALSE))/5</f>
        <v>4</v>
      </c>
      <c r="P7">
        <f>$D7-N7</f>
        <v>0</v>
      </c>
      <c r="Q7" s="7">
        <f>O7-$E7</f>
        <v>0</v>
      </c>
      <c r="R7">
        <f>IF(M7&lt;&gt;$C7,1,0)</f>
        <v>0</v>
      </c>
    </row>
    <row r="8" spans="1:18" x14ac:dyDescent="0.45">
      <c r="A8" t="str">
        <f>'VM-Gen Ent EPG'!C10</f>
        <v>BBC Two HD</v>
      </c>
      <c r="B8">
        <f t="shared" ref="B8:B70" si="0">IF((LEFT(A8,3))="BBC",0,1)</f>
        <v>0</v>
      </c>
      <c r="C8">
        <f>INDEX('VM-Gen Ent EPG'!$A:$C,MATCH('Impacts - Virgin Media'!$A8,'VM-Gen Ent EPG'!$C:$C,0),1)</f>
        <v>102</v>
      </c>
      <c r="D8">
        <f>INDEX('VM-Gen Ent EPG'!$A:$C,MATCH('Impacts - Virgin Media'!$A8,'VM-Gen Ent EPG'!$C:$C,0),2)</f>
        <v>2</v>
      </c>
      <c r="E8" s="73">
        <f>(VLOOKUP(D8,' VM-Gen Ent - EMP slot values'!$A$29:$B$140,2,FALSE))/5</f>
        <v>3.8619575384225193</v>
      </c>
      <c r="G8">
        <f>INDEX('VM-Gen Ent EPG'!$F:$H,MATCH($A8,'VM-Gen Ent EPG'!$H:$H,0),1)</f>
        <v>102</v>
      </c>
      <c r="H8">
        <f>INDEX('VM-Gen Ent EPG'!$F:$H,MATCH($A8,'VM-Gen Ent EPG'!$H:$H,0),2)</f>
        <v>2</v>
      </c>
      <c r="I8" s="73">
        <f>(VLOOKUP(H8,' VM-Gen Ent - EMP slot values'!$A$29:$B$140,2,FALSE))/5</f>
        <v>3.8619575384225193</v>
      </c>
      <c r="J8">
        <f t="shared" ref="J8:J70" si="1">$D8-H8</f>
        <v>0</v>
      </c>
      <c r="K8" s="7">
        <f t="shared" ref="K8:K70" si="2">I8-$E8</f>
        <v>0</v>
      </c>
      <c r="L8">
        <f t="shared" ref="L8:L70" si="3">IF(G8&lt;&gt;$C8,1,0)</f>
        <v>0</v>
      </c>
      <c r="M8">
        <f>INDEX('VM-Gen Ent EPG'!$K:$M,MATCH($A8,'VM-Gen Ent EPG'!$M:$M,0),1)</f>
        <v>102</v>
      </c>
      <c r="N8">
        <f>INDEX('VM-Gen Ent EPG'!$K:$M,MATCH($A8,'VM-Gen Ent EPG'!$M:$M,0),2)</f>
        <v>2</v>
      </c>
      <c r="O8" s="73">
        <f>(VLOOKUP(N8,' VM-Gen Ent - EMP slot values'!$A$29:$B$140,2,FALSE))/5</f>
        <v>3.8619575384225193</v>
      </c>
      <c r="P8">
        <f t="shared" ref="P8:P70" si="4">$D8-N8</f>
        <v>0</v>
      </c>
      <c r="Q8" s="7">
        <f t="shared" ref="Q8:Q70" si="5">O8-$E8</f>
        <v>0</v>
      </c>
      <c r="R8">
        <f t="shared" ref="R8:R70" si="6">IF(M8&lt;&gt;$C8,1,0)</f>
        <v>0</v>
      </c>
    </row>
    <row r="9" spans="1:18" x14ac:dyDescent="0.45">
      <c r="A9" t="str">
        <f>'VM-Gen Ent EPG'!C11</f>
        <v>ITV/STV HD*</v>
      </c>
      <c r="B9">
        <f t="shared" si="0"/>
        <v>1</v>
      </c>
      <c r="C9">
        <f>INDEX('VM-Gen Ent EPG'!$A:$C,MATCH('Impacts - Virgin Media'!$A9,'VM-Gen Ent EPG'!$C:$C,0),1)</f>
        <v>103</v>
      </c>
      <c r="D9">
        <f>INDEX('VM-Gen Ent EPG'!$A:$C,MATCH('Impacts - Virgin Media'!$A9,'VM-Gen Ent EPG'!$C:$C,0),2)</f>
        <v>3</v>
      </c>
      <c r="E9" s="73">
        <f>(VLOOKUP(D9,' VM-Gen Ent - EMP slot values'!$A$29:$B$140,2,FALSE))/5</f>
        <v>3.7286790071446303</v>
      </c>
      <c r="G9">
        <f>INDEX('VM-Gen Ent EPG'!$F:$H,MATCH($A9,'VM-Gen Ent EPG'!$H:$H,0),1)</f>
        <v>103</v>
      </c>
      <c r="H9">
        <f>INDEX('VM-Gen Ent EPG'!$F:$H,MATCH($A9,'VM-Gen Ent EPG'!$H:$H,0),2)</f>
        <v>3</v>
      </c>
      <c r="I9" s="73">
        <f>(VLOOKUP(H9,' VM-Gen Ent - EMP slot values'!$A$29:$B$140,2,FALSE))/5</f>
        <v>3.7286790071446303</v>
      </c>
      <c r="J9">
        <f t="shared" si="1"/>
        <v>0</v>
      </c>
      <c r="K9" s="7">
        <f t="shared" si="2"/>
        <v>0</v>
      </c>
      <c r="L9">
        <f t="shared" si="3"/>
        <v>0</v>
      </c>
      <c r="M9">
        <f>INDEX('VM-Gen Ent EPG'!$K:$M,MATCH($A9,'VM-Gen Ent EPG'!$M:$M,0),1)</f>
        <v>103</v>
      </c>
      <c r="N9">
        <f>INDEX('VM-Gen Ent EPG'!$K:$M,MATCH($A9,'VM-Gen Ent EPG'!$M:$M,0),2)</f>
        <v>3</v>
      </c>
      <c r="O9" s="73">
        <f>(VLOOKUP(N9,' VM-Gen Ent - EMP slot values'!$A$29:$B$140,2,FALSE))/5</f>
        <v>3.7286790071446303</v>
      </c>
      <c r="P9">
        <f t="shared" si="4"/>
        <v>0</v>
      </c>
      <c r="Q9" s="7">
        <f t="shared" si="5"/>
        <v>0</v>
      </c>
      <c r="R9">
        <f t="shared" si="6"/>
        <v>0</v>
      </c>
    </row>
    <row r="10" spans="1:18" x14ac:dyDescent="0.45">
      <c r="A10" t="str">
        <f>'VM-Gen Ent EPG'!C12</f>
        <v>Channel 4</v>
      </c>
      <c r="B10">
        <f t="shared" si="0"/>
        <v>1</v>
      </c>
      <c r="C10">
        <f>INDEX('VM-Gen Ent EPG'!$A:$C,MATCH('Impacts - Virgin Media'!$A10,'VM-Gen Ent EPG'!$C:$C,0),1)</f>
        <v>104</v>
      </c>
      <c r="D10">
        <f>INDEX('VM-Gen Ent EPG'!$A:$C,MATCH('Impacts - Virgin Media'!$A10,'VM-Gen Ent EPG'!$C:$C,0),2)</f>
        <v>4</v>
      </c>
      <c r="E10" s="73">
        <f>(VLOOKUP(D10,' VM-Gen Ent - EMP slot values'!$A$29:$B$140,2,FALSE))/5</f>
        <v>3.6</v>
      </c>
      <c r="G10">
        <f>INDEX('VM-Gen Ent EPG'!$F:$H,MATCH($A10,'VM-Gen Ent EPG'!$H:$H,0),1)</f>
        <v>104</v>
      </c>
      <c r="H10">
        <f>INDEX('VM-Gen Ent EPG'!$F:$H,MATCH($A10,'VM-Gen Ent EPG'!$H:$H,0),2)</f>
        <v>4</v>
      </c>
      <c r="I10" s="73">
        <f>(VLOOKUP(H10,' VM-Gen Ent - EMP slot values'!$A$29:$B$140,2,FALSE))/5</f>
        <v>3.6</v>
      </c>
      <c r="J10">
        <f t="shared" si="1"/>
        <v>0</v>
      </c>
      <c r="K10" s="7">
        <f t="shared" si="2"/>
        <v>0</v>
      </c>
      <c r="L10">
        <f t="shared" si="3"/>
        <v>0</v>
      </c>
      <c r="M10">
        <f>INDEX('VM-Gen Ent EPG'!$K:$M,MATCH($A10,'VM-Gen Ent EPG'!$M:$M,0),1)</f>
        <v>104</v>
      </c>
      <c r="N10">
        <f>INDEX('VM-Gen Ent EPG'!$K:$M,MATCH($A10,'VM-Gen Ent EPG'!$M:$M,0),2)</f>
        <v>4</v>
      </c>
      <c r="O10" s="73">
        <f>(VLOOKUP(N10,' VM-Gen Ent - EMP slot values'!$A$29:$B$140,2,FALSE))/5</f>
        <v>3.6</v>
      </c>
      <c r="P10">
        <f t="shared" si="4"/>
        <v>0</v>
      </c>
      <c r="Q10" s="7">
        <f t="shared" si="5"/>
        <v>0</v>
      </c>
      <c r="R10">
        <f t="shared" si="6"/>
        <v>0</v>
      </c>
    </row>
    <row r="11" spans="1:18" x14ac:dyDescent="0.45">
      <c r="A11" t="str">
        <f>'VM-Gen Ent EPG'!C13</f>
        <v>Channel 5</v>
      </c>
      <c r="B11">
        <f t="shared" si="0"/>
        <v>1</v>
      </c>
      <c r="C11">
        <f>INDEX('VM-Gen Ent EPG'!$A:$C,MATCH('Impacts - Virgin Media'!$A11,'VM-Gen Ent EPG'!$C:$C,0),1)</f>
        <v>105</v>
      </c>
      <c r="D11">
        <f>INDEX('VM-Gen Ent EPG'!$A:$C,MATCH('Impacts - Virgin Media'!$A11,'VM-Gen Ent EPG'!$C:$C,0),2)</f>
        <v>5</v>
      </c>
      <c r="E11" s="73">
        <f>(VLOOKUP(D11,' VM-Gen Ent - EMP slot values'!$A$29:$B$140,2,FALSE))/5</f>
        <v>3.3554304454355268</v>
      </c>
      <c r="G11">
        <f>INDEX('VM-Gen Ent EPG'!$F:$H,MATCH($A11,'VM-Gen Ent EPG'!$H:$H,0),1)</f>
        <v>105</v>
      </c>
      <c r="H11">
        <f>INDEX('VM-Gen Ent EPG'!$F:$H,MATCH($A11,'VM-Gen Ent EPG'!$H:$H,0),2)</f>
        <v>5</v>
      </c>
      <c r="I11" s="73">
        <f>(VLOOKUP(H11,' VM-Gen Ent - EMP slot values'!$A$29:$B$140,2,FALSE))/5</f>
        <v>3.3554304454355268</v>
      </c>
      <c r="J11">
        <f t="shared" si="1"/>
        <v>0</v>
      </c>
      <c r="K11" s="7">
        <f t="shared" si="2"/>
        <v>0</v>
      </c>
      <c r="L11">
        <f t="shared" si="3"/>
        <v>0</v>
      </c>
      <c r="M11">
        <f>INDEX('VM-Gen Ent EPG'!$K:$M,MATCH($A11,'VM-Gen Ent EPG'!$M:$M,0),1)</f>
        <v>105</v>
      </c>
      <c r="N11">
        <f>INDEX('VM-Gen Ent EPG'!$K:$M,MATCH($A11,'VM-Gen Ent EPG'!$M:$M,0),2)</f>
        <v>5</v>
      </c>
      <c r="O11" s="73">
        <f>(VLOOKUP(N11,' VM-Gen Ent - EMP slot values'!$A$29:$B$140,2,FALSE))/5</f>
        <v>3.3554304454355268</v>
      </c>
      <c r="P11">
        <f t="shared" si="4"/>
        <v>0</v>
      </c>
      <c r="Q11" s="7">
        <f t="shared" si="5"/>
        <v>0</v>
      </c>
      <c r="R11">
        <f t="shared" si="6"/>
        <v>0</v>
      </c>
    </row>
    <row r="12" spans="1:18" x14ac:dyDescent="0.45">
      <c r="A12" t="str">
        <f>'VM-Gen Ent EPG'!C14</f>
        <v>E4</v>
      </c>
      <c r="B12">
        <f t="shared" si="0"/>
        <v>1</v>
      </c>
      <c r="C12">
        <f>INDEX('VM-Gen Ent EPG'!$A:$C,MATCH('Impacts - Virgin Media'!$A12,'VM-Gen Ent EPG'!$C:$C,0),1)</f>
        <v>106</v>
      </c>
      <c r="D12">
        <f>INDEX('VM-Gen Ent EPG'!$A:$C,MATCH('Impacts - Virgin Media'!$A12,'VM-Gen Ent EPG'!$C:$C,0),2)</f>
        <v>6</v>
      </c>
      <c r="E12" s="73">
        <f>(VLOOKUP(D12,' VM-Gen Ent - EMP slot values'!$A$29:$B$140,2,FALSE))/5</f>
        <v>3.1274759650432382</v>
      </c>
      <c r="G12">
        <f>INDEX('VM-Gen Ent EPG'!$F:$H,MATCH($A12,'VM-Gen Ent EPG'!$H:$H,0),1)</f>
        <v>106</v>
      </c>
      <c r="H12">
        <f>INDEX('VM-Gen Ent EPG'!$F:$H,MATCH($A12,'VM-Gen Ent EPG'!$H:$H,0),2)</f>
        <v>6</v>
      </c>
      <c r="I12" s="73">
        <f>(VLOOKUP(H12,' VM-Gen Ent - EMP slot values'!$A$29:$B$140,2,FALSE))/5</f>
        <v>3.1274759650432382</v>
      </c>
      <c r="J12">
        <f t="shared" si="1"/>
        <v>0</v>
      </c>
      <c r="K12" s="7">
        <f t="shared" si="2"/>
        <v>0</v>
      </c>
      <c r="L12">
        <f t="shared" si="3"/>
        <v>0</v>
      </c>
      <c r="M12">
        <f>INDEX('VM-Gen Ent EPG'!$K:$M,MATCH($A12,'VM-Gen Ent EPG'!$M:$M,0),1)</f>
        <v>106</v>
      </c>
      <c r="N12">
        <f>INDEX('VM-Gen Ent EPG'!$K:$M,MATCH($A12,'VM-Gen Ent EPG'!$M:$M,0),2)</f>
        <v>6</v>
      </c>
      <c r="O12" s="73">
        <f>(VLOOKUP(N12,' VM-Gen Ent - EMP slot values'!$A$29:$B$140,2,FALSE))/5</f>
        <v>3.1274759650432382</v>
      </c>
      <c r="P12">
        <f t="shared" si="4"/>
        <v>0</v>
      </c>
      <c r="Q12" s="7">
        <f t="shared" si="5"/>
        <v>0</v>
      </c>
      <c r="R12">
        <f t="shared" si="6"/>
        <v>0</v>
      </c>
    </row>
    <row r="13" spans="1:18" x14ac:dyDescent="0.45">
      <c r="A13" t="str">
        <f>'VM-Gen Ent EPG'!C15</f>
        <v>BBC Four HD</v>
      </c>
      <c r="B13">
        <f t="shared" si="0"/>
        <v>0</v>
      </c>
      <c r="C13">
        <f>INDEX('VM-Gen Ent EPG'!$A:$C,MATCH('Impacts - Virgin Media'!$A13,'VM-Gen Ent EPG'!$C:$C,0),1)</f>
        <v>107</v>
      </c>
      <c r="D13">
        <f>INDEX('VM-Gen Ent EPG'!$A:$C,MATCH('Impacts - Virgin Media'!$A13,'VM-Gen Ent EPG'!$C:$C,0),2)</f>
        <v>7</v>
      </c>
      <c r="E13" s="73">
        <f>(VLOOKUP(D13,' VM-Gen Ent - EMP slot values'!$A$29:$B$140,2,FALSE))/5</f>
        <v>2.9150077973538715</v>
      </c>
      <c r="G13">
        <f>INDEX('VM-Gen Ent EPG'!$F:$H,MATCH($A13,'VM-Gen Ent EPG'!$H:$H,0),1)</f>
        <v>107</v>
      </c>
      <c r="H13">
        <f>INDEX('VM-Gen Ent EPG'!$F:$H,MATCH($A13,'VM-Gen Ent EPG'!$H:$H,0),2)</f>
        <v>7</v>
      </c>
      <c r="I13" s="73">
        <f>(VLOOKUP(H13,' VM-Gen Ent - EMP slot values'!$A$29:$B$140,2,FALSE))/5</f>
        <v>2.9150077973538715</v>
      </c>
      <c r="J13">
        <f t="shared" si="1"/>
        <v>0</v>
      </c>
      <c r="K13" s="7">
        <f t="shared" si="2"/>
        <v>0</v>
      </c>
      <c r="L13">
        <f t="shared" si="3"/>
        <v>0</v>
      </c>
      <c r="M13">
        <f>INDEX('VM-Gen Ent EPG'!$K:$M,MATCH($A13,'VM-Gen Ent EPG'!$M:$M,0),1)</f>
        <v>107</v>
      </c>
      <c r="N13">
        <f>INDEX('VM-Gen Ent EPG'!$K:$M,MATCH($A13,'VM-Gen Ent EPG'!$M:$M,0),2)</f>
        <v>7</v>
      </c>
      <c r="O13" s="73">
        <f>(VLOOKUP(N13,' VM-Gen Ent - EMP slot values'!$A$29:$B$140,2,FALSE))/5</f>
        <v>2.9150077973538715</v>
      </c>
      <c r="P13">
        <f t="shared" si="4"/>
        <v>0</v>
      </c>
      <c r="Q13" s="7">
        <f t="shared" si="5"/>
        <v>0</v>
      </c>
      <c r="R13">
        <f t="shared" si="6"/>
        <v>0</v>
      </c>
    </row>
    <row r="14" spans="1:18" x14ac:dyDescent="0.45">
      <c r="A14" t="str">
        <f>'VM-Gen Ent EPG'!C16</f>
        <v>BBC One HD/BBC Scotland HD*</v>
      </c>
      <c r="B14">
        <f t="shared" si="0"/>
        <v>0</v>
      </c>
      <c r="C14">
        <f>INDEX('VM-Gen Ent EPG'!$A:$C,MATCH('Impacts - Virgin Media'!$A14,'VM-Gen Ent EPG'!$C:$C,0),1)</f>
        <v>108</v>
      </c>
      <c r="D14">
        <f>INDEX('VM-Gen Ent EPG'!$A:$C,MATCH('Impacts - Virgin Media'!$A14,'VM-Gen Ent EPG'!$C:$C,0),2)</f>
        <v>8</v>
      </c>
      <c r="E14" s="73">
        <f>(VLOOKUP(D14,' VM-Gen Ent - EMP slot values'!$A$29:$B$140,2,FALSE))/5</f>
        <v>2.7169738644230934</v>
      </c>
      <c r="G14">
        <f>INDEX('VM-Gen Ent EPG'!$F:$H,MATCH($A14,'VM-Gen Ent EPG'!$H:$H,0),1)</f>
        <v>108</v>
      </c>
      <c r="H14">
        <f>INDEX('VM-Gen Ent EPG'!$F:$H,MATCH($A14,'VM-Gen Ent EPG'!$H:$H,0),2)</f>
        <v>8</v>
      </c>
      <c r="I14" s="73">
        <f>(VLOOKUP(H14,' VM-Gen Ent - EMP slot values'!$A$29:$B$140,2,FALSE))/5</f>
        <v>2.7169738644230934</v>
      </c>
      <c r="J14">
        <f t="shared" si="1"/>
        <v>0</v>
      </c>
      <c r="K14" s="7">
        <f t="shared" si="2"/>
        <v>0</v>
      </c>
      <c r="L14">
        <f t="shared" si="3"/>
        <v>0</v>
      </c>
      <c r="M14">
        <f>INDEX('VM-Gen Ent EPG'!$K:$M,MATCH($A14,'VM-Gen Ent EPG'!$M:$M,0),1)</f>
        <v>108</v>
      </c>
      <c r="N14">
        <f>INDEX('VM-Gen Ent EPG'!$K:$M,MATCH($A14,'VM-Gen Ent EPG'!$M:$M,0),2)</f>
        <v>8</v>
      </c>
      <c r="O14" s="73">
        <f>(VLOOKUP(N14,' VM-Gen Ent - EMP slot values'!$A$29:$B$140,2,FALSE))/5</f>
        <v>2.7169738644230934</v>
      </c>
      <c r="P14">
        <f t="shared" si="4"/>
        <v>0</v>
      </c>
      <c r="Q14" s="7">
        <f t="shared" si="5"/>
        <v>0</v>
      </c>
      <c r="R14">
        <f t="shared" si="6"/>
        <v>0</v>
      </c>
    </row>
    <row r="15" spans="1:18" x14ac:dyDescent="0.45">
      <c r="A15" t="str">
        <f>'VM-Gen Ent EPG'!C17</f>
        <v>Sky One HD</v>
      </c>
      <c r="B15">
        <f t="shared" si="0"/>
        <v>1</v>
      </c>
      <c r="C15">
        <f>INDEX('VM-Gen Ent EPG'!$A:$C,MATCH('Impacts - Virgin Media'!$A15,'VM-Gen Ent EPG'!$C:$C,0),1)</f>
        <v>109</v>
      </c>
      <c r="D15">
        <f>INDEX('VM-Gen Ent EPG'!$A:$C,MATCH('Impacts - Virgin Media'!$A15,'VM-Gen Ent EPG'!$C:$C,0),2)</f>
        <v>9</v>
      </c>
      <c r="E15" s="73">
        <f>(VLOOKUP(D15,' VM-Gen Ent - EMP slot values'!$A$29:$B$140,2,FALSE))/5</f>
        <v>2.5323935622605176</v>
      </c>
      <c r="G15">
        <f>INDEX('VM-Gen Ent EPG'!$F:$H,MATCH($A15,'VM-Gen Ent EPG'!$H:$H,0),1)</f>
        <v>109</v>
      </c>
      <c r="H15">
        <f>INDEX('VM-Gen Ent EPG'!$F:$H,MATCH($A15,'VM-Gen Ent EPG'!$H:$H,0),2)</f>
        <v>9</v>
      </c>
      <c r="I15" s="73">
        <f>(VLOOKUP(H15,' VM-Gen Ent - EMP slot values'!$A$29:$B$140,2,FALSE))/5</f>
        <v>2.5323935622605176</v>
      </c>
      <c r="J15">
        <f t="shared" si="1"/>
        <v>0</v>
      </c>
      <c r="K15" s="7">
        <f t="shared" si="2"/>
        <v>0</v>
      </c>
      <c r="L15">
        <f t="shared" si="3"/>
        <v>0</v>
      </c>
      <c r="M15">
        <f>INDEX('VM-Gen Ent EPG'!$K:$M,MATCH($A15,'VM-Gen Ent EPG'!$M:$M,0),1)</f>
        <v>109</v>
      </c>
      <c r="N15">
        <f>INDEX('VM-Gen Ent EPG'!$K:$M,MATCH($A15,'VM-Gen Ent EPG'!$M:$M,0),2)</f>
        <v>9</v>
      </c>
      <c r="O15" s="73">
        <f>(VLOOKUP(N15,' VM-Gen Ent - EMP slot values'!$A$29:$B$140,2,FALSE))/5</f>
        <v>2.5323935622605176</v>
      </c>
      <c r="P15">
        <f t="shared" si="4"/>
        <v>0</v>
      </c>
      <c r="Q15" s="7">
        <f t="shared" si="5"/>
        <v>0</v>
      </c>
      <c r="R15">
        <f t="shared" si="6"/>
        <v>0</v>
      </c>
    </row>
    <row r="16" spans="1:18" x14ac:dyDescent="0.45">
      <c r="A16" t="str">
        <f>'VM-Gen Ent EPG'!C18</f>
        <v>Sky One</v>
      </c>
      <c r="B16">
        <f t="shared" si="0"/>
        <v>1</v>
      </c>
      <c r="C16">
        <f>INDEX('VM-Gen Ent EPG'!$A:$C,MATCH('Impacts - Virgin Media'!$A16,'VM-Gen Ent EPG'!$C:$C,0),1)</f>
        <v>110</v>
      </c>
      <c r="D16">
        <f>INDEX('VM-Gen Ent EPG'!$A:$C,MATCH('Impacts - Virgin Media'!$A16,'VM-Gen Ent EPG'!$C:$C,0),2)</f>
        <v>10</v>
      </c>
      <c r="E16" s="73">
        <f>(VLOOKUP(D16,' VM-Gen Ent - EMP slot values'!$A$29:$B$140,2,FALSE))/5</f>
        <v>2.3603529051760748</v>
      </c>
      <c r="G16">
        <f>INDEX('VM-Gen Ent EPG'!$F:$H,MATCH($A16,'VM-Gen Ent EPG'!$H:$H,0),1)</f>
        <v>110</v>
      </c>
      <c r="H16">
        <f>INDEX('VM-Gen Ent EPG'!$F:$H,MATCH($A16,'VM-Gen Ent EPG'!$H:$H,0),2)</f>
        <v>10</v>
      </c>
      <c r="I16" s="73">
        <f>(VLOOKUP(H16,' VM-Gen Ent - EMP slot values'!$A$29:$B$140,2,FALSE))/5</f>
        <v>2.3603529051760748</v>
      </c>
      <c r="J16">
        <f t="shared" si="1"/>
        <v>0</v>
      </c>
      <c r="K16" s="7">
        <f t="shared" si="2"/>
        <v>0</v>
      </c>
      <c r="L16">
        <f t="shared" si="3"/>
        <v>0</v>
      </c>
      <c r="M16">
        <f>INDEX('VM-Gen Ent EPG'!$K:$M,MATCH($A16,'VM-Gen Ent EPG'!$M:$M,0),1)</f>
        <v>110</v>
      </c>
      <c r="N16">
        <f>INDEX('VM-Gen Ent EPG'!$K:$M,MATCH($A16,'VM-Gen Ent EPG'!$M:$M,0),2)</f>
        <v>10</v>
      </c>
      <c r="O16" s="73">
        <f>(VLOOKUP(N16,' VM-Gen Ent - EMP slot values'!$A$29:$B$140,2,FALSE))/5</f>
        <v>2.3603529051760748</v>
      </c>
      <c r="P16">
        <f t="shared" si="4"/>
        <v>0</v>
      </c>
      <c r="Q16" s="7">
        <f t="shared" si="5"/>
        <v>0</v>
      </c>
      <c r="R16">
        <f t="shared" si="6"/>
        <v>0</v>
      </c>
    </row>
    <row r="17" spans="1:18" x14ac:dyDescent="0.45">
      <c r="A17" t="str">
        <f>'VM-Gen Ent EPG'!C19</f>
        <v>Sky Witness HD</v>
      </c>
      <c r="B17">
        <f t="shared" si="0"/>
        <v>1</v>
      </c>
      <c r="C17">
        <f>INDEX('VM-Gen Ent EPG'!$A:$C,MATCH('Impacts - Virgin Media'!$A17,'VM-Gen Ent EPG'!$C:$C,0),1)</f>
        <v>111</v>
      </c>
      <c r="D17">
        <f>INDEX('VM-Gen Ent EPG'!$A:$C,MATCH('Impacts - Virgin Media'!$A17,'VM-Gen Ent EPG'!$C:$C,0),2)</f>
        <v>11</v>
      </c>
      <c r="E17" s="73">
        <f>(VLOOKUP(D17,' VM-Gen Ent - EMP slot values'!$A$29:$B$140,2,FALSE))/5</f>
        <v>2.1999999999999988</v>
      </c>
      <c r="G17">
        <f>INDEX('VM-Gen Ent EPG'!$F:$H,MATCH($A17,'VM-Gen Ent EPG'!$H:$H,0),1)</f>
        <v>111</v>
      </c>
      <c r="H17">
        <f>INDEX('VM-Gen Ent EPG'!$F:$H,MATCH($A17,'VM-Gen Ent EPG'!$H:$H,0),2)</f>
        <v>11</v>
      </c>
      <c r="I17" s="73">
        <f>(VLOOKUP(H17,' VM-Gen Ent - EMP slot values'!$A$29:$B$140,2,FALSE))/5</f>
        <v>2.1999999999999988</v>
      </c>
      <c r="J17">
        <f t="shared" si="1"/>
        <v>0</v>
      </c>
      <c r="K17" s="7">
        <f t="shared" si="2"/>
        <v>0</v>
      </c>
      <c r="L17">
        <f t="shared" si="3"/>
        <v>0</v>
      </c>
      <c r="M17">
        <f>INDEX('VM-Gen Ent EPG'!$K:$M,MATCH($A17,'VM-Gen Ent EPG'!$M:$M,0),1)</f>
        <v>111</v>
      </c>
      <c r="N17">
        <f>INDEX('VM-Gen Ent EPG'!$K:$M,MATCH($A17,'VM-Gen Ent EPG'!$M:$M,0),2)</f>
        <v>11</v>
      </c>
      <c r="O17" s="73">
        <f>(VLOOKUP(N17,' VM-Gen Ent - EMP slot values'!$A$29:$B$140,2,FALSE))/5</f>
        <v>2.1999999999999988</v>
      </c>
      <c r="P17">
        <f t="shared" si="4"/>
        <v>0</v>
      </c>
      <c r="Q17" s="7">
        <f t="shared" si="5"/>
        <v>0</v>
      </c>
      <c r="R17">
        <f t="shared" si="6"/>
        <v>0</v>
      </c>
    </row>
    <row r="18" spans="1:18" x14ac:dyDescent="0.45">
      <c r="A18" t="str">
        <f>'VM-Gen Ent EPG'!C20</f>
        <v>Sky Witness</v>
      </c>
      <c r="B18">
        <f t="shared" si="0"/>
        <v>1</v>
      </c>
      <c r="C18">
        <f>INDEX('VM-Gen Ent EPG'!$A:$C,MATCH('Impacts - Virgin Media'!$A18,'VM-Gen Ent EPG'!$C:$C,0),1)</f>
        <v>112</v>
      </c>
      <c r="D18">
        <f>INDEX('VM-Gen Ent EPG'!$A:$C,MATCH('Impacts - Virgin Media'!$A18,'VM-Gen Ent EPG'!$C:$C,0),2)</f>
        <v>12</v>
      </c>
      <c r="E18" s="73">
        <f>(VLOOKUP(D18,' VM-Gen Ent - EMP slot values'!$A$29:$B$140,2,FALSE))/5</f>
        <v>2.1204421546759633</v>
      </c>
      <c r="G18">
        <f>INDEX('VM-Gen Ent EPG'!$F:$H,MATCH($A18,'VM-Gen Ent EPG'!$H:$H,0),1)</f>
        <v>112</v>
      </c>
      <c r="H18">
        <f>INDEX('VM-Gen Ent EPG'!$F:$H,MATCH($A18,'VM-Gen Ent EPG'!$H:$H,0),2)</f>
        <v>12</v>
      </c>
      <c r="I18" s="73">
        <f>(VLOOKUP(H18,' VM-Gen Ent - EMP slot values'!$A$29:$B$140,2,FALSE))/5</f>
        <v>2.1204421546759633</v>
      </c>
      <c r="J18">
        <f t="shared" si="1"/>
        <v>0</v>
      </c>
      <c r="K18" s="7">
        <f t="shared" si="2"/>
        <v>0</v>
      </c>
      <c r="L18">
        <f t="shared" si="3"/>
        <v>0</v>
      </c>
      <c r="M18">
        <f>INDEX('VM-Gen Ent EPG'!$K:$M,MATCH($A18,'VM-Gen Ent EPG'!$M:$M,0),1)</f>
        <v>112</v>
      </c>
      <c r="N18">
        <f>INDEX('VM-Gen Ent EPG'!$K:$M,MATCH($A18,'VM-Gen Ent EPG'!$M:$M,0),2)</f>
        <v>12</v>
      </c>
      <c r="O18" s="73">
        <f>(VLOOKUP(N18,' VM-Gen Ent - EMP slot values'!$A$29:$B$140,2,FALSE))/5</f>
        <v>2.1204421546759633</v>
      </c>
      <c r="P18">
        <f t="shared" si="4"/>
        <v>0</v>
      </c>
      <c r="Q18" s="7">
        <f t="shared" si="5"/>
        <v>0</v>
      </c>
      <c r="R18">
        <f t="shared" si="6"/>
        <v>0</v>
      </c>
    </row>
    <row r="19" spans="1:18" x14ac:dyDescent="0.45">
      <c r="A19" t="str">
        <f>'VM-Gen Ent EPG'!C21</f>
        <v>ITV HD*</v>
      </c>
      <c r="B19">
        <f t="shared" si="0"/>
        <v>1</v>
      </c>
      <c r="C19">
        <f>INDEX('VM-Gen Ent EPG'!$A:$C,MATCH('Impacts - Virgin Media'!$A19,'VM-Gen Ent EPG'!$C:$C,0),1)</f>
        <v>113</v>
      </c>
      <c r="D19">
        <f>INDEX('VM-Gen Ent EPG'!$A:$C,MATCH('Impacts - Virgin Media'!$A19,'VM-Gen Ent EPG'!$C:$C,0),2)</f>
        <v>13</v>
      </c>
      <c r="E19" s="73">
        <f>(VLOOKUP(D19,' VM-Gen Ent - EMP slot values'!$A$29:$B$140,2,FALSE))/5</f>
        <v>2.0437613324212918</v>
      </c>
      <c r="G19">
        <f>INDEX('VM-Gen Ent EPG'!$F:$H,MATCH($A19,'VM-Gen Ent EPG'!$H:$H,0),1)</f>
        <v>113</v>
      </c>
      <c r="H19">
        <f>INDEX('VM-Gen Ent EPG'!$F:$H,MATCH($A19,'VM-Gen Ent EPG'!$H:$H,0),2)</f>
        <v>13</v>
      </c>
      <c r="I19" s="73">
        <f>(VLOOKUP(H19,' VM-Gen Ent - EMP slot values'!$A$29:$B$140,2,FALSE))/5</f>
        <v>2.0437613324212918</v>
      </c>
      <c r="J19">
        <f t="shared" si="1"/>
        <v>0</v>
      </c>
      <c r="K19" s="7">
        <f t="shared" si="2"/>
        <v>0</v>
      </c>
      <c r="L19">
        <f t="shared" si="3"/>
        <v>0</v>
      </c>
      <c r="M19">
        <f>INDEX('VM-Gen Ent EPG'!$K:$M,MATCH($A19,'VM-Gen Ent EPG'!$M:$M,0),1)</f>
        <v>113</v>
      </c>
      <c r="N19">
        <f>INDEX('VM-Gen Ent EPG'!$K:$M,MATCH($A19,'VM-Gen Ent EPG'!$M:$M,0),2)</f>
        <v>13</v>
      </c>
      <c r="O19" s="73">
        <f>(VLOOKUP(N19,' VM-Gen Ent - EMP slot values'!$A$29:$B$140,2,FALSE))/5</f>
        <v>2.0437613324212918</v>
      </c>
      <c r="P19">
        <f t="shared" si="4"/>
        <v>0</v>
      </c>
      <c r="Q19" s="7">
        <f t="shared" si="5"/>
        <v>0</v>
      </c>
      <c r="R19">
        <f t="shared" si="6"/>
        <v>0</v>
      </c>
    </row>
    <row r="20" spans="1:18" x14ac:dyDescent="0.45">
      <c r="A20" t="str">
        <f>'VM-Gen Ent EPG'!C22</f>
        <v>ITV +1</v>
      </c>
      <c r="B20">
        <f t="shared" si="0"/>
        <v>1</v>
      </c>
      <c r="C20">
        <f>INDEX('VM-Gen Ent EPG'!$A:$C,MATCH('Impacts - Virgin Media'!$A20,'VM-Gen Ent EPG'!$C:$C,0),1)</f>
        <v>114</v>
      </c>
      <c r="D20">
        <f>INDEX('VM-Gen Ent EPG'!$A:$C,MATCH('Impacts - Virgin Media'!$A20,'VM-Gen Ent EPG'!$C:$C,0),2)</f>
        <v>14</v>
      </c>
      <c r="E20" s="73">
        <f>(VLOOKUP(D20,' VM-Gen Ent - EMP slot values'!$A$29:$B$140,2,FALSE))/5</f>
        <v>1.9698534924376467</v>
      </c>
      <c r="G20">
        <f>INDEX('VM-Gen Ent EPG'!$F:$H,MATCH($A20,'VM-Gen Ent EPG'!$H:$H,0),1)</f>
        <v>114</v>
      </c>
      <c r="H20">
        <f>INDEX('VM-Gen Ent EPG'!$F:$H,MATCH($A20,'VM-Gen Ent EPG'!$H:$H,0),2)</f>
        <v>14</v>
      </c>
      <c r="I20" s="73">
        <f>(VLOOKUP(H20,' VM-Gen Ent - EMP slot values'!$A$29:$B$140,2,FALSE))/5</f>
        <v>1.9698534924376467</v>
      </c>
      <c r="J20">
        <f t="shared" si="1"/>
        <v>0</v>
      </c>
      <c r="K20" s="7">
        <f t="shared" si="2"/>
        <v>0</v>
      </c>
      <c r="L20">
        <f t="shared" si="3"/>
        <v>0</v>
      </c>
      <c r="M20">
        <f>INDEX('VM-Gen Ent EPG'!$K:$M,MATCH($A20,'VM-Gen Ent EPG'!$M:$M,0),1)</f>
        <v>114</v>
      </c>
      <c r="N20">
        <f>INDEX('VM-Gen Ent EPG'!$K:$M,MATCH($A20,'VM-Gen Ent EPG'!$M:$M,0),2)</f>
        <v>14</v>
      </c>
      <c r="O20" s="73">
        <f>(VLOOKUP(N20,' VM-Gen Ent - EMP slot values'!$A$29:$B$140,2,FALSE))/5</f>
        <v>1.9698534924376467</v>
      </c>
      <c r="P20">
        <f t="shared" si="4"/>
        <v>0</v>
      </c>
      <c r="Q20" s="7">
        <f t="shared" si="5"/>
        <v>0</v>
      </c>
      <c r="R20">
        <f t="shared" si="6"/>
        <v>0</v>
      </c>
    </row>
    <row r="21" spans="1:18" x14ac:dyDescent="0.45">
      <c r="A21" t="str">
        <f>'VM-Gen Ent EPG'!C23</f>
        <v>ITV2</v>
      </c>
      <c r="B21">
        <f t="shared" si="0"/>
        <v>1</v>
      </c>
      <c r="C21">
        <f>INDEX('VM-Gen Ent EPG'!$A:$C,MATCH('Impacts - Virgin Media'!$A21,'VM-Gen Ent EPG'!$C:$C,0),1)</f>
        <v>115</v>
      </c>
      <c r="D21">
        <f>INDEX('VM-Gen Ent EPG'!$A:$C,MATCH('Impacts - Virgin Media'!$A21,'VM-Gen Ent EPG'!$C:$C,0),2)</f>
        <v>15</v>
      </c>
      <c r="E21" s="73">
        <f>(VLOOKUP(D21,' VM-Gen Ent - EMP slot values'!$A$29:$B$140,2,FALSE))/5</f>
        <v>1.8986183563183885</v>
      </c>
      <c r="G21">
        <f>INDEX('VM-Gen Ent EPG'!$F:$H,MATCH($A21,'VM-Gen Ent EPG'!$H:$H,0),1)</f>
        <v>115</v>
      </c>
      <c r="H21">
        <f>INDEX('VM-Gen Ent EPG'!$F:$H,MATCH($A21,'VM-Gen Ent EPG'!$H:$H,0),2)</f>
        <v>15</v>
      </c>
      <c r="I21" s="73">
        <f>(VLOOKUP(H21,' VM-Gen Ent - EMP slot values'!$A$29:$B$140,2,FALSE))/5</f>
        <v>1.8986183563183885</v>
      </c>
      <c r="J21">
        <f t="shared" si="1"/>
        <v>0</v>
      </c>
      <c r="K21" s="7">
        <f t="shared" si="2"/>
        <v>0</v>
      </c>
      <c r="L21">
        <f t="shared" si="3"/>
        <v>0</v>
      </c>
      <c r="M21">
        <f>INDEX('VM-Gen Ent EPG'!$K:$M,MATCH($A21,'VM-Gen Ent EPG'!$M:$M,0),1)</f>
        <v>115</v>
      </c>
      <c r="N21">
        <f>INDEX('VM-Gen Ent EPG'!$K:$M,MATCH($A21,'VM-Gen Ent EPG'!$M:$M,0),2)</f>
        <v>15</v>
      </c>
      <c r="O21" s="73">
        <f>(VLOOKUP(N21,' VM-Gen Ent - EMP slot values'!$A$29:$B$140,2,FALSE))/5</f>
        <v>1.8986183563183885</v>
      </c>
      <c r="P21">
        <f t="shared" si="4"/>
        <v>0</v>
      </c>
      <c r="Q21" s="7">
        <f t="shared" si="5"/>
        <v>0</v>
      </c>
      <c r="R21">
        <f t="shared" si="6"/>
        <v>0</v>
      </c>
    </row>
    <row r="22" spans="1:18" x14ac:dyDescent="0.45">
      <c r="A22" t="str">
        <f>'VM-Gen Ent EPG'!C24</f>
        <v>ITV2 +1</v>
      </c>
      <c r="B22">
        <f t="shared" si="0"/>
        <v>1</v>
      </c>
      <c r="C22">
        <f>INDEX('VM-Gen Ent EPG'!$A:$C,MATCH('Impacts - Virgin Media'!$A22,'VM-Gen Ent EPG'!$C:$C,0),1)</f>
        <v>116</v>
      </c>
      <c r="D22">
        <f>INDEX('VM-Gen Ent EPG'!$A:$C,MATCH('Impacts - Virgin Media'!$A22,'VM-Gen Ent EPG'!$C:$C,0),2)</f>
        <v>16</v>
      </c>
      <c r="E22" s="73">
        <f>(VLOOKUP(D22,' VM-Gen Ent - EMP slot values'!$A$29:$B$140,2,FALSE))/5</f>
        <v>1.8299592719904996</v>
      </c>
      <c r="G22">
        <f>INDEX('VM-Gen Ent EPG'!$F:$H,MATCH($A22,'VM-Gen Ent EPG'!$H:$H,0),1)</f>
        <v>116</v>
      </c>
      <c r="H22">
        <f>INDEX('VM-Gen Ent EPG'!$F:$H,MATCH($A22,'VM-Gen Ent EPG'!$H:$H,0),2)</f>
        <v>16</v>
      </c>
      <c r="I22" s="73">
        <f>(VLOOKUP(H22,' VM-Gen Ent - EMP slot values'!$A$29:$B$140,2,FALSE))/5</f>
        <v>1.8299592719904996</v>
      </c>
      <c r="J22">
        <f t="shared" si="1"/>
        <v>0</v>
      </c>
      <c r="K22" s="7">
        <f t="shared" si="2"/>
        <v>0</v>
      </c>
      <c r="L22">
        <f t="shared" si="3"/>
        <v>0</v>
      </c>
      <c r="M22">
        <f>INDEX('VM-Gen Ent EPG'!$K:$M,MATCH($A22,'VM-Gen Ent EPG'!$M:$M,0),1)</f>
        <v>116</v>
      </c>
      <c r="N22">
        <f>INDEX('VM-Gen Ent EPG'!$K:$M,MATCH($A22,'VM-Gen Ent EPG'!$M:$M,0),2)</f>
        <v>16</v>
      </c>
      <c r="O22" s="73">
        <f>(VLOOKUP(N22,' VM-Gen Ent - EMP slot values'!$A$29:$B$140,2,FALSE))/5</f>
        <v>1.8299592719904996</v>
      </c>
      <c r="P22">
        <f t="shared" si="4"/>
        <v>0</v>
      </c>
      <c r="Q22" s="7">
        <f t="shared" si="5"/>
        <v>0</v>
      </c>
      <c r="R22">
        <f t="shared" si="6"/>
        <v>0</v>
      </c>
    </row>
    <row r="23" spans="1:18" x14ac:dyDescent="0.45">
      <c r="A23" t="str">
        <f>'VM-Gen Ent EPG'!C25</f>
        <v>ITV3</v>
      </c>
      <c r="B23">
        <f t="shared" si="0"/>
        <v>1</v>
      </c>
      <c r="C23">
        <f>INDEX('VM-Gen Ent EPG'!$A:$C,MATCH('Impacts - Virgin Media'!$A23,'VM-Gen Ent EPG'!$C:$C,0),1)</f>
        <v>117</v>
      </c>
      <c r="D23">
        <f>INDEX('VM-Gen Ent EPG'!$A:$C,MATCH('Impacts - Virgin Media'!$A23,'VM-Gen Ent EPG'!$C:$C,0),2)</f>
        <v>17</v>
      </c>
      <c r="E23" s="73">
        <f>(VLOOKUP(D23,' VM-Gen Ent - EMP slot values'!$A$29:$B$140,2,FALSE))/5</f>
        <v>1.7637830825767242</v>
      </c>
      <c r="G23">
        <f>INDEX('VM-Gen Ent EPG'!$F:$H,MATCH($A23,'VM-Gen Ent EPG'!$H:$H,0),1)</f>
        <v>117</v>
      </c>
      <c r="H23">
        <f>INDEX('VM-Gen Ent EPG'!$F:$H,MATCH($A23,'VM-Gen Ent EPG'!$H:$H,0),2)</f>
        <v>17</v>
      </c>
      <c r="I23" s="73">
        <f>(VLOOKUP(H23,' VM-Gen Ent - EMP slot values'!$A$29:$B$140,2,FALSE))/5</f>
        <v>1.7637830825767242</v>
      </c>
      <c r="J23">
        <f t="shared" si="1"/>
        <v>0</v>
      </c>
      <c r="K23" s="7">
        <f t="shared" si="2"/>
        <v>0</v>
      </c>
      <c r="L23">
        <f t="shared" si="3"/>
        <v>0</v>
      </c>
      <c r="M23">
        <f>INDEX('VM-Gen Ent EPG'!$K:$M,MATCH($A23,'VM-Gen Ent EPG'!$M:$M,0),1)</f>
        <v>117</v>
      </c>
      <c r="N23">
        <f>INDEX('VM-Gen Ent EPG'!$K:$M,MATCH($A23,'VM-Gen Ent EPG'!$M:$M,0),2)</f>
        <v>17</v>
      </c>
      <c r="O23" s="73">
        <f>(VLOOKUP(N23,' VM-Gen Ent - EMP slot values'!$A$29:$B$140,2,FALSE))/5</f>
        <v>1.7637830825767242</v>
      </c>
      <c r="P23">
        <f t="shared" si="4"/>
        <v>0</v>
      </c>
      <c r="Q23" s="7">
        <f t="shared" si="5"/>
        <v>0</v>
      </c>
      <c r="R23">
        <f t="shared" si="6"/>
        <v>0</v>
      </c>
    </row>
    <row r="24" spans="1:18" x14ac:dyDescent="0.45">
      <c r="A24" t="str">
        <f>'VM-Gen Ent EPG'!C26</f>
        <v>ITV4</v>
      </c>
      <c r="B24">
        <f t="shared" si="0"/>
        <v>1</v>
      </c>
      <c r="C24">
        <f>INDEX('VM-Gen Ent EPG'!$A:$C,MATCH('Impacts - Virgin Media'!$A24,'VM-Gen Ent EPG'!$C:$C,0),1)</f>
        <v>118</v>
      </c>
      <c r="D24">
        <f>INDEX('VM-Gen Ent EPG'!$A:$C,MATCH('Impacts - Virgin Media'!$A24,'VM-Gen Ent EPG'!$C:$C,0),2)</f>
        <v>18</v>
      </c>
      <c r="E24" s="73">
        <f>(VLOOKUP(D24,' VM-Gen Ent - EMP slot values'!$A$29:$B$140,2,FALSE))/5</f>
        <v>1.7000000000000006</v>
      </c>
      <c r="G24">
        <f>INDEX('VM-Gen Ent EPG'!$F:$H,MATCH($A24,'VM-Gen Ent EPG'!$H:$H,0),1)</f>
        <v>118</v>
      </c>
      <c r="H24">
        <f>INDEX('VM-Gen Ent EPG'!$F:$H,MATCH($A24,'VM-Gen Ent EPG'!$H:$H,0),2)</f>
        <v>18</v>
      </c>
      <c r="I24" s="73">
        <f>(VLOOKUP(H24,' VM-Gen Ent - EMP slot values'!$A$29:$B$140,2,FALSE))/5</f>
        <v>1.7000000000000006</v>
      </c>
      <c r="J24">
        <f t="shared" si="1"/>
        <v>0</v>
      </c>
      <c r="K24" s="7">
        <f t="shared" si="2"/>
        <v>0</v>
      </c>
      <c r="L24">
        <f t="shared" si="3"/>
        <v>0</v>
      </c>
      <c r="M24">
        <f>INDEX('VM-Gen Ent EPG'!$K:$M,MATCH($A24,'VM-Gen Ent EPG'!$M:$M,0),1)</f>
        <v>118</v>
      </c>
      <c r="N24">
        <f>INDEX('VM-Gen Ent EPG'!$K:$M,MATCH($A24,'VM-Gen Ent EPG'!$M:$M,0),2)</f>
        <v>18</v>
      </c>
      <c r="O24" s="73">
        <f>(VLOOKUP(N24,' VM-Gen Ent - EMP slot values'!$A$29:$B$140,2,FALSE))/5</f>
        <v>1.7000000000000006</v>
      </c>
      <c r="P24">
        <f t="shared" si="4"/>
        <v>0</v>
      </c>
      <c r="Q24" s="7">
        <f t="shared" si="5"/>
        <v>0</v>
      </c>
      <c r="R24">
        <f t="shared" si="6"/>
        <v>0</v>
      </c>
    </row>
    <row r="25" spans="1:18" x14ac:dyDescent="0.45">
      <c r="A25" t="str">
        <f>'VM-Gen Ent EPG'!C27</f>
        <v>ITVBe</v>
      </c>
      <c r="B25">
        <f t="shared" si="0"/>
        <v>1</v>
      </c>
      <c r="C25">
        <f>INDEX('VM-Gen Ent EPG'!$A:$C,MATCH('Impacts - Virgin Media'!$A25,'VM-Gen Ent EPG'!$C:$C,0),1)</f>
        <v>119</v>
      </c>
      <c r="D25">
        <f>INDEX('VM-Gen Ent EPG'!$A:$C,MATCH('Impacts - Virgin Media'!$A25,'VM-Gen Ent EPG'!$C:$C,0),2)</f>
        <v>19</v>
      </c>
      <c r="E25" s="73">
        <f>(VLOOKUP(D25,' VM-Gen Ent - EMP slot values'!$A$29:$B$140,2,FALSE))/5</f>
        <v>1.6360827611577498</v>
      </c>
      <c r="G25">
        <f>INDEX('VM-Gen Ent EPG'!$F:$H,MATCH($A25,'VM-Gen Ent EPG'!$H:$H,0),1)</f>
        <v>119</v>
      </c>
      <c r="H25">
        <f>INDEX('VM-Gen Ent EPG'!$F:$H,MATCH($A25,'VM-Gen Ent EPG'!$H:$H,0),2)</f>
        <v>19</v>
      </c>
      <c r="I25" s="73">
        <f>(VLOOKUP(H25,' VM-Gen Ent - EMP slot values'!$A$29:$B$140,2,FALSE))/5</f>
        <v>1.6360827611577498</v>
      </c>
      <c r="J25">
        <f t="shared" si="1"/>
        <v>0</v>
      </c>
      <c r="K25" s="7">
        <f t="shared" si="2"/>
        <v>0</v>
      </c>
      <c r="L25">
        <f t="shared" si="3"/>
        <v>0</v>
      </c>
      <c r="M25">
        <f>INDEX('VM-Gen Ent EPG'!$K:$M,MATCH($A25,'VM-Gen Ent EPG'!$M:$M,0),1)</f>
        <v>119</v>
      </c>
      <c r="N25">
        <f>INDEX('VM-Gen Ent EPG'!$K:$M,MATCH($A25,'VM-Gen Ent EPG'!$M:$M,0),2)</f>
        <v>19</v>
      </c>
      <c r="O25" s="73">
        <f>(VLOOKUP(N25,' VM-Gen Ent - EMP slot values'!$A$29:$B$140,2,FALSE))/5</f>
        <v>1.6360827611577498</v>
      </c>
      <c r="P25">
        <f t="shared" si="4"/>
        <v>0</v>
      </c>
      <c r="Q25" s="7">
        <f t="shared" si="5"/>
        <v>0</v>
      </c>
      <c r="R25">
        <f t="shared" si="6"/>
        <v>0</v>
      </c>
    </row>
    <row r="26" spans="1:18" x14ac:dyDescent="0.45">
      <c r="A26" t="str">
        <f>'VM-Gen Ent EPG'!C28</f>
        <v>ITV Be +1</v>
      </c>
      <c r="B26">
        <f t="shared" si="0"/>
        <v>1</v>
      </c>
      <c r="C26">
        <f>INDEX('VM-Gen Ent EPG'!$A:$C,MATCH('Impacts - Virgin Media'!$A26,'VM-Gen Ent EPG'!$C:$C,0),1)</f>
        <v>120</v>
      </c>
      <c r="D26">
        <f>INDEX('VM-Gen Ent EPG'!$A:$C,MATCH('Impacts - Virgin Media'!$A26,'VM-Gen Ent EPG'!$C:$C,0),2)</f>
        <v>20</v>
      </c>
      <c r="E26" s="73">
        <f>(VLOOKUP(D26,' VM-Gen Ent - EMP slot values'!$A$29:$B$140,2,FALSE))/5</f>
        <v>1.5745687066809215</v>
      </c>
      <c r="G26">
        <f>INDEX('VM-Gen Ent EPG'!$F:$H,MATCH($A26,'VM-Gen Ent EPG'!$H:$H,0),1)</f>
        <v>120</v>
      </c>
      <c r="H26">
        <f>INDEX('VM-Gen Ent EPG'!$F:$H,MATCH($A26,'VM-Gen Ent EPG'!$H:$H,0),2)</f>
        <v>20</v>
      </c>
      <c r="I26" s="73">
        <f>(VLOOKUP(H26,' VM-Gen Ent - EMP slot values'!$A$29:$B$140,2,FALSE))/5</f>
        <v>1.5745687066809215</v>
      </c>
      <c r="J26">
        <f t="shared" si="1"/>
        <v>0</v>
      </c>
      <c r="K26" s="7">
        <f t="shared" si="2"/>
        <v>0</v>
      </c>
      <c r="L26">
        <f t="shared" si="3"/>
        <v>0</v>
      </c>
      <c r="M26">
        <f>INDEX('VM-Gen Ent EPG'!$K:$M,MATCH($A26,'VM-Gen Ent EPG'!$M:$M,0),1)</f>
        <v>120</v>
      </c>
      <c r="N26">
        <f>INDEX('VM-Gen Ent EPG'!$K:$M,MATCH($A26,'VM-Gen Ent EPG'!$M:$M,0),2)</f>
        <v>20</v>
      </c>
      <c r="O26" s="73">
        <f>(VLOOKUP(N26,' VM-Gen Ent - EMP slot values'!$A$29:$B$140,2,FALSE))/5</f>
        <v>1.5745687066809215</v>
      </c>
      <c r="P26">
        <f t="shared" si="4"/>
        <v>0</v>
      </c>
      <c r="Q26" s="7">
        <f t="shared" si="5"/>
        <v>0</v>
      </c>
      <c r="R26">
        <f t="shared" si="6"/>
        <v>0</v>
      </c>
    </row>
    <row r="27" spans="1:18" x14ac:dyDescent="0.45">
      <c r="A27" t="str">
        <f>'VM-Gen Ent EPG'!C29</f>
        <v>Sky Two</v>
      </c>
      <c r="B27">
        <f t="shared" si="0"/>
        <v>1</v>
      </c>
      <c r="C27">
        <f>INDEX('VM-Gen Ent EPG'!$A:$C,MATCH('Impacts - Virgin Media'!$A27,'VM-Gen Ent EPG'!$C:$C,0),1)</f>
        <v>121</v>
      </c>
      <c r="D27">
        <f>INDEX('VM-Gen Ent EPG'!$A:$C,MATCH('Impacts - Virgin Media'!$A27,'VM-Gen Ent EPG'!$C:$C,0),2)</f>
        <v>21</v>
      </c>
      <c r="E27" s="73">
        <f>(VLOOKUP(D27,' VM-Gen Ent - EMP slot values'!$A$29:$B$140,2,FALSE))/5</f>
        <v>1.5153674807406525</v>
      </c>
      <c r="G27">
        <f>INDEX('VM-Gen Ent EPG'!$F:$H,MATCH($A27,'VM-Gen Ent EPG'!$H:$H,0),1)</f>
        <v>121</v>
      </c>
      <c r="H27">
        <f>INDEX('VM-Gen Ent EPG'!$F:$H,MATCH($A27,'VM-Gen Ent EPG'!$H:$H,0),2)</f>
        <v>21</v>
      </c>
      <c r="I27" s="73">
        <f>(VLOOKUP(H27,' VM-Gen Ent - EMP slot values'!$A$29:$B$140,2,FALSE))/5</f>
        <v>1.5153674807406525</v>
      </c>
      <c r="J27">
        <f t="shared" si="1"/>
        <v>0</v>
      </c>
      <c r="K27" s="7">
        <f t="shared" si="2"/>
        <v>0</v>
      </c>
      <c r="L27">
        <f t="shared" si="3"/>
        <v>0</v>
      </c>
      <c r="M27">
        <f>INDEX('VM-Gen Ent EPG'!$K:$M,MATCH($A27,'VM-Gen Ent EPG'!$M:$M,0),1)</f>
        <v>121</v>
      </c>
      <c r="N27">
        <f>INDEX('VM-Gen Ent EPG'!$K:$M,MATCH($A27,'VM-Gen Ent EPG'!$M:$M,0),2)</f>
        <v>21</v>
      </c>
      <c r="O27" s="73">
        <f>(VLOOKUP(N27,' VM-Gen Ent - EMP slot values'!$A$29:$B$140,2,FALSE))/5</f>
        <v>1.5153674807406525</v>
      </c>
      <c r="P27">
        <f t="shared" si="4"/>
        <v>0</v>
      </c>
      <c r="Q27" s="7">
        <f t="shared" si="5"/>
        <v>0</v>
      </c>
      <c r="R27">
        <f t="shared" si="6"/>
        <v>0</v>
      </c>
    </row>
    <row r="28" spans="1:18" x14ac:dyDescent="0.45">
      <c r="A28" t="str">
        <f>'VM-Gen Ent EPG'!C30</f>
        <v>Sky Arts</v>
      </c>
      <c r="B28">
        <f t="shared" si="0"/>
        <v>1</v>
      </c>
      <c r="C28">
        <f>INDEX('VM-Gen Ent EPG'!$A:$C,MATCH('Impacts - Virgin Media'!$A28,'VM-Gen Ent EPG'!$C:$C,0),1)</f>
        <v>122</v>
      </c>
      <c r="D28">
        <f>INDEX('VM-Gen Ent EPG'!$A:$C,MATCH('Impacts - Virgin Media'!$A28,'VM-Gen Ent EPG'!$C:$C,0),2)</f>
        <v>22</v>
      </c>
      <c r="E28" s="73">
        <f>(VLOOKUP(D28,' VM-Gen Ent - EMP slot values'!$A$29:$B$140,2,FALSE))/5</f>
        <v>1.4583921247404885</v>
      </c>
      <c r="G28">
        <f>INDEX('VM-Gen Ent EPG'!$F:$H,MATCH($A28,'VM-Gen Ent EPG'!$H:$H,0),1)</f>
        <v>122</v>
      </c>
      <c r="H28">
        <f>INDEX('VM-Gen Ent EPG'!$F:$H,MATCH($A28,'VM-Gen Ent EPG'!$H:$H,0),2)</f>
        <v>22</v>
      </c>
      <c r="I28" s="73">
        <f>(VLOOKUP(H28,' VM-Gen Ent - EMP slot values'!$A$29:$B$140,2,FALSE))/5</f>
        <v>1.4583921247404885</v>
      </c>
      <c r="J28">
        <f t="shared" si="1"/>
        <v>0</v>
      </c>
      <c r="K28" s="7">
        <f t="shared" si="2"/>
        <v>0</v>
      </c>
      <c r="L28">
        <f t="shared" si="3"/>
        <v>0</v>
      </c>
      <c r="M28">
        <f>INDEX('VM-Gen Ent EPG'!$K:$M,MATCH($A28,'VM-Gen Ent EPG'!$M:$M,0),1)</f>
        <v>125</v>
      </c>
      <c r="N28">
        <f>INDEX('VM-Gen Ent EPG'!$K:$M,MATCH($A28,'VM-Gen Ent EPG'!$M:$M,0),2)</f>
        <v>25</v>
      </c>
      <c r="O28" s="73">
        <f>(VLOOKUP(N28,' VM-Gen Ent - EMP slot values'!$A$29:$B$140,2,FALSE))/5</f>
        <v>1.3000000000000007</v>
      </c>
      <c r="P28">
        <f t="shared" si="4"/>
        <v>-3</v>
      </c>
      <c r="Q28" s="7">
        <f t="shared" si="5"/>
        <v>-0.15839212474048781</v>
      </c>
      <c r="R28">
        <f t="shared" si="6"/>
        <v>1</v>
      </c>
    </row>
    <row r="29" spans="1:18" x14ac:dyDescent="0.45">
      <c r="A29" t="str">
        <f>'VM-Gen Ent EPG'!C31</f>
        <v>Pick</v>
      </c>
      <c r="B29">
        <f t="shared" si="0"/>
        <v>1</v>
      </c>
      <c r="C29">
        <f>INDEX('VM-Gen Ent EPG'!$A:$C,MATCH('Impacts - Virgin Media'!$A29,'VM-Gen Ent EPG'!$C:$C,0),1)</f>
        <v>123</v>
      </c>
      <c r="D29">
        <f>INDEX('VM-Gen Ent EPG'!$A:$C,MATCH('Impacts - Virgin Media'!$A29,'VM-Gen Ent EPG'!$C:$C,0),2)</f>
        <v>23</v>
      </c>
      <c r="E29" s="73">
        <f>(VLOOKUP(D29,' VM-Gen Ent - EMP slot values'!$A$29:$B$140,2,FALSE))/5</f>
        <v>1.4035589495859622</v>
      </c>
      <c r="G29">
        <f>INDEX('VM-Gen Ent EPG'!$F:$H,MATCH($A29,'VM-Gen Ent EPG'!$H:$H,0),1)</f>
        <v>125</v>
      </c>
      <c r="H29">
        <f>INDEX('VM-Gen Ent EPG'!$F:$H,MATCH($A29,'VM-Gen Ent EPG'!$H:$H,0),2)</f>
        <v>25</v>
      </c>
      <c r="I29" s="73">
        <f>(VLOOKUP(H29,' VM-Gen Ent - EMP slot values'!$A$29:$B$140,2,FALSE))/5</f>
        <v>1.3000000000000007</v>
      </c>
      <c r="J29">
        <f t="shared" si="1"/>
        <v>-2</v>
      </c>
      <c r="K29" s="7">
        <f t="shared" si="2"/>
        <v>-0.10355894958596146</v>
      </c>
      <c r="L29">
        <f t="shared" si="3"/>
        <v>1</v>
      </c>
      <c r="M29">
        <f>INDEX('VM-Gen Ent EPG'!$K:$M,MATCH($A29,'VM-Gen Ent EPG'!$M:$M,0),1)</f>
        <v>126</v>
      </c>
      <c r="N29">
        <f>INDEX('VM-Gen Ent EPG'!$K:$M,MATCH($A29,'VM-Gen Ent EPG'!$M:$M,0),2)</f>
        <v>26</v>
      </c>
      <c r="O29" s="73">
        <f>(VLOOKUP(N29,' VM-Gen Ent - EMP slot values'!$A$29:$B$140,2,FALSE))/5</f>
        <v>1.2521770235038132</v>
      </c>
      <c r="P29">
        <f t="shared" si="4"/>
        <v>-3</v>
      </c>
      <c r="Q29" s="7">
        <f t="shared" si="5"/>
        <v>-0.15138192608214895</v>
      </c>
      <c r="R29">
        <f t="shared" si="6"/>
        <v>1</v>
      </c>
    </row>
    <row r="30" spans="1:18" x14ac:dyDescent="0.45">
      <c r="A30" t="str">
        <f>'VM-Gen Ent EPG'!C32</f>
        <v>Gold HD</v>
      </c>
      <c r="B30">
        <f t="shared" si="0"/>
        <v>1</v>
      </c>
      <c r="C30">
        <f>INDEX('VM-Gen Ent EPG'!$A:$C,MATCH('Impacts - Virgin Media'!$A30,'VM-Gen Ent EPG'!$C:$C,0),1)</f>
        <v>124</v>
      </c>
      <c r="D30">
        <f>INDEX('VM-Gen Ent EPG'!$A:$C,MATCH('Impacts - Virgin Media'!$A30,'VM-Gen Ent EPG'!$C:$C,0),2)</f>
        <v>24</v>
      </c>
      <c r="E30" s="73">
        <f>(VLOOKUP(D30,' VM-Gen Ent - EMP slot values'!$A$29:$B$140,2,FALSE))/5</f>
        <v>1.3507874127566306</v>
      </c>
      <c r="G30">
        <f>INDEX('VM-Gen Ent EPG'!$F:$H,MATCH($A30,'VM-Gen Ent EPG'!$H:$H,0),1)</f>
        <v>126</v>
      </c>
      <c r="H30">
        <f>INDEX('VM-Gen Ent EPG'!$F:$H,MATCH($A30,'VM-Gen Ent EPG'!$H:$H,0),2)</f>
        <v>26</v>
      </c>
      <c r="I30" s="73">
        <f>(VLOOKUP(H30,' VM-Gen Ent - EMP slot values'!$A$29:$B$140,2,FALSE))/5</f>
        <v>1.2521770235038132</v>
      </c>
      <c r="J30">
        <f t="shared" si="1"/>
        <v>-2</v>
      </c>
      <c r="K30" s="7">
        <f t="shared" si="2"/>
        <v>-9.8610389252817399E-2</v>
      </c>
      <c r="L30">
        <f t="shared" si="3"/>
        <v>1</v>
      </c>
      <c r="M30">
        <f>INDEX('VM-Gen Ent EPG'!$K:$M,MATCH($A30,'VM-Gen Ent EPG'!$M:$M,0),1)</f>
        <v>127</v>
      </c>
      <c r="N30">
        <f>INDEX('VM-Gen Ent EPG'!$K:$M,MATCH($A30,'VM-Gen Ent EPG'!$M:$M,0),2)</f>
        <v>27</v>
      </c>
      <c r="O30" s="73">
        <f>(VLOOKUP(N30,' VM-Gen Ent - EMP slot values'!$A$29:$B$140,2,FALSE))/5</f>
        <v>1.2061133063006688</v>
      </c>
      <c r="P30">
        <f t="shared" si="4"/>
        <v>-3</v>
      </c>
      <c r="Q30" s="7">
        <f t="shared" si="5"/>
        <v>-0.14467410645596179</v>
      </c>
      <c r="R30">
        <f t="shared" si="6"/>
        <v>1</v>
      </c>
    </row>
    <row r="31" spans="1:18" x14ac:dyDescent="0.45">
      <c r="A31" t="str">
        <f>'VM-Gen Ent EPG'!C33</f>
        <v>W</v>
      </c>
      <c r="B31">
        <f t="shared" si="0"/>
        <v>1</v>
      </c>
      <c r="C31">
        <f>INDEX('VM-Gen Ent EPG'!$A:$C,MATCH('Impacts - Virgin Media'!$A31,'VM-Gen Ent EPG'!$C:$C,0),1)</f>
        <v>125</v>
      </c>
      <c r="D31">
        <f>INDEX('VM-Gen Ent EPG'!$A:$C,MATCH('Impacts - Virgin Media'!$A31,'VM-Gen Ent EPG'!$C:$C,0),2)</f>
        <v>25</v>
      </c>
      <c r="E31" s="73">
        <f>(VLOOKUP(D31,' VM-Gen Ent - EMP slot values'!$A$29:$B$140,2,FALSE))/5</f>
        <v>1.3000000000000007</v>
      </c>
      <c r="G31">
        <f>INDEX('VM-Gen Ent EPG'!$F:$H,MATCH($A31,'VM-Gen Ent EPG'!$H:$H,0),1)</f>
        <v>127</v>
      </c>
      <c r="H31">
        <f>INDEX('VM-Gen Ent EPG'!$F:$H,MATCH($A31,'VM-Gen Ent EPG'!$H:$H,0),2)</f>
        <v>27</v>
      </c>
      <c r="I31" s="73">
        <f>(VLOOKUP(H31,' VM-Gen Ent - EMP slot values'!$A$29:$B$140,2,FALSE))/5</f>
        <v>1.2061133063006688</v>
      </c>
      <c r="J31">
        <f t="shared" si="1"/>
        <v>-2</v>
      </c>
      <c r="K31" s="7">
        <f t="shared" si="2"/>
        <v>-9.3886693699331891E-2</v>
      </c>
      <c r="L31">
        <f t="shared" si="3"/>
        <v>1</v>
      </c>
      <c r="M31">
        <f>INDEX('VM-Gen Ent EPG'!$K:$M,MATCH($A31,'VM-Gen Ent EPG'!$M:$M,0),1)</f>
        <v>128</v>
      </c>
      <c r="N31">
        <f>INDEX('VM-Gen Ent EPG'!$K:$M,MATCH($A31,'VM-Gen Ent EPG'!$M:$M,0),2)</f>
        <v>28</v>
      </c>
      <c r="O31" s="73">
        <f>(VLOOKUP(N31,' VM-Gen Ent - EMP slot values'!$A$29:$B$140,2,FALSE))/5</f>
        <v>1.1617441306860881</v>
      </c>
      <c r="P31">
        <f t="shared" si="4"/>
        <v>-3</v>
      </c>
      <c r="Q31" s="7">
        <f t="shared" si="5"/>
        <v>-0.13825586931391265</v>
      </c>
      <c r="R31">
        <f t="shared" si="6"/>
        <v>1</v>
      </c>
    </row>
    <row r="32" spans="1:18" x14ac:dyDescent="0.45">
      <c r="A32" t="str">
        <f>'VM-Gen Ent EPG'!C34</f>
        <v>alibi</v>
      </c>
      <c r="B32">
        <f t="shared" si="0"/>
        <v>1</v>
      </c>
      <c r="C32">
        <f>INDEX('VM-Gen Ent EPG'!$A:$C,MATCH('Impacts - Virgin Media'!$A32,'VM-Gen Ent EPG'!$C:$C,0),1)</f>
        <v>126</v>
      </c>
      <c r="D32">
        <f>INDEX('VM-Gen Ent EPG'!$A:$C,MATCH('Impacts - Virgin Media'!$A32,'VM-Gen Ent EPG'!$C:$C,0),2)</f>
        <v>26</v>
      </c>
      <c r="E32" s="73">
        <f>(VLOOKUP(D32,' VM-Gen Ent - EMP slot values'!$A$29:$B$140,2,FALSE))/5</f>
        <v>1.2521770235038132</v>
      </c>
      <c r="G32">
        <f>INDEX('VM-Gen Ent EPG'!$F:$H,MATCH($A32,'VM-Gen Ent EPG'!$H:$H,0),1)</f>
        <v>128</v>
      </c>
      <c r="H32">
        <f>INDEX('VM-Gen Ent EPG'!$F:$H,MATCH($A32,'VM-Gen Ent EPG'!$H:$H,0),2)</f>
        <v>28</v>
      </c>
      <c r="I32" s="73">
        <f>(VLOOKUP(H32,' VM-Gen Ent - EMP slot values'!$A$29:$B$140,2,FALSE))/5</f>
        <v>1.1617441306860881</v>
      </c>
      <c r="J32">
        <f t="shared" si="1"/>
        <v>-2</v>
      </c>
      <c r="K32" s="7">
        <f t="shared" si="2"/>
        <v>-9.0432892817725152E-2</v>
      </c>
      <c r="L32">
        <f t="shared" si="3"/>
        <v>1</v>
      </c>
      <c r="M32">
        <f>INDEX('VM-Gen Ent EPG'!$K:$M,MATCH($A32,'VM-Gen Ent EPG'!$M:$M,0),1)</f>
        <v>129</v>
      </c>
      <c r="N32">
        <f>INDEX('VM-Gen Ent EPG'!$K:$M,MATCH($A32,'VM-Gen Ent EPG'!$M:$M,0),2)</f>
        <v>29</v>
      </c>
      <c r="O32" s="73">
        <f>(VLOOKUP(N32,' VM-Gen Ent - EMP slot values'!$A$29:$B$140,2,FALSE))/5</f>
        <v>1.1190071597196389</v>
      </c>
      <c r="P32">
        <f t="shared" si="4"/>
        <v>-3</v>
      </c>
      <c r="Q32" s="7">
        <f t="shared" si="5"/>
        <v>-0.13316986378417428</v>
      </c>
      <c r="R32">
        <f t="shared" si="6"/>
        <v>1</v>
      </c>
    </row>
    <row r="33" spans="1:18" x14ac:dyDescent="0.45">
      <c r="A33" t="str">
        <f>'VM-Gen Ent EPG'!C35</f>
        <v>Dave</v>
      </c>
      <c r="B33">
        <f t="shared" si="0"/>
        <v>1</v>
      </c>
      <c r="C33">
        <f>INDEX('VM-Gen Ent EPG'!$A:$C,MATCH('Impacts - Virgin Media'!$A33,'VM-Gen Ent EPG'!$C:$C,0),1)</f>
        <v>127</v>
      </c>
      <c r="D33">
        <f>INDEX('VM-Gen Ent EPG'!$A:$C,MATCH('Impacts - Virgin Media'!$A33,'VM-Gen Ent EPG'!$C:$C,0),2)</f>
        <v>27</v>
      </c>
      <c r="E33" s="73">
        <f>(VLOOKUP(D33,' VM-Gen Ent - EMP slot values'!$A$29:$B$140,2,FALSE))/5</f>
        <v>1.2061133063006688</v>
      </c>
      <c r="G33">
        <f>INDEX('VM-Gen Ent EPG'!$F:$H,MATCH($A33,'VM-Gen Ent EPG'!$H:$H,0),1)</f>
        <v>129</v>
      </c>
      <c r="H33">
        <f>INDEX('VM-Gen Ent EPG'!$F:$H,MATCH($A33,'VM-Gen Ent EPG'!$H:$H,0),2)</f>
        <v>29</v>
      </c>
      <c r="I33" s="73">
        <f>(VLOOKUP(H33,' VM-Gen Ent - EMP slot values'!$A$29:$B$140,2,FALSE))/5</f>
        <v>1.1190071597196389</v>
      </c>
      <c r="J33">
        <f t="shared" si="1"/>
        <v>-2</v>
      </c>
      <c r="K33" s="7">
        <f t="shared" si="2"/>
        <v>-8.7106146581029886E-2</v>
      </c>
      <c r="L33">
        <f t="shared" si="3"/>
        <v>1</v>
      </c>
      <c r="M33">
        <f>INDEX('VM-Gen Ent EPG'!$K:$M,MATCH($A33,'VM-Gen Ent EPG'!$M:$M,0),1)</f>
        <v>130</v>
      </c>
      <c r="N33">
        <f>INDEX('VM-Gen Ent EPG'!$K:$M,MATCH($A33,'VM-Gen Ent EPG'!$M:$M,0),2)</f>
        <v>30</v>
      </c>
      <c r="O33" s="73">
        <f>(VLOOKUP(N33,' VM-Gen Ent - EMP slot values'!$A$29:$B$140,2,FALSE))/5</f>
        <v>1.0778423496439951</v>
      </c>
      <c r="P33">
        <f t="shared" si="4"/>
        <v>-3</v>
      </c>
      <c r="Q33" s="7">
        <f t="shared" si="5"/>
        <v>-0.12827095665667376</v>
      </c>
      <c r="R33">
        <f t="shared" si="6"/>
        <v>1</v>
      </c>
    </row>
    <row r="34" spans="1:18" x14ac:dyDescent="0.45">
      <c r="A34" t="str">
        <f>'VM-Gen Ent EPG'!C36</f>
        <v>Really</v>
      </c>
      <c r="B34">
        <f t="shared" si="0"/>
        <v>1</v>
      </c>
      <c r="C34">
        <f>INDEX('VM-Gen Ent EPG'!$A:$C,MATCH('Impacts - Virgin Media'!$A34,'VM-Gen Ent EPG'!$C:$C,0),1)</f>
        <v>128</v>
      </c>
      <c r="D34">
        <f>INDEX('VM-Gen Ent EPG'!$A:$C,MATCH('Impacts - Virgin Media'!$A34,'VM-Gen Ent EPG'!$C:$C,0),2)</f>
        <v>28</v>
      </c>
      <c r="E34" s="73">
        <f>(VLOOKUP(D34,' VM-Gen Ent - EMP slot values'!$A$29:$B$140,2,FALSE))/5</f>
        <v>1.1617441306860881</v>
      </c>
      <c r="G34">
        <f>INDEX('VM-Gen Ent EPG'!$F:$H,MATCH($A34,'VM-Gen Ent EPG'!$H:$H,0),1)</f>
        <v>130</v>
      </c>
      <c r="H34">
        <f>INDEX('VM-Gen Ent EPG'!$F:$H,MATCH($A34,'VM-Gen Ent EPG'!$H:$H,0),2)</f>
        <v>30</v>
      </c>
      <c r="I34" s="73">
        <f>(VLOOKUP(H34,' VM-Gen Ent - EMP slot values'!$A$29:$B$140,2,FALSE))/5</f>
        <v>1.0778423496439951</v>
      </c>
      <c r="J34">
        <f t="shared" si="1"/>
        <v>-2</v>
      </c>
      <c r="K34" s="7">
        <f t="shared" si="2"/>
        <v>-8.3901781042093004E-2</v>
      </c>
      <c r="L34">
        <f t="shared" si="3"/>
        <v>1</v>
      </c>
      <c r="M34">
        <f>INDEX('VM-Gen Ent EPG'!$K:$M,MATCH($A34,'VM-Gen Ent EPG'!$M:$M,0),1)</f>
        <v>131</v>
      </c>
      <c r="N34">
        <f>INDEX('VM-Gen Ent EPG'!$K:$M,MATCH($A34,'VM-Gen Ent EPG'!$M:$M,0),2)</f>
        <v>31</v>
      </c>
      <c r="O34" s="73">
        <f>(VLOOKUP(N34,' VM-Gen Ent - EMP slot values'!$A$29:$B$140,2,FALSE))/5</f>
        <v>1.0381918655258264</v>
      </c>
      <c r="P34">
        <f t="shared" si="4"/>
        <v>-3</v>
      </c>
      <c r="Q34" s="7">
        <f t="shared" si="5"/>
        <v>-0.12355226516026163</v>
      </c>
      <c r="R34">
        <f t="shared" si="6"/>
        <v>1</v>
      </c>
    </row>
    <row r="35" spans="1:18" x14ac:dyDescent="0.45">
      <c r="A35" t="str">
        <f>'VM-Gen Ent EPG'!C37</f>
        <v>Yesterday</v>
      </c>
      <c r="B35">
        <f t="shared" si="0"/>
        <v>1</v>
      </c>
      <c r="C35">
        <f>INDEX('VM-Gen Ent EPG'!$A:$C,MATCH('Impacts - Virgin Media'!$A35,'VM-Gen Ent EPG'!$C:$C,0),1)</f>
        <v>129</v>
      </c>
      <c r="D35">
        <f>INDEX('VM-Gen Ent EPG'!$A:$C,MATCH('Impacts - Virgin Media'!$A35,'VM-Gen Ent EPG'!$C:$C,0),2)</f>
        <v>29</v>
      </c>
      <c r="E35" s="73">
        <f>(VLOOKUP(D35,' VM-Gen Ent - EMP slot values'!$A$29:$B$140,2,FALSE))/5</f>
        <v>1.1190071597196389</v>
      </c>
      <c r="G35">
        <f>INDEX('VM-Gen Ent EPG'!$F:$H,MATCH($A35,'VM-Gen Ent EPG'!$H:$H,0),1)</f>
        <v>131</v>
      </c>
      <c r="H35">
        <f>INDEX('VM-Gen Ent EPG'!$F:$H,MATCH($A35,'VM-Gen Ent EPG'!$H:$H,0),2)</f>
        <v>31</v>
      </c>
      <c r="I35" s="73">
        <f>(VLOOKUP(H35,' VM-Gen Ent - EMP slot values'!$A$29:$B$140,2,FALSE))/5</f>
        <v>1.0381918655258264</v>
      </c>
      <c r="J35">
        <f t="shared" si="1"/>
        <v>-2</v>
      </c>
      <c r="K35" s="7">
        <f t="shared" si="2"/>
        <v>-8.0815294193812504E-2</v>
      </c>
      <c r="L35">
        <f t="shared" si="3"/>
        <v>1</v>
      </c>
      <c r="M35">
        <f>INDEX('VM-Gen Ent EPG'!$K:$M,MATCH($A35,'VM-Gen Ent EPG'!$M:$M,0),1)</f>
        <v>132</v>
      </c>
      <c r="N35">
        <f>INDEX('VM-Gen Ent EPG'!$K:$M,MATCH($A35,'VM-Gen Ent EPG'!$M:$M,0),2)</f>
        <v>32</v>
      </c>
      <c r="O35" s="73">
        <f>(VLOOKUP(N35,' VM-Gen Ent - EMP slot values'!$A$29:$B$140,2,FALSE))/5</f>
        <v>1.0000000000000004</v>
      </c>
      <c r="P35">
        <f t="shared" si="4"/>
        <v>-3</v>
      </c>
      <c r="Q35" s="7">
        <f t="shared" si="5"/>
        <v>-0.11900715971963849</v>
      </c>
      <c r="R35">
        <f t="shared" si="6"/>
        <v>1</v>
      </c>
    </row>
    <row r="36" spans="1:18" x14ac:dyDescent="0.45">
      <c r="A36" t="str">
        <f>'VM-Gen Ent EPG'!C38</f>
        <v>Drama</v>
      </c>
      <c r="B36">
        <f t="shared" si="0"/>
        <v>1</v>
      </c>
      <c r="C36">
        <f>INDEX('VM-Gen Ent EPG'!$A:$C,MATCH('Impacts - Virgin Media'!$A36,'VM-Gen Ent EPG'!$C:$C,0),1)</f>
        <v>130</v>
      </c>
      <c r="D36">
        <f>INDEX('VM-Gen Ent EPG'!$A:$C,MATCH('Impacts - Virgin Media'!$A36,'VM-Gen Ent EPG'!$C:$C,0),2)</f>
        <v>30</v>
      </c>
      <c r="E36" s="73">
        <f>(VLOOKUP(D36,' VM-Gen Ent - EMP slot values'!$A$29:$B$140,2,FALSE))/5</f>
        <v>1.0778423496439951</v>
      </c>
      <c r="G36">
        <f>INDEX('VM-Gen Ent EPG'!$F:$H,MATCH($A36,'VM-Gen Ent EPG'!$H:$H,0),1)</f>
        <v>132</v>
      </c>
      <c r="H36">
        <f>INDEX('VM-Gen Ent EPG'!$F:$H,MATCH($A36,'VM-Gen Ent EPG'!$H:$H,0),2)</f>
        <v>32</v>
      </c>
      <c r="I36" s="73">
        <f>(VLOOKUP(H36,' VM-Gen Ent - EMP slot values'!$A$29:$B$140,2,FALSE))/5</f>
        <v>1.0000000000000004</v>
      </c>
      <c r="J36">
        <f t="shared" si="1"/>
        <v>-2</v>
      </c>
      <c r="K36" s="7">
        <f t="shared" si="2"/>
        <v>-7.7842349643994613E-2</v>
      </c>
      <c r="L36">
        <f t="shared" si="3"/>
        <v>1</v>
      </c>
      <c r="M36">
        <f>INDEX('VM-Gen Ent EPG'!$K:$M,MATCH($A36,'VM-Gen Ent EPG'!$M:$M,0),1)</f>
        <v>133</v>
      </c>
      <c r="N36">
        <f>INDEX('VM-Gen Ent EPG'!$K:$M,MATCH($A36,'VM-Gen Ent EPG'!$M:$M,0),2)</f>
        <v>33</v>
      </c>
      <c r="O36" s="73">
        <f>(VLOOKUP(N36,' VM-Gen Ent - EMP slot values'!$A$29:$B$140,2,FALSE))/5</f>
        <v>0.92962398749878117</v>
      </c>
      <c r="P36">
        <f t="shared" si="4"/>
        <v>-3</v>
      </c>
      <c r="Q36" s="7">
        <f t="shared" si="5"/>
        <v>-0.14821836214521389</v>
      </c>
      <c r="R36">
        <f t="shared" si="6"/>
        <v>1</v>
      </c>
    </row>
    <row r="37" spans="1:18" x14ac:dyDescent="0.45">
      <c r="A37" t="str">
        <f>'VM-Gen Ent EPG'!C39</f>
        <v>Dave ja vu</v>
      </c>
      <c r="B37">
        <f t="shared" si="0"/>
        <v>1</v>
      </c>
      <c r="C37">
        <f>INDEX('VM-Gen Ent EPG'!$A:$C,MATCH('Impacts - Virgin Media'!$A37,'VM-Gen Ent EPG'!$C:$C,0),1)</f>
        <v>131</v>
      </c>
      <c r="D37">
        <f>INDEX('VM-Gen Ent EPG'!$A:$C,MATCH('Impacts - Virgin Media'!$A37,'VM-Gen Ent EPG'!$C:$C,0),2)</f>
        <v>31</v>
      </c>
      <c r="E37" s="73">
        <f>(VLOOKUP(D37,' VM-Gen Ent - EMP slot values'!$A$29:$B$140,2,FALSE))/5</f>
        <v>1.0381918655258264</v>
      </c>
      <c r="G37">
        <f>INDEX('VM-Gen Ent EPG'!$F:$H,MATCH($A37,'VM-Gen Ent EPG'!$H:$H,0),1)</f>
        <v>133</v>
      </c>
      <c r="H37">
        <f>INDEX('VM-Gen Ent EPG'!$F:$H,MATCH($A37,'VM-Gen Ent EPG'!$H:$H,0),2)</f>
        <v>33</v>
      </c>
      <c r="I37" s="73">
        <f>(VLOOKUP(H37,' VM-Gen Ent - EMP slot values'!$A$29:$B$140,2,FALSE))/5</f>
        <v>0.92962398749878117</v>
      </c>
      <c r="J37">
        <f t="shared" si="1"/>
        <v>-2</v>
      </c>
      <c r="K37" s="7">
        <f t="shared" si="2"/>
        <v>-0.10856787802704526</v>
      </c>
      <c r="L37">
        <f t="shared" si="3"/>
        <v>1</v>
      </c>
      <c r="M37">
        <f>INDEX('VM-Gen Ent EPG'!$K:$M,MATCH($A37,'VM-Gen Ent EPG'!$M:$M,0),1)</f>
        <v>134</v>
      </c>
      <c r="N37">
        <f>INDEX('VM-Gen Ent EPG'!$K:$M,MATCH($A37,'VM-Gen Ent EPG'!$M:$M,0),2)</f>
        <v>34</v>
      </c>
      <c r="O37" s="73">
        <f>(VLOOKUP(N37,' VM-Gen Ent - EMP slot values'!$A$29:$B$140,2,FALSE))/5</f>
        <v>0.86420075813313413</v>
      </c>
      <c r="P37">
        <f t="shared" si="4"/>
        <v>-3</v>
      </c>
      <c r="Q37" s="7">
        <f t="shared" si="5"/>
        <v>-0.1739911073926923</v>
      </c>
      <c r="R37">
        <f t="shared" si="6"/>
        <v>1</v>
      </c>
    </row>
    <row r="38" spans="1:18" x14ac:dyDescent="0.45">
      <c r="A38" t="str">
        <f>'VM-Gen Ent EPG'!C40</f>
        <v>Comedy Central</v>
      </c>
      <c r="B38">
        <f t="shared" si="0"/>
        <v>1</v>
      </c>
      <c r="C38">
        <f>INDEX('VM-Gen Ent EPG'!$A:$C,MATCH('Impacts - Virgin Media'!$A38,'VM-Gen Ent EPG'!$C:$C,0),1)</f>
        <v>132</v>
      </c>
      <c r="D38">
        <f>INDEX('VM-Gen Ent EPG'!$A:$C,MATCH('Impacts - Virgin Media'!$A38,'VM-Gen Ent EPG'!$C:$C,0),2)</f>
        <v>32</v>
      </c>
      <c r="E38" s="73">
        <f>(VLOOKUP(D38,' VM-Gen Ent - EMP slot values'!$A$29:$B$140,2,FALSE))/5</f>
        <v>1.0000000000000004</v>
      </c>
      <c r="G38">
        <f>INDEX('VM-Gen Ent EPG'!$F:$H,MATCH($A38,'VM-Gen Ent EPG'!$H:$H,0),1)</f>
        <v>134</v>
      </c>
      <c r="H38">
        <f>INDEX('VM-Gen Ent EPG'!$F:$H,MATCH($A38,'VM-Gen Ent EPG'!$H:$H,0),2)</f>
        <v>34</v>
      </c>
      <c r="I38" s="73">
        <f>(VLOOKUP(H38,' VM-Gen Ent - EMP slot values'!$A$29:$B$140,2,FALSE))/5</f>
        <v>0.86420075813313413</v>
      </c>
      <c r="J38">
        <f t="shared" si="1"/>
        <v>-2</v>
      </c>
      <c r="K38" s="7">
        <f t="shared" si="2"/>
        <v>-0.13579924186686632</v>
      </c>
      <c r="L38">
        <f t="shared" si="3"/>
        <v>1</v>
      </c>
      <c r="M38">
        <f>INDEX('VM-Gen Ent EPG'!$K:$M,MATCH($A38,'VM-Gen Ent EPG'!$M:$M,0),1)</f>
        <v>135</v>
      </c>
      <c r="N38">
        <f>INDEX('VM-Gen Ent EPG'!$K:$M,MATCH($A38,'VM-Gen Ent EPG'!$M:$M,0),2)</f>
        <v>35</v>
      </c>
      <c r="O38" s="73">
        <f>(VLOOKUP(N38,' VM-Gen Ent - EMP slot values'!$A$29:$B$140,2,FALSE))/5</f>
        <v>0.80338175477519391</v>
      </c>
      <c r="P38">
        <f t="shared" si="4"/>
        <v>-3</v>
      </c>
      <c r="Q38" s="7">
        <f t="shared" si="5"/>
        <v>-0.19661824522480653</v>
      </c>
      <c r="R38">
        <f t="shared" si="6"/>
        <v>1</v>
      </c>
    </row>
    <row r="39" spans="1:18" x14ac:dyDescent="0.45">
      <c r="A39" t="str">
        <f>'VM-Gen Ent EPG'!C41</f>
        <v>Comedy Central +1</v>
      </c>
      <c r="B39">
        <f t="shared" si="0"/>
        <v>1</v>
      </c>
      <c r="C39">
        <f>INDEX('VM-Gen Ent EPG'!$A:$C,MATCH('Impacts - Virgin Media'!$A39,'VM-Gen Ent EPG'!$C:$C,0),1)</f>
        <v>133</v>
      </c>
      <c r="D39">
        <f>INDEX('VM-Gen Ent EPG'!$A:$C,MATCH('Impacts - Virgin Media'!$A39,'VM-Gen Ent EPG'!$C:$C,0),2)</f>
        <v>33</v>
      </c>
      <c r="E39" s="73">
        <f>(VLOOKUP(D39,' VM-Gen Ent - EMP slot values'!$A$29:$B$140,2,FALSE))/5</f>
        <v>0.92962398749878117</v>
      </c>
      <c r="G39">
        <f>INDEX('VM-Gen Ent EPG'!$F:$H,MATCH($A39,'VM-Gen Ent EPG'!$H:$H,0),1)</f>
        <v>135</v>
      </c>
      <c r="H39">
        <f>INDEX('VM-Gen Ent EPG'!$F:$H,MATCH($A39,'VM-Gen Ent EPG'!$H:$H,0),2)</f>
        <v>35</v>
      </c>
      <c r="I39" s="73">
        <f>(VLOOKUP(H39,' VM-Gen Ent - EMP slot values'!$A$29:$B$140,2,FALSE))/5</f>
        <v>0.80338175477519391</v>
      </c>
      <c r="J39">
        <f t="shared" si="1"/>
        <v>-2</v>
      </c>
      <c r="K39" s="7">
        <f t="shared" si="2"/>
        <v>-0.12624223272358726</v>
      </c>
      <c r="L39">
        <f t="shared" si="3"/>
        <v>1</v>
      </c>
      <c r="M39">
        <f>INDEX('VM-Gen Ent EPG'!$K:$M,MATCH($A39,'VM-Gen Ent EPG'!$M:$M,0),1)</f>
        <v>136</v>
      </c>
      <c r="N39">
        <f>INDEX('VM-Gen Ent EPG'!$K:$M,MATCH($A39,'VM-Gen Ent EPG'!$M:$M,0),2)</f>
        <v>36</v>
      </c>
      <c r="O39" s="73">
        <f>(VLOOKUP(N39,' VM-Gen Ent - EMP slot values'!$A$29:$B$140,2,FALSE))/5</f>
        <v>0.74684295035788373</v>
      </c>
      <c r="P39">
        <f t="shared" si="4"/>
        <v>-3</v>
      </c>
      <c r="Q39" s="7">
        <f t="shared" si="5"/>
        <v>-0.18278103714089744</v>
      </c>
      <c r="R39">
        <f t="shared" si="6"/>
        <v>1</v>
      </c>
    </row>
    <row r="40" spans="1:18" x14ac:dyDescent="0.45">
      <c r="A40" t="str">
        <f>'VM-Gen Ent EPG'!C42</f>
        <v>MTV</v>
      </c>
      <c r="B40">
        <f t="shared" si="0"/>
        <v>1</v>
      </c>
      <c r="C40">
        <f>INDEX('VM-Gen Ent EPG'!$A:$C,MATCH('Impacts - Virgin Media'!$A40,'VM-Gen Ent EPG'!$C:$C,0),1)</f>
        <v>134</v>
      </c>
      <c r="D40">
        <f>INDEX('VM-Gen Ent EPG'!$A:$C,MATCH('Impacts - Virgin Media'!$A40,'VM-Gen Ent EPG'!$C:$C,0),2)</f>
        <v>34</v>
      </c>
      <c r="E40" s="73">
        <f>(VLOOKUP(D40,' VM-Gen Ent - EMP slot values'!$A$29:$B$140,2,FALSE))/5</f>
        <v>0.86420075813313413</v>
      </c>
      <c r="G40">
        <f>INDEX('VM-Gen Ent EPG'!$F:$H,MATCH($A40,'VM-Gen Ent EPG'!$H:$H,0),1)</f>
        <v>136</v>
      </c>
      <c r="H40">
        <f>INDEX('VM-Gen Ent EPG'!$F:$H,MATCH($A40,'VM-Gen Ent EPG'!$H:$H,0),2)</f>
        <v>36</v>
      </c>
      <c r="I40" s="73">
        <f>(VLOOKUP(H40,' VM-Gen Ent - EMP slot values'!$A$29:$B$140,2,FALSE))/5</f>
        <v>0.74684295035788373</v>
      </c>
      <c r="J40">
        <f t="shared" si="1"/>
        <v>-2</v>
      </c>
      <c r="K40" s="7">
        <f t="shared" si="2"/>
        <v>-0.1173578077752504</v>
      </c>
      <c r="L40">
        <f t="shared" si="3"/>
        <v>1</v>
      </c>
      <c r="M40">
        <f>INDEX('VM-Gen Ent EPG'!$K:$M,MATCH($A40,'VM-Gen Ent EPG'!$M:$M,0),1)</f>
        <v>137</v>
      </c>
      <c r="N40">
        <f>INDEX('VM-Gen Ent EPG'!$K:$M,MATCH($A40,'VM-Gen Ent EPG'!$M:$M,0),2)</f>
        <v>37</v>
      </c>
      <c r="O40" s="73">
        <f>(VLOOKUP(N40,' VM-Gen Ent - EMP slot values'!$A$29:$B$140,2,FALSE))/5</f>
        <v>0.69428312154705019</v>
      </c>
      <c r="P40">
        <f t="shared" si="4"/>
        <v>-3</v>
      </c>
      <c r="Q40" s="7">
        <f t="shared" si="5"/>
        <v>-0.16991763658608394</v>
      </c>
      <c r="R40">
        <f t="shared" si="6"/>
        <v>1</v>
      </c>
    </row>
    <row r="41" spans="1:18" x14ac:dyDescent="0.45">
      <c r="A41" t="str">
        <f>'VM-Gen Ent EPG'!C43</f>
        <v>SYFY</v>
      </c>
      <c r="B41">
        <f t="shared" si="0"/>
        <v>1</v>
      </c>
      <c r="C41">
        <f>INDEX('VM-Gen Ent EPG'!$A:$C,MATCH('Impacts - Virgin Media'!$A41,'VM-Gen Ent EPG'!$C:$C,0),1)</f>
        <v>135</v>
      </c>
      <c r="D41">
        <f>INDEX('VM-Gen Ent EPG'!$A:$C,MATCH('Impacts - Virgin Media'!$A41,'VM-Gen Ent EPG'!$C:$C,0),2)</f>
        <v>35</v>
      </c>
      <c r="E41" s="73">
        <f>(VLOOKUP(D41,' VM-Gen Ent - EMP slot values'!$A$29:$B$140,2,FALSE))/5</f>
        <v>0.80338175477519391</v>
      </c>
      <c r="G41">
        <f>INDEX('VM-Gen Ent EPG'!$F:$H,MATCH($A41,'VM-Gen Ent EPG'!$H:$H,0),1)</f>
        <v>137</v>
      </c>
      <c r="H41">
        <f>INDEX('VM-Gen Ent EPG'!$F:$H,MATCH($A41,'VM-Gen Ent EPG'!$H:$H,0),2)</f>
        <v>37</v>
      </c>
      <c r="I41" s="73">
        <f>(VLOOKUP(H41,' VM-Gen Ent - EMP slot values'!$A$29:$B$140,2,FALSE))/5</f>
        <v>0.69428312154705019</v>
      </c>
      <c r="J41">
        <f t="shared" si="1"/>
        <v>-2</v>
      </c>
      <c r="K41" s="7">
        <f t="shared" si="2"/>
        <v>-0.10909863322814373</v>
      </c>
      <c r="L41">
        <f t="shared" si="3"/>
        <v>1</v>
      </c>
      <c r="M41">
        <f>INDEX('VM-Gen Ent EPG'!$K:$M,MATCH($A41,'VM-Gen Ent EPG'!$M:$M,0),1)</f>
        <v>138</v>
      </c>
      <c r="N41">
        <f>INDEX('VM-Gen Ent EPG'!$K:$M,MATCH($A41,'VM-Gen Ent EPG'!$M:$M,0),2)</f>
        <v>38</v>
      </c>
      <c r="O41" s="73">
        <f>(VLOOKUP(N41,' VM-Gen Ent - EMP slot values'!$A$29:$B$140,2,FALSE))/5</f>
        <v>0.64542224390566971</v>
      </c>
      <c r="P41">
        <f t="shared" si="4"/>
        <v>-3</v>
      </c>
      <c r="Q41" s="7">
        <f t="shared" si="5"/>
        <v>-0.1579595108695242</v>
      </c>
      <c r="R41">
        <f t="shared" si="6"/>
        <v>1</v>
      </c>
    </row>
    <row r="42" spans="1:18" x14ac:dyDescent="0.45">
      <c r="A42" t="str">
        <f>'VM-Gen Ent EPG'!C44</f>
        <v>SYFY +1</v>
      </c>
      <c r="B42">
        <f t="shared" si="0"/>
        <v>1</v>
      </c>
      <c r="C42">
        <f>INDEX('VM-Gen Ent EPG'!$A:$C,MATCH('Impacts - Virgin Media'!$A42,'VM-Gen Ent EPG'!$C:$C,0),1)</f>
        <v>136</v>
      </c>
      <c r="D42">
        <f>INDEX('VM-Gen Ent EPG'!$A:$C,MATCH('Impacts - Virgin Media'!$A42,'VM-Gen Ent EPG'!$C:$C,0),2)</f>
        <v>36</v>
      </c>
      <c r="E42" s="73">
        <f>(VLOOKUP(D42,' VM-Gen Ent - EMP slot values'!$A$29:$B$140,2,FALSE))/5</f>
        <v>0.74684295035788373</v>
      </c>
      <c r="G42">
        <f>INDEX('VM-Gen Ent EPG'!$F:$H,MATCH($A42,'VM-Gen Ent EPG'!$H:$H,0),1)</f>
        <v>138</v>
      </c>
      <c r="H42">
        <f>INDEX('VM-Gen Ent EPG'!$F:$H,MATCH($A42,'VM-Gen Ent EPG'!$H:$H,0),2)</f>
        <v>38</v>
      </c>
      <c r="I42" s="73">
        <f>(VLOOKUP(H42,' VM-Gen Ent - EMP slot values'!$A$29:$B$140,2,FALSE))/5</f>
        <v>0.64542224390566971</v>
      </c>
      <c r="J42">
        <f t="shared" si="1"/>
        <v>-2</v>
      </c>
      <c r="K42" s="7">
        <f t="shared" si="2"/>
        <v>-0.10142070645221402</v>
      </c>
      <c r="L42">
        <f t="shared" si="3"/>
        <v>1</v>
      </c>
      <c r="M42">
        <f>INDEX('VM-Gen Ent EPG'!$K:$M,MATCH($A42,'VM-Gen Ent EPG'!$M:$M,0),1)</f>
        <v>139</v>
      </c>
      <c r="N42">
        <f>INDEX('VM-Gen Ent EPG'!$K:$M,MATCH($A42,'VM-Gen Ent EPG'!$M:$M,0),2)</f>
        <v>39</v>
      </c>
      <c r="O42" s="73">
        <f>(VLOOKUP(N42,' VM-Gen Ent - EMP slot values'!$A$29:$B$140,2,FALSE))/5</f>
        <v>0.59999999999999964</v>
      </c>
      <c r="P42">
        <f t="shared" si="4"/>
        <v>-3</v>
      </c>
      <c r="Q42" s="7">
        <f t="shared" si="5"/>
        <v>-0.14684295035788408</v>
      </c>
      <c r="R42">
        <f t="shared" si="6"/>
        <v>1</v>
      </c>
    </row>
    <row r="43" spans="1:18" x14ac:dyDescent="0.45">
      <c r="A43" t="str">
        <f>'VM-Gen Ent EPG'!C45</f>
        <v>Universal TV</v>
      </c>
      <c r="B43">
        <f t="shared" si="0"/>
        <v>1</v>
      </c>
      <c r="C43">
        <f>INDEX('VM-Gen Ent EPG'!$A:$C,MATCH('Impacts - Virgin Media'!$A43,'VM-Gen Ent EPG'!$C:$C,0),1)</f>
        <v>137</v>
      </c>
      <c r="D43">
        <f>INDEX('VM-Gen Ent EPG'!$A:$C,MATCH('Impacts - Virgin Media'!$A43,'VM-Gen Ent EPG'!$C:$C,0),2)</f>
        <v>37</v>
      </c>
      <c r="E43" s="73">
        <f>(VLOOKUP(D43,' VM-Gen Ent - EMP slot values'!$A$29:$B$140,2,FALSE))/5</f>
        <v>0.69428312154705019</v>
      </c>
      <c r="G43">
        <f>INDEX('VM-Gen Ent EPG'!$F:$H,MATCH($A43,'VM-Gen Ent EPG'!$H:$H,0),1)</f>
        <v>139</v>
      </c>
      <c r="H43">
        <f>INDEX('VM-Gen Ent EPG'!$F:$H,MATCH($A43,'VM-Gen Ent EPG'!$H:$H,0),2)</f>
        <v>39</v>
      </c>
      <c r="I43" s="73">
        <f>(VLOOKUP(H43,' VM-Gen Ent - EMP slot values'!$A$29:$B$140,2,FALSE))/5</f>
        <v>0.59999999999999964</v>
      </c>
      <c r="J43">
        <f t="shared" si="1"/>
        <v>-2</v>
      </c>
      <c r="K43" s="7">
        <f t="shared" si="2"/>
        <v>-9.4283121547050541E-2</v>
      </c>
      <c r="L43">
        <f t="shared" si="3"/>
        <v>1</v>
      </c>
      <c r="M43">
        <f>INDEX('VM-Gen Ent EPG'!$K:$M,MATCH($A43,'VM-Gen Ent EPG'!$M:$M,0),1)</f>
        <v>140</v>
      </c>
      <c r="N43">
        <f>INDEX('VM-Gen Ent EPG'!$K:$M,MATCH($A43,'VM-Gen Ent EPG'!$M:$M,0),2)</f>
        <v>40</v>
      </c>
      <c r="O43" s="73">
        <f>(VLOOKUP(N43,' VM-Gen Ent - EMP slot values'!$A$29:$B$140,2,FALSE))/5</f>
        <v>0.58457419974767644</v>
      </c>
      <c r="P43">
        <f t="shared" si="4"/>
        <v>-3</v>
      </c>
      <c r="Q43" s="7">
        <f t="shared" si="5"/>
        <v>-0.10970892179937375</v>
      </c>
      <c r="R43">
        <f t="shared" si="6"/>
        <v>1</v>
      </c>
    </row>
    <row r="44" spans="1:18" x14ac:dyDescent="0.45">
      <c r="A44" t="str">
        <f>'VM-Gen Ent EPG'!C46</f>
        <v>Universal TV +1</v>
      </c>
      <c r="B44">
        <f t="shared" si="0"/>
        <v>1</v>
      </c>
      <c r="C44">
        <f>INDEX('VM-Gen Ent EPG'!$A:$C,MATCH('Impacts - Virgin Media'!$A44,'VM-Gen Ent EPG'!$C:$C,0),1)</f>
        <v>138</v>
      </c>
      <c r="D44">
        <f>INDEX('VM-Gen Ent EPG'!$A:$C,MATCH('Impacts - Virgin Media'!$A44,'VM-Gen Ent EPG'!$C:$C,0),2)</f>
        <v>38</v>
      </c>
      <c r="E44" s="73">
        <f>(VLOOKUP(D44,' VM-Gen Ent - EMP slot values'!$A$29:$B$140,2,FALSE))/5</f>
        <v>0.64542224390566971</v>
      </c>
      <c r="G44">
        <f>INDEX('VM-Gen Ent EPG'!$F:$H,MATCH($A44,'VM-Gen Ent EPG'!$H:$H,0),1)</f>
        <v>140</v>
      </c>
      <c r="H44">
        <f>INDEX('VM-Gen Ent EPG'!$F:$H,MATCH($A44,'VM-Gen Ent EPG'!$H:$H,0),2)</f>
        <v>40</v>
      </c>
      <c r="I44" s="73">
        <f>(VLOOKUP(H44,' VM-Gen Ent - EMP slot values'!$A$29:$B$140,2,FALSE))/5</f>
        <v>0.58457419974767644</v>
      </c>
      <c r="J44">
        <f t="shared" si="1"/>
        <v>-2</v>
      </c>
      <c r="K44" s="7">
        <f t="shared" si="2"/>
        <v>-6.0848044157993275E-2</v>
      </c>
      <c r="L44">
        <f t="shared" si="3"/>
        <v>1</v>
      </c>
      <c r="M44">
        <f>INDEX('VM-Gen Ent EPG'!$K:$M,MATCH($A44,'VM-Gen Ent EPG'!$M:$M,0),1)</f>
        <v>141</v>
      </c>
      <c r="N44">
        <f>INDEX('VM-Gen Ent EPG'!$K:$M,MATCH($A44,'VM-Gen Ent EPG'!$M:$M,0),2)</f>
        <v>41</v>
      </c>
      <c r="O44" s="73">
        <f>(VLOOKUP(N44,' VM-Gen Ent - EMP slot values'!$A$29:$B$140,2,FALSE))/5</f>
        <v>0.56954499168439399</v>
      </c>
      <c r="P44">
        <f t="shared" si="4"/>
        <v>-3</v>
      </c>
      <c r="Q44" s="7">
        <f t="shared" si="5"/>
        <v>-7.5877252221275726E-2</v>
      </c>
      <c r="R44">
        <f t="shared" si="6"/>
        <v>1</v>
      </c>
    </row>
    <row r="45" spans="1:18" x14ac:dyDescent="0.45">
      <c r="A45" t="str">
        <f>'VM-Gen Ent EPG'!C47</f>
        <v>Challenge</v>
      </c>
      <c r="B45">
        <f t="shared" si="0"/>
        <v>1</v>
      </c>
      <c r="C45">
        <f>INDEX('VM-Gen Ent EPG'!$A:$C,MATCH('Impacts - Virgin Media'!$A45,'VM-Gen Ent EPG'!$C:$C,0),1)</f>
        <v>139</v>
      </c>
      <c r="D45">
        <f>INDEX('VM-Gen Ent EPG'!$A:$C,MATCH('Impacts - Virgin Media'!$A45,'VM-Gen Ent EPG'!$C:$C,0),2)</f>
        <v>39</v>
      </c>
      <c r="E45" s="73">
        <f>(VLOOKUP(D45,' VM-Gen Ent - EMP slot values'!$A$29:$B$140,2,FALSE))/5</f>
        <v>0.59999999999999964</v>
      </c>
      <c r="G45">
        <f>INDEX('VM-Gen Ent EPG'!$F:$H,MATCH($A45,'VM-Gen Ent EPG'!$H:$H,0),1)</f>
        <v>141</v>
      </c>
      <c r="H45">
        <f>INDEX('VM-Gen Ent EPG'!$F:$H,MATCH($A45,'VM-Gen Ent EPG'!$H:$H,0),2)</f>
        <v>41</v>
      </c>
      <c r="I45" s="73">
        <f>(VLOOKUP(H45,' VM-Gen Ent - EMP slot values'!$A$29:$B$140,2,FALSE))/5</f>
        <v>0.56954499168439399</v>
      </c>
      <c r="J45">
        <f t="shared" si="1"/>
        <v>-2</v>
      </c>
      <c r="K45" s="7">
        <f t="shared" si="2"/>
        <v>-3.0455008315605658E-2</v>
      </c>
      <c r="L45">
        <f t="shared" si="3"/>
        <v>1</v>
      </c>
      <c r="M45">
        <f>INDEX('VM-Gen Ent EPG'!$K:$M,MATCH($A45,'VM-Gen Ent EPG'!$M:$M,0),1)</f>
        <v>142</v>
      </c>
      <c r="N45">
        <f>INDEX('VM-Gen Ent EPG'!$K:$M,MATCH($A45,'VM-Gen Ent EPG'!$M:$M,0),2)</f>
        <v>42</v>
      </c>
      <c r="O45" s="73">
        <f>(VLOOKUP(N45,' VM-Gen Ent - EMP slot values'!$A$29:$B$140,2,FALSE))/5</f>
        <v>0.55490217955700272</v>
      </c>
      <c r="P45">
        <f t="shared" si="4"/>
        <v>-3</v>
      </c>
      <c r="Q45" s="7">
        <f t="shared" si="5"/>
        <v>-4.5097820442996928E-2</v>
      </c>
      <c r="R45">
        <f t="shared" si="6"/>
        <v>1</v>
      </c>
    </row>
    <row r="46" spans="1:18" x14ac:dyDescent="0.45">
      <c r="A46" t="str">
        <f>'VM-Gen Ent EPG'!C48</f>
        <v>Sky Witness +1</v>
      </c>
      <c r="B46">
        <f t="shared" si="0"/>
        <v>1</v>
      </c>
      <c r="C46">
        <f>INDEX('VM-Gen Ent EPG'!$A:$C,MATCH('Impacts - Virgin Media'!$A46,'VM-Gen Ent EPG'!$C:$C,0),1)</f>
        <v>140</v>
      </c>
      <c r="D46">
        <f>INDEX('VM-Gen Ent EPG'!$A:$C,MATCH('Impacts - Virgin Media'!$A46,'VM-Gen Ent EPG'!$C:$C,0),2)</f>
        <v>40</v>
      </c>
      <c r="E46" s="73">
        <f>(VLOOKUP(D46,' VM-Gen Ent - EMP slot values'!$A$29:$B$140,2,FALSE))/5</f>
        <v>0.58457419974767644</v>
      </c>
      <c r="G46">
        <f>INDEX('VM-Gen Ent EPG'!$F:$H,MATCH($A46,'VM-Gen Ent EPG'!$H:$H,0),1)</f>
        <v>142</v>
      </c>
      <c r="H46">
        <f>INDEX('VM-Gen Ent EPG'!$F:$H,MATCH($A46,'VM-Gen Ent EPG'!$H:$H,0),2)</f>
        <v>42</v>
      </c>
      <c r="I46" s="73">
        <f>(VLOOKUP(H46,' VM-Gen Ent - EMP slot values'!$A$29:$B$140,2,FALSE))/5</f>
        <v>0.55490217955700272</v>
      </c>
      <c r="J46">
        <f t="shared" si="1"/>
        <v>-2</v>
      </c>
      <c r="K46" s="7">
        <f t="shared" si="2"/>
        <v>-2.967202019067372E-2</v>
      </c>
      <c r="L46">
        <f t="shared" si="3"/>
        <v>1</v>
      </c>
      <c r="M46">
        <f>INDEX('VM-Gen Ent EPG'!$K:$M,MATCH($A46,'VM-Gen Ent EPG'!$M:$M,0),1)</f>
        <v>143</v>
      </c>
      <c r="N46">
        <f>INDEX('VM-Gen Ent EPG'!$K:$M,MATCH($A46,'VM-Gen Ent EPG'!$M:$M,0),2)</f>
        <v>43</v>
      </c>
      <c r="O46" s="73">
        <f>(VLOOKUP(N46,' VM-Gen Ent - EMP slot values'!$A$29:$B$140,2,FALSE))/5</f>
        <v>0.54063582925462728</v>
      </c>
      <c r="P46">
        <f t="shared" si="4"/>
        <v>-3</v>
      </c>
      <c r="Q46" s="7">
        <f t="shared" si="5"/>
        <v>-4.3938370493049161E-2</v>
      </c>
      <c r="R46">
        <f t="shared" si="6"/>
        <v>1</v>
      </c>
    </row>
    <row r="47" spans="1:18" x14ac:dyDescent="0.45">
      <c r="A47" t="str">
        <f>'VM-Gen Ent EPG'!C49</f>
        <v>Channel 4 HD</v>
      </c>
      <c r="B47">
        <f t="shared" si="0"/>
        <v>1</v>
      </c>
      <c r="C47">
        <f>INDEX('VM-Gen Ent EPG'!$A:$C,MATCH('Impacts - Virgin Media'!$A47,'VM-Gen Ent EPG'!$C:$C,0),1)</f>
        <v>141</v>
      </c>
      <c r="D47">
        <f>INDEX('VM-Gen Ent EPG'!$A:$C,MATCH('Impacts - Virgin Media'!$A47,'VM-Gen Ent EPG'!$C:$C,0),2)</f>
        <v>41</v>
      </c>
      <c r="E47" s="73">
        <f>(VLOOKUP(D47,' VM-Gen Ent - EMP slot values'!$A$29:$B$140,2,FALSE))/5</f>
        <v>0.56954499168439399</v>
      </c>
      <c r="G47">
        <f>INDEX('VM-Gen Ent EPG'!$F:$H,MATCH($A47,'VM-Gen Ent EPG'!$H:$H,0),1)</f>
        <v>143</v>
      </c>
      <c r="H47">
        <f>INDEX('VM-Gen Ent EPG'!$F:$H,MATCH($A47,'VM-Gen Ent EPG'!$H:$H,0),2)</f>
        <v>43</v>
      </c>
      <c r="I47" s="73">
        <f>(VLOOKUP(H47,' VM-Gen Ent - EMP slot values'!$A$29:$B$140,2,FALSE))/5</f>
        <v>0.54063582925462728</v>
      </c>
      <c r="J47">
        <f t="shared" si="1"/>
        <v>-2</v>
      </c>
      <c r="K47" s="7">
        <f t="shared" si="2"/>
        <v>-2.890916242976671E-2</v>
      </c>
      <c r="L47">
        <f t="shared" si="3"/>
        <v>1</v>
      </c>
      <c r="M47">
        <f>INDEX('VM-Gen Ent EPG'!$K:$M,MATCH($A47,'VM-Gen Ent EPG'!$M:$M,0),1)</f>
        <v>145</v>
      </c>
      <c r="N47">
        <f>INDEX('VM-Gen Ent EPG'!$K:$M,MATCH($A47,'VM-Gen Ent EPG'!$M:$M,0),2)</f>
        <v>44</v>
      </c>
      <c r="O47" s="73">
        <f>(VLOOKUP(N47,' VM-Gen Ent - EMP slot values'!$A$29:$B$140,2,FALSE))/5</f>
        <v>0.52673626206907531</v>
      </c>
      <c r="P47">
        <f t="shared" si="4"/>
        <v>-3</v>
      </c>
      <c r="Q47" s="7">
        <f t="shared" si="5"/>
        <v>-4.2808729615318675E-2</v>
      </c>
      <c r="R47">
        <f t="shared" si="6"/>
        <v>1</v>
      </c>
    </row>
    <row r="48" spans="1:18" x14ac:dyDescent="0.45">
      <c r="A48" t="str">
        <f>'VM-Gen Ent EPG'!C50</f>
        <v>Channel 4 +1</v>
      </c>
      <c r="B48">
        <f t="shared" si="0"/>
        <v>1</v>
      </c>
      <c r="C48">
        <f>INDEX('VM-Gen Ent EPG'!$A:$C,MATCH('Impacts - Virgin Media'!$A48,'VM-Gen Ent EPG'!$C:$C,0),1)</f>
        <v>142</v>
      </c>
      <c r="D48">
        <f>INDEX('VM-Gen Ent EPG'!$A:$C,MATCH('Impacts - Virgin Media'!$A48,'VM-Gen Ent EPG'!$C:$C,0),2)</f>
        <v>42</v>
      </c>
      <c r="E48" s="73">
        <f>(VLOOKUP(D48,' VM-Gen Ent - EMP slot values'!$A$29:$B$140,2,FALSE))/5</f>
        <v>0.55490217955700272</v>
      </c>
      <c r="G48">
        <f>INDEX('VM-Gen Ent EPG'!$F:$H,MATCH($A48,'VM-Gen Ent EPG'!$H:$H,0),1)</f>
        <v>145</v>
      </c>
      <c r="H48">
        <f>INDEX('VM-Gen Ent EPG'!$F:$H,MATCH($A48,'VM-Gen Ent EPG'!$H:$H,0),2)</f>
        <v>44</v>
      </c>
      <c r="I48" s="73">
        <f>(VLOOKUP(H48,' VM-Gen Ent - EMP slot values'!$A$29:$B$140,2,FALSE))/5</f>
        <v>0.52673626206907531</v>
      </c>
      <c r="J48">
        <f t="shared" si="1"/>
        <v>-2</v>
      </c>
      <c r="K48" s="7">
        <f t="shared" si="2"/>
        <v>-2.8165917487927405E-2</v>
      </c>
      <c r="L48">
        <f t="shared" si="3"/>
        <v>1</v>
      </c>
      <c r="M48">
        <f>INDEX('VM-Gen Ent EPG'!$K:$M,MATCH($A48,'VM-Gen Ent EPG'!$M:$M,0),1)</f>
        <v>146</v>
      </c>
      <c r="N48">
        <f>INDEX('VM-Gen Ent EPG'!$K:$M,MATCH($A48,'VM-Gen Ent EPG'!$M:$M,0),2)</f>
        <v>45</v>
      </c>
      <c r="O48" s="73">
        <f>(VLOOKUP(N48,' VM-Gen Ent - EMP slot values'!$A$29:$B$140,2,FALSE))/5</f>
        <v>0.51319404812852021</v>
      </c>
      <c r="P48">
        <f t="shared" si="4"/>
        <v>-3</v>
      </c>
      <c r="Q48" s="7">
        <f t="shared" si="5"/>
        <v>-4.1708131428482509E-2</v>
      </c>
      <c r="R48">
        <f t="shared" si="6"/>
        <v>1</v>
      </c>
    </row>
    <row r="49" spans="1:18" x14ac:dyDescent="0.45">
      <c r="A49" t="str">
        <f>'VM-Gen Ent EPG'!C51</f>
        <v>4Seven</v>
      </c>
      <c r="B49">
        <f t="shared" si="0"/>
        <v>1</v>
      </c>
      <c r="C49">
        <f>INDEX('VM-Gen Ent EPG'!$A:$C,MATCH('Impacts - Virgin Media'!$A49,'VM-Gen Ent EPG'!$C:$C,0),1)</f>
        <v>143</v>
      </c>
      <c r="D49">
        <f>INDEX('VM-Gen Ent EPG'!$A:$C,MATCH('Impacts - Virgin Media'!$A49,'VM-Gen Ent EPG'!$C:$C,0),2)</f>
        <v>43</v>
      </c>
      <c r="E49" s="73">
        <f>(VLOOKUP(D49,' VM-Gen Ent - EMP slot values'!$A$29:$B$140,2,FALSE))/5</f>
        <v>0.54063582925462728</v>
      </c>
      <c r="G49">
        <f>INDEX('VM-Gen Ent EPG'!$F:$H,MATCH($A49,'VM-Gen Ent EPG'!$H:$H,0),1)</f>
        <v>146</v>
      </c>
      <c r="H49">
        <f>INDEX('VM-Gen Ent EPG'!$F:$H,MATCH($A49,'VM-Gen Ent EPG'!$H:$H,0),2)</f>
        <v>45</v>
      </c>
      <c r="I49" s="73">
        <f>(VLOOKUP(H49,' VM-Gen Ent - EMP slot values'!$A$29:$B$140,2,FALSE))/5</f>
        <v>0.51319404812852021</v>
      </c>
      <c r="J49">
        <f t="shared" si="1"/>
        <v>-2</v>
      </c>
      <c r="K49" s="7">
        <f t="shared" si="2"/>
        <v>-2.7441781126107068E-2</v>
      </c>
      <c r="L49">
        <f t="shared" si="3"/>
        <v>1</v>
      </c>
      <c r="M49">
        <f>INDEX('VM-Gen Ent EPG'!$K:$M,MATCH($A49,'VM-Gen Ent EPG'!$M:$M,0),1)</f>
        <v>147</v>
      </c>
      <c r="N49">
        <f>INDEX('VM-Gen Ent EPG'!$K:$M,MATCH($A49,'VM-Gen Ent EPG'!$M:$M,0),2)</f>
        <v>46</v>
      </c>
      <c r="O49" s="73">
        <f>(VLOOKUP(N49,' VM-Gen Ent - EMP slot values'!$A$29:$B$140,2,FALSE))/5</f>
        <v>0.50000000000000033</v>
      </c>
      <c r="P49">
        <f t="shared" si="4"/>
        <v>-3</v>
      </c>
      <c r="Q49" s="7">
        <f t="shared" si="5"/>
        <v>-4.0635829254626943E-2</v>
      </c>
      <c r="R49">
        <f t="shared" si="6"/>
        <v>1</v>
      </c>
    </row>
    <row r="50" spans="1:18" x14ac:dyDescent="0.45">
      <c r="A50" t="str">
        <f>'VM-Gen Ent EPG'!C52</f>
        <v>E4 HD</v>
      </c>
      <c r="B50">
        <f t="shared" si="0"/>
        <v>1</v>
      </c>
      <c r="C50">
        <f>INDEX('VM-Gen Ent EPG'!$A:$C,MATCH('Impacts - Virgin Media'!$A50,'VM-Gen Ent EPG'!$C:$C,0),1)</f>
        <v>145</v>
      </c>
      <c r="D50">
        <f>INDEX('VM-Gen Ent EPG'!$A:$C,MATCH('Impacts - Virgin Media'!$A50,'VM-Gen Ent EPG'!$C:$C,0),2)</f>
        <v>44</v>
      </c>
      <c r="E50" s="73">
        <f>(VLOOKUP(D50,' VM-Gen Ent - EMP slot values'!$A$29:$B$140,2,FALSE))/5</f>
        <v>0.52673626206907531</v>
      </c>
      <c r="G50">
        <f>INDEX('VM-Gen Ent EPG'!$F:$H,MATCH($A50,'VM-Gen Ent EPG'!$H:$H,0),1)</f>
        <v>147</v>
      </c>
      <c r="H50">
        <f>INDEX('VM-Gen Ent EPG'!$F:$H,MATCH($A50,'VM-Gen Ent EPG'!$H:$H,0),2)</f>
        <v>46</v>
      </c>
      <c r="I50" s="73">
        <f>(VLOOKUP(H50,' VM-Gen Ent - EMP slot values'!$A$29:$B$140,2,FALSE))/5</f>
        <v>0.50000000000000033</v>
      </c>
      <c r="J50">
        <f t="shared" si="1"/>
        <v>-2</v>
      </c>
      <c r="K50" s="7">
        <f t="shared" si="2"/>
        <v>-2.6736262069074979E-2</v>
      </c>
      <c r="L50">
        <f t="shared" si="3"/>
        <v>1</v>
      </c>
      <c r="M50">
        <f>INDEX('VM-Gen Ent EPG'!$K:$M,MATCH($A50,'VM-Gen Ent EPG'!$M:$M,0),1)</f>
        <v>148</v>
      </c>
      <c r="N50">
        <f>INDEX('VM-Gen Ent EPG'!$K:$M,MATCH($A50,'VM-Gen Ent EPG'!$M:$M,0),2)</f>
        <v>47</v>
      </c>
      <c r="O50" s="73">
        <f>(VLOOKUP(N50,' VM-Gen Ent - EMP slot values'!$A$29:$B$140,2,FALSE))/5</f>
        <v>0.48431254296349857</v>
      </c>
      <c r="P50">
        <f t="shared" si="4"/>
        <v>-3</v>
      </c>
      <c r="Q50" s="7">
        <f t="shared" si="5"/>
        <v>-4.242371910557674E-2</v>
      </c>
      <c r="R50">
        <f t="shared" si="6"/>
        <v>1</v>
      </c>
    </row>
    <row r="51" spans="1:18" x14ac:dyDescent="0.45">
      <c r="A51" t="str">
        <f>'VM-Gen Ent EPG'!C53</f>
        <v>E4 +1</v>
      </c>
      <c r="B51">
        <f t="shared" si="0"/>
        <v>1</v>
      </c>
      <c r="C51">
        <f>INDEX('VM-Gen Ent EPG'!$A:$C,MATCH('Impacts - Virgin Media'!$A51,'VM-Gen Ent EPG'!$C:$C,0),1)</f>
        <v>146</v>
      </c>
      <c r="D51">
        <f>INDEX('VM-Gen Ent EPG'!$A:$C,MATCH('Impacts - Virgin Media'!$A51,'VM-Gen Ent EPG'!$C:$C,0),2)</f>
        <v>45</v>
      </c>
      <c r="E51" s="73">
        <f>(VLOOKUP(D51,' VM-Gen Ent - EMP slot values'!$A$29:$B$140,2,FALSE))/5</f>
        <v>0.51319404812852021</v>
      </c>
      <c r="G51">
        <f>INDEX('VM-Gen Ent EPG'!$F:$H,MATCH($A51,'VM-Gen Ent EPG'!$H:$H,0),1)</f>
        <v>148</v>
      </c>
      <c r="H51">
        <f>INDEX('VM-Gen Ent EPG'!$F:$H,MATCH($A51,'VM-Gen Ent EPG'!$H:$H,0),2)</f>
        <v>47</v>
      </c>
      <c r="I51" s="73">
        <f>(VLOOKUP(H51,' VM-Gen Ent - EMP slot values'!$A$29:$B$140,2,FALSE))/5</f>
        <v>0.48431254296349857</v>
      </c>
      <c r="J51">
        <f t="shared" si="1"/>
        <v>-2</v>
      </c>
      <c r="K51" s="7">
        <f t="shared" si="2"/>
        <v>-2.8881505165021637E-2</v>
      </c>
      <c r="L51">
        <f t="shared" si="3"/>
        <v>1</v>
      </c>
      <c r="M51">
        <f>INDEX('VM-Gen Ent EPG'!$K:$M,MATCH($A51,'VM-Gen Ent EPG'!$M:$M,0),1)</f>
        <v>149</v>
      </c>
      <c r="N51">
        <f>INDEX('VM-Gen Ent EPG'!$K:$M,MATCH($A51,'VM-Gen Ent EPG'!$M:$M,0),2)</f>
        <v>48</v>
      </c>
      <c r="O51" s="73">
        <f>(VLOOKUP(N51,' VM-Gen Ent - EMP slot values'!$A$29:$B$140,2,FALSE))/5</f>
        <v>0.46911727854354146</v>
      </c>
      <c r="P51">
        <f t="shared" si="4"/>
        <v>-3</v>
      </c>
      <c r="Q51" s="7">
        <f t="shared" si="5"/>
        <v>-4.4076769584978748E-2</v>
      </c>
      <c r="R51">
        <f t="shared" si="6"/>
        <v>1</v>
      </c>
    </row>
    <row r="52" spans="1:18" x14ac:dyDescent="0.45">
      <c r="A52" t="str">
        <f>'VM-Gen Ent EPG'!C54</f>
        <v>More4</v>
      </c>
      <c r="B52">
        <f t="shared" si="0"/>
        <v>1</v>
      </c>
      <c r="C52">
        <f>INDEX('VM-Gen Ent EPG'!$A:$C,MATCH('Impacts - Virgin Media'!$A52,'VM-Gen Ent EPG'!$C:$C,0),1)</f>
        <v>147</v>
      </c>
      <c r="D52">
        <f>INDEX('VM-Gen Ent EPG'!$A:$C,MATCH('Impacts - Virgin Media'!$A52,'VM-Gen Ent EPG'!$C:$C,0),2)</f>
        <v>46</v>
      </c>
      <c r="E52" s="73">
        <f>(VLOOKUP(D52,' VM-Gen Ent - EMP slot values'!$A$29:$B$140,2,FALSE))/5</f>
        <v>0.50000000000000033</v>
      </c>
      <c r="G52">
        <f>INDEX('VM-Gen Ent EPG'!$F:$H,MATCH($A52,'VM-Gen Ent EPG'!$H:$H,0),1)</f>
        <v>149</v>
      </c>
      <c r="H52">
        <f>INDEX('VM-Gen Ent EPG'!$F:$H,MATCH($A52,'VM-Gen Ent EPG'!$H:$H,0),2)</f>
        <v>48</v>
      </c>
      <c r="I52" s="73">
        <f>(VLOOKUP(H52,' VM-Gen Ent - EMP slot values'!$A$29:$B$140,2,FALSE))/5</f>
        <v>0.46911727854354146</v>
      </c>
      <c r="J52">
        <f t="shared" si="1"/>
        <v>-2</v>
      </c>
      <c r="K52" s="7">
        <f t="shared" si="2"/>
        <v>-3.0882721456458873E-2</v>
      </c>
      <c r="L52">
        <f t="shared" si="3"/>
        <v>1</v>
      </c>
      <c r="M52">
        <f>INDEX('VM-Gen Ent EPG'!$K:$M,MATCH($A52,'VM-Gen Ent EPG'!$M:$M,0),1)</f>
        <v>150</v>
      </c>
      <c r="N52">
        <f>INDEX('VM-Gen Ent EPG'!$K:$M,MATCH($A52,'VM-Gen Ent EPG'!$M:$M,0),2)</f>
        <v>49</v>
      </c>
      <c r="O52" s="73">
        <f>(VLOOKUP(N52,' VM-Gen Ent - EMP slot values'!$A$29:$B$140,2,FALSE))/5</f>
        <v>0.45439876423907688</v>
      </c>
      <c r="P52">
        <f t="shared" si="4"/>
        <v>-3</v>
      </c>
      <c r="Q52" s="7">
        <f t="shared" si="5"/>
        <v>-4.5601235760923453E-2</v>
      </c>
      <c r="R52">
        <f t="shared" si="6"/>
        <v>1</v>
      </c>
    </row>
    <row r="53" spans="1:18" x14ac:dyDescent="0.45">
      <c r="A53" t="str">
        <f>'VM-Gen Ent EPG'!C55</f>
        <v>CBS Reality</v>
      </c>
      <c r="B53">
        <f t="shared" si="0"/>
        <v>1</v>
      </c>
      <c r="C53">
        <f>INDEX('VM-Gen Ent EPG'!$A:$C,MATCH('Impacts - Virgin Media'!$A53,'VM-Gen Ent EPG'!$C:$C,0),1)</f>
        <v>148</v>
      </c>
      <c r="D53">
        <f>INDEX('VM-Gen Ent EPG'!$A:$C,MATCH('Impacts - Virgin Media'!$A53,'VM-Gen Ent EPG'!$C:$C,0),2)</f>
        <v>47</v>
      </c>
      <c r="E53" s="73">
        <f>(VLOOKUP(D53,' VM-Gen Ent - EMP slot values'!$A$29:$B$140,2,FALSE))/5</f>
        <v>0.48431254296349857</v>
      </c>
      <c r="G53">
        <f>INDEX('VM-Gen Ent EPG'!$F:$H,MATCH($A53,'VM-Gen Ent EPG'!$H:$H,0),1)</f>
        <v>150</v>
      </c>
      <c r="H53">
        <f>INDEX('VM-Gen Ent EPG'!$F:$H,MATCH($A53,'VM-Gen Ent EPG'!$H:$H,0),2)</f>
        <v>49</v>
      </c>
      <c r="I53" s="73">
        <f>(VLOOKUP(H53,' VM-Gen Ent - EMP slot values'!$A$29:$B$140,2,FALSE))/5</f>
        <v>0.45439876423907688</v>
      </c>
      <c r="J53">
        <f t="shared" si="1"/>
        <v>-2</v>
      </c>
      <c r="K53" s="7">
        <f t="shared" si="2"/>
        <v>-2.9913778724421691E-2</v>
      </c>
      <c r="L53">
        <f t="shared" si="3"/>
        <v>1</v>
      </c>
      <c r="M53">
        <f>INDEX('VM-Gen Ent EPG'!$K:$M,MATCH($A53,'VM-Gen Ent EPG'!$M:$M,0),1)</f>
        <v>151</v>
      </c>
      <c r="N53">
        <f>INDEX('VM-Gen Ent EPG'!$K:$M,MATCH($A53,'VM-Gen Ent EPG'!$M:$M,0),2)</f>
        <v>50</v>
      </c>
      <c r="O53" s="73">
        <f>(VLOOKUP(N53,' VM-Gen Ent - EMP slot values'!$A$29:$B$140,2,FALSE))/5</f>
        <v>0.44014204205619717</v>
      </c>
      <c r="P53">
        <f t="shared" si="4"/>
        <v>-3</v>
      </c>
      <c r="Q53" s="7">
        <f t="shared" si="5"/>
        <v>-4.4170500907301402E-2</v>
      </c>
      <c r="R53">
        <f t="shared" si="6"/>
        <v>1</v>
      </c>
    </row>
    <row r="54" spans="1:18" x14ac:dyDescent="0.45">
      <c r="A54" t="str">
        <f>'VM-Gen Ent EPG'!C56</f>
        <v>Horror Channel</v>
      </c>
      <c r="B54">
        <f t="shared" si="0"/>
        <v>1</v>
      </c>
      <c r="C54">
        <f>INDEX('VM-Gen Ent EPG'!$A:$C,MATCH('Impacts - Virgin Media'!$A54,'VM-Gen Ent EPG'!$C:$C,0),1)</f>
        <v>149</v>
      </c>
      <c r="D54">
        <f>INDEX('VM-Gen Ent EPG'!$A:$C,MATCH('Impacts - Virgin Media'!$A54,'VM-Gen Ent EPG'!$C:$C,0),2)</f>
        <v>48</v>
      </c>
      <c r="E54" s="73">
        <f>(VLOOKUP(D54,' VM-Gen Ent - EMP slot values'!$A$29:$B$140,2,FALSE))/5</f>
        <v>0.46911727854354146</v>
      </c>
      <c r="G54">
        <f>INDEX('VM-Gen Ent EPG'!$F:$H,MATCH($A54,'VM-Gen Ent EPG'!$H:$H,0),1)</f>
        <v>151</v>
      </c>
      <c r="H54">
        <f>INDEX('VM-Gen Ent EPG'!$F:$H,MATCH($A54,'VM-Gen Ent EPG'!$H:$H,0),2)</f>
        <v>50</v>
      </c>
      <c r="I54" s="73">
        <f>(VLOOKUP(H54,' VM-Gen Ent - EMP slot values'!$A$29:$B$140,2,FALSE))/5</f>
        <v>0.44014204205619717</v>
      </c>
      <c r="J54">
        <f t="shared" si="1"/>
        <v>-2</v>
      </c>
      <c r="K54" s="7">
        <f t="shared" si="2"/>
        <v>-2.8975236487344291E-2</v>
      </c>
      <c r="L54">
        <f t="shared" si="3"/>
        <v>1</v>
      </c>
      <c r="M54">
        <f>INDEX('VM-Gen Ent EPG'!$K:$M,MATCH($A54,'VM-Gen Ent EPG'!$M:$M,0),1)</f>
        <v>152</v>
      </c>
      <c r="N54">
        <f>INDEX('VM-Gen Ent EPG'!$K:$M,MATCH($A54,'VM-Gen Ent EPG'!$M:$M,0),2)</f>
        <v>51</v>
      </c>
      <c r="O54" s="73">
        <f>(VLOOKUP(N54,' VM-Gen Ent - EMP slot values'!$A$29:$B$140,2,FALSE))/5</f>
        <v>0.42633262330676808</v>
      </c>
      <c r="P54">
        <f t="shared" si="4"/>
        <v>-3</v>
      </c>
      <c r="Q54" s="7">
        <f t="shared" si="5"/>
        <v>-4.2784655236773383E-2</v>
      </c>
      <c r="R54">
        <f t="shared" si="6"/>
        <v>1</v>
      </c>
    </row>
    <row r="55" spans="1:18" x14ac:dyDescent="0.45">
      <c r="A55" t="str">
        <f>'VM-Gen Ent EPG'!C57</f>
        <v>Channel 5 HD</v>
      </c>
      <c r="B55">
        <f t="shared" si="0"/>
        <v>1</v>
      </c>
      <c r="C55">
        <f>INDEX('VM-Gen Ent EPG'!$A:$C,MATCH('Impacts - Virgin Media'!$A55,'VM-Gen Ent EPG'!$C:$C,0),1)</f>
        <v>150</v>
      </c>
      <c r="D55">
        <f>INDEX('VM-Gen Ent EPG'!$A:$C,MATCH('Impacts - Virgin Media'!$A55,'VM-Gen Ent EPG'!$C:$C,0),2)</f>
        <v>49</v>
      </c>
      <c r="E55" s="73">
        <f>(VLOOKUP(D55,' VM-Gen Ent - EMP slot values'!$A$29:$B$140,2,FALSE))/5</f>
        <v>0.45439876423907688</v>
      </c>
      <c r="G55">
        <f>INDEX('VM-Gen Ent EPG'!$F:$H,MATCH($A55,'VM-Gen Ent EPG'!$H:$H,0),1)</f>
        <v>152</v>
      </c>
      <c r="H55">
        <f>INDEX('VM-Gen Ent EPG'!$F:$H,MATCH($A55,'VM-Gen Ent EPG'!$H:$H,0),2)</f>
        <v>51</v>
      </c>
      <c r="I55" s="73">
        <f>(VLOOKUP(H55,' VM-Gen Ent - EMP slot values'!$A$29:$B$140,2,FALSE))/5</f>
        <v>0.42633262330676808</v>
      </c>
      <c r="J55">
        <f t="shared" si="1"/>
        <v>-2</v>
      </c>
      <c r="K55" s="7">
        <f t="shared" si="2"/>
        <v>-2.8066140932308803E-2</v>
      </c>
      <c r="L55">
        <f t="shared" si="3"/>
        <v>1</v>
      </c>
      <c r="M55">
        <f>INDEX('VM-Gen Ent EPG'!$K:$M,MATCH($A55,'VM-Gen Ent EPG'!$M:$M,0),1)</f>
        <v>153</v>
      </c>
      <c r="N55">
        <f>INDEX('VM-Gen Ent EPG'!$K:$M,MATCH($A55,'VM-Gen Ent EPG'!$M:$M,0),2)</f>
        <v>52</v>
      </c>
      <c r="O55" s="73">
        <f>(VLOOKUP(N55,' VM-Gen Ent - EMP slot values'!$A$29:$B$140,2,FALSE))/5</f>
        <v>0.41295647388400036</v>
      </c>
      <c r="P55">
        <f t="shared" si="4"/>
        <v>-3</v>
      </c>
      <c r="Q55" s="7">
        <f t="shared" si="5"/>
        <v>-4.1442290355076516E-2</v>
      </c>
      <c r="R55">
        <f t="shared" si="6"/>
        <v>1</v>
      </c>
    </row>
    <row r="56" spans="1:18" x14ac:dyDescent="0.45">
      <c r="A56" t="str">
        <f>'VM-Gen Ent EPG'!C58</f>
        <v>5Star</v>
      </c>
      <c r="B56">
        <f t="shared" si="0"/>
        <v>1</v>
      </c>
      <c r="C56">
        <f>INDEX('VM-Gen Ent EPG'!$A:$C,MATCH('Impacts - Virgin Media'!$A56,'VM-Gen Ent EPG'!$C:$C,0),1)</f>
        <v>151</v>
      </c>
      <c r="D56">
        <f>INDEX('VM-Gen Ent EPG'!$A:$C,MATCH('Impacts - Virgin Media'!$A56,'VM-Gen Ent EPG'!$C:$C,0),2)</f>
        <v>50</v>
      </c>
      <c r="E56" s="73">
        <f>(VLOOKUP(D56,' VM-Gen Ent - EMP slot values'!$A$29:$B$140,2,FALSE))/5</f>
        <v>0.44014204205619717</v>
      </c>
      <c r="G56">
        <f>INDEX('VM-Gen Ent EPG'!$F:$H,MATCH($A56,'VM-Gen Ent EPG'!$H:$H,0),1)</f>
        <v>153</v>
      </c>
      <c r="H56">
        <f>INDEX('VM-Gen Ent EPG'!$F:$H,MATCH($A56,'VM-Gen Ent EPG'!$H:$H,0),2)</f>
        <v>52</v>
      </c>
      <c r="I56" s="73">
        <f>(VLOOKUP(H56,' VM-Gen Ent - EMP slot values'!$A$29:$B$140,2,FALSE))/5</f>
        <v>0.41295647388400036</v>
      </c>
      <c r="J56">
        <f t="shared" si="1"/>
        <v>-2</v>
      </c>
      <c r="K56" s="7">
        <f t="shared" si="2"/>
        <v>-2.7185568172196806E-2</v>
      </c>
      <c r="L56">
        <f t="shared" si="3"/>
        <v>1</v>
      </c>
      <c r="M56">
        <f>INDEX('VM-Gen Ent EPG'!$K:$M,MATCH($A56,'VM-Gen Ent EPG'!$M:$M,0),1)</f>
        <v>154</v>
      </c>
      <c r="N56">
        <f>INDEX('VM-Gen Ent EPG'!$K:$M,MATCH($A56,'VM-Gen Ent EPG'!$M:$M,0),2)</f>
        <v>53</v>
      </c>
      <c r="O56" s="73">
        <f>(VLOOKUP(N56,' VM-Gen Ent - EMP slot values'!$A$29:$B$140,2,FALSE))/5</f>
        <v>0.39999999999999963</v>
      </c>
      <c r="P56">
        <f t="shared" si="4"/>
        <v>-3</v>
      </c>
      <c r="Q56" s="7">
        <f t="shared" si="5"/>
        <v>-4.0142042056197536E-2</v>
      </c>
      <c r="R56">
        <f t="shared" si="6"/>
        <v>1</v>
      </c>
    </row>
    <row r="57" spans="1:18" x14ac:dyDescent="0.45">
      <c r="A57" t="str">
        <f>'VM-Gen Ent EPG'!C59</f>
        <v>5Select</v>
      </c>
      <c r="B57">
        <f t="shared" si="0"/>
        <v>1</v>
      </c>
      <c r="C57">
        <f>INDEX('VM-Gen Ent EPG'!$A:$C,MATCH('Impacts - Virgin Media'!$A57,'VM-Gen Ent EPG'!$C:$C,0),1)</f>
        <v>152</v>
      </c>
      <c r="D57">
        <f>INDEX('VM-Gen Ent EPG'!$A:$C,MATCH('Impacts - Virgin Media'!$A57,'VM-Gen Ent EPG'!$C:$C,0),2)</f>
        <v>51</v>
      </c>
      <c r="E57" s="73">
        <f>(VLOOKUP(D57,' VM-Gen Ent - EMP slot values'!$A$29:$B$140,2,FALSE))/5</f>
        <v>0.42633262330676808</v>
      </c>
      <c r="G57">
        <f>INDEX('VM-Gen Ent EPG'!$F:$H,MATCH($A57,'VM-Gen Ent EPG'!$H:$H,0),1)</f>
        <v>154</v>
      </c>
      <c r="H57">
        <f>INDEX('VM-Gen Ent EPG'!$F:$H,MATCH($A57,'VM-Gen Ent EPG'!$H:$H,0),2)</f>
        <v>53</v>
      </c>
      <c r="I57" s="73">
        <f>(VLOOKUP(H57,' VM-Gen Ent - EMP slot values'!$A$29:$B$140,2,FALSE))/5</f>
        <v>0.39999999999999963</v>
      </c>
      <c r="J57">
        <f t="shared" si="1"/>
        <v>-2</v>
      </c>
      <c r="K57" s="7">
        <f t="shared" si="2"/>
        <v>-2.6332623306768443E-2</v>
      </c>
      <c r="L57">
        <f t="shared" si="3"/>
        <v>1</v>
      </c>
      <c r="M57">
        <f>INDEX('VM-Gen Ent EPG'!$K:$M,MATCH($A57,'VM-Gen Ent EPG'!$M:$M,0),1)</f>
        <v>155</v>
      </c>
      <c r="N57">
        <f>INDEX('VM-Gen Ent EPG'!$K:$M,MATCH($A57,'VM-Gen Ent EPG'!$M:$M,0),2)</f>
        <v>54</v>
      </c>
      <c r="O57" s="73">
        <f>(VLOOKUP(N57,' VM-Gen Ent - EMP slot values'!$A$29:$B$140,2,FALSE))/5</f>
        <v>0.3940244821764462</v>
      </c>
      <c r="P57">
        <f t="shared" si="4"/>
        <v>-3</v>
      </c>
      <c r="Q57" s="7">
        <f t="shared" si="5"/>
        <v>-3.2308141130321877E-2</v>
      </c>
      <c r="R57">
        <f t="shared" si="6"/>
        <v>1</v>
      </c>
    </row>
    <row r="58" spans="1:18" x14ac:dyDescent="0.45">
      <c r="A58" t="str">
        <f>'VM-Gen Ent EPG'!C60</f>
        <v>5 USA</v>
      </c>
      <c r="B58">
        <f t="shared" si="0"/>
        <v>1</v>
      </c>
      <c r="C58">
        <f>INDEX('VM-Gen Ent EPG'!$A:$C,MATCH('Impacts - Virgin Media'!$A58,'VM-Gen Ent EPG'!$C:$C,0),1)</f>
        <v>153</v>
      </c>
      <c r="D58">
        <f>INDEX('VM-Gen Ent EPG'!$A:$C,MATCH('Impacts - Virgin Media'!$A58,'VM-Gen Ent EPG'!$C:$C,0),2)</f>
        <v>52</v>
      </c>
      <c r="E58" s="73">
        <f>(VLOOKUP(D58,' VM-Gen Ent - EMP slot values'!$A$29:$B$140,2,FALSE))/5</f>
        <v>0.41295647388400036</v>
      </c>
      <c r="G58">
        <f>INDEX('VM-Gen Ent EPG'!$F:$H,MATCH($A58,'VM-Gen Ent EPG'!$H:$H,0),1)</f>
        <v>155</v>
      </c>
      <c r="H58">
        <f>INDEX('VM-Gen Ent EPG'!$F:$H,MATCH($A58,'VM-Gen Ent EPG'!$H:$H,0),2)</f>
        <v>54</v>
      </c>
      <c r="I58" s="73">
        <f>(VLOOKUP(H58,' VM-Gen Ent - EMP slot values'!$A$29:$B$140,2,FALSE))/5</f>
        <v>0.3940244821764462</v>
      </c>
      <c r="J58">
        <f t="shared" si="1"/>
        <v>-2</v>
      </c>
      <c r="K58" s="7">
        <f t="shared" si="2"/>
        <v>-1.8931991707554163E-2</v>
      </c>
      <c r="L58">
        <f t="shared" si="3"/>
        <v>1</v>
      </c>
      <c r="M58">
        <f>INDEX('VM-Gen Ent EPG'!$K:$M,MATCH($A58,'VM-Gen Ent EPG'!$M:$M,0),1)</f>
        <v>156</v>
      </c>
      <c r="N58">
        <f>INDEX('VM-Gen Ent EPG'!$K:$M,MATCH($A58,'VM-Gen Ent EPG'!$M:$M,0),2)</f>
        <v>55</v>
      </c>
      <c r="O58" s="73">
        <f>(VLOOKUP(N58,' VM-Gen Ent - EMP slot values'!$A$29:$B$140,2,FALSE))/5</f>
        <v>0.38813823138604137</v>
      </c>
      <c r="P58">
        <f t="shared" si="4"/>
        <v>-3</v>
      </c>
      <c r="Q58" s="7">
        <f t="shared" si="5"/>
        <v>-2.4818242497958998E-2</v>
      </c>
      <c r="R58">
        <f t="shared" si="6"/>
        <v>1</v>
      </c>
    </row>
    <row r="59" spans="1:18" x14ac:dyDescent="0.45">
      <c r="A59" t="str">
        <f>'VM-Gen Ent EPG'!C61</f>
        <v>5Spike</v>
      </c>
      <c r="B59">
        <f t="shared" si="0"/>
        <v>1</v>
      </c>
      <c r="C59">
        <f>INDEX('VM-Gen Ent EPG'!$A:$C,MATCH('Impacts - Virgin Media'!$A59,'VM-Gen Ent EPG'!$C:$C,0),1)</f>
        <v>154</v>
      </c>
      <c r="D59">
        <f>INDEX('VM-Gen Ent EPG'!$A:$C,MATCH('Impacts - Virgin Media'!$A59,'VM-Gen Ent EPG'!$C:$C,0),2)</f>
        <v>53</v>
      </c>
      <c r="E59" s="73">
        <f>(VLOOKUP(D59,' VM-Gen Ent - EMP slot values'!$A$29:$B$140,2,FALSE))/5</f>
        <v>0.39999999999999963</v>
      </c>
      <c r="G59">
        <f>INDEX('VM-Gen Ent EPG'!$F:$H,MATCH($A59,'VM-Gen Ent EPG'!$H:$H,0),1)</f>
        <v>156</v>
      </c>
      <c r="H59">
        <f>INDEX('VM-Gen Ent EPG'!$F:$H,MATCH($A59,'VM-Gen Ent EPG'!$H:$H,0),2)</f>
        <v>55</v>
      </c>
      <c r="I59" s="73">
        <f>(VLOOKUP(H59,' VM-Gen Ent - EMP slot values'!$A$29:$B$140,2,FALSE))/5</f>
        <v>0.38813823138604137</v>
      </c>
      <c r="J59">
        <f t="shared" si="1"/>
        <v>-2</v>
      </c>
      <c r="K59" s="7">
        <f t="shared" si="2"/>
        <v>-1.1861768613958268E-2</v>
      </c>
      <c r="L59">
        <f t="shared" si="3"/>
        <v>1</v>
      </c>
      <c r="M59">
        <f>INDEX('VM-Gen Ent EPG'!$K:$M,MATCH($A59,'VM-Gen Ent EPG'!$M:$M,0),1)</f>
        <v>157</v>
      </c>
      <c r="N59">
        <f>INDEX('VM-Gen Ent EPG'!$K:$M,MATCH($A59,'VM-Gen Ent EPG'!$M:$M,0),2)</f>
        <v>56</v>
      </c>
      <c r="O59" s="73">
        <f>(VLOOKUP(N59,' VM-Gen Ent - EMP slot values'!$A$29:$B$140,2,FALSE))/5</f>
        <v>0.38233991408691648</v>
      </c>
      <c r="P59">
        <f t="shared" si="4"/>
        <v>-3</v>
      </c>
      <c r="Q59" s="7">
        <f t="shared" si="5"/>
        <v>-1.7660085913083157E-2</v>
      </c>
      <c r="R59">
        <f t="shared" si="6"/>
        <v>1</v>
      </c>
    </row>
    <row r="60" spans="1:18" x14ac:dyDescent="0.45">
      <c r="A60" t="str">
        <f>'VM-Gen Ent EPG'!C62</f>
        <v>Channel 5 +1</v>
      </c>
      <c r="B60">
        <f t="shared" si="0"/>
        <v>1</v>
      </c>
      <c r="C60">
        <f>INDEX('VM-Gen Ent EPG'!$A:$C,MATCH('Impacts - Virgin Media'!$A60,'VM-Gen Ent EPG'!$C:$C,0),1)</f>
        <v>155</v>
      </c>
      <c r="D60">
        <f>INDEX('VM-Gen Ent EPG'!$A:$C,MATCH('Impacts - Virgin Media'!$A60,'VM-Gen Ent EPG'!$C:$C,0),2)</f>
        <v>54</v>
      </c>
      <c r="E60" s="73">
        <f>(VLOOKUP(D60,' VM-Gen Ent - EMP slot values'!$A$29:$B$140,2,FALSE))/5</f>
        <v>0.3940244821764462</v>
      </c>
      <c r="G60">
        <f>INDEX('VM-Gen Ent EPG'!$F:$H,MATCH($A60,'VM-Gen Ent EPG'!$H:$H,0),1)</f>
        <v>157</v>
      </c>
      <c r="H60">
        <f>INDEX('VM-Gen Ent EPG'!$F:$H,MATCH($A60,'VM-Gen Ent EPG'!$H:$H,0),2)</f>
        <v>56</v>
      </c>
      <c r="I60" s="73">
        <f>(VLOOKUP(H60,' VM-Gen Ent - EMP slot values'!$A$29:$B$140,2,FALSE))/5</f>
        <v>0.38233991408691648</v>
      </c>
      <c r="J60">
        <f t="shared" si="1"/>
        <v>-2</v>
      </c>
      <c r="K60" s="7">
        <f t="shared" si="2"/>
        <v>-1.1684568089529723E-2</v>
      </c>
      <c r="L60">
        <f t="shared" si="3"/>
        <v>1</v>
      </c>
      <c r="M60">
        <f>INDEX('VM-Gen Ent EPG'!$K:$M,MATCH($A60,'VM-Gen Ent EPG'!$M:$M,0),1)</f>
        <v>158</v>
      </c>
      <c r="N60">
        <f>INDEX('VM-Gen Ent EPG'!$K:$M,MATCH($A60,'VM-Gen Ent EPG'!$M:$M,0),2)</f>
        <v>57</v>
      </c>
      <c r="O60" s="73">
        <f>(VLOOKUP(N60,' VM-Gen Ent - EMP slot values'!$A$29:$B$140,2,FALSE))/5</f>
        <v>0.37662821665871055</v>
      </c>
      <c r="P60">
        <f t="shared" si="4"/>
        <v>-3</v>
      </c>
      <c r="Q60" s="7">
        <f t="shared" si="5"/>
        <v>-1.7396265517735654E-2</v>
      </c>
      <c r="R60">
        <f t="shared" si="6"/>
        <v>1</v>
      </c>
    </row>
    <row r="61" spans="1:18" x14ac:dyDescent="0.45">
      <c r="A61" t="str">
        <f>'VM-Gen Ent EPG'!C63</f>
        <v>E!</v>
      </c>
      <c r="B61">
        <f t="shared" si="0"/>
        <v>1</v>
      </c>
      <c r="C61">
        <f>INDEX('VM-Gen Ent EPG'!$A:$C,MATCH('Impacts - Virgin Media'!$A61,'VM-Gen Ent EPG'!$C:$C,0),1)</f>
        <v>156</v>
      </c>
      <c r="D61">
        <f>INDEX('VM-Gen Ent EPG'!$A:$C,MATCH('Impacts - Virgin Media'!$A61,'VM-Gen Ent EPG'!$C:$C,0),2)</f>
        <v>55</v>
      </c>
      <c r="E61" s="73">
        <f>(VLOOKUP(D61,' VM-Gen Ent - EMP slot values'!$A$29:$B$140,2,FALSE))/5</f>
        <v>0.38813823138604137</v>
      </c>
      <c r="G61">
        <f>INDEX('VM-Gen Ent EPG'!$F:$H,MATCH($A61,'VM-Gen Ent EPG'!$H:$H,0),1)</f>
        <v>158</v>
      </c>
      <c r="H61">
        <f>INDEX('VM-Gen Ent EPG'!$F:$H,MATCH($A61,'VM-Gen Ent EPG'!$H:$H,0),2)</f>
        <v>57</v>
      </c>
      <c r="I61" s="73">
        <f>(VLOOKUP(H61,' VM-Gen Ent - EMP slot values'!$A$29:$B$140,2,FALSE))/5</f>
        <v>0.37662821665871055</v>
      </c>
      <c r="J61">
        <f t="shared" si="1"/>
        <v>-2</v>
      </c>
      <c r="K61" s="7">
        <f t="shared" si="2"/>
        <v>-1.151001472733082E-2</v>
      </c>
      <c r="L61">
        <f t="shared" si="3"/>
        <v>1</v>
      </c>
      <c r="M61">
        <f>INDEX('VM-Gen Ent EPG'!$K:$M,MATCH($A61,'VM-Gen Ent EPG'!$M:$M,0),1)</f>
        <v>159</v>
      </c>
      <c r="N61">
        <f>INDEX('VM-Gen Ent EPG'!$K:$M,MATCH($A61,'VM-Gen Ent EPG'!$M:$M,0),2)</f>
        <v>58</v>
      </c>
      <c r="O61" s="73">
        <f>(VLOOKUP(N61,' VM-Gen Ent - EMP slot values'!$A$29:$B$140,2,FALSE))/5</f>
        <v>0.37100184510496703</v>
      </c>
      <c r="P61">
        <f t="shared" si="4"/>
        <v>-3</v>
      </c>
      <c r="Q61" s="7">
        <f t="shared" si="5"/>
        <v>-1.7136386281074334E-2</v>
      </c>
      <c r="R61">
        <f t="shared" si="6"/>
        <v>1</v>
      </c>
    </row>
    <row r="62" spans="1:18" x14ac:dyDescent="0.45">
      <c r="A62" t="str">
        <f>'VM-Gen Ent EPG'!C64</f>
        <v>FOX</v>
      </c>
      <c r="B62">
        <f t="shared" si="0"/>
        <v>1</v>
      </c>
      <c r="C62">
        <f>INDEX('VM-Gen Ent EPG'!$A:$C,MATCH('Impacts - Virgin Media'!$A62,'VM-Gen Ent EPG'!$C:$C,0),1)</f>
        <v>157</v>
      </c>
      <c r="D62">
        <f>INDEX('VM-Gen Ent EPG'!$A:$C,MATCH('Impacts - Virgin Media'!$A62,'VM-Gen Ent EPG'!$C:$C,0),2)</f>
        <v>56</v>
      </c>
      <c r="E62" s="73">
        <f>(VLOOKUP(D62,' VM-Gen Ent - EMP slot values'!$A$29:$B$140,2,FALSE))/5</f>
        <v>0.38233991408691648</v>
      </c>
      <c r="G62">
        <f>INDEX('VM-Gen Ent EPG'!$F:$H,MATCH($A62,'VM-Gen Ent EPG'!$H:$H,0),1)</f>
        <v>160</v>
      </c>
      <c r="H62">
        <f>INDEX('VM-Gen Ent EPG'!$F:$H,MATCH($A62,'VM-Gen Ent EPG'!$H:$H,0),2)</f>
        <v>59</v>
      </c>
      <c r="I62" s="73">
        <f>(VLOOKUP(H62,' VM-Gen Ent - EMP slot values'!$A$29:$B$140,2,FALSE))/5</f>
        <v>0.36545952475997673</v>
      </c>
      <c r="J62">
        <f t="shared" si="1"/>
        <v>-3</v>
      </c>
      <c r="K62" s="7">
        <f t="shared" si="2"/>
        <v>-1.6880389326939749E-2</v>
      </c>
      <c r="L62">
        <f t="shared" si="3"/>
        <v>1</v>
      </c>
      <c r="M62">
        <f>INDEX('VM-Gen Ent EPG'!$K:$M,MATCH($A62,'VM-Gen Ent EPG'!$M:$M,0),1)</f>
        <v>160</v>
      </c>
      <c r="N62">
        <f>INDEX('VM-Gen Ent EPG'!$K:$M,MATCH($A62,'VM-Gen Ent EPG'!$M:$M,0),2)</f>
        <v>59</v>
      </c>
      <c r="O62" s="73">
        <f>(VLOOKUP(N62,' VM-Gen Ent - EMP slot values'!$A$29:$B$140,2,FALSE))/5</f>
        <v>0.36545952475997673</v>
      </c>
      <c r="P62">
        <f t="shared" si="4"/>
        <v>-3</v>
      </c>
      <c r="Q62" s="7">
        <f t="shared" si="5"/>
        <v>-1.6880389326939749E-2</v>
      </c>
      <c r="R62">
        <f t="shared" si="6"/>
        <v>1</v>
      </c>
    </row>
    <row r="63" spans="1:18" x14ac:dyDescent="0.45">
      <c r="A63" t="str">
        <f>'VM-Gen Ent EPG'!C65</f>
        <v>FOX +1</v>
      </c>
      <c r="B63">
        <f t="shared" si="0"/>
        <v>1</v>
      </c>
      <c r="C63">
        <f>INDEX('VM-Gen Ent EPG'!$A:$C,MATCH('Impacts - Virgin Media'!$A63,'VM-Gen Ent EPG'!$C:$C,0),1)</f>
        <v>158</v>
      </c>
      <c r="D63">
        <f>INDEX('VM-Gen Ent EPG'!$A:$C,MATCH('Impacts - Virgin Media'!$A63,'VM-Gen Ent EPG'!$C:$C,0),2)</f>
        <v>57</v>
      </c>
      <c r="E63" s="73">
        <f>(VLOOKUP(D63,' VM-Gen Ent - EMP slot values'!$A$29:$B$140,2,FALSE))/5</f>
        <v>0.37662821665871055</v>
      </c>
      <c r="G63">
        <f>INDEX('VM-Gen Ent EPG'!$F:$H,MATCH($A63,'VM-Gen Ent EPG'!$H:$H,0),1)</f>
        <v>161</v>
      </c>
      <c r="H63">
        <f>INDEX('VM-Gen Ent EPG'!$F:$H,MATCH($A63,'VM-Gen Ent EPG'!$H:$H,0),2)</f>
        <v>60</v>
      </c>
      <c r="I63" s="73">
        <f>(VLOOKUP(H63,' VM-Gen Ent - EMP slot values'!$A$29:$B$140,2,FALSE))/5</f>
        <v>0.35999999999999993</v>
      </c>
      <c r="J63">
        <f t="shared" si="1"/>
        <v>-3</v>
      </c>
      <c r="K63" s="7">
        <f t="shared" si="2"/>
        <v>-1.6628216658710615E-2</v>
      </c>
      <c r="L63">
        <f t="shared" si="3"/>
        <v>1</v>
      </c>
      <c r="M63">
        <f>INDEX('VM-Gen Ent EPG'!$K:$M,MATCH($A63,'VM-Gen Ent EPG'!$M:$M,0),1)</f>
        <v>161</v>
      </c>
      <c r="N63">
        <f>INDEX('VM-Gen Ent EPG'!$K:$M,MATCH($A63,'VM-Gen Ent EPG'!$M:$M,0),2)</f>
        <v>60</v>
      </c>
      <c r="O63" s="73">
        <f>(VLOOKUP(N63,' VM-Gen Ent - EMP slot values'!$A$29:$B$140,2,FALSE))/5</f>
        <v>0.35999999999999993</v>
      </c>
      <c r="P63">
        <f t="shared" si="4"/>
        <v>-3</v>
      </c>
      <c r="Q63" s="7">
        <f t="shared" si="5"/>
        <v>-1.6628216658710615E-2</v>
      </c>
      <c r="R63">
        <f t="shared" si="6"/>
        <v>1</v>
      </c>
    </row>
    <row r="64" spans="1:18" x14ac:dyDescent="0.45">
      <c r="A64" t="str">
        <f>'VM-Gen Ent EPG'!C66</f>
        <v>Regional Channels</v>
      </c>
      <c r="B64">
        <f t="shared" si="0"/>
        <v>1</v>
      </c>
      <c r="C64">
        <f>INDEX('VM-Gen Ent EPG'!$A:$C,MATCH('Impacts - Virgin Media'!$A64,'VM-Gen Ent EPG'!$C:$C,0),1)</f>
        <v>159</v>
      </c>
      <c r="D64">
        <f>INDEX('VM-Gen Ent EPG'!$A:$C,MATCH('Impacts - Virgin Media'!$A64,'VM-Gen Ent EPG'!$C:$C,0),2)</f>
        <v>58</v>
      </c>
      <c r="E64" s="73">
        <f>(VLOOKUP(D64,' VM-Gen Ent - EMP slot values'!$A$29:$B$140,2,FALSE))/5</f>
        <v>0.37100184510496703</v>
      </c>
      <c r="G64">
        <f>INDEX('VM-Gen Ent EPG'!$F:$H,MATCH($A64,'VM-Gen Ent EPG'!$H:$H,0),1)</f>
        <v>159</v>
      </c>
      <c r="H64">
        <f>INDEX('VM-Gen Ent EPG'!$F:$H,MATCH($A64,'VM-Gen Ent EPG'!$H:$H,0),2)</f>
        <v>58</v>
      </c>
      <c r="I64" s="73">
        <f>(VLOOKUP(H64,' VM-Gen Ent - EMP slot values'!$A$29:$B$140,2,FALSE))/5</f>
        <v>0.37100184510496703</v>
      </c>
      <c r="J64">
        <f t="shared" si="1"/>
        <v>0</v>
      </c>
      <c r="K64" s="7">
        <f t="shared" si="2"/>
        <v>0</v>
      </c>
      <c r="L64">
        <f t="shared" si="3"/>
        <v>0</v>
      </c>
      <c r="M64">
        <f>INDEX('VM-Gen Ent EPG'!$K:$M,MATCH($A64,'VM-Gen Ent EPG'!$M:$M,0),1)</f>
        <v>122</v>
      </c>
      <c r="N64">
        <f>INDEX('VM-Gen Ent EPG'!$K:$M,MATCH($A64,'VM-Gen Ent EPG'!$M:$M,0),2)</f>
        <v>22</v>
      </c>
      <c r="O64" s="73">
        <f>(VLOOKUP(N64,' VM-Gen Ent - EMP slot values'!$A$29:$B$140,2,FALSE))/5</f>
        <v>1.4583921247404885</v>
      </c>
      <c r="P64">
        <f t="shared" si="4"/>
        <v>36</v>
      </c>
      <c r="Q64" s="7">
        <f t="shared" si="5"/>
        <v>1.0873902796355215</v>
      </c>
      <c r="R64">
        <f t="shared" si="6"/>
        <v>1</v>
      </c>
    </row>
    <row r="65" spans="1:18" x14ac:dyDescent="0.45">
      <c r="A65" t="str">
        <f>'VM-Gen Ent EPG'!C67</f>
        <v>Real Lives</v>
      </c>
      <c r="B65">
        <f t="shared" si="0"/>
        <v>1</v>
      </c>
      <c r="C65">
        <f>INDEX('VM-Gen Ent EPG'!$A:$C,MATCH('Impacts - Virgin Media'!$A65,'VM-Gen Ent EPG'!$C:$C,0),1)</f>
        <v>160</v>
      </c>
      <c r="D65">
        <f>INDEX('VM-Gen Ent EPG'!$A:$C,MATCH('Impacts - Virgin Media'!$A65,'VM-Gen Ent EPG'!$C:$C,0),2)</f>
        <v>59</v>
      </c>
      <c r="E65" s="73">
        <f>(VLOOKUP(D65,' VM-Gen Ent - EMP slot values'!$A$29:$B$140,2,FALSE))/5</f>
        <v>0.36545952475997673</v>
      </c>
      <c r="G65">
        <f>INDEX('VM-Gen Ent EPG'!$F:$H,MATCH($A65,'VM-Gen Ent EPG'!$H:$H,0),1)</f>
        <v>162</v>
      </c>
      <c r="H65">
        <f>INDEX('VM-Gen Ent EPG'!$F:$H,MATCH($A65,'VM-Gen Ent EPG'!$H:$H,0),2)</f>
        <v>61</v>
      </c>
      <c r="I65" s="73">
        <f>(VLOOKUP(H65,' VM-Gen Ent - EMP slot values'!$A$29:$B$140,2,FALSE))/5</f>
        <v>0.35074451984860588</v>
      </c>
      <c r="J65">
        <f t="shared" si="1"/>
        <v>-2</v>
      </c>
      <c r="K65" s="7">
        <f t="shared" si="2"/>
        <v>-1.4715004911370844E-2</v>
      </c>
      <c r="L65">
        <f t="shared" si="3"/>
        <v>1</v>
      </c>
      <c r="M65">
        <f>INDEX('VM-Gen Ent EPG'!$K:$M,MATCH($A65,'VM-Gen Ent EPG'!$M:$M,0),1)</f>
        <v>162</v>
      </c>
      <c r="N65">
        <f>INDEX('VM-Gen Ent EPG'!$K:$M,MATCH($A65,'VM-Gen Ent EPG'!$M:$M,0),2)</f>
        <v>61</v>
      </c>
      <c r="O65" s="73">
        <f>(VLOOKUP(N65,' VM-Gen Ent - EMP slot values'!$A$29:$B$140,2,FALSE))/5</f>
        <v>0.35074451984860588</v>
      </c>
      <c r="P65">
        <f t="shared" si="4"/>
        <v>-2</v>
      </c>
      <c r="Q65" s="7">
        <f t="shared" si="5"/>
        <v>-1.4715004911370844E-2</v>
      </c>
      <c r="R65">
        <f t="shared" si="6"/>
        <v>1</v>
      </c>
    </row>
    <row r="66" spans="1:18" x14ac:dyDescent="0.45">
      <c r="A66" t="str">
        <f>'VM-Gen Ent EPG'!C68</f>
        <v>BBC Alba</v>
      </c>
      <c r="B66">
        <f t="shared" si="0"/>
        <v>0</v>
      </c>
      <c r="C66">
        <f>INDEX('VM-Gen Ent EPG'!$A:$C,MATCH('Impacts - Virgin Media'!$A66,'VM-Gen Ent EPG'!$C:$C,0),1)</f>
        <v>161</v>
      </c>
      <c r="D66">
        <f>INDEX('VM-Gen Ent EPG'!$A:$C,MATCH('Impacts - Virgin Media'!$A66,'VM-Gen Ent EPG'!$C:$C,0),2)</f>
        <v>60</v>
      </c>
      <c r="E66" s="73">
        <f>(VLOOKUP(D66,' VM-Gen Ent - EMP slot values'!$A$29:$B$140,2,FALSE))/5</f>
        <v>0.35999999999999993</v>
      </c>
      <c r="G66">
        <f>INDEX('VM-Gen Ent EPG'!$F:$H,MATCH($A66,'VM-Gen Ent EPG'!$H:$H,0),1)</f>
        <v>123</v>
      </c>
      <c r="H66">
        <f>INDEX('VM-Gen Ent EPG'!$F:$H,MATCH($A66,'VM-Gen Ent EPG'!$H:$H,0),2)</f>
        <v>23</v>
      </c>
      <c r="I66" s="73">
        <f>(VLOOKUP(H66,' VM-Gen Ent - EMP slot values'!$A$29:$B$140,2,FALSE))/5</f>
        <v>1.4035589495859622</v>
      </c>
      <c r="J66">
        <f t="shared" si="1"/>
        <v>37</v>
      </c>
      <c r="K66" s="7">
        <f t="shared" si="2"/>
        <v>1.0435589495859623</v>
      </c>
      <c r="L66">
        <f t="shared" si="3"/>
        <v>1</v>
      </c>
      <c r="M66">
        <f>INDEX('VM-Gen Ent EPG'!$K:$M,MATCH($A66,'VM-Gen Ent EPG'!$M:$M,0),1)</f>
        <v>123</v>
      </c>
      <c r="N66">
        <f>INDEX('VM-Gen Ent EPG'!$K:$M,MATCH($A66,'VM-Gen Ent EPG'!$M:$M,0),2)</f>
        <v>23</v>
      </c>
      <c r="O66" s="73">
        <f>(VLOOKUP(N66,' VM-Gen Ent - EMP slot values'!$A$29:$B$140,2,FALSE))/5</f>
        <v>1.4035589495859622</v>
      </c>
      <c r="P66">
        <f t="shared" si="4"/>
        <v>37</v>
      </c>
      <c r="Q66" s="7">
        <f t="shared" si="5"/>
        <v>1.0435589495859623</v>
      </c>
      <c r="R66">
        <f t="shared" si="6"/>
        <v>1</v>
      </c>
    </row>
    <row r="67" spans="1:18" x14ac:dyDescent="0.45">
      <c r="A67" t="str">
        <f>'VM-Gen Ent EPG'!C69</f>
        <v>BBC Scotland HD*</v>
      </c>
      <c r="B67">
        <f t="shared" si="0"/>
        <v>0</v>
      </c>
      <c r="C67">
        <f>INDEX('VM-Gen Ent EPG'!$A:$C,MATCH('Impacts - Virgin Media'!$A67,'VM-Gen Ent EPG'!$C:$C,0),1)</f>
        <v>162</v>
      </c>
      <c r="D67">
        <f>INDEX('VM-Gen Ent EPG'!$A:$C,MATCH('Impacts - Virgin Media'!$A67,'VM-Gen Ent EPG'!$C:$C,0),2)</f>
        <v>61</v>
      </c>
      <c r="E67" s="73">
        <f>(VLOOKUP(D67,' VM-Gen Ent - EMP slot values'!$A$29:$B$140,2,FALSE))/5</f>
        <v>0.35074451984860588</v>
      </c>
      <c r="G67">
        <f>INDEX('VM-Gen Ent EPG'!$F:$H,MATCH($A67,'VM-Gen Ent EPG'!$H:$H,0),1)</f>
        <v>164</v>
      </c>
      <c r="H67">
        <f>INDEX('VM-Gen Ent EPG'!$F:$H,MATCH($A67,'VM-Gen Ent EPG'!$H:$H,0),2)</f>
        <v>62</v>
      </c>
      <c r="I67" s="73">
        <f>(VLOOKUP(H67,' VM-Gen Ent - EMP slot values'!$A$29:$B$140,2,FALSE))/5</f>
        <v>0.34172699501063641</v>
      </c>
      <c r="J67">
        <f t="shared" si="1"/>
        <v>-1</v>
      </c>
      <c r="K67" s="7">
        <f t="shared" si="2"/>
        <v>-9.0175248379694706E-3</v>
      </c>
      <c r="L67">
        <f t="shared" si="3"/>
        <v>1</v>
      </c>
      <c r="M67">
        <f>INDEX('VM-Gen Ent EPG'!$K:$M,MATCH($A67,'VM-Gen Ent EPG'!$M:$M,0),1)</f>
        <v>164</v>
      </c>
      <c r="N67">
        <f>INDEX('VM-Gen Ent EPG'!$K:$M,MATCH($A67,'VM-Gen Ent EPG'!$M:$M,0),2)</f>
        <v>62</v>
      </c>
      <c r="O67" s="73">
        <f>(VLOOKUP(N67,' VM-Gen Ent - EMP slot values'!$A$29:$B$140,2,FALSE))/5</f>
        <v>0.34172699501063641</v>
      </c>
      <c r="P67">
        <f t="shared" si="4"/>
        <v>-1</v>
      </c>
      <c r="Q67" s="7">
        <f t="shared" si="5"/>
        <v>-9.0175248379694706E-3</v>
      </c>
      <c r="R67">
        <f t="shared" si="6"/>
        <v>1</v>
      </c>
    </row>
    <row r="68" spans="1:18" x14ac:dyDescent="0.45">
      <c r="A68" t="str">
        <f>'VM-Gen Ent EPG'!C70</f>
        <v>Universal TV HD</v>
      </c>
      <c r="B68">
        <f t="shared" si="0"/>
        <v>1</v>
      </c>
      <c r="C68">
        <f>INDEX('VM-Gen Ent EPG'!$A:$C,MATCH('Impacts - Virgin Media'!$A68,'VM-Gen Ent EPG'!$C:$C,0),1)</f>
        <v>164</v>
      </c>
      <c r="D68">
        <f>INDEX('VM-Gen Ent EPG'!$A:$C,MATCH('Impacts - Virgin Media'!$A68,'VM-Gen Ent EPG'!$C:$C,0),2)</f>
        <v>62</v>
      </c>
      <c r="E68" s="73">
        <f>(VLOOKUP(D68,' VM-Gen Ent - EMP slot values'!$A$29:$B$140,2,FALSE))/5</f>
        <v>0.34172699501063641</v>
      </c>
      <c r="G68">
        <f>INDEX('VM-Gen Ent EPG'!$F:$H,MATCH($A68,'VM-Gen Ent EPG'!$H:$H,0),1)</f>
        <v>165</v>
      </c>
      <c r="H68">
        <f>INDEX('VM-Gen Ent EPG'!$F:$H,MATCH($A68,'VM-Gen Ent EPG'!$H:$H,0),2)</f>
        <v>63</v>
      </c>
      <c r="I68" s="73">
        <f>(VLOOKUP(H68,' VM-Gen Ent - EMP slot values'!$A$29:$B$140,2,FALSE))/5</f>
        <v>0.33294130773420166</v>
      </c>
      <c r="J68">
        <f t="shared" si="1"/>
        <v>-1</v>
      </c>
      <c r="K68" s="7">
        <f t="shared" si="2"/>
        <v>-8.7856872764347504E-3</v>
      </c>
      <c r="L68">
        <f t="shared" si="3"/>
        <v>1</v>
      </c>
      <c r="M68">
        <f>INDEX('VM-Gen Ent EPG'!$K:$M,MATCH($A68,'VM-Gen Ent EPG'!$M:$M,0),1)</f>
        <v>165</v>
      </c>
      <c r="N68">
        <f>INDEX('VM-Gen Ent EPG'!$K:$M,MATCH($A68,'VM-Gen Ent EPG'!$M:$M,0),2)</f>
        <v>63</v>
      </c>
      <c r="O68" s="73">
        <f>(VLOOKUP(N68,' VM-Gen Ent - EMP slot values'!$A$29:$B$140,2,FALSE))/5</f>
        <v>0.33294130773420166</v>
      </c>
      <c r="P68">
        <f t="shared" si="4"/>
        <v>-1</v>
      </c>
      <c r="Q68" s="7">
        <f t="shared" si="5"/>
        <v>-8.7856872764347504E-3</v>
      </c>
      <c r="R68">
        <f t="shared" si="6"/>
        <v>1</v>
      </c>
    </row>
    <row r="69" spans="1:18" x14ac:dyDescent="0.45">
      <c r="A69" t="str">
        <f>'VM-Gen Ent EPG'!C71</f>
        <v>SYFY HD</v>
      </c>
      <c r="B69">
        <f t="shared" si="0"/>
        <v>1</v>
      </c>
      <c r="C69">
        <f>INDEX('VM-Gen Ent EPG'!$A:$C,MATCH('Impacts - Virgin Media'!$A69,'VM-Gen Ent EPG'!$C:$C,0),1)</f>
        <v>165</v>
      </c>
      <c r="D69">
        <f>INDEX('VM-Gen Ent EPG'!$A:$C,MATCH('Impacts - Virgin Media'!$A69,'VM-Gen Ent EPG'!$C:$C,0),2)</f>
        <v>63</v>
      </c>
      <c r="E69" s="73">
        <f>(VLOOKUP(D69,' VM-Gen Ent - EMP slot values'!$A$29:$B$140,2,FALSE))/5</f>
        <v>0.33294130773420166</v>
      </c>
      <c r="G69">
        <f>INDEX('VM-Gen Ent EPG'!$F:$H,MATCH($A69,'VM-Gen Ent EPG'!$H:$H,0),1)</f>
        <v>166</v>
      </c>
      <c r="H69">
        <f>INDEX('VM-Gen Ent EPG'!$F:$H,MATCH($A69,'VM-Gen Ent EPG'!$H:$H,0),2)</f>
        <v>64</v>
      </c>
      <c r="I69" s="73">
        <f>(VLOOKUP(H69,' VM-Gen Ent - EMP slot values'!$A$29:$B$140,2,FALSE))/5</f>
        <v>0.3243814975527764</v>
      </c>
      <c r="J69">
        <f t="shared" si="1"/>
        <v>-1</v>
      </c>
      <c r="K69" s="7">
        <f t="shared" si="2"/>
        <v>-8.5598101814252647E-3</v>
      </c>
      <c r="L69">
        <f t="shared" si="3"/>
        <v>1</v>
      </c>
      <c r="M69">
        <f>INDEX('VM-Gen Ent EPG'!$K:$M,MATCH($A69,'VM-Gen Ent EPG'!$M:$M,0),1)</f>
        <v>166</v>
      </c>
      <c r="N69">
        <f>INDEX('VM-Gen Ent EPG'!$K:$M,MATCH($A69,'VM-Gen Ent EPG'!$M:$M,0),2)</f>
        <v>64</v>
      </c>
      <c r="O69" s="73">
        <f>(VLOOKUP(N69,' VM-Gen Ent - EMP slot values'!$A$29:$B$140,2,FALSE))/5</f>
        <v>0.3243814975527764</v>
      </c>
      <c r="P69">
        <f t="shared" si="4"/>
        <v>-1</v>
      </c>
      <c r="Q69" s="7">
        <f t="shared" si="5"/>
        <v>-8.5598101814252647E-3</v>
      </c>
      <c r="R69">
        <f t="shared" si="6"/>
        <v>1</v>
      </c>
    </row>
    <row r="70" spans="1:18" x14ac:dyDescent="0.45">
      <c r="A70" t="str">
        <f>'VM-Gen Ent EPG'!C72</f>
        <v>S4C HD</v>
      </c>
      <c r="B70">
        <f t="shared" si="0"/>
        <v>1</v>
      </c>
      <c r="C70">
        <f>INDEX('VM-Gen Ent EPG'!$A:$C,MATCH('Impacts - Virgin Media'!$A70,'VM-Gen Ent EPG'!$C:$C,0),1)</f>
        <v>166</v>
      </c>
      <c r="D70">
        <f>INDEX('VM-Gen Ent EPG'!$A:$C,MATCH('Impacts - Virgin Media'!$A70,'VM-Gen Ent EPG'!$C:$C,0),2)</f>
        <v>64</v>
      </c>
      <c r="E70" s="73">
        <f>(VLOOKUP(D70,' VM-Gen Ent - EMP slot values'!$A$29:$B$140,2,FALSE))/5</f>
        <v>0.3243814975527764</v>
      </c>
      <c r="G70">
        <f>INDEX('VM-Gen Ent EPG'!$F:$H,MATCH($A70,'VM-Gen Ent EPG'!$H:$H,0),1)</f>
        <v>124</v>
      </c>
      <c r="H70">
        <f>INDEX('VM-Gen Ent EPG'!$F:$H,MATCH($A70,'VM-Gen Ent EPG'!$H:$H,0),2)</f>
        <v>24</v>
      </c>
      <c r="I70" s="73">
        <f>(VLOOKUP(H70,' VM-Gen Ent - EMP slot values'!$A$29:$B$140,2,FALSE))/5</f>
        <v>1.3507874127566306</v>
      </c>
      <c r="J70">
        <f t="shared" si="1"/>
        <v>40</v>
      </c>
      <c r="K70" s="7">
        <f t="shared" si="2"/>
        <v>1.0264059152038543</v>
      </c>
      <c r="L70">
        <f t="shared" si="3"/>
        <v>1</v>
      </c>
      <c r="M70">
        <f>INDEX('VM-Gen Ent EPG'!$K:$M,MATCH($A70,'VM-Gen Ent EPG'!$M:$M,0),1)</f>
        <v>124</v>
      </c>
      <c r="N70">
        <f>INDEX('VM-Gen Ent EPG'!$K:$M,MATCH($A70,'VM-Gen Ent EPG'!$M:$M,0),2)</f>
        <v>24</v>
      </c>
      <c r="O70" s="73">
        <f>(VLOOKUP(N70,' VM-Gen Ent - EMP slot values'!$A$29:$B$140,2,FALSE))/5</f>
        <v>1.3507874127566306</v>
      </c>
      <c r="P70">
        <f t="shared" si="4"/>
        <v>40</v>
      </c>
      <c r="Q70" s="7">
        <f t="shared" si="5"/>
        <v>1.0264059152038543</v>
      </c>
      <c r="R70">
        <f t="shared" si="6"/>
        <v>1</v>
      </c>
    </row>
    <row r="71" spans="1:18" ht="28.5" x14ac:dyDescent="0.45">
      <c r="A71" t="s">
        <v>214</v>
      </c>
      <c r="G71" s="2" t="s">
        <v>201</v>
      </c>
      <c r="H71" s="2" t="s">
        <v>201</v>
      </c>
      <c r="M71" s="2" t="s">
        <v>201</v>
      </c>
      <c r="N71" s="2" t="s">
        <v>201</v>
      </c>
    </row>
    <row r="72" spans="1:18" ht="57" x14ac:dyDescent="0.45">
      <c r="G72" s="2" t="s">
        <v>207</v>
      </c>
      <c r="J72">
        <f>COUNTIFS($B$7:$B$70,1,J7:J70,"&lt;0")</f>
        <v>38</v>
      </c>
      <c r="P72">
        <f>COUNTIFS($B$7:$B$70,1,P7:P70,"&lt;0")</f>
        <v>39</v>
      </c>
    </row>
    <row r="73" spans="1:18" ht="71.25" x14ac:dyDescent="0.45">
      <c r="G73" s="2" t="s">
        <v>217</v>
      </c>
      <c r="J73" s="73">
        <f>SUMIFS(K7:K70,$B$7:$B$70,1,K7:K70,"&lt;0")</f>
        <v>-2.0609473399518468</v>
      </c>
      <c r="P73" s="73">
        <f>SUMIFS(Q7:Q70,$B$7:$B$70,1,Q7:Q70,"&lt;0")</f>
        <v>-3.1483376195873669</v>
      </c>
    </row>
    <row r="75" spans="1:18" ht="71.25" x14ac:dyDescent="0.45">
      <c r="G75" s="2" t="s">
        <v>218</v>
      </c>
      <c r="J75" s="73">
        <f>P73-J73</f>
        <v>-1.0873902796355202</v>
      </c>
    </row>
    <row r="77" spans="1:18" ht="42.75" x14ac:dyDescent="0.45">
      <c r="G77" s="2" t="s">
        <v>220</v>
      </c>
      <c r="J77">
        <f>COUNTIF(L7:L70,1)</f>
        <v>41</v>
      </c>
      <c r="P77">
        <f>COUNTIF(R7:R70,1)</f>
        <v>43</v>
      </c>
    </row>
  </sheetData>
  <pageMargins left="0.70866141732283472" right="0.70866141732283472" top="0.74803149606299213" bottom="0.74803149606299213" header="0.31496062992125984" footer="0.31496062992125984"/>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11254-B68C-484D-B603-F8800E38C2C8}">
  <sheetPr>
    <tabColor theme="8" tint="0.59999389629810485"/>
  </sheetPr>
  <dimension ref="A1:P53"/>
  <sheetViews>
    <sheetView workbookViewId="0"/>
  </sheetViews>
  <sheetFormatPr defaultRowHeight="14.25" x14ac:dyDescent="0.45"/>
  <cols>
    <col min="1" max="1" width="21.33203125" customWidth="1"/>
    <col min="4" max="4" width="10.796875" bestFit="1" customWidth="1"/>
    <col min="6" max="6" width="19.46484375" customWidth="1"/>
    <col min="7" max="7" width="13.265625" customWidth="1"/>
    <col min="10" max="10" width="20.33203125" bestFit="1" customWidth="1"/>
    <col min="15" max="15" width="19.33203125" customWidth="1"/>
    <col min="16" max="16" width="14.33203125" customWidth="1"/>
  </cols>
  <sheetData>
    <row r="1" spans="1:16" x14ac:dyDescent="0.45">
      <c r="A1" t="s">
        <v>696</v>
      </c>
    </row>
    <row r="3" spans="1:16" x14ac:dyDescent="0.45">
      <c r="A3" t="s">
        <v>153</v>
      </c>
      <c r="J3" t="s">
        <v>154</v>
      </c>
    </row>
    <row r="4" spans="1:16" ht="14.45" customHeight="1" x14ac:dyDescent="0.45">
      <c r="C4" t="s">
        <v>122</v>
      </c>
      <c r="F4" s="148" t="s">
        <v>288</v>
      </c>
      <c r="G4" s="148"/>
      <c r="L4" t="s">
        <v>122</v>
      </c>
      <c r="O4" s="148" t="s">
        <v>288</v>
      </c>
      <c r="P4" s="148"/>
    </row>
    <row r="5" spans="1:16" x14ac:dyDescent="0.45">
      <c r="F5" s="148"/>
      <c r="G5" s="148"/>
      <c r="O5" s="148"/>
      <c r="P5" s="148"/>
    </row>
    <row r="7" spans="1:16" x14ac:dyDescent="0.45">
      <c r="A7" t="s">
        <v>197</v>
      </c>
      <c r="C7" t="s">
        <v>12</v>
      </c>
      <c r="D7" t="s">
        <v>123</v>
      </c>
      <c r="F7" t="s">
        <v>12</v>
      </c>
      <c r="G7" t="s">
        <v>123</v>
      </c>
      <c r="J7" t="s">
        <v>197</v>
      </c>
      <c r="L7" t="s">
        <v>12</v>
      </c>
      <c r="M7" t="s">
        <v>123</v>
      </c>
      <c r="O7" t="s">
        <v>12</v>
      </c>
      <c r="P7" t="s">
        <v>123</v>
      </c>
    </row>
    <row r="8" spans="1:16" x14ac:dyDescent="0.45">
      <c r="A8" t="str">
        <f>IF('Sky-Gen Ent EPG'!C10&lt;&gt;0,'Sky-Gen Ent EPG'!C10,"")</f>
        <v>BBC One</v>
      </c>
      <c r="C8">
        <f>IF($A8="","",INDEX('Sky-Gen Ent EPG'!$A:$C,MATCH('Impacts - Sky - England and NI'!$A8,'Sky-Gen Ent EPG'!$C:$C,0),1))</f>
        <v>101</v>
      </c>
      <c r="D8">
        <f>IF($A8="","",INDEX('Sky-Gen Ent EPG'!$A:$C,MATCH('Impacts - Sky - England and NI'!$A8,'Sky-Gen Ent EPG'!$C:$C,0),2))</f>
        <v>1</v>
      </c>
      <c r="F8">
        <f>IF($A8="","",INDEX('Sky-Gen Ent EPG'!$Q:$S,MATCH('Impacts - Sky - England and NI'!$A8,'Sky-Gen Ent EPG'!$S:$S,0),1))</f>
        <v>101</v>
      </c>
      <c r="G8">
        <f>IF($A8="","",INDEX('Sky-Gen Ent EPG'!$Q:$S,MATCH('Impacts - Sky - England and NI'!$A8,'Sky-Gen Ent EPG'!$S:$S,0),2))</f>
        <v>1</v>
      </c>
      <c r="J8" t="str">
        <f>IF('Sky-Gen Ent EPG'!G10&lt;&gt;0,'Sky-Gen Ent EPG'!G10,"")</f>
        <v>BBC One</v>
      </c>
      <c r="L8">
        <f>IF($J8="","",INDEX('Sky-Gen Ent EPG'!$E:$G,MATCH('Impacts - Sky - England and NI'!$J8,'Sky-Gen Ent EPG'!$G:$G,0),1))</f>
        <v>101</v>
      </c>
      <c r="M8">
        <f>IF($J8="","",INDEX('Sky-Gen Ent EPG'!$E:$G,MATCH('Impacts - Sky - England and NI'!$J8,'Sky-Gen Ent EPG'!$G:$G,0),2))</f>
        <v>1</v>
      </c>
      <c r="O8">
        <f>IF($J8="","",INDEX('Sky-Gen Ent EPG'!$U:$W,MATCH('Impacts - Sky - England and NI'!$J8,'Sky-Gen Ent EPG'!$W:$W,0),1))</f>
        <v>101</v>
      </c>
      <c r="P8">
        <f>IF($J8="","",INDEX('Sky-Gen Ent EPG'!$U:$W,MATCH('Impacts - Sky - England and NI'!$J8,'Sky-Gen Ent EPG'!$W:$W,0),2))</f>
        <v>1</v>
      </c>
    </row>
    <row r="9" spans="1:16" x14ac:dyDescent="0.45">
      <c r="A9" t="str">
        <f>IF('Sky-Gen Ent EPG'!C11&lt;&gt;0,'Sky-Gen Ent EPG'!C11,"")</f>
        <v>BBC Two</v>
      </c>
      <c r="C9">
        <f>IF($A9="","",INDEX('Sky-Gen Ent EPG'!$A:$C,MATCH('Impacts - Sky - England and NI'!$A9,'Sky-Gen Ent EPG'!$C:$C,0),1))</f>
        <v>102</v>
      </c>
      <c r="D9">
        <f>IF($A9="","",INDEX('Sky-Gen Ent EPG'!$A:$C,MATCH('Impacts - Sky - England and NI'!$A9,'Sky-Gen Ent EPG'!$C:$C,0),2))</f>
        <v>2</v>
      </c>
      <c r="F9">
        <f>IF($A9="","",INDEX('Sky-Gen Ent EPG'!$Q:$S,MATCH('Impacts - Sky - England and NI'!$A9,'Sky-Gen Ent EPG'!$S:$S,0),1))</f>
        <v>102</v>
      </c>
      <c r="G9">
        <f>IF($A9="","",INDEX('Sky-Gen Ent EPG'!$Q:$S,MATCH('Impacts - Sky - England and NI'!$A9,'Sky-Gen Ent EPG'!$S:$S,0),2))</f>
        <v>2</v>
      </c>
      <c r="J9" t="str">
        <f>IF('Sky-Gen Ent EPG'!G11&lt;&gt;0,'Sky-Gen Ent EPG'!G11,"")</f>
        <v>BBC Two</v>
      </c>
      <c r="L9">
        <f>IF($J9="","",INDEX('Sky-Gen Ent EPG'!$E:$G,MATCH('Impacts - Sky - England and NI'!$J9,'Sky-Gen Ent EPG'!$G:$G,0),1))</f>
        <v>102</v>
      </c>
      <c r="M9">
        <f>IF($J9="","",INDEX('Sky-Gen Ent EPG'!$E:$G,MATCH('Impacts - Sky - England and NI'!$J9,'Sky-Gen Ent EPG'!$G:$G,0),2))</f>
        <v>2</v>
      </c>
      <c r="O9">
        <f>IF($J9="","",INDEX('Sky-Gen Ent EPG'!$U:$W,MATCH('Impacts - Sky - England and NI'!$J9,'Sky-Gen Ent EPG'!$W:$W,0),1))</f>
        <v>102</v>
      </c>
      <c r="P9">
        <f>IF($J9="","",INDEX('Sky-Gen Ent EPG'!$U:$W,MATCH('Impacts - Sky - England and NI'!$J9,'Sky-Gen Ent EPG'!$W:$W,0),2))</f>
        <v>2</v>
      </c>
    </row>
    <row r="10" spans="1:16" x14ac:dyDescent="0.45">
      <c r="A10" t="str">
        <f>IF('Sky-Gen Ent EPG'!C12&lt;&gt;0,'Sky-Gen Ent EPG'!C12,"")</f>
        <v>ITV</v>
      </c>
      <c r="C10">
        <f>IF($A10="","",INDEX('Sky-Gen Ent EPG'!$A:$C,MATCH('Impacts - Sky - England and NI'!$A10,'Sky-Gen Ent EPG'!$C:$C,0),1))</f>
        <v>103</v>
      </c>
      <c r="D10">
        <f>IF($A10="","",INDEX('Sky-Gen Ent EPG'!$A:$C,MATCH('Impacts - Sky - England and NI'!$A10,'Sky-Gen Ent EPG'!$C:$C,0),2))</f>
        <v>3</v>
      </c>
      <c r="F10">
        <f>IF($A10="","",INDEX('Sky-Gen Ent EPG'!$Q:$S,MATCH('Impacts - Sky - England and NI'!$A10,'Sky-Gen Ent EPG'!$S:$S,0),1))</f>
        <v>103</v>
      </c>
      <c r="G10">
        <f>IF($A10="","",INDEX('Sky-Gen Ent EPG'!$Q:$S,MATCH('Impacts - Sky - England and NI'!$A10,'Sky-Gen Ent EPG'!$S:$S,0),2))</f>
        <v>3</v>
      </c>
      <c r="J10" t="str">
        <f>IF('Sky-Gen Ent EPG'!G12&lt;&gt;0,'Sky-Gen Ent EPG'!G12,"")</f>
        <v>UTV</v>
      </c>
      <c r="L10">
        <f>IF($J10="","",INDEX('Sky-Gen Ent EPG'!$E:$G,MATCH('Impacts - Sky - England and NI'!$J10,'Sky-Gen Ent EPG'!$G:$G,0),1))</f>
        <v>103</v>
      </c>
      <c r="M10">
        <f>IF($J10="","",INDEX('Sky-Gen Ent EPG'!$E:$G,MATCH('Impacts - Sky - England and NI'!$J10,'Sky-Gen Ent EPG'!$G:$G,0),2))</f>
        <v>3</v>
      </c>
      <c r="O10">
        <f>IF($J10="","",INDEX('Sky-Gen Ent EPG'!$U:$W,MATCH('Impacts - Sky - England and NI'!$J10,'Sky-Gen Ent EPG'!$W:$W,0),1))</f>
        <v>103</v>
      </c>
      <c r="P10">
        <f>IF($J10="","",INDEX('Sky-Gen Ent EPG'!$U:$W,MATCH('Impacts - Sky - England and NI'!$J10,'Sky-Gen Ent EPG'!$W:$W,0),2))</f>
        <v>3</v>
      </c>
    </row>
    <row r="11" spans="1:16" x14ac:dyDescent="0.45">
      <c r="A11" t="str">
        <f>IF('Sky-Gen Ent EPG'!C13&lt;&gt;0,'Sky-Gen Ent EPG'!C13,"")</f>
        <v>Channel 4</v>
      </c>
      <c r="C11">
        <f>IF($A11="","",INDEX('Sky-Gen Ent EPG'!$A:$C,MATCH('Impacts - Sky - England and NI'!$A11,'Sky-Gen Ent EPG'!$C:$C,0),1))</f>
        <v>104</v>
      </c>
      <c r="D11">
        <f>IF($A11="","",INDEX('Sky-Gen Ent EPG'!$A:$C,MATCH('Impacts - Sky - England and NI'!$A11,'Sky-Gen Ent EPG'!$C:$C,0),2))</f>
        <v>4</v>
      </c>
      <c r="F11">
        <f>IF($A11="","",INDEX('Sky-Gen Ent EPG'!$Q:$S,MATCH('Impacts - Sky - England and NI'!$A11,'Sky-Gen Ent EPG'!$S:$S,0),1))</f>
        <v>104</v>
      </c>
      <c r="G11">
        <f>IF($A11="","",INDEX('Sky-Gen Ent EPG'!$Q:$S,MATCH('Impacts - Sky - England and NI'!$A11,'Sky-Gen Ent EPG'!$S:$S,0),2))</f>
        <v>4</v>
      </c>
      <c r="J11" t="str">
        <f>IF('Sky-Gen Ent EPG'!G13&lt;&gt;0,'Sky-Gen Ent EPG'!G13,"")</f>
        <v>Channel 4</v>
      </c>
      <c r="L11">
        <f>IF($J11="","",INDEX('Sky-Gen Ent EPG'!$E:$G,MATCH('Impacts - Sky - England and NI'!$J11,'Sky-Gen Ent EPG'!$G:$G,0),1))</f>
        <v>104</v>
      </c>
      <c r="M11">
        <f>IF($J11="","",INDEX('Sky-Gen Ent EPG'!$E:$G,MATCH('Impacts - Sky - England and NI'!$J11,'Sky-Gen Ent EPG'!$G:$G,0),2))</f>
        <v>4</v>
      </c>
      <c r="O11">
        <f>IF($J11="","",INDEX('Sky-Gen Ent EPG'!$U:$W,MATCH('Impacts - Sky - England and NI'!$J11,'Sky-Gen Ent EPG'!$W:$W,0),1))</f>
        <v>104</v>
      </c>
      <c r="P11">
        <f>IF($J11="","",INDEX('Sky-Gen Ent EPG'!$U:$W,MATCH('Impacts - Sky - England and NI'!$J11,'Sky-Gen Ent EPG'!$W:$W,0),2))</f>
        <v>4</v>
      </c>
    </row>
    <row r="12" spans="1:16" x14ac:dyDescent="0.45">
      <c r="A12" t="str">
        <f>IF('Sky-Gen Ent EPG'!C14&lt;&gt;0,'Sky-Gen Ent EPG'!C14,"")</f>
        <v>Channel 5</v>
      </c>
      <c r="C12">
        <f>IF($A12="","",INDEX('Sky-Gen Ent EPG'!$A:$C,MATCH('Impacts - Sky - England and NI'!$A12,'Sky-Gen Ent EPG'!$C:$C,0),1))</f>
        <v>105</v>
      </c>
      <c r="D12">
        <f>IF($A12="","",INDEX('Sky-Gen Ent EPG'!$A:$C,MATCH('Impacts - Sky - England and NI'!$A12,'Sky-Gen Ent EPG'!$C:$C,0),2))</f>
        <v>5</v>
      </c>
      <c r="F12">
        <f>IF($A12="","",INDEX('Sky-Gen Ent EPG'!$Q:$S,MATCH('Impacts - Sky - England and NI'!$A12,'Sky-Gen Ent EPG'!$S:$S,0),1))</f>
        <v>105</v>
      </c>
      <c r="G12">
        <f>IF($A12="","",INDEX('Sky-Gen Ent EPG'!$Q:$S,MATCH('Impacts - Sky - England and NI'!$A12,'Sky-Gen Ent EPG'!$S:$S,0),2))</f>
        <v>5</v>
      </c>
      <c r="J12" t="str">
        <f>IF('Sky-Gen Ent EPG'!G14&lt;&gt;0,'Sky-Gen Ent EPG'!G14,"")</f>
        <v>Channel 5</v>
      </c>
      <c r="L12">
        <f>IF($J12="","",INDEX('Sky-Gen Ent EPG'!$E:$G,MATCH('Impacts - Sky - England and NI'!$J12,'Sky-Gen Ent EPG'!$G:$G,0),1))</f>
        <v>105</v>
      </c>
      <c r="M12">
        <f>IF($J12="","",INDEX('Sky-Gen Ent EPG'!$E:$G,MATCH('Impacts - Sky - England and NI'!$J12,'Sky-Gen Ent EPG'!$G:$G,0),2))</f>
        <v>5</v>
      </c>
      <c r="O12">
        <f>IF($J12="","",INDEX('Sky-Gen Ent EPG'!$U:$W,MATCH('Impacts - Sky - England and NI'!$J12,'Sky-Gen Ent EPG'!$W:$W,0),1))</f>
        <v>105</v>
      </c>
      <c r="P12">
        <f>IF($J12="","",INDEX('Sky-Gen Ent EPG'!$U:$W,MATCH('Impacts - Sky - England and NI'!$J12,'Sky-Gen Ent EPG'!$W:$W,0),2))</f>
        <v>5</v>
      </c>
    </row>
    <row r="13" spans="1:16" x14ac:dyDescent="0.45">
      <c r="A13" t="str">
        <f>IF('Sky-Gen Ent EPG'!C15&lt;&gt;0,'Sky-Gen Ent EPG'!C15,"")</f>
        <v>Sky One HD</v>
      </c>
      <c r="C13">
        <f>IF($A13="","",INDEX('Sky-Gen Ent EPG'!$A:$C,MATCH('Impacts - Sky - England and NI'!$A13,'Sky-Gen Ent EPG'!$C:$C,0),1))</f>
        <v>106</v>
      </c>
      <c r="D13">
        <f>IF($A13="","",INDEX('Sky-Gen Ent EPG'!$A:$C,MATCH('Impacts - Sky - England and NI'!$A13,'Sky-Gen Ent EPG'!$C:$C,0),2))</f>
        <v>6</v>
      </c>
      <c r="F13">
        <f>IF($A13="","",INDEX('Sky-Gen Ent EPG'!$Q:$S,MATCH('Impacts - Sky - England and NI'!$A13,'Sky-Gen Ent EPG'!$S:$S,0),1))</f>
        <v>106</v>
      </c>
      <c r="G13">
        <f>IF($A13="","",INDEX('Sky-Gen Ent EPG'!$Q:$S,MATCH('Impacts - Sky - England and NI'!$A13,'Sky-Gen Ent EPG'!$S:$S,0),2))</f>
        <v>6</v>
      </c>
      <c r="J13" t="str">
        <f>IF('Sky-Gen Ent EPG'!G15&lt;&gt;0,'Sky-Gen Ent EPG'!G15,"")</f>
        <v>Sky One HD</v>
      </c>
      <c r="L13">
        <f>IF($J13="","",INDEX('Sky-Gen Ent EPG'!$E:$G,MATCH('Impacts - Sky - England and NI'!$J13,'Sky-Gen Ent EPG'!$G:$G,0),1))</f>
        <v>106</v>
      </c>
      <c r="M13">
        <f>IF($J13="","",INDEX('Sky-Gen Ent EPG'!$E:$G,MATCH('Impacts - Sky - England and NI'!$J13,'Sky-Gen Ent EPG'!$G:$G,0),2))</f>
        <v>6</v>
      </c>
      <c r="O13">
        <f>IF($J13="","",INDEX('Sky-Gen Ent EPG'!$U:$W,MATCH('Impacts - Sky - England and NI'!$J13,'Sky-Gen Ent EPG'!$W:$W,0),1))</f>
        <v>106</v>
      </c>
      <c r="P13">
        <f>IF($J13="","",INDEX('Sky-Gen Ent EPG'!$U:$W,MATCH('Impacts - Sky - England and NI'!$J13,'Sky-Gen Ent EPG'!$W:$W,0),2))</f>
        <v>6</v>
      </c>
    </row>
    <row r="14" spans="1:16" x14ac:dyDescent="0.45">
      <c r="A14" t="str">
        <f>IF('Sky-Gen Ent EPG'!C16&lt;&gt;0,'Sky-Gen Ent EPG'!C16,"")</f>
        <v>Sky Witness HD</v>
      </c>
      <c r="C14">
        <f>IF($A14="","",INDEX('Sky-Gen Ent EPG'!$A:$C,MATCH('Impacts - Sky - England and NI'!$A14,'Sky-Gen Ent EPG'!$C:$C,0),1))</f>
        <v>107</v>
      </c>
      <c r="D14">
        <f>IF($A14="","",INDEX('Sky-Gen Ent EPG'!$A:$C,MATCH('Impacts - Sky - England and NI'!$A14,'Sky-Gen Ent EPG'!$C:$C,0),2))</f>
        <v>7</v>
      </c>
      <c r="F14">
        <f>IF($A14="","",INDEX('Sky-Gen Ent EPG'!$Q:$S,MATCH('Impacts - Sky - England and NI'!$A14,'Sky-Gen Ent EPG'!$S:$S,0),1))</f>
        <v>107</v>
      </c>
      <c r="G14">
        <f>IF($A14="","",INDEX('Sky-Gen Ent EPG'!$Q:$S,MATCH('Impacts - Sky - England and NI'!$A14,'Sky-Gen Ent EPG'!$S:$S,0),2))</f>
        <v>7</v>
      </c>
      <c r="J14" t="str">
        <f>IF('Sky-Gen Ent EPG'!G16&lt;&gt;0,'Sky-Gen Ent EPG'!G16,"")</f>
        <v>Sky Witness HD</v>
      </c>
      <c r="L14">
        <f>IF($J14="","",INDEX('Sky-Gen Ent EPG'!$E:$G,MATCH('Impacts - Sky - England and NI'!$J14,'Sky-Gen Ent EPG'!$G:$G,0),1))</f>
        <v>107</v>
      </c>
      <c r="M14">
        <f>IF($J14="","",INDEX('Sky-Gen Ent EPG'!$E:$G,MATCH('Impacts - Sky - England and NI'!$J14,'Sky-Gen Ent EPG'!$G:$G,0),2))</f>
        <v>7</v>
      </c>
      <c r="O14">
        <f>IF($J14="","",INDEX('Sky-Gen Ent EPG'!$U:$W,MATCH('Impacts - Sky - England and NI'!$J14,'Sky-Gen Ent EPG'!$W:$W,0),1))</f>
        <v>107</v>
      </c>
      <c r="P14">
        <f>IF($J14="","",INDEX('Sky-Gen Ent EPG'!$U:$W,MATCH('Impacts - Sky - England and NI'!$J14,'Sky-Gen Ent EPG'!$W:$W,0),2))</f>
        <v>7</v>
      </c>
    </row>
    <row r="15" spans="1:16" x14ac:dyDescent="0.45">
      <c r="A15" t="str">
        <f>IF('Sky-Gen Ent EPG'!C17&lt;&gt;0,'Sky-Gen Ent EPG'!C17,"")</f>
        <v>Sky Atlantic HD</v>
      </c>
      <c r="C15">
        <f>IF($A15="","",INDEX('Sky-Gen Ent EPG'!$A:$C,MATCH('Impacts - Sky - England and NI'!$A15,'Sky-Gen Ent EPG'!$C:$C,0),1))</f>
        <v>108</v>
      </c>
      <c r="D15">
        <f>IF($A15="","",INDEX('Sky-Gen Ent EPG'!$A:$C,MATCH('Impacts - Sky - England and NI'!$A15,'Sky-Gen Ent EPG'!$C:$C,0),2))</f>
        <v>8</v>
      </c>
      <c r="F15">
        <f>IF($A15="","",INDEX('Sky-Gen Ent EPG'!$Q:$S,MATCH('Impacts - Sky - England and NI'!$A15,'Sky-Gen Ent EPG'!$S:$S,0),1))</f>
        <v>109</v>
      </c>
      <c r="G15">
        <f>IF($A15="","",INDEX('Sky-Gen Ent EPG'!$Q:$S,MATCH('Impacts - Sky - England and NI'!$A15,'Sky-Gen Ent EPG'!$S:$S,0),2))</f>
        <v>8</v>
      </c>
      <c r="J15" t="str">
        <f>IF('Sky-Gen Ent EPG'!G17&lt;&gt;0,'Sky-Gen Ent EPG'!G17,"")</f>
        <v>Sky Atlantic HD</v>
      </c>
      <c r="L15">
        <f>IF($J15="","",INDEX('Sky-Gen Ent EPG'!$E:$G,MATCH('Impacts - Sky - England and NI'!$J15,'Sky-Gen Ent EPG'!$G:$G,0),1))</f>
        <v>108</v>
      </c>
      <c r="M15">
        <f>IF($J15="","",INDEX('Sky-Gen Ent EPG'!$E:$G,MATCH('Impacts - Sky - England and NI'!$J15,'Sky-Gen Ent EPG'!$G:$G,0),2))</f>
        <v>8</v>
      </c>
      <c r="O15">
        <f>IF($J15="","",INDEX('Sky-Gen Ent EPG'!$U:$W,MATCH('Impacts - Sky - England and NI'!$J15,'Sky-Gen Ent EPG'!$W:$W,0),1))</f>
        <v>109</v>
      </c>
      <c r="P15">
        <f>IF($J15="","",INDEX('Sky-Gen Ent EPG'!$U:$W,MATCH('Impacts - Sky - England and NI'!$J15,'Sky-Gen Ent EPG'!$W:$W,0),2))</f>
        <v>8</v>
      </c>
    </row>
    <row r="16" spans="1:16" x14ac:dyDescent="0.45">
      <c r="A16" t="str">
        <f>IF('Sky-Gen Ent EPG'!C18&lt;&gt;0,'Sky-Gen Ent EPG'!C18,"")</f>
        <v>W HD</v>
      </c>
      <c r="C16">
        <f>IF($A16="","",INDEX('Sky-Gen Ent EPG'!$A:$C,MATCH('Impacts - Sky - England and NI'!$A16,'Sky-Gen Ent EPG'!$C:$C,0),1))</f>
        <v>109</v>
      </c>
      <c r="D16">
        <f>IF($A16="","",INDEX('Sky-Gen Ent EPG'!$A:$C,MATCH('Impacts - Sky - England and NI'!$A16,'Sky-Gen Ent EPG'!$C:$C,0),2))</f>
        <v>9</v>
      </c>
      <c r="F16">
        <f>IF($A16="","",INDEX('Sky-Gen Ent EPG'!$Q:$S,MATCH('Impacts - Sky - England and NI'!$A16,'Sky-Gen Ent EPG'!$S:$S,0),1))</f>
        <v>110</v>
      </c>
      <c r="G16">
        <f>IF($A16="","",INDEX('Sky-Gen Ent EPG'!$Q:$S,MATCH('Impacts - Sky - England and NI'!$A16,'Sky-Gen Ent EPG'!$S:$S,0),2))</f>
        <v>9</v>
      </c>
      <c r="J16" t="str">
        <f>IF('Sky-Gen Ent EPG'!G18&lt;&gt;0,'Sky-Gen Ent EPG'!G18,"")</f>
        <v>W HD</v>
      </c>
      <c r="L16">
        <f>IF($J16="","",INDEX('Sky-Gen Ent EPG'!$E:$G,MATCH('Impacts - Sky - England and NI'!$J16,'Sky-Gen Ent EPG'!$G:$G,0),1))</f>
        <v>109</v>
      </c>
      <c r="M16">
        <f>IF($J16="","",INDEX('Sky-Gen Ent EPG'!$E:$G,MATCH('Impacts - Sky - England and NI'!$J16,'Sky-Gen Ent EPG'!$G:$G,0),2))</f>
        <v>9</v>
      </c>
      <c r="O16">
        <f>IF($J16="","",INDEX('Sky-Gen Ent EPG'!$U:$W,MATCH('Impacts - Sky - England and NI'!$J16,'Sky-Gen Ent EPG'!$W:$W,0),1))</f>
        <v>110</v>
      </c>
      <c r="P16">
        <f>IF($J16="","",INDEX('Sky-Gen Ent EPG'!$U:$W,MATCH('Impacts - Sky - England and NI'!$J16,'Sky-Gen Ent EPG'!$W:$W,0),2))</f>
        <v>9</v>
      </c>
    </row>
    <row r="17" spans="1:16" x14ac:dyDescent="0.45">
      <c r="A17" t="str">
        <f>IF('Sky-Gen Ent EPG'!C19&lt;&gt;0,'Sky-Gen Ent EPG'!C19,"")</f>
        <v>Gold HD</v>
      </c>
      <c r="C17">
        <f>IF($A17="","",INDEX('Sky-Gen Ent EPG'!$A:$C,MATCH('Impacts - Sky - England and NI'!$A17,'Sky-Gen Ent EPG'!$C:$C,0),1))</f>
        <v>110</v>
      </c>
      <c r="D17">
        <f>IF($A17="","",INDEX('Sky-Gen Ent EPG'!$A:$C,MATCH('Impacts - Sky - England and NI'!$A17,'Sky-Gen Ent EPG'!$C:$C,0),2))</f>
        <v>10</v>
      </c>
      <c r="F17">
        <f>IF($A17="","",INDEX('Sky-Gen Ent EPG'!$Q:$S,MATCH('Impacts - Sky - England and NI'!$A17,'Sky-Gen Ent EPG'!$S:$S,0),1))</f>
        <v>111</v>
      </c>
      <c r="G17">
        <f>IF($A17="","",INDEX('Sky-Gen Ent EPG'!$Q:$S,MATCH('Impacts - Sky - England and NI'!$A17,'Sky-Gen Ent EPG'!$S:$S,0),2))</f>
        <v>10</v>
      </c>
      <c r="J17" t="str">
        <f>IF('Sky-Gen Ent EPG'!G19&lt;&gt;0,'Sky-Gen Ent EPG'!G19,"")</f>
        <v>Gold HD</v>
      </c>
      <c r="L17">
        <f>IF($J17="","",INDEX('Sky-Gen Ent EPG'!$E:$G,MATCH('Impacts - Sky - England and NI'!$J17,'Sky-Gen Ent EPG'!$G:$G,0),1))</f>
        <v>110</v>
      </c>
      <c r="M17">
        <f>IF($J17="","",INDEX('Sky-Gen Ent EPG'!$E:$G,MATCH('Impacts - Sky - England and NI'!$J17,'Sky-Gen Ent EPG'!$G:$G,0),2))</f>
        <v>10</v>
      </c>
      <c r="O17">
        <f>IF($J17="","",INDEX('Sky-Gen Ent EPG'!$U:$W,MATCH('Impacts - Sky - England and NI'!$J17,'Sky-Gen Ent EPG'!$W:$W,0),1))</f>
        <v>111</v>
      </c>
      <c r="P17">
        <f>IF($J17="","",INDEX('Sky-Gen Ent EPG'!$U:$W,MATCH('Impacts - Sky - England and NI'!$J17,'Sky-Gen Ent EPG'!$W:$W,0),2))</f>
        <v>10</v>
      </c>
    </row>
    <row r="18" spans="1:16" x14ac:dyDescent="0.45">
      <c r="A18" t="str">
        <f>IF('Sky-Gen Ent EPG'!C20&lt;&gt;0,'Sky-Gen Ent EPG'!C20,"")</f>
        <v>Dave HD</v>
      </c>
      <c r="C18">
        <f>IF($A18="","",INDEX('Sky-Gen Ent EPG'!$A:$C,MATCH('Impacts - Sky - England and NI'!$A18,'Sky-Gen Ent EPG'!$C:$C,0),1))</f>
        <v>111</v>
      </c>
      <c r="D18">
        <f>IF($A18="","",INDEX('Sky-Gen Ent EPG'!$A:$C,MATCH('Impacts - Sky - England and NI'!$A18,'Sky-Gen Ent EPG'!$C:$C,0),2))</f>
        <v>11</v>
      </c>
      <c r="F18">
        <f>IF($A18="","",INDEX('Sky-Gen Ent EPG'!$Q:$S,MATCH('Impacts - Sky - England and NI'!$A18,'Sky-Gen Ent EPG'!$S:$S,0),1))</f>
        <v>112</v>
      </c>
      <c r="G18">
        <f>IF($A18="","",INDEX('Sky-Gen Ent EPG'!$Q:$S,MATCH('Impacts - Sky - England and NI'!$A18,'Sky-Gen Ent EPG'!$S:$S,0),2))</f>
        <v>11</v>
      </c>
      <c r="J18" t="str">
        <f>IF('Sky-Gen Ent EPG'!G20&lt;&gt;0,'Sky-Gen Ent EPG'!G20,"")</f>
        <v>Dave HD</v>
      </c>
      <c r="L18">
        <f>IF($J18="","",INDEX('Sky-Gen Ent EPG'!$E:$G,MATCH('Impacts - Sky - England and NI'!$J18,'Sky-Gen Ent EPG'!$G:$G,0),1))</f>
        <v>111</v>
      </c>
      <c r="M18">
        <f>IF($J18="","",INDEX('Sky-Gen Ent EPG'!$E:$G,MATCH('Impacts - Sky - England and NI'!$J18,'Sky-Gen Ent EPG'!$G:$G,0),2))</f>
        <v>11</v>
      </c>
      <c r="O18">
        <f>IF($J18="","",INDEX('Sky-Gen Ent EPG'!$U:$W,MATCH('Impacts - Sky - England and NI'!$J18,'Sky-Gen Ent EPG'!$W:$W,0),1))</f>
        <v>112</v>
      </c>
      <c r="P18">
        <f>IF($J18="","",INDEX('Sky-Gen Ent EPG'!$U:$W,MATCH('Impacts - Sky - England and NI'!$J18,'Sky-Gen Ent EPG'!$W:$W,0),2))</f>
        <v>11</v>
      </c>
    </row>
    <row r="19" spans="1:16" x14ac:dyDescent="0.45">
      <c r="A19" t="str">
        <f>IF('Sky-Gen Ent EPG'!C21&lt;&gt;0,'Sky-Gen Ent EPG'!C21,"")</f>
        <v>ComedyCentral</v>
      </c>
      <c r="C19">
        <f>IF($A19="","",INDEX('Sky-Gen Ent EPG'!$A:$C,MATCH('Impacts - Sky - England and NI'!$A19,'Sky-Gen Ent EPG'!$C:$C,0),1))</f>
        <v>112</v>
      </c>
      <c r="D19">
        <f>IF($A19="","",INDEX('Sky-Gen Ent EPG'!$A:$C,MATCH('Impacts - Sky - England and NI'!$A19,'Sky-Gen Ent EPG'!$C:$C,0),2))</f>
        <v>12</v>
      </c>
      <c r="F19">
        <f>IF($A19="","",INDEX('Sky-Gen Ent EPG'!$Q:$S,MATCH('Impacts - Sky - England and NI'!$A19,'Sky-Gen Ent EPG'!$S:$S,0),1))</f>
        <v>113</v>
      </c>
      <c r="G19">
        <f>IF($A19="","",INDEX('Sky-Gen Ent EPG'!$Q:$S,MATCH('Impacts - Sky - England and NI'!$A19,'Sky-Gen Ent EPG'!$S:$S,0),2))</f>
        <v>12</v>
      </c>
      <c r="J19" t="str">
        <f>IF('Sky-Gen Ent EPG'!G21&lt;&gt;0,'Sky-Gen Ent EPG'!G21,"")</f>
        <v>ComedyCentral</v>
      </c>
      <c r="L19">
        <f>IF($J19="","",INDEX('Sky-Gen Ent EPG'!$E:$G,MATCH('Impacts - Sky - England and NI'!$J19,'Sky-Gen Ent EPG'!$G:$G,0),1))</f>
        <v>112</v>
      </c>
      <c r="M19">
        <f>IF($J19="","",INDEX('Sky-Gen Ent EPG'!$E:$G,MATCH('Impacts - Sky - England and NI'!$J19,'Sky-Gen Ent EPG'!$G:$G,0),2))</f>
        <v>12</v>
      </c>
      <c r="O19">
        <f>IF($J19="","",INDEX('Sky-Gen Ent EPG'!$U:$W,MATCH('Impacts - Sky - England and NI'!$J19,'Sky-Gen Ent EPG'!$W:$W,0),1))</f>
        <v>113</v>
      </c>
      <c r="P19">
        <f>IF($J19="","",INDEX('Sky-Gen Ent EPG'!$U:$W,MATCH('Impacts - Sky - England and NI'!$J19,'Sky-Gen Ent EPG'!$W:$W,0),2))</f>
        <v>12</v>
      </c>
    </row>
    <row r="20" spans="1:16" x14ac:dyDescent="0.45">
      <c r="A20" t="str">
        <f>IF('Sky-Gen Ent EPG'!C22&lt;&gt;0,'Sky-Gen Ent EPG'!C22,"")</f>
        <v>Universal HD</v>
      </c>
      <c r="C20">
        <f>IF($A20="","",INDEX('Sky-Gen Ent EPG'!$A:$C,MATCH('Impacts - Sky - England and NI'!$A20,'Sky-Gen Ent EPG'!$C:$C,0),1))</f>
        <v>113</v>
      </c>
      <c r="D20">
        <f>IF($A20="","",INDEX('Sky-Gen Ent EPG'!$A:$C,MATCH('Impacts - Sky - England and NI'!$A20,'Sky-Gen Ent EPG'!$C:$C,0),2))</f>
        <v>13</v>
      </c>
      <c r="F20">
        <f>IF($A20="","",INDEX('Sky-Gen Ent EPG'!$Q:$S,MATCH('Impacts - Sky - England and NI'!$A20,'Sky-Gen Ent EPG'!$S:$S,0),1))</f>
        <v>114</v>
      </c>
      <c r="G20">
        <f>IF($A20="","",INDEX('Sky-Gen Ent EPG'!$Q:$S,MATCH('Impacts - Sky - England and NI'!$A20,'Sky-Gen Ent EPG'!$S:$S,0),2))</f>
        <v>13</v>
      </c>
      <c r="J20" t="str">
        <f>IF('Sky-Gen Ent EPG'!G22&lt;&gt;0,'Sky-Gen Ent EPG'!G22,"")</f>
        <v>Universal HD</v>
      </c>
      <c r="L20">
        <f>IF($J20="","",INDEX('Sky-Gen Ent EPG'!$E:$G,MATCH('Impacts - Sky - England and NI'!$J20,'Sky-Gen Ent EPG'!$G:$G,0),1))</f>
        <v>113</v>
      </c>
      <c r="M20">
        <f>IF($J20="","",INDEX('Sky-Gen Ent EPG'!$E:$G,MATCH('Impacts - Sky - England and NI'!$J20,'Sky-Gen Ent EPG'!$G:$G,0),2))</f>
        <v>13</v>
      </c>
      <c r="O20">
        <f>IF($J20="","",INDEX('Sky-Gen Ent EPG'!$U:$W,MATCH('Impacts - Sky - England and NI'!$J20,'Sky-Gen Ent EPG'!$W:$W,0),1))</f>
        <v>114</v>
      </c>
      <c r="P20">
        <f>IF($J20="","",INDEX('Sky-Gen Ent EPG'!$U:$W,MATCH('Impacts - Sky - England and NI'!$J20,'Sky-Gen Ent EPG'!$W:$W,0),2))</f>
        <v>13</v>
      </c>
    </row>
    <row r="21" spans="1:16" x14ac:dyDescent="0.45">
      <c r="A21" t="str">
        <f>IF('Sky-Gen Ent EPG'!C23&lt;&gt;0,'Sky-Gen Ent EPG'!C23,"")</f>
        <v>SYFY HD</v>
      </c>
      <c r="C21">
        <f>IF($A21="","",INDEX('Sky-Gen Ent EPG'!$A:$C,MATCH('Impacts - Sky - England and NI'!$A21,'Sky-Gen Ent EPG'!$C:$C,0),1))</f>
        <v>114</v>
      </c>
      <c r="D21">
        <f>IF($A21="","",INDEX('Sky-Gen Ent EPG'!$A:$C,MATCH('Impacts - Sky - England and NI'!$A21,'Sky-Gen Ent EPG'!$C:$C,0),2))</f>
        <v>14</v>
      </c>
      <c r="F21">
        <f>IF($A21="","",INDEX('Sky-Gen Ent EPG'!$Q:$S,MATCH('Impacts - Sky - England and NI'!$A21,'Sky-Gen Ent EPG'!$S:$S,0),1))</f>
        <v>115</v>
      </c>
      <c r="G21">
        <f>IF($A21="","",INDEX('Sky-Gen Ent EPG'!$Q:$S,MATCH('Impacts - Sky - England and NI'!$A21,'Sky-Gen Ent EPG'!$S:$S,0),2))</f>
        <v>14</v>
      </c>
      <c r="J21" t="str">
        <f>IF('Sky-Gen Ent EPG'!G23&lt;&gt;0,'Sky-Gen Ent EPG'!G23,"")</f>
        <v>SYFY HD</v>
      </c>
      <c r="L21">
        <f>IF($J21="","",INDEX('Sky-Gen Ent EPG'!$E:$G,MATCH('Impacts - Sky - England and NI'!$J21,'Sky-Gen Ent EPG'!$G:$G,0),1))</f>
        <v>114</v>
      </c>
      <c r="M21">
        <f>IF($J21="","",INDEX('Sky-Gen Ent EPG'!$E:$G,MATCH('Impacts - Sky - England and NI'!$J21,'Sky-Gen Ent EPG'!$G:$G,0),2))</f>
        <v>14</v>
      </c>
      <c r="O21">
        <f>IF($J21="","",INDEX('Sky-Gen Ent EPG'!$U:$W,MATCH('Impacts - Sky - England and NI'!$J21,'Sky-Gen Ent EPG'!$W:$W,0),1))</f>
        <v>115</v>
      </c>
      <c r="P21">
        <f>IF($J21="","",INDEX('Sky-Gen Ent EPG'!$U:$W,MATCH('Impacts - Sky - England and NI'!$J21,'Sky-Gen Ent EPG'!$W:$W,0),2))</f>
        <v>14</v>
      </c>
    </row>
    <row r="22" spans="1:16" x14ac:dyDescent="0.45">
      <c r="A22" t="str">
        <f>IF('Sky-Gen Ent EPG'!C24&lt;&gt;0,'Sky-Gen Ent EPG'!C24,"")</f>
        <v>BBC One HD</v>
      </c>
      <c r="C22">
        <f>IF($A22="","",INDEX('Sky-Gen Ent EPG'!$A:$C,MATCH('Impacts - Sky - England and NI'!$A22,'Sky-Gen Ent EPG'!$C:$C,0),1))</f>
        <v>115</v>
      </c>
      <c r="D22">
        <f>IF($A22="","",INDEX('Sky-Gen Ent EPG'!$A:$C,MATCH('Impacts - Sky - England and NI'!$A22,'Sky-Gen Ent EPG'!$C:$C,0),2))</f>
        <v>15</v>
      </c>
      <c r="F22">
        <f>IF($A22="","",INDEX('Sky-Gen Ent EPG'!$Q:$S,MATCH('Impacts - Sky - England and NI'!$A22,'Sky-Gen Ent EPG'!$S:$S,0),1))</f>
        <v>116</v>
      </c>
      <c r="G22">
        <f>IF($A22="","",INDEX('Sky-Gen Ent EPG'!$Q:$S,MATCH('Impacts - Sky - England and NI'!$A22,'Sky-Gen Ent EPG'!$S:$S,0),2))</f>
        <v>15</v>
      </c>
      <c r="J22" t="str">
        <f>IF('Sky-Gen Ent EPG'!G24&lt;&gt;0,'Sky-Gen Ent EPG'!G24,"")</f>
        <v>BBC Two HD</v>
      </c>
      <c r="L22">
        <f>IF($J22="","",INDEX('Sky-Gen Ent EPG'!$E:$G,MATCH('Impacts - Sky - England and NI'!$J22,'Sky-Gen Ent EPG'!$G:$G,0),1))</f>
        <v>115</v>
      </c>
      <c r="M22">
        <f>IF($J22="","",INDEX('Sky-Gen Ent EPG'!$E:$G,MATCH('Impacts - Sky - England and NI'!$J22,'Sky-Gen Ent EPG'!$G:$G,0),2))</f>
        <v>15</v>
      </c>
      <c r="O22">
        <f>IF($J22="","",INDEX('Sky-Gen Ent EPG'!$U:$W,MATCH('Impacts - Sky - England and NI'!$J22,'Sky-Gen Ent EPG'!$W:$W,0),1))</f>
        <v>116</v>
      </c>
      <c r="P22">
        <f>IF($J22="","",INDEX('Sky-Gen Ent EPG'!$U:$W,MATCH('Impacts - Sky - England and NI'!$J22,'Sky-Gen Ent EPG'!$W:$W,0),2))</f>
        <v>15</v>
      </c>
    </row>
    <row r="23" spans="1:16" x14ac:dyDescent="0.45">
      <c r="A23" t="str">
        <f>IF('Sky-Gen Ent EPG'!C25&lt;&gt;0,'Sky-Gen Ent EPG'!C25,"")</f>
        <v>BBC Four</v>
      </c>
      <c r="C23">
        <f>IF($A23="","",INDEX('Sky-Gen Ent EPG'!$A:$C,MATCH('Impacts - Sky - England and NI'!$A23,'Sky-Gen Ent EPG'!$C:$C,0),1))</f>
        <v>116</v>
      </c>
      <c r="D23">
        <f>IF($A23="","",INDEX('Sky-Gen Ent EPG'!$A:$C,MATCH('Impacts - Sky - England and NI'!$A23,'Sky-Gen Ent EPG'!$C:$C,0),2))</f>
        <v>16</v>
      </c>
      <c r="F23">
        <f>IF($A23="","",INDEX('Sky-Gen Ent EPG'!$Q:$S,MATCH('Impacts - Sky - England and NI'!$A23,'Sky-Gen Ent EPG'!$S:$S,0),1))</f>
        <v>117</v>
      </c>
      <c r="G23">
        <f>IF($A23="","",INDEX('Sky-Gen Ent EPG'!$Q:$S,MATCH('Impacts - Sky - England and NI'!$A23,'Sky-Gen Ent EPG'!$S:$S,0),2))</f>
        <v>16</v>
      </c>
      <c r="J23" t="str">
        <f>IF('Sky-Gen Ent EPG'!G25&lt;&gt;0,'Sky-Gen Ent EPG'!G25,"")</f>
        <v>BBC Four</v>
      </c>
      <c r="L23">
        <f>IF($J23="","",INDEX('Sky-Gen Ent EPG'!$E:$G,MATCH('Impacts - Sky - England and NI'!$J23,'Sky-Gen Ent EPG'!$G:$G,0),1))</f>
        <v>116</v>
      </c>
      <c r="M23">
        <f>IF($J23="","",INDEX('Sky-Gen Ent EPG'!$E:$G,MATCH('Impacts - Sky - England and NI'!$J23,'Sky-Gen Ent EPG'!$G:$G,0),2))</f>
        <v>16</v>
      </c>
      <c r="O23">
        <f>IF($J23="","",INDEX('Sky-Gen Ent EPG'!$U:$W,MATCH('Impacts - Sky - England and NI'!$J23,'Sky-Gen Ent EPG'!$W:$W,0),1))</f>
        <v>117</v>
      </c>
      <c r="P23">
        <f>IF($J23="","",INDEX('Sky-Gen Ent EPG'!$U:$W,MATCH('Impacts - Sky - England and NI'!$J23,'Sky-Gen Ent EPG'!$W:$W,0),2))</f>
        <v>16</v>
      </c>
    </row>
    <row r="24" spans="1:16" x14ac:dyDescent="0.45">
      <c r="A24" t="str">
        <f>IF('Sky-Gen Ent EPG'!C26&lt;&gt;0,'Sky-Gen Ent EPG'!C26,"")</f>
        <v>London Live</v>
      </c>
      <c r="C24">
        <f>IF($A24="","",INDEX('Sky-Gen Ent EPG'!$A:$C,MATCH('Impacts - Sky - England and NI'!$A24,'Sky-Gen Ent EPG'!$C:$C,0),1))</f>
        <v>117</v>
      </c>
      <c r="D24">
        <f>IF($A24="","",INDEX('Sky-Gen Ent EPG'!$A:$C,MATCH('Impacts - Sky - England and NI'!$A24,'Sky-Gen Ent EPG'!$C:$C,0),2))</f>
        <v>17</v>
      </c>
      <c r="F24">
        <f>IF($A24="","",INDEX('Sky-Gen Ent EPG'!$Q:$S,MATCH('Impacts - Sky - England and NI'!$A24,'Sky-Gen Ent EPG'!$S:$S,0),1))</f>
        <v>118</v>
      </c>
      <c r="G24">
        <f>IF($A24="","",INDEX('Sky-Gen Ent EPG'!$Q:$S,MATCH('Impacts - Sky - England and NI'!$A24,'Sky-Gen Ent EPG'!$S:$S,0),2))</f>
        <v>17</v>
      </c>
      <c r="J24" t="str">
        <f>IF('Sky-Gen Ent EPG'!G26&lt;&gt;0,'Sky-Gen Ent EPG'!G26,"")</f>
        <v/>
      </c>
      <c r="L24" t="str">
        <f>IF($J24="","",INDEX('Sky-Gen Ent EPG'!$E:$G,MATCH('Impacts - Sky - England and NI'!$J24,'Sky-Gen Ent EPG'!$G:$G,0),1))</f>
        <v/>
      </c>
      <c r="M24" t="str">
        <f>IF($J24="","",INDEX('Sky-Gen Ent EPG'!$E:$G,MATCH('Impacts - Sky - England and NI'!$J24,'Sky-Gen Ent EPG'!$G:$G,0),2))</f>
        <v/>
      </c>
      <c r="O24" t="str">
        <f>IF($J24="","",INDEX('Sky-Gen Ent EPG'!$U:$W,MATCH('Impacts - Sky - England and NI'!$J24,'Sky-Gen Ent EPG'!$W:$W,0),1))</f>
        <v/>
      </c>
      <c r="P24" t="str">
        <f>IF($J24="","",INDEX('Sky-Gen Ent EPG'!$U:$W,MATCH('Impacts - Sky - England and NI'!$J24,'Sky-Gen Ent EPG'!$W:$W,0),2))</f>
        <v/>
      </c>
    </row>
    <row r="25" spans="1:16" x14ac:dyDescent="0.45">
      <c r="A25" t="str">
        <f>IF('Sky-Gen Ent EPG'!C27&lt;&gt;0,'Sky-Gen Ent EPG'!C27,"")</f>
        <v>ITV2 HD</v>
      </c>
      <c r="C25">
        <f>IF($A25="","",INDEX('Sky-Gen Ent EPG'!$A:$C,MATCH('Impacts - Sky - England and NI'!$A25,'Sky-Gen Ent EPG'!$C:$C,0),1))</f>
        <v>118</v>
      </c>
      <c r="D25">
        <f>IF($A25="","",INDEX('Sky-Gen Ent EPG'!$A:$C,MATCH('Impacts - Sky - England and NI'!$A25,'Sky-Gen Ent EPG'!$C:$C,0),2))</f>
        <v>18</v>
      </c>
      <c r="F25">
        <f>IF($A25="","",INDEX('Sky-Gen Ent EPG'!$Q:$S,MATCH('Impacts - Sky - England and NI'!$A25,'Sky-Gen Ent EPG'!$S:$S,0),1))</f>
        <v>119</v>
      </c>
      <c r="G25">
        <f>IF($A25="","",INDEX('Sky-Gen Ent EPG'!$Q:$S,MATCH('Impacts - Sky - England and NI'!$A25,'Sky-Gen Ent EPG'!$S:$S,0),2))</f>
        <v>18</v>
      </c>
      <c r="J25" t="str">
        <f>IF('Sky-Gen Ent EPG'!G27&lt;&gt;0,'Sky-Gen Ent EPG'!G27,"")</f>
        <v>ITV2 HD</v>
      </c>
      <c r="L25">
        <f>IF($J25="","",INDEX('Sky-Gen Ent EPG'!$E:$G,MATCH('Impacts - Sky - England and NI'!$J25,'Sky-Gen Ent EPG'!$G:$G,0),1))</f>
        <v>118</v>
      </c>
      <c r="M25">
        <f>IF($J25="","",INDEX('Sky-Gen Ent EPG'!$E:$G,MATCH('Impacts - Sky - England and NI'!$J25,'Sky-Gen Ent EPG'!$G:$G,0),2))</f>
        <v>17</v>
      </c>
      <c r="O25">
        <f>IF($J25="","",INDEX('Sky-Gen Ent EPG'!$U:$W,MATCH('Impacts - Sky - England and NI'!$J25,'Sky-Gen Ent EPG'!$W:$W,0),1))</f>
        <v>119</v>
      </c>
      <c r="P25">
        <f>IF($J25="","",INDEX('Sky-Gen Ent EPG'!$U:$W,MATCH('Impacts - Sky - England and NI'!$J25,'Sky-Gen Ent EPG'!$W:$W,0),2))</f>
        <v>17</v>
      </c>
    </row>
    <row r="26" spans="1:16" x14ac:dyDescent="0.45">
      <c r="A26" t="str">
        <f>IF('Sky-Gen Ent EPG'!C28&lt;&gt;0,'Sky-Gen Ent EPG'!C28,"")</f>
        <v>ITV3 HD</v>
      </c>
      <c r="C26">
        <f>IF($A26="","",INDEX('Sky-Gen Ent EPG'!$A:$C,MATCH('Impacts - Sky - England and NI'!$A26,'Sky-Gen Ent EPG'!$C:$C,0),1))</f>
        <v>119</v>
      </c>
      <c r="D26">
        <f>IF($A26="","",INDEX('Sky-Gen Ent EPG'!$A:$C,MATCH('Impacts - Sky - England and NI'!$A26,'Sky-Gen Ent EPG'!$C:$C,0),2))</f>
        <v>19</v>
      </c>
      <c r="F26">
        <f>IF($A26="","",INDEX('Sky-Gen Ent EPG'!$Q:$S,MATCH('Impacts - Sky - England and NI'!$A26,'Sky-Gen Ent EPG'!$S:$S,0),1))</f>
        <v>120</v>
      </c>
      <c r="G26">
        <f>IF($A26="","",INDEX('Sky-Gen Ent EPG'!$Q:$S,MATCH('Impacts - Sky - England and NI'!$A26,'Sky-Gen Ent EPG'!$S:$S,0),2))</f>
        <v>19</v>
      </c>
      <c r="J26" t="str">
        <f>IF('Sky-Gen Ent EPG'!G28&lt;&gt;0,'Sky-Gen Ent EPG'!G28,"")</f>
        <v>ITV3 HD</v>
      </c>
      <c r="L26">
        <f>IF($J26="","",INDEX('Sky-Gen Ent EPG'!$E:$G,MATCH('Impacts - Sky - England and NI'!$J26,'Sky-Gen Ent EPG'!$G:$G,0),1))</f>
        <v>119</v>
      </c>
      <c r="M26">
        <f>IF($J26="","",INDEX('Sky-Gen Ent EPG'!$E:$G,MATCH('Impacts - Sky - England and NI'!$J26,'Sky-Gen Ent EPG'!$G:$G,0),2))</f>
        <v>18</v>
      </c>
      <c r="O26">
        <f>IF($J26="","",INDEX('Sky-Gen Ent EPG'!$U:$W,MATCH('Impacts - Sky - England and NI'!$J26,'Sky-Gen Ent EPG'!$W:$W,0),1))</f>
        <v>120</v>
      </c>
      <c r="P26">
        <f>IF($J26="","",INDEX('Sky-Gen Ent EPG'!$U:$W,MATCH('Impacts - Sky - England and NI'!$J26,'Sky-Gen Ent EPG'!$W:$W,0),2))</f>
        <v>18</v>
      </c>
    </row>
    <row r="27" spans="1:16" x14ac:dyDescent="0.45">
      <c r="A27" t="str">
        <f>IF('Sky-Gen Ent EPG'!C29&lt;&gt;0,'Sky-Gen Ent EPG'!C29,"")</f>
        <v>ITV4 HD</v>
      </c>
      <c r="C27">
        <f>IF($A27="","",INDEX('Sky-Gen Ent EPG'!$A:$C,MATCH('Impacts - Sky - England and NI'!$A27,'Sky-Gen Ent EPG'!$C:$C,0),1))</f>
        <v>120</v>
      </c>
      <c r="D27">
        <f>IF($A27="","",INDEX('Sky-Gen Ent EPG'!$A:$C,MATCH('Impacts - Sky - England and NI'!$A27,'Sky-Gen Ent EPG'!$C:$C,0),2))</f>
        <v>20</v>
      </c>
      <c r="F27">
        <f>IF($A27="","",INDEX('Sky-Gen Ent EPG'!$Q:$S,MATCH('Impacts - Sky - England and NI'!$A27,'Sky-Gen Ent EPG'!$S:$S,0),1))</f>
        <v>121</v>
      </c>
      <c r="G27">
        <f>IF($A27="","",INDEX('Sky-Gen Ent EPG'!$Q:$S,MATCH('Impacts - Sky - England and NI'!$A27,'Sky-Gen Ent EPG'!$S:$S,0),2))</f>
        <v>20</v>
      </c>
      <c r="J27" t="str">
        <f>IF('Sky-Gen Ent EPG'!G29&lt;&gt;0,'Sky-Gen Ent EPG'!G29,"")</f>
        <v>ITV4 HD</v>
      </c>
      <c r="L27">
        <f>IF($J27="","",INDEX('Sky-Gen Ent EPG'!$E:$G,MATCH('Impacts - Sky - England and NI'!$J27,'Sky-Gen Ent EPG'!$G:$G,0),1))</f>
        <v>120</v>
      </c>
      <c r="M27">
        <f>IF($J27="","",INDEX('Sky-Gen Ent EPG'!$E:$G,MATCH('Impacts - Sky - England and NI'!$J27,'Sky-Gen Ent EPG'!$G:$G,0),2))</f>
        <v>19</v>
      </c>
      <c r="O27">
        <f>IF($J27="","",INDEX('Sky-Gen Ent EPG'!$U:$W,MATCH('Impacts - Sky - England and NI'!$J27,'Sky-Gen Ent EPG'!$W:$W,0),1))</f>
        <v>121</v>
      </c>
      <c r="P27">
        <f>IF($J27="","",INDEX('Sky-Gen Ent EPG'!$U:$W,MATCH('Impacts - Sky - England and NI'!$J27,'Sky-Gen Ent EPG'!$W:$W,0),2))</f>
        <v>19</v>
      </c>
    </row>
    <row r="28" spans="1:16" x14ac:dyDescent="0.45">
      <c r="A28" t="str">
        <f>IF('Sky-Gen Ent EPG'!C30&lt;&gt;0,'Sky-Gen Ent EPG'!C30,"")</f>
        <v>SkySp Mix HD</v>
      </c>
      <c r="C28">
        <f>IF($A28="","",INDEX('Sky-Gen Ent EPG'!$A:$C,MATCH('Impacts - Sky - England and NI'!$A28,'Sky-Gen Ent EPG'!$C:$C,0),1))</f>
        <v>121</v>
      </c>
      <c r="D28">
        <f>IF($A28="","",INDEX('Sky-Gen Ent EPG'!$A:$C,MATCH('Impacts - Sky - England and NI'!$A28,'Sky-Gen Ent EPG'!$C:$C,0),2))</f>
        <v>21</v>
      </c>
      <c r="F28">
        <f>IF($A28="","",INDEX('Sky-Gen Ent EPG'!$Q:$S,MATCH('Impacts - Sky - England and NI'!$A28,'Sky-Gen Ent EPG'!$S:$S,0),1))</f>
        <v>122</v>
      </c>
      <c r="G28">
        <f>IF($A28="","",INDEX('Sky-Gen Ent EPG'!$Q:$S,MATCH('Impacts - Sky - England and NI'!$A28,'Sky-Gen Ent EPG'!$S:$S,0),2))</f>
        <v>21</v>
      </c>
      <c r="J28" t="str">
        <f>IF('Sky-Gen Ent EPG'!G30&lt;&gt;0,'Sky-Gen Ent EPG'!G30,"")</f>
        <v>SkySp Mix HD</v>
      </c>
      <c r="L28">
        <f>IF($J28="","",INDEX('Sky-Gen Ent EPG'!$E:$G,MATCH('Impacts - Sky - England and NI'!$J28,'Sky-Gen Ent EPG'!$G:$G,0),1))</f>
        <v>121</v>
      </c>
      <c r="M28">
        <f>IF($J28="","",INDEX('Sky-Gen Ent EPG'!$E:$G,MATCH('Impacts - Sky - England and NI'!$J28,'Sky-Gen Ent EPG'!$G:$G,0),2))</f>
        <v>20</v>
      </c>
      <c r="O28">
        <f>IF($J28="","",INDEX('Sky-Gen Ent EPG'!$U:$W,MATCH('Impacts - Sky - England and NI'!$J28,'Sky-Gen Ent EPG'!$W:$W,0),1))</f>
        <v>122</v>
      </c>
      <c r="P28">
        <f>IF($J28="","",INDEX('Sky-Gen Ent EPG'!$U:$W,MATCH('Impacts - Sky - England and NI'!$J28,'Sky-Gen Ent EPG'!$W:$W,0),2))</f>
        <v>20</v>
      </c>
    </row>
    <row r="29" spans="1:16" x14ac:dyDescent="0.45">
      <c r="A29" t="str">
        <f>IF('Sky-Gen Ent EPG'!C31&lt;&gt;0,'Sky-Gen Ent EPG'!C31,"")</f>
        <v>Sky Arts HD</v>
      </c>
      <c r="C29">
        <f>IF($A29="","",INDEX('Sky-Gen Ent EPG'!$A:$C,MATCH('Impacts - Sky - England and NI'!$A29,'Sky-Gen Ent EPG'!$C:$C,0),1))</f>
        <v>122</v>
      </c>
      <c r="D29">
        <f>IF($A29="","",INDEX('Sky-Gen Ent EPG'!$A:$C,MATCH('Impacts - Sky - England and NI'!$A29,'Sky-Gen Ent EPG'!$C:$C,0),2))</f>
        <v>22</v>
      </c>
      <c r="F29">
        <f>IF($A29="","",INDEX('Sky-Gen Ent EPG'!$Q:$S,MATCH('Impacts - Sky - England and NI'!$A29,'Sky-Gen Ent EPG'!$S:$S,0),1))</f>
        <v>123</v>
      </c>
      <c r="G29">
        <f>IF($A29="","",INDEX('Sky-Gen Ent EPG'!$Q:$S,MATCH('Impacts - Sky - England and NI'!$A29,'Sky-Gen Ent EPG'!$S:$S,0),2))</f>
        <v>22</v>
      </c>
      <c r="J29" t="str">
        <f>IF('Sky-Gen Ent EPG'!G31&lt;&gt;0,'Sky-Gen Ent EPG'!G31,"")</f>
        <v>Sky Arts HD</v>
      </c>
      <c r="L29">
        <f>IF($J29="","",INDEX('Sky-Gen Ent EPG'!$E:$G,MATCH('Impacts - Sky - England and NI'!$J29,'Sky-Gen Ent EPG'!$G:$G,0),1))</f>
        <v>122</v>
      </c>
      <c r="M29">
        <f>IF($J29="","",INDEX('Sky-Gen Ent EPG'!$E:$G,MATCH('Impacts - Sky - England and NI'!$J29,'Sky-Gen Ent EPG'!$G:$G,0),2))</f>
        <v>21</v>
      </c>
      <c r="O29">
        <f>IF($J29="","",INDEX('Sky-Gen Ent EPG'!$U:$W,MATCH('Impacts - Sky - England and NI'!$J29,'Sky-Gen Ent EPG'!$W:$W,0),1))</f>
        <v>123</v>
      </c>
      <c r="P29">
        <f>IF($J29="","",INDEX('Sky-Gen Ent EPG'!$U:$W,MATCH('Impacts - Sky - England and NI'!$J29,'Sky-Gen Ent EPG'!$W:$W,0),2))</f>
        <v>21</v>
      </c>
    </row>
    <row r="30" spans="1:16" x14ac:dyDescent="0.45">
      <c r="A30" t="str">
        <f>IF('Sky-Gen Ent EPG'!C32&lt;&gt;0,'Sky-Gen Ent EPG'!C32,"")</f>
        <v>E HD</v>
      </c>
      <c r="C30">
        <f>IF($A30="","",INDEX('Sky-Gen Ent EPG'!$A:$C,MATCH('Impacts - Sky - England and NI'!$A30,'Sky-Gen Ent EPG'!$C:$C,0),1))</f>
        <v>123</v>
      </c>
      <c r="D30">
        <f>IF($A30="","",INDEX('Sky-Gen Ent EPG'!$A:$C,MATCH('Impacts - Sky - England and NI'!$A30,'Sky-Gen Ent EPG'!$C:$C,0),2))</f>
        <v>23</v>
      </c>
      <c r="F30">
        <f>IF($A30="","",INDEX('Sky-Gen Ent EPG'!$Q:$S,MATCH('Impacts - Sky - England and NI'!$A30,'Sky-Gen Ent EPG'!$S:$S,0),1))</f>
        <v>124</v>
      </c>
      <c r="G30">
        <f>IF($A30="","",INDEX('Sky-Gen Ent EPG'!$Q:$S,MATCH('Impacts - Sky - England and NI'!$A30,'Sky-Gen Ent EPG'!$S:$S,0),2))</f>
        <v>23</v>
      </c>
      <c r="J30" t="str">
        <f>IF('Sky-Gen Ent EPG'!G32&lt;&gt;0,'Sky-Gen Ent EPG'!G32,"")</f>
        <v>E HD</v>
      </c>
      <c r="L30">
        <f>IF($J30="","",INDEX('Sky-Gen Ent EPG'!$E:$G,MATCH('Impacts - Sky - England and NI'!$J30,'Sky-Gen Ent EPG'!$G:$G,0),1))</f>
        <v>123</v>
      </c>
      <c r="M30">
        <f>IF($J30="","",INDEX('Sky-Gen Ent EPG'!$E:$G,MATCH('Impacts - Sky - England and NI'!$J30,'Sky-Gen Ent EPG'!$G:$G,0),2))</f>
        <v>22</v>
      </c>
      <c r="O30">
        <f>IF($J30="","",INDEX('Sky-Gen Ent EPG'!$U:$W,MATCH('Impacts - Sky - England and NI'!$J30,'Sky-Gen Ent EPG'!$W:$W,0),1))</f>
        <v>124</v>
      </c>
      <c r="P30">
        <f>IF($J30="","",INDEX('Sky-Gen Ent EPG'!$U:$W,MATCH('Impacts - Sky - England and NI'!$J30,'Sky-Gen Ent EPG'!$W:$W,0),2))</f>
        <v>22</v>
      </c>
    </row>
    <row r="31" spans="1:16" x14ac:dyDescent="0.45">
      <c r="A31" t="str">
        <f>IF('Sky-Gen Ent EPG'!C33&lt;&gt;0,'Sky-Gen Ent EPG'!C33,"")</f>
        <v>FOX HD</v>
      </c>
      <c r="C31">
        <f>IF($A31="","",INDEX('Sky-Gen Ent EPG'!$A:$C,MATCH('Impacts - Sky - England and NI'!$A31,'Sky-Gen Ent EPG'!$C:$C,0),1))</f>
        <v>124</v>
      </c>
      <c r="D31">
        <f>IF($A31="","",INDEX('Sky-Gen Ent EPG'!$A:$C,MATCH('Impacts - Sky - England and NI'!$A31,'Sky-Gen Ent EPG'!$C:$C,0),2))</f>
        <v>24</v>
      </c>
      <c r="F31">
        <f>IF($A31="","",INDEX('Sky-Gen Ent EPG'!$Q:$S,MATCH('Impacts - Sky - England and NI'!$A31,'Sky-Gen Ent EPG'!$S:$S,0),1))</f>
        <v>125</v>
      </c>
      <c r="G31">
        <f>IF($A31="","",INDEX('Sky-Gen Ent EPG'!$Q:$S,MATCH('Impacts - Sky - England and NI'!$A31,'Sky-Gen Ent EPG'!$S:$S,0),2))</f>
        <v>24</v>
      </c>
      <c r="J31" t="str">
        <f>IF('Sky-Gen Ent EPG'!G33&lt;&gt;0,'Sky-Gen Ent EPG'!G33,"")</f>
        <v>FOX HD</v>
      </c>
      <c r="L31">
        <f>IF($J31="","",INDEX('Sky-Gen Ent EPG'!$E:$G,MATCH('Impacts - Sky - England and NI'!$J31,'Sky-Gen Ent EPG'!$G:$G,0),1))</f>
        <v>124</v>
      </c>
      <c r="M31">
        <f>IF($J31="","",INDEX('Sky-Gen Ent EPG'!$E:$G,MATCH('Impacts - Sky - England and NI'!$J31,'Sky-Gen Ent EPG'!$G:$G,0),2))</f>
        <v>23</v>
      </c>
      <c r="O31">
        <f>IF($J31="","",INDEX('Sky-Gen Ent EPG'!$U:$W,MATCH('Impacts - Sky - England and NI'!$J31,'Sky-Gen Ent EPG'!$W:$W,0),1))</f>
        <v>125</v>
      </c>
      <c r="P31">
        <f>IF($J31="","",INDEX('Sky-Gen Ent EPG'!$U:$W,MATCH('Impacts - Sky - England and NI'!$J31,'Sky-Gen Ent EPG'!$W:$W,0),2))</f>
        <v>23</v>
      </c>
    </row>
    <row r="32" spans="1:16" x14ac:dyDescent="0.45">
      <c r="A32" t="str">
        <f>IF('Sky-Gen Ent EPG'!C34&lt;&gt;0,'Sky-Gen Ent EPG'!C34,"")</f>
        <v>Discovery HD</v>
      </c>
      <c r="C32">
        <f>IF($A32="","",INDEX('Sky-Gen Ent EPG'!$A:$C,MATCH('Impacts - Sky - England and NI'!$A32,'Sky-Gen Ent EPG'!$C:$C,0),1))</f>
        <v>125</v>
      </c>
      <c r="D32">
        <f>IF($A32="","",INDEX('Sky-Gen Ent EPG'!$A:$C,MATCH('Impacts - Sky - England and NI'!$A32,'Sky-Gen Ent EPG'!$C:$C,0),2))</f>
        <v>25</v>
      </c>
      <c r="F32">
        <f>IF($A32="","",INDEX('Sky-Gen Ent EPG'!$Q:$S,MATCH('Impacts - Sky - England and NI'!$A32,'Sky-Gen Ent EPG'!$S:$S,0),1))</f>
        <v>127</v>
      </c>
      <c r="G32">
        <f>IF($A32="","",INDEX('Sky-Gen Ent EPG'!$Q:$S,MATCH('Impacts - Sky - England and NI'!$A32,'Sky-Gen Ent EPG'!$S:$S,0),2))</f>
        <v>25</v>
      </c>
      <c r="J32" t="str">
        <f>IF('Sky-Gen Ent EPG'!G34&lt;&gt;0,'Sky-Gen Ent EPG'!G34,"")</f>
        <v>Discovery HD</v>
      </c>
      <c r="L32">
        <f>IF($J32="","",INDEX('Sky-Gen Ent EPG'!$E:$G,MATCH('Impacts - Sky - England and NI'!$J32,'Sky-Gen Ent EPG'!$G:$G,0),1))</f>
        <v>125</v>
      </c>
      <c r="M32">
        <f>IF($J32="","",INDEX('Sky-Gen Ent EPG'!$E:$G,MATCH('Impacts - Sky - England and NI'!$J32,'Sky-Gen Ent EPG'!$G:$G,0),2))</f>
        <v>24</v>
      </c>
      <c r="O32">
        <f>IF($J32="","",INDEX('Sky-Gen Ent EPG'!$U:$W,MATCH('Impacts - Sky - England and NI'!$J32,'Sky-Gen Ent EPG'!$W:$W,0),1))</f>
        <v>127</v>
      </c>
      <c r="P32">
        <f>IF($J32="","",INDEX('Sky-Gen Ent EPG'!$U:$W,MATCH('Impacts - Sky - England and NI'!$J32,'Sky-Gen Ent EPG'!$W:$W,0),2))</f>
        <v>24</v>
      </c>
    </row>
    <row r="33" spans="1:16" x14ac:dyDescent="0.45">
      <c r="A33" t="str">
        <f>IF('Sky-Gen Ent EPG'!C35&lt;&gt;0,'Sky-Gen Ent EPG'!C35,"")</f>
        <v>MTV HD</v>
      </c>
      <c r="C33">
        <f>IF($A33="","",INDEX('Sky-Gen Ent EPG'!$A:$C,MATCH('Impacts - Sky - England and NI'!$A33,'Sky-Gen Ent EPG'!$C:$C,0),1))</f>
        <v>126</v>
      </c>
      <c r="D33">
        <f>IF($A33="","",INDEX('Sky-Gen Ent EPG'!$A:$C,MATCH('Impacts - Sky - England and NI'!$A33,'Sky-Gen Ent EPG'!$C:$C,0),2))</f>
        <v>26</v>
      </c>
      <c r="F33">
        <f>IF($A33="","",INDEX('Sky-Gen Ent EPG'!$Q:$S,MATCH('Impacts - Sky - England and NI'!$A33,'Sky-Gen Ent EPG'!$S:$S,0),1))</f>
        <v>128</v>
      </c>
      <c r="G33">
        <f>IF($A33="","",INDEX('Sky-Gen Ent EPG'!$Q:$S,MATCH('Impacts - Sky - England and NI'!$A33,'Sky-Gen Ent EPG'!$S:$S,0),2))</f>
        <v>26</v>
      </c>
      <c r="J33" t="str">
        <f>IF('Sky-Gen Ent EPG'!G35&lt;&gt;0,'Sky-Gen Ent EPG'!G35,"")</f>
        <v>MTV HD</v>
      </c>
      <c r="L33">
        <f>IF($J33="","",INDEX('Sky-Gen Ent EPG'!$E:$G,MATCH('Impacts - Sky - England and NI'!$J33,'Sky-Gen Ent EPG'!$G:$G,0),1))</f>
        <v>126</v>
      </c>
      <c r="M33">
        <f>IF($J33="","",INDEX('Sky-Gen Ent EPG'!$E:$G,MATCH('Impacts - Sky - England and NI'!$J33,'Sky-Gen Ent EPG'!$G:$G,0),2))</f>
        <v>25</v>
      </c>
      <c r="O33">
        <f>IF($J33="","",INDEX('Sky-Gen Ent EPG'!$U:$W,MATCH('Impacts - Sky - England and NI'!$J33,'Sky-Gen Ent EPG'!$W:$W,0),1))</f>
        <v>128</v>
      </c>
      <c r="P33">
        <f>IF($J33="","",INDEX('Sky-Gen Ent EPG'!$U:$W,MATCH('Impacts - Sky - England and NI'!$J33,'Sky-Gen Ent EPG'!$W:$W,0),2))</f>
        <v>25</v>
      </c>
    </row>
    <row r="34" spans="1:16" x14ac:dyDescent="0.45">
      <c r="A34" t="str">
        <f>IF('Sky-Gen Ent EPG'!C36&lt;&gt;0,'Sky-Gen Ent EPG'!C36,"")</f>
        <v>ComedyXtra</v>
      </c>
      <c r="C34">
        <f>IF($A34="","",INDEX('Sky-Gen Ent EPG'!$A:$C,MATCH('Impacts - Sky - England and NI'!$A34,'Sky-Gen Ent EPG'!$C:$C,0),1))</f>
        <v>127</v>
      </c>
      <c r="D34">
        <f>IF($A34="","",INDEX('Sky-Gen Ent EPG'!$A:$C,MATCH('Impacts - Sky - England and NI'!$A34,'Sky-Gen Ent EPG'!$C:$C,0),2))</f>
        <v>27</v>
      </c>
      <c r="F34">
        <f>IF($A34="","",INDEX('Sky-Gen Ent EPG'!$Q:$S,MATCH('Impacts - Sky - England and NI'!$A34,'Sky-Gen Ent EPG'!$S:$S,0),1))</f>
        <v>129</v>
      </c>
      <c r="G34">
        <f>IF($A34="","",INDEX('Sky-Gen Ent EPG'!$Q:$S,MATCH('Impacts - Sky - England and NI'!$A34,'Sky-Gen Ent EPG'!$S:$S,0),2))</f>
        <v>27</v>
      </c>
      <c r="J34" t="str">
        <f>IF('Sky-Gen Ent EPG'!G36&lt;&gt;0,'Sky-Gen Ent EPG'!G36,"")</f>
        <v>ComedyXtra</v>
      </c>
      <c r="L34">
        <f>IF($J34="","",INDEX('Sky-Gen Ent EPG'!$E:$G,MATCH('Impacts - Sky - England and NI'!$J34,'Sky-Gen Ent EPG'!$G:$G,0),1))</f>
        <v>127</v>
      </c>
      <c r="M34">
        <f>IF($J34="","",INDEX('Sky-Gen Ent EPG'!$E:$G,MATCH('Impacts - Sky - England and NI'!$J34,'Sky-Gen Ent EPG'!$G:$G,0),2))</f>
        <v>26</v>
      </c>
      <c r="O34">
        <f>IF($J34="","",INDEX('Sky-Gen Ent EPG'!$U:$W,MATCH('Impacts - Sky - England and NI'!$J34,'Sky-Gen Ent EPG'!$W:$W,0),1))</f>
        <v>129</v>
      </c>
      <c r="P34">
        <f>IF($J34="","",INDEX('Sky-Gen Ent EPG'!$U:$W,MATCH('Impacts - Sky - England and NI'!$J34,'Sky-Gen Ent EPG'!$W:$W,0),2))</f>
        <v>26</v>
      </c>
    </row>
    <row r="35" spans="1:16" x14ac:dyDescent="0.45">
      <c r="A35" t="str">
        <f>IF('Sky-Gen Ent EPG'!C37&lt;&gt;0,'Sky-Gen Ent EPG'!C37,"")</f>
        <v>5STAR</v>
      </c>
      <c r="C35">
        <f>IF($A35="","",INDEX('Sky-Gen Ent EPG'!$A:$C,MATCH('Impacts - Sky - England and NI'!$A35,'Sky-Gen Ent EPG'!$C:$C,0),1))</f>
        <v>128</v>
      </c>
      <c r="D35">
        <f>IF($A35="","",INDEX('Sky-Gen Ent EPG'!$A:$C,MATCH('Impacts - Sky - England and NI'!$A35,'Sky-Gen Ent EPG'!$C:$C,0),2))</f>
        <v>28</v>
      </c>
      <c r="F35">
        <f>IF($A35="","",INDEX('Sky-Gen Ent EPG'!$Q:$S,MATCH('Impacts - Sky - England and NI'!$A35,'Sky-Gen Ent EPG'!$S:$S,0),1))</f>
        <v>130</v>
      </c>
      <c r="G35">
        <f>IF($A35="","",INDEX('Sky-Gen Ent EPG'!$Q:$S,MATCH('Impacts - Sky - England and NI'!$A35,'Sky-Gen Ent EPG'!$S:$S,0),2))</f>
        <v>28</v>
      </c>
      <c r="J35" t="str">
        <f>IF('Sky-Gen Ent EPG'!G37&lt;&gt;0,'Sky-Gen Ent EPG'!G37,"")</f>
        <v>5STAR</v>
      </c>
      <c r="L35">
        <f>IF($J35="","",INDEX('Sky-Gen Ent EPG'!$E:$G,MATCH('Impacts - Sky - England and NI'!$J35,'Sky-Gen Ent EPG'!$G:$G,0),1))</f>
        <v>128</v>
      </c>
      <c r="M35">
        <f>IF($J35="","",INDEX('Sky-Gen Ent EPG'!$E:$G,MATCH('Impacts - Sky - England and NI'!$J35,'Sky-Gen Ent EPG'!$G:$G,0),2))</f>
        <v>27</v>
      </c>
      <c r="O35">
        <f>IF($J35="","",INDEX('Sky-Gen Ent EPG'!$U:$W,MATCH('Impacts - Sky - England and NI'!$J35,'Sky-Gen Ent EPG'!$W:$W,0),1))</f>
        <v>130</v>
      </c>
      <c r="P35">
        <f>IF($J35="","",INDEX('Sky-Gen Ent EPG'!$U:$W,MATCH('Impacts - Sky - England and NI'!$J35,'Sky-Gen Ent EPG'!$W:$W,0),2))</f>
        <v>27</v>
      </c>
    </row>
    <row r="36" spans="1:16" x14ac:dyDescent="0.45">
      <c r="A36" t="str">
        <f>IF('Sky-Gen Ent EPG'!C38&lt;&gt;0,'Sky-Gen Ent EPG'!C38,"")</f>
        <v>National Geographic HD</v>
      </c>
      <c r="C36">
        <f>IF($A36="","",INDEX('Sky-Gen Ent EPG'!$A:$C,MATCH('Impacts - Sky - England and NI'!$A36,'Sky-Gen Ent EPG'!$C:$C,0),1))</f>
        <v>129</v>
      </c>
      <c r="D36">
        <f>IF($A36="","",INDEX('Sky-Gen Ent EPG'!$A:$C,MATCH('Impacts - Sky - England and NI'!$A36,'Sky-Gen Ent EPG'!$C:$C,0),2))</f>
        <v>29</v>
      </c>
      <c r="F36">
        <f>IF($A36="","",INDEX('Sky-Gen Ent EPG'!$Q:$S,MATCH('Impacts - Sky - England and NI'!$A36,'Sky-Gen Ent EPG'!$S:$S,0),1))</f>
        <v>131</v>
      </c>
      <c r="G36">
        <f>IF($A36="","",INDEX('Sky-Gen Ent EPG'!$Q:$S,MATCH('Impacts - Sky - England and NI'!$A36,'Sky-Gen Ent EPG'!$S:$S,0),2))</f>
        <v>29</v>
      </c>
      <c r="J36" t="str">
        <f>IF('Sky-Gen Ent EPG'!G38&lt;&gt;0,'Sky-Gen Ent EPG'!G38,"")</f>
        <v>National Geographic HD</v>
      </c>
      <c r="L36">
        <f>IF($J36="","",INDEX('Sky-Gen Ent EPG'!$E:$G,MATCH('Impacts - Sky - England and NI'!$J36,'Sky-Gen Ent EPG'!$G:$G,0),1))</f>
        <v>129</v>
      </c>
      <c r="M36">
        <f>IF($J36="","",INDEX('Sky-Gen Ent EPG'!$E:$G,MATCH('Impacts - Sky - England and NI'!$J36,'Sky-Gen Ent EPG'!$G:$G,0),2))</f>
        <v>28</v>
      </c>
      <c r="O36">
        <f>IF($J36="","",INDEX('Sky-Gen Ent EPG'!$U:$W,MATCH('Impacts - Sky - England and NI'!$J36,'Sky-Gen Ent EPG'!$W:$W,0),1))</f>
        <v>131</v>
      </c>
      <c r="P36">
        <f>IF($J36="","",INDEX('Sky-Gen Ent EPG'!$U:$W,MATCH('Impacts - Sky - England and NI'!$J36,'Sky-Gen Ent EPG'!$W:$W,0),2))</f>
        <v>28</v>
      </c>
    </row>
    <row r="37" spans="1:16" x14ac:dyDescent="0.45">
      <c r="A37" t="str">
        <f>IF('Sky-Gen Ent EPG'!C39&lt;&gt;0,'Sky-Gen Ent EPG'!C39,"")</f>
        <v>History HD</v>
      </c>
      <c r="C37">
        <f>IF($A37="","",INDEX('Sky-Gen Ent EPG'!$A:$C,MATCH('Impacts - Sky - England and NI'!$A37,'Sky-Gen Ent EPG'!$C:$C,0),1))</f>
        <v>130</v>
      </c>
      <c r="D37">
        <f>IF($A37="","",INDEX('Sky-Gen Ent EPG'!$A:$C,MATCH('Impacts - Sky - England and NI'!$A37,'Sky-Gen Ent EPG'!$C:$C,0),2))</f>
        <v>30</v>
      </c>
      <c r="F37">
        <f>IF($A37="","",INDEX('Sky-Gen Ent EPG'!$Q:$S,MATCH('Impacts - Sky - England and NI'!$A37,'Sky-Gen Ent EPG'!$S:$S,0),1))</f>
        <v>132</v>
      </c>
      <c r="G37">
        <f>IF($A37="","",INDEX('Sky-Gen Ent EPG'!$Q:$S,MATCH('Impacts - Sky - England and NI'!$A37,'Sky-Gen Ent EPG'!$S:$S,0),2))</f>
        <v>30</v>
      </c>
      <c r="J37" t="str">
        <f>IF('Sky-Gen Ent EPG'!G39&lt;&gt;0,'Sky-Gen Ent EPG'!G39,"")</f>
        <v>History HD</v>
      </c>
      <c r="L37">
        <f>IF($J37="","",INDEX('Sky-Gen Ent EPG'!$E:$G,MATCH('Impacts - Sky - England and NI'!$J37,'Sky-Gen Ent EPG'!$G:$G,0),1))</f>
        <v>130</v>
      </c>
      <c r="M37">
        <f>IF($J37="","",INDEX('Sky-Gen Ent EPG'!$E:$G,MATCH('Impacts - Sky - England and NI'!$J37,'Sky-Gen Ent EPG'!$G:$G,0),2))</f>
        <v>29</v>
      </c>
      <c r="O37">
        <f>IF($J37="","",INDEX('Sky-Gen Ent EPG'!$U:$W,MATCH('Impacts - Sky - England and NI'!$J37,'Sky-Gen Ent EPG'!$W:$W,0),1))</f>
        <v>132</v>
      </c>
      <c r="P37">
        <f>IF($J37="","",INDEX('Sky-Gen Ent EPG'!$U:$W,MATCH('Impacts - Sky - England and NI'!$J37,'Sky-Gen Ent EPG'!$W:$W,0),2))</f>
        <v>29</v>
      </c>
    </row>
    <row r="38" spans="1:16" x14ac:dyDescent="0.45">
      <c r="A38" t="str">
        <f>IF('Sky-Gen Ent EPG'!C40&lt;&gt;0,'Sky-Gen Ent EPG'!C40,"")</f>
        <v>ITVBe</v>
      </c>
      <c r="C38">
        <f>IF($A38="","",INDEX('Sky-Gen Ent EPG'!$A:$C,MATCH('Impacts - Sky - England and NI'!$A38,'Sky-Gen Ent EPG'!$C:$C,0),1))</f>
        <v>131</v>
      </c>
      <c r="D38">
        <f>IF($A38="","",INDEX('Sky-Gen Ent EPG'!$A:$C,MATCH('Impacts - Sky - England and NI'!$A38,'Sky-Gen Ent EPG'!$C:$C,0),2))</f>
        <v>31</v>
      </c>
      <c r="F38">
        <f>IF($A38="","",INDEX('Sky-Gen Ent EPG'!$Q:$S,MATCH('Impacts - Sky - England and NI'!$A38,'Sky-Gen Ent EPG'!$S:$S,0),1))</f>
        <v>133</v>
      </c>
      <c r="G38">
        <f>IF($A38="","",INDEX('Sky-Gen Ent EPG'!$Q:$S,MATCH('Impacts - Sky - England and NI'!$A38,'Sky-Gen Ent EPG'!$S:$S,0),2))</f>
        <v>31</v>
      </c>
      <c r="J38" t="str">
        <f>IF('Sky-Gen Ent EPG'!G40&lt;&gt;0,'Sky-Gen Ent EPG'!G40,"")</f>
        <v>ITVBe</v>
      </c>
      <c r="L38">
        <f>IF($J38="","",INDEX('Sky-Gen Ent EPG'!$E:$G,MATCH('Impacts - Sky - England and NI'!$J38,'Sky-Gen Ent EPG'!$G:$G,0),1))</f>
        <v>131</v>
      </c>
      <c r="M38">
        <f>IF($J38="","",INDEX('Sky-Gen Ent EPG'!$E:$G,MATCH('Impacts - Sky - England and NI'!$J38,'Sky-Gen Ent EPG'!$G:$G,0),2))</f>
        <v>30</v>
      </c>
      <c r="O38">
        <f>IF($J38="","",INDEX('Sky-Gen Ent EPG'!$U:$W,MATCH('Impacts - Sky - England and NI'!$J38,'Sky-Gen Ent EPG'!$W:$W,0),1))</f>
        <v>133</v>
      </c>
      <c r="P38">
        <f>IF($J38="","",INDEX('Sky-Gen Ent EPG'!$U:$W,MATCH('Impacts - Sky - England and NI'!$J38,'Sky-Gen Ent EPG'!$W:$W,0),2))</f>
        <v>30</v>
      </c>
    </row>
    <row r="39" spans="1:16" x14ac:dyDescent="0.45">
      <c r="A39" t="str">
        <f>IF('Sky-Gen Ent EPG'!C41&lt;&gt;0,'Sky-Gen Ent EPG'!C41,"")</f>
        <v>alibi HD</v>
      </c>
      <c r="C39">
        <f>IF($A39="","",INDEX('Sky-Gen Ent EPG'!$A:$C,MATCH('Impacts - Sky - England and NI'!$A39,'Sky-Gen Ent EPG'!$C:$C,0),1))</f>
        <v>132</v>
      </c>
      <c r="D39">
        <f>IF($A39="","",INDEX('Sky-Gen Ent EPG'!$A:$C,MATCH('Impacts - Sky - England and NI'!$A39,'Sky-Gen Ent EPG'!$C:$C,0),2))</f>
        <v>32</v>
      </c>
      <c r="F39">
        <f>IF($A39="","",INDEX('Sky-Gen Ent EPG'!$Q:$S,MATCH('Impacts - Sky - England and NI'!$A39,'Sky-Gen Ent EPG'!$S:$S,0),1))</f>
        <v>134</v>
      </c>
      <c r="G39">
        <f>IF($A39="","",INDEX('Sky-Gen Ent EPG'!$Q:$S,MATCH('Impacts - Sky - England and NI'!$A39,'Sky-Gen Ent EPG'!$S:$S,0),2))</f>
        <v>32</v>
      </c>
      <c r="J39" t="str">
        <f>IF('Sky-Gen Ent EPG'!G41&lt;&gt;0,'Sky-Gen Ent EPG'!G41,"")</f>
        <v>alibi HD</v>
      </c>
      <c r="L39">
        <f>IF($J39="","",INDEX('Sky-Gen Ent EPG'!$E:$G,MATCH('Impacts - Sky - England and NI'!$J39,'Sky-Gen Ent EPG'!$G:$G,0),1))</f>
        <v>132</v>
      </c>
      <c r="M39">
        <f>IF($J39="","",INDEX('Sky-Gen Ent EPG'!$E:$G,MATCH('Impacts - Sky - England and NI'!$J39,'Sky-Gen Ent EPG'!$G:$G,0),2))</f>
        <v>31</v>
      </c>
      <c r="O39">
        <f>IF($J39="","",INDEX('Sky-Gen Ent EPG'!$U:$W,MATCH('Impacts - Sky - England and NI'!$J39,'Sky-Gen Ent EPG'!$W:$W,0),1))</f>
        <v>134</v>
      </c>
      <c r="P39">
        <f>IF($J39="","",INDEX('Sky-Gen Ent EPG'!$U:$W,MATCH('Impacts - Sky - England and NI'!$J39,'Sky-Gen Ent EPG'!$W:$W,0),2))</f>
        <v>31</v>
      </c>
    </row>
    <row r="40" spans="1:16" x14ac:dyDescent="0.45">
      <c r="A40" t="str">
        <f>IF('Sky-Gen Ent EPG'!C42&lt;&gt;0,'Sky-Gen Ent EPG'!C42,"")</f>
        <v>Good Food HD</v>
      </c>
      <c r="C40">
        <f>IF($A40="","",INDEX('Sky-Gen Ent EPG'!$A:$C,MATCH('Impacts - Sky - England and NI'!$A40,'Sky-Gen Ent EPG'!$C:$C,0),1))</f>
        <v>133</v>
      </c>
      <c r="D40">
        <f>IF($A40="","",INDEX('Sky-Gen Ent EPG'!$A:$C,MATCH('Impacts - Sky - England and NI'!$A40,'Sky-Gen Ent EPG'!$C:$C,0),2))</f>
        <v>33</v>
      </c>
      <c r="F40">
        <f>IF($A40="","",INDEX('Sky-Gen Ent EPG'!$Q:$S,MATCH('Impacts - Sky - England and NI'!$A40,'Sky-Gen Ent EPG'!$S:$S,0),1))</f>
        <v>135</v>
      </c>
      <c r="G40">
        <f>IF($A40="","",INDEX('Sky-Gen Ent EPG'!$Q:$S,MATCH('Impacts - Sky - England and NI'!$A40,'Sky-Gen Ent EPG'!$S:$S,0),2))</f>
        <v>33</v>
      </c>
      <c r="J40" t="str">
        <f>IF('Sky-Gen Ent EPG'!G42&lt;&gt;0,'Sky-Gen Ent EPG'!G42,"")</f>
        <v>Good Food HD</v>
      </c>
      <c r="L40">
        <f>IF($J40="","",INDEX('Sky-Gen Ent EPG'!$E:$G,MATCH('Impacts - Sky - England and NI'!$J40,'Sky-Gen Ent EPG'!$G:$G,0),1))</f>
        <v>133</v>
      </c>
      <c r="M40">
        <f>IF($J40="","",INDEX('Sky-Gen Ent EPG'!$E:$G,MATCH('Impacts - Sky - England and NI'!$J40,'Sky-Gen Ent EPG'!$G:$G,0),2))</f>
        <v>32</v>
      </c>
      <c r="O40">
        <f>IF($J40="","",INDEX('Sky-Gen Ent EPG'!$U:$W,MATCH('Impacts - Sky - England and NI'!$J40,'Sky-Gen Ent EPG'!$W:$W,0),1))</f>
        <v>135</v>
      </c>
      <c r="P40">
        <f>IF($J40="","",INDEX('Sky-Gen Ent EPG'!$U:$W,MATCH('Impacts - Sky - England and NI'!$J40,'Sky-Gen Ent EPG'!$W:$W,0),2))</f>
        <v>32</v>
      </c>
    </row>
    <row r="41" spans="1:16" x14ac:dyDescent="0.45">
      <c r="A41" t="str">
        <f>IF('Sky-Gen Ent EPG'!C43&lt;&gt;0,'Sky-Gen Ent EPG'!C43,"")</f>
        <v>S4C</v>
      </c>
      <c r="C41">
        <f>IF($A41="","",INDEX('Sky-Gen Ent EPG'!$A:$C,MATCH('Impacts - Sky - England and NI'!$A41,'Sky-Gen Ent EPG'!$C:$C,0),1))</f>
        <v>134</v>
      </c>
      <c r="D41">
        <f>IF($A41="","",INDEX('Sky-Gen Ent EPG'!$A:$C,MATCH('Impacts - Sky - England and NI'!$A41,'Sky-Gen Ent EPG'!$C:$C,0),2))</f>
        <v>34</v>
      </c>
      <c r="F41">
        <f>IF($A41="","",INDEX('Sky-Gen Ent EPG'!$Q:$S,MATCH('Impacts - Sky - England and NI'!$A41,'Sky-Gen Ent EPG'!$S:$S,0),1))</f>
        <v>136</v>
      </c>
      <c r="G41">
        <f>IF($A41="","",INDEX('Sky-Gen Ent EPG'!$Q:$S,MATCH('Impacts - Sky - England and NI'!$A41,'Sky-Gen Ent EPG'!$S:$S,0),2))</f>
        <v>34</v>
      </c>
      <c r="J41" t="str">
        <f>IF('Sky-Gen Ent EPG'!G43&lt;&gt;0,'Sky-Gen Ent EPG'!G43,"")</f>
        <v>S4C</v>
      </c>
      <c r="L41">
        <f>IF($J41="","",INDEX('Sky-Gen Ent EPG'!$E:$G,MATCH('Impacts - Sky - England and NI'!$J41,'Sky-Gen Ent EPG'!$G:$G,0),1))</f>
        <v>134</v>
      </c>
      <c r="M41">
        <f>IF($J41="","",INDEX('Sky-Gen Ent EPG'!$E:$G,MATCH('Impacts - Sky - England and NI'!$J41,'Sky-Gen Ent EPG'!$G:$G,0),2))</f>
        <v>33</v>
      </c>
      <c r="O41">
        <f>IF($J41="","",INDEX('Sky-Gen Ent EPG'!$U:$W,MATCH('Impacts - Sky - England and NI'!$J41,'Sky-Gen Ent EPG'!$W:$W,0),1))</f>
        <v>136</v>
      </c>
      <c r="P41">
        <f>IF($J41="","",INDEX('Sky-Gen Ent EPG'!$U:$W,MATCH('Impacts - Sky - England and NI'!$J41,'Sky-Gen Ent EPG'!$W:$W,0),2))</f>
        <v>33</v>
      </c>
    </row>
    <row r="42" spans="1:16" x14ac:dyDescent="0.45">
      <c r="A42" t="str">
        <f>IF('Sky-Gen Ent EPG'!C44&lt;&gt;0,'Sky-Gen Ent EPG'!C44,"")</f>
        <v>E4 HD</v>
      </c>
      <c r="C42">
        <f>IF($A42="","",INDEX('Sky-Gen Ent EPG'!$A:$C,MATCH('Impacts - Sky - England and NI'!$A42,'Sky-Gen Ent EPG'!$C:$C,0),1))</f>
        <v>135</v>
      </c>
      <c r="D42">
        <f>IF($A42="","",INDEX('Sky-Gen Ent EPG'!$A:$C,MATCH('Impacts - Sky - England and NI'!$A42,'Sky-Gen Ent EPG'!$C:$C,0),2))</f>
        <v>35</v>
      </c>
      <c r="F42">
        <f>IF($A42="","",INDEX('Sky-Gen Ent EPG'!$Q:$S,MATCH('Impacts - Sky - England and NI'!$A42,'Sky-Gen Ent EPG'!$S:$S,0),1))</f>
        <v>137</v>
      </c>
      <c r="G42">
        <f>IF($A42="","",INDEX('Sky-Gen Ent EPG'!$Q:$S,MATCH('Impacts - Sky - England and NI'!$A42,'Sky-Gen Ent EPG'!$S:$S,0),2))</f>
        <v>35</v>
      </c>
      <c r="J42" t="str">
        <f>IF('Sky-Gen Ent EPG'!G44&lt;&gt;0,'Sky-Gen Ent EPG'!G44,"")</f>
        <v>E4 HD</v>
      </c>
      <c r="L42">
        <f>IF($J42="","",INDEX('Sky-Gen Ent EPG'!$E:$G,MATCH('Impacts - Sky - England and NI'!$J42,'Sky-Gen Ent EPG'!$G:$G,0),1))</f>
        <v>135</v>
      </c>
      <c r="M42">
        <f>IF($J42="","",INDEX('Sky-Gen Ent EPG'!$E:$G,MATCH('Impacts - Sky - England and NI'!$J42,'Sky-Gen Ent EPG'!$G:$G,0),2))</f>
        <v>34</v>
      </c>
      <c r="O42">
        <f>IF($J42="","",INDEX('Sky-Gen Ent EPG'!$U:$W,MATCH('Impacts - Sky - England and NI'!$J42,'Sky-Gen Ent EPG'!$W:$W,0),1))</f>
        <v>137</v>
      </c>
      <c r="P42">
        <f>IF($J42="","",INDEX('Sky-Gen Ent EPG'!$U:$W,MATCH('Impacts - Sky - England and NI'!$J42,'Sky-Gen Ent EPG'!$W:$W,0),2))</f>
        <v>34</v>
      </c>
    </row>
    <row r="43" spans="1:16" x14ac:dyDescent="0.45">
      <c r="A43" t="str">
        <f>IF('Sky-Gen Ent EPG'!C45&lt;&gt;0,'Sky-Gen Ent EPG'!C45,"")</f>
        <v>More4 HD</v>
      </c>
      <c r="C43">
        <f>IF($A43="","",INDEX('Sky-Gen Ent EPG'!$A:$C,MATCH('Impacts - Sky - England and NI'!$A43,'Sky-Gen Ent EPG'!$C:$C,0),1))</f>
        <v>136</v>
      </c>
      <c r="D43">
        <f>IF($A43="","",INDEX('Sky-Gen Ent EPG'!$A:$C,MATCH('Impacts - Sky - England and NI'!$A43,'Sky-Gen Ent EPG'!$C:$C,0),2))</f>
        <v>36</v>
      </c>
      <c r="F43">
        <f>IF($A43="","",INDEX('Sky-Gen Ent EPG'!$Q:$S,MATCH('Impacts - Sky - England and NI'!$A43,'Sky-Gen Ent EPG'!$S:$S,0),1))</f>
        <v>138</v>
      </c>
      <c r="G43">
        <f>IF($A43="","",INDEX('Sky-Gen Ent EPG'!$Q:$S,MATCH('Impacts - Sky - England and NI'!$A43,'Sky-Gen Ent EPG'!$S:$S,0),2))</f>
        <v>36</v>
      </c>
      <c r="J43" t="str">
        <f>IF('Sky-Gen Ent EPG'!G45&lt;&gt;0,'Sky-Gen Ent EPG'!G45,"")</f>
        <v>More4 HD</v>
      </c>
      <c r="L43">
        <f>IF($J43="","",INDEX('Sky-Gen Ent EPG'!$E:$G,MATCH('Impacts - Sky - England and NI'!$J43,'Sky-Gen Ent EPG'!$G:$G,0),1))</f>
        <v>136</v>
      </c>
      <c r="M43">
        <f>IF($J43="","",INDEX('Sky-Gen Ent EPG'!$E:$G,MATCH('Impacts - Sky - England and NI'!$J43,'Sky-Gen Ent EPG'!$G:$G,0),2))</f>
        <v>35</v>
      </c>
      <c r="O43">
        <f>IF($J43="","",INDEX('Sky-Gen Ent EPG'!$U:$W,MATCH('Impacts - Sky - England and NI'!$J43,'Sky-Gen Ent EPG'!$W:$W,0),1))</f>
        <v>138</v>
      </c>
      <c r="P43">
        <f>IF($J43="","",INDEX('Sky-Gen Ent EPG'!$U:$W,MATCH('Impacts - Sky - England and NI'!$J43,'Sky-Gen Ent EPG'!$W:$W,0),2))</f>
        <v>35</v>
      </c>
    </row>
    <row r="44" spans="1:16" x14ac:dyDescent="0.45">
      <c r="A44" t="str">
        <f>IF('Sky-Gen Ent EPG'!C46&lt;&gt;0,'Sky-Gen Ent EPG'!C46,"")</f>
        <v>4seven</v>
      </c>
      <c r="C44">
        <f>IF($A44="","",INDEX('Sky-Gen Ent EPG'!$A:$C,MATCH('Impacts - Sky - England and NI'!$A44,'Sky-Gen Ent EPG'!$C:$C,0),1))</f>
        <v>137</v>
      </c>
      <c r="D44">
        <f>IF($A44="","",INDEX('Sky-Gen Ent EPG'!$A:$C,MATCH('Impacts - Sky - England and NI'!$A44,'Sky-Gen Ent EPG'!$C:$C,0),2))</f>
        <v>37</v>
      </c>
      <c r="F44">
        <f>IF($A44="","",INDEX('Sky-Gen Ent EPG'!$Q:$S,MATCH('Impacts - Sky - England and NI'!$A44,'Sky-Gen Ent EPG'!$S:$S,0),1))</f>
        <v>139</v>
      </c>
      <c r="G44">
        <f>IF($A44="","",INDEX('Sky-Gen Ent EPG'!$Q:$S,MATCH('Impacts - Sky - England and NI'!$A44,'Sky-Gen Ent EPG'!$S:$S,0),2))</f>
        <v>37</v>
      </c>
      <c r="J44" t="str">
        <f>IF('Sky-Gen Ent EPG'!G46&lt;&gt;0,'Sky-Gen Ent EPG'!G46,"")</f>
        <v>4seven</v>
      </c>
      <c r="L44">
        <f>IF($J44="","",INDEX('Sky-Gen Ent EPG'!$E:$G,MATCH('Impacts - Sky - England and NI'!$J44,'Sky-Gen Ent EPG'!$G:$G,0),1))</f>
        <v>137</v>
      </c>
      <c r="M44">
        <f>IF($J44="","",INDEX('Sky-Gen Ent EPG'!$E:$G,MATCH('Impacts - Sky - England and NI'!$J44,'Sky-Gen Ent EPG'!$G:$G,0),2))</f>
        <v>36</v>
      </c>
      <c r="O44">
        <f>IF($J44="","",INDEX('Sky-Gen Ent EPG'!$U:$W,MATCH('Impacts - Sky - England and NI'!$J44,'Sky-Gen Ent EPG'!$W:$W,0),1))</f>
        <v>139</v>
      </c>
      <c r="P44">
        <f>IF($J44="","",INDEX('Sky-Gen Ent EPG'!$U:$W,MATCH('Impacts - Sky - England and NI'!$J44,'Sky-Gen Ent EPG'!$W:$W,0),2))</f>
        <v>36</v>
      </c>
    </row>
    <row r="45" spans="1:16" x14ac:dyDescent="0.45">
      <c r="A45" t="str">
        <f>IF('Sky-Gen Ent EPG'!C47&lt;&gt;0,'Sky-Gen Ent EPG'!C47,"")</f>
        <v/>
      </c>
      <c r="C45" t="str">
        <f>IF($A45="","",INDEX('Sky-Gen Ent EPG'!$A:$C,MATCH('Impacts - Sky - England and NI'!$A45,'Sky-Gen Ent EPG'!$C:$C,0),1))</f>
        <v/>
      </c>
      <c r="D45" t="str">
        <f>IF($A45="","",INDEX('Sky-Gen Ent EPG'!$A:$C,MATCH('Impacts - Sky - England and NI'!$A45,'Sky-Gen Ent EPG'!$C:$C,0),2))</f>
        <v/>
      </c>
      <c r="F45" t="str">
        <f>IF($A45="","",INDEX('Sky-Gen Ent EPG'!$Q:$S,MATCH('Impacts - Sky - England and NI'!$A45,'Sky-Gen Ent EPG'!$S:$S,0),1))</f>
        <v/>
      </c>
      <c r="G45" t="str">
        <f>IF($A45="","",INDEX('Sky-Gen Ent EPG'!$Q:$S,MATCH('Impacts - Sky - England and NI'!$A45,'Sky-Gen Ent EPG'!$S:$S,0),2))</f>
        <v/>
      </c>
      <c r="J45" t="str">
        <f>IF('Sky-Gen Ent EPG'!G47&lt;&gt;0,'Sky-Gen Ent EPG'!G47,"")</f>
        <v>Channel 4 HD</v>
      </c>
      <c r="L45">
        <f>IF($J45="","",INDEX('Sky-Gen Ent EPG'!$E:$G,MATCH('Impacts - Sky - England and NI'!$J45,'Sky-Gen Ent EPG'!$G:$G,0),1))</f>
        <v>138</v>
      </c>
      <c r="M45">
        <f>IF($J45="","",INDEX('Sky-Gen Ent EPG'!$E:$G,MATCH('Impacts - Sky - England and NI'!$J45,'Sky-Gen Ent EPG'!$G:$G,0),2))</f>
        <v>37</v>
      </c>
      <c r="O45">
        <f>IF($J45="","",INDEX('Sky-Gen Ent EPG'!$U:$W,MATCH('Impacts - Sky - England and NI'!$J45,'Sky-Gen Ent EPG'!$W:$W,0),1))</f>
        <v>140</v>
      </c>
      <c r="P45">
        <f>IF($J45="","",INDEX('Sky-Gen Ent EPG'!$U:$W,MATCH('Impacts - Sky - England and NI'!$J45,'Sky-Gen Ent EPG'!$W:$W,0),2))</f>
        <v>37</v>
      </c>
    </row>
    <row r="46" spans="1:16" x14ac:dyDescent="0.45">
      <c r="A46" t="str">
        <f>IF('Sky-Gen Ent EPG'!C48&lt;&gt;0,'Sky-Gen Ent EPG'!C48,"")</f>
        <v>4Music</v>
      </c>
      <c r="C46">
        <f>IF($A46="","",INDEX('Sky-Gen Ent EPG'!$A:$C,MATCH('Impacts - Sky - England and NI'!$A46,'Sky-Gen Ent EPG'!$C:$C,0),1))</f>
        <v>139</v>
      </c>
      <c r="D46">
        <f>IF($A46="","",INDEX('Sky-Gen Ent EPG'!$A:$C,MATCH('Impacts - Sky - England and NI'!$A46,'Sky-Gen Ent EPG'!$C:$C,0),2))</f>
        <v>38</v>
      </c>
      <c r="F46">
        <f>IF($A46="","",INDEX('Sky-Gen Ent EPG'!$Q:$S,MATCH('Impacts - Sky - England and NI'!$A46,'Sky-Gen Ent EPG'!$S:$S,0),1))</f>
        <v>141</v>
      </c>
      <c r="G46">
        <f>IF($A46="","",INDEX('Sky-Gen Ent EPG'!$Q:$S,MATCH('Impacts - Sky - England and NI'!$A46,'Sky-Gen Ent EPG'!$S:$S,0),2))</f>
        <v>38</v>
      </c>
      <c r="J46" t="str">
        <f>IF('Sky-Gen Ent EPG'!G48&lt;&gt;0,'Sky-Gen Ent EPG'!G48,"")</f>
        <v>4Music</v>
      </c>
      <c r="L46">
        <f>IF($J46="","",INDEX('Sky-Gen Ent EPG'!$E:$G,MATCH('Impacts - Sky - England and NI'!$J46,'Sky-Gen Ent EPG'!$G:$G,0),1))</f>
        <v>139</v>
      </c>
      <c r="M46">
        <f>IF($J46="","",INDEX('Sky-Gen Ent EPG'!$E:$G,MATCH('Impacts - Sky - England and NI'!$J46,'Sky-Gen Ent EPG'!$G:$G,0),2))</f>
        <v>38</v>
      </c>
      <c r="O46">
        <f>IF($J46="","",INDEX('Sky-Gen Ent EPG'!$U:$W,MATCH('Impacts - Sky - England and NI'!$J46,'Sky-Gen Ent EPG'!$W:$W,0),1))</f>
        <v>141</v>
      </c>
      <c r="P46">
        <f>IF($J46="","",INDEX('Sky-Gen Ent EPG'!$U:$W,MATCH('Impacts - Sky - England and NI'!$J46,'Sky-Gen Ent EPG'!$W:$W,0),2))</f>
        <v>38</v>
      </c>
    </row>
    <row r="47" spans="1:16" x14ac:dyDescent="0.45">
      <c r="A47" t="str">
        <f>IF('Sky-Gen Ent EPG'!C49&lt;&gt;0,'Sky-Gen Ent EPG'!C49,"")</f>
        <v>TLC HD</v>
      </c>
      <c r="C47">
        <f>IF($A47="","",INDEX('Sky-Gen Ent EPG'!$A:$C,MATCH('Impacts - Sky - England and NI'!$A47,'Sky-Gen Ent EPG'!$C:$C,0),1))</f>
        <v>140</v>
      </c>
      <c r="D47">
        <f>IF($A47="","",INDEX('Sky-Gen Ent EPG'!$A:$C,MATCH('Impacts - Sky - England and NI'!$A47,'Sky-Gen Ent EPG'!$C:$C,0),2))</f>
        <v>39</v>
      </c>
      <c r="F47">
        <f>IF($A47="","",INDEX('Sky-Gen Ent EPG'!$Q:$S,MATCH('Impacts - Sky - England and NI'!$A47,'Sky-Gen Ent EPG'!$S:$S,0),1))</f>
        <v>142</v>
      </c>
      <c r="G47">
        <f>IF($A47="","",INDEX('Sky-Gen Ent EPG'!$Q:$S,MATCH('Impacts - Sky - England and NI'!$A47,'Sky-Gen Ent EPG'!$S:$S,0),2))</f>
        <v>39</v>
      </c>
      <c r="J47" t="str">
        <f>IF('Sky-Gen Ent EPG'!G49&lt;&gt;0,'Sky-Gen Ent EPG'!G49,"")</f>
        <v>TLC HD</v>
      </c>
      <c r="L47">
        <f>IF($J47="","",INDEX('Sky-Gen Ent EPG'!$E:$G,MATCH('Impacts - Sky - England and NI'!$J47,'Sky-Gen Ent EPG'!$G:$G,0),1))</f>
        <v>140</v>
      </c>
      <c r="M47">
        <f>IF($J47="","",INDEX('Sky-Gen Ent EPG'!$E:$G,MATCH('Impacts - Sky - England and NI'!$J47,'Sky-Gen Ent EPG'!$G:$G,0),2))</f>
        <v>39</v>
      </c>
      <c r="O47">
        <f>IF($J47="","",INDEX('Sky-Gen Ent EPG'!$U:$W,MATCH('Impacts - Sky - England and NI'!$J47,'Sky-Gen Ent EPG'!$W:$W,0),1))</f>
        <v>142</v>
      </c>
      <c r="P47">
        <f>IF($J47="","",INDEX('Sky-Gen Ent EPG'!$U:$W,MATCH('Impacts - Sky - England and NI'!$J47,'Sky-Gen Ent EPG'!$W:$W,0),2))</f>
        <v>39</v>
      </c>
    </row>
    <row r="48" spans="1:16" x14ac:dyDescent="0.45">
      <c r="A48" t="str">
        <f>IF('Sky-Gen Ent EPG'!C50&lt;&gt;0,'Sky-Gen Ent EPG'!C50,"")</f>
        <v>5USA</v>
      </c>
      <c r="C48">
        <f>IF($A48="","",INDEX('Sky-Gen Ent EPG'!$A:$C,MATCH('Impacts - Sky - England and NI'!$A48,'Sky-Gen Ent EPG'!$C:$C,0),1))</f>
        <v>141</v>
      </c>
      <c r="D48">
        <f>IF($A48="","",INDEX('Sky-Gen Ent EPG'!$A:$C,MATCH('Impacts - Sky - England and NI'!$A48,'Sky-Gen Ent EPG'!$C:$C,0),2))</f>
        <v>40</v>
      </c>
      <c r="F48">
        <f>IF($A48="","",INDEX('Sky-Gen Ent EPG'!$Q:$S,MATCH('Impacts - Sky - England and NI'!$A48,'Sky-Gen Ent EPG'!$S:$S,0),1))</f>
        <v>143</v>
      </c>
      <c r="G48">
        <f>IF($A48="","",INDEX('Sky-Gen Ent EPG'!$Q:$S,MATCH('Impacts - Sky - England and NI'!$A48,'Sky-Gen Ent EPG'!$S:$S,0),2))</f>
        <v>40</v>
      </c>
      <c r="J48" t="str">
        <f>IF('Sky-Gen Ent EPG'!G50&lt;&gt;0,'Sky-Gen Ent EPG'!G50,"")</f>
        <v>5USA</v>
      </c>
      <c r="L48">
        <f>IF($J48="","",INDEX('Sky-Gen Ent EPG'!$E:$G,MATCH('Impacts - Sky - England and NI'!$J48,'Sky-Gen Ent EPG'!$G:$G,0),1))</f>
        <v>141</v>
      </c>
      <c r="M48">
        <f>IF($J48="","",INDEX('Sky-Gen Ent EPG'!$E:$G,MATCH('Impacts - Sky - England and NI'!$J48,'Sky-Gen Ent EPG'!$G:$G,0),2))</f>
        <v>40</v>
      </c>
      <c r="O48">
        <f>IF($J48="","",INDEX('Sky-Gen Ent EPG'!$U:$W,MATCH('Impacts - Sky - England and NI'!$J48,'Sky-Gen Ent EPG'!$W:$W,0),1))</f>
        <v>143</v>
      </c>
      <c r="P48">
        <f>IF($J48="","",INDEX('Sky-Gen Ent EPG'!$U:$W,MATCH('Impacts - Sky - England and NI'!$J48,'Sky-Gen Ent EPG'!$W:$W,0),2))</f>
        <v>40</v>
      </c>
    </row>
    <row r="49" spans="1:16" x14ac:dyDescent="0.45">
      <c r="A49" t="str">
        <f>IF('Sky-Gen Ent EPG'!C51&lt;&gt;0,'Sky-Gen Ent EPG'!C51,"")</f>
        <v>Really</v>
      </c>
      <c r="C49">
        <f>IF($A49="","",INDEX('Sky-Gen Ent EPG'!$A:$C,MATCH('Impacts - Sky - England and NI'!$A49,'Sky-Gen Ent EPG'!$C:$C,0),1))</f>
        <v>142</v>
      </c>
      <c r="D49">
        <f>IF($A49="","",INDEX('Sky-Gen Ent EPG'!$A:$C,MATCH('Impacts - Sky - England and NI'!$A49,'Sky-Gen Ent EPG'!$C:$C,0),2))</f>
        <v>41</v>
      </c>
      <c r="F49">
        <f>IF($A49="","",INDEX('Sky-Gen Ent EPG'!$Q:$S,MATCH('Impacts - Sky - England and NI'!$A49,'Sky-Gen Ent EPG'!$S:$S,0),1))</f>
        <v>144</v>
      </c>
      <c r="G49">
        <f>IF($A49="","",INDEX('Sky-Gen Ent EPG'!$Q:$S,MATCH('Impacts - Sky - England and NI'!$A49,'Sky-Gen Ent EPG'!$S:$S,0),2))</f>
        <v>41</v>
      </c>
      <c r="J49" t="str">
        <f>IF('Sky-Gen Ent EPG'!G51&lt;&gt;0,'Sky-Gen Ent EPG'!G51,"")</f>
        <v>Really</v>
      </c>
      <c r="L49">
        <f>IF($J49="","",INDEX('Sky-Gen Ent EPG'!$E:$G,MATCH('Impacts - Sky - England and NI'!$J49,'Sky-Gen Ent EPG'!$G:$G,0),1))</f>
        <v>142</v>
      </c>
      <c r="M49">
        <f>IF($J49="","",INDEX('Sky-Gen Ent EPG'!$E:$G,MATCH('Impacts - Sky - England and NI'!$J49,'Sky-Gen Ent EPG'!$G:$G,0),2))</f>
        <v>41</v>
      </c>
      <c r="O49">
        <f>IF($J49="","",INDEX('Sky-Gen Ent EPG'!$U:$W,MATCH('Impacts - Sky - England and NI'!$J49,'Sky-Gen Ent EPG'!$W:$W,0),1))</f>
        <v>144</v>
      </c>
      <c r="P49">
        <f>IF($J49="","",INDEX('Sky-Gen Ent EPG'!$U:$W,MATCH('Impacts - Sky - England and NI'!$J49,'Sky-Gen Ent EPG'!$W:$W,0),2))</f>
        <v>41</v>
      </c>
    </row>
    <row r="50" spans="1:16" ht="28.5" x14ac:dyDescent="0.45">
      <c r="A50" t="s">
        <v>199</v>
      </c>
      <c r="F50" s="2" t="s">
        <v>200</v>
      </c>
      <c r="G50" s="2" t="s">
        <v>201</v>
      </c>
      <c r="O50" s="2" t="s">
        <v>200</v>
      </c>
      <c r="P50" s="2" t="s">
        <v>201</v>
      </c>
    </row>
    <row r="51" spans="1:16" ht="28.5" x14ac:dyDescent="0.45">
      <c r="F51" s="2" t="s">
        <v>198</v>
      </c>
      <c r="G51">
        <f>COUNTIF($A8:$A49,$D8&lt;&gt;G8)</f>
        <v>0</v>
      </c>
      <c r="O51" s="2" t="s">
        <v>198</v>
      </c>
      <c r="P51">
        <f>COUNTIF($J8:$J49,$M8&lt;&gt;P8)</f>
        <v>0</v>
      </c>
    </row>
    <row r="53" spans="1:16" ht="85.5" x14ac:dyDescent="0.45">
      <c r="F53" t="s">
        <v>202</v>
      </c>
      <c r="G53" s="2" t="s">
        <v>203</v>
      </c>
      <c r="P53" s="2" t="s">
        <v>203</v>
      </c>
    </row>
  </sheetData>
  <mergeCells count="2">
    <mergeCell ref="F4:G5"/>
    <mergeCell ref="O4:P5"/>
  </mergeCells>
  <pageMargins left="0.70866141732283472" right="0.70866141732283472" top="0.74803149606299213" bottom="0.74803149606299213" header="0.31496062992125984" footer="0.31496062992125984"/>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B8FA0-39A8-487B-B01B-2CDCF50F79A7}">
  <sheetPr>
    <tabColor theme="8" tint="0.59999389629810485"/>
  </sheetPr>
  <dimension ref="A1:K54"/>
  <sheetViews>
    <sheetView workbookViewId="0"/>
  </sheetViews>
  <sheetFormatPr defaultRowHeight="14.25" x14ac:dyDescent="0.45"/>
  <cols>
    <col min="1" max="1" width="22.46484375" customWidth="1"/>
    <col min="2" max="2" width="13.33203125" customWidth="1"/>
    <col min="4" max="4" width="10.796875" bestFit="1" customWidth="1"/>
    <col min="5" max="5" width="13.86328125" customWidth="1"/>
    <col min="7" max="7" width="13.06640625" customWidth="1"/>
    <col min="8" max="8" width="14.73046875" customWidth="1"/>
  </cols>
  <sheetData>
    <row r="1" spans="1:11" x14ac:dyDescent="0.45">
      <c r="A1" t="s">
        <v>696</v>
      </c>
    </row>
    <row r="3" spans="1:11" x14ac:dyDescent="0.45">
      <c r="A3" t="s">
        <v>155</v>
      </c>
    </row>
    <row r="4" spans="1:11" x14ac:dyDescent="0.45">
      <c r="C4" t="s">
        <v>122</v>
      </c>
      <c r="G4" t="s">
        <v>288</v>
      </c>
    </row>
    <row r="7" spans="1:11" ht="99.75" x14ac:dyDescent="0.45">
      <c r="A7" t="s">
        <v>197</v>
      </c>
      <c r="B7" s="2" t="s">
        <v>206</v>
      </c>
      <c r="C7" t="s">
        <v>12</v>
      </c>
      <c r="D7" t="s">
        <v>123</v>
      </c>
      <c r="E7" s="2" t="s">
        <v>204</v>
      </c>
      <c r="G7" t="s">
        <v>12</v>
      </c>
      <c r="H7" t="s">
        <v>123</v>
      </c>
      <c r="I7" s="2" t="s">
        <v>204</v>
      </c>
      <c r="J7" s="2" t="s">
        <v>152</v>
      </c>
      <c r="K7" s="2" t="s">
        <v>208</v>
      </c>
    </row>
    <row r="8" spans="1:11" x14ac:dyDescent="0.45">
      <c r="A8" t="str">
        <f>IF('Sky-Gen Ent EPG'!K10&lt;&gt;0,'Sky-Gen Ent EPG'!K10,"")</f>
        <v>BBC One</v>
      </c>
      <c r="B8">
        <f>IF(A8="","",(IF((LEFT(A8,3))="BBC",0,1)))</f>
        <v>0</v>
      </c>
      <c r="C8">
        <f>IF($A8="","",INDEX('Sky-Gen Ent EPG'!$I:$K,MATCH($A8,'Sky-Gen Ent EPG'!$K:$K,0),1))</f>
        <v>101</v>
      </c>
      <c r="D8">
        <f>IF($A8="","",INDEX('Sky-Gen Ent EPG'!$I:$K,MATCH($A8,'Sky-Gen Ent EPG'!$K:$K,0),2))</f>
        <v>1</v>
      </c>
      <c r="E8" s="73">
        <f>IF(D8="","",(((VLOOKUP(D8,'Sky-Gen Ent - EMP slot values'!$A$25:$B$118,2,FALSE))/5)*('Nation weights - Sky'!$C$6)))</f>
        <v>0.50041750288540299</v>
      </c>
      <c r="G8">
        <f>IF($A8="","",INDEX('Sky-Gen Ent EPG'!$Y:$AA,MATCH($A8,'Sky-Gen Ent EPG'!$AA:$AA,0),1))</f>
        <v>101</v>
      </c>
      <c r="H8">
        <f>IF($A8="","",INDEX('Sky-Gen Ent EPG'!$Y:$AA,MATCH($A8,'Sky-Gen Ent EPG'!$AA:$AA,0),2))</f>
        <v>1</v>
      </c>
      <c r="I8" s="73">
        <f>IF(H8="","",(((VLOOKUP(H8,'Sky-Gen Ent - EMP slot values'!$A$25:$B$118,2,FALSE))/5)*('Nation weights - Sky'!$C$6)))</f>
        <v>0.50041750288540299</v>
      </c>
      <c r="J8">
        <f>IF($D8="","",$D8-H8)</f>
        <v>0</v>
      </c>
      <c r="K8" s="7">
        <f>IF(D8="","",(I8-$E8))</f>
        <v>0</v>
      </c>
    </row>
    <row r="9" spans="1:11" x14ac:dyDescent="0.45">
      <c r="A9" t="str">
        <f>IF('Sky-Gen Ent EPG'!K11&lt;&gt;0,'Sky-Gen Ent EPG'!K11,"")</f>
        <v>BBC Two</v>
      </c>
      <c r="B9">
        <f t="shared" ref="B9:B49" si="0">IF(A9="","",(IF((LEFT(A9,3))="BBC",0,1)))</f>
        <v>0</v>
      </c>
      <c r="C9">
        <f>IF($A9="","",INDEX('Sky-Gen Ent EPG'!$I:$K,MATCH($A9,'Sky-Gen Ent EPG'!$K:$K,0),1))</f>
        <v>102</v>
      </c>
      <c r="D9">
        <f>IF($A9="","",INDEX('Sky-Gen Ent EPG'!$I:$K,MATCH($A9,'Sky-Gen Ent EPG'!$K:$K,0),2))</f>
        <v>2</v>
      </c>
      <c r="E9" s="73">
        <f>IF(D9="","",(((VLOOKUP(D9,'Sky-Gen Ent - EMP slot values'!$A$25:$B$118,2,FALSE))/5)*('Nation weights - Sky'!$C$6)))</f>
        <v>0.48314778690671373</v>
      </c>
      <c r="G9">
        <f>IF($A9="","",INDEX('Sky-Gen Ent EPG'!$Y:$AA,MATCH($A9,'Sky-Gen Ent EPG'!$AA:$AA,0),1))</f>
        <v>102</v>
      </c>
      <c r="H9">
        <f>IF($A9="","",INDEX('Sky-Gen Ent EPG'!$Y:$AA,MATCH($A9,'Sky-Gen Ent EPG'!$AA:$AA,0),2))</f>
        <v>2</v>
      </c>
      <c r="I9" s="73">
        <f>IF(H9="","",(((VLOOKUP(H9,'Sky-Gen Ent - EMP slot values'!$A$25:$B$118,2,FALSE))/5)*('Nation weights - Sky'!$C$6)))</f>
        <v>0.48314778690671373</v>
      </c>
      <c r="J9">
        <f t="shared" ref="J9:J49" si="1">IF($D9="","",$D9-H9)</f>
        <v>0</v>
      </c>
      <c r="K9" s="7">
        <f t="shared" ref="K9:K49" si="2">IF(D9="","",(I9-$E9))</f>
        <v>0</v>
      </c>
    </row>
    <row r="10" spans="1:11" x14ac:dyDescent="0.45">
      <c r="A10" t="str">
        <f>IF('Sky-Gen Ent EPG'!K12&lt;&gt;0,'Sky-Gen Ent EPG'!K12,"")</f>
        <v>STV</v>
      </c>
      <c r="B10">
        <f t="shared" si="0"/>
        <v>1</v>
      </c>
      <c r="C10">
        <f>IF($A10="","",INDEX('Sky-Gen Ent EPG'!$I:$K,MATCH($A10,'Sky-Gen Ent EPG'!$K:$K,0),1))</f>
        <v>103</v>
      </c>
      <c r="D10">
        <f>IF($A10="","",INDEX('Sky-Gen Ent EPG'!$I:$K,MATCH($A10,'Sky-Gen Ent EPG'!$K:$K,0),2))</f>
        <v>3</v>
      </c>
      <c r="E10" s="73">
        <f>IF(D10="","",(((VLOOKUP(D10,'Sky-Gen Ent - EMP slot values'!$A$25:$B$118,2,FALSE))/5)*('Nation weights - Sky'!$C$6)))</f>
        <v>0.46647405945413489</v>
      </c>
      <c r="G10">
        <f>IF($A10="","",INDEX('Sky-Gen Ent EPG'!$Y:$AA,MATCH($A10,'Sky-Gen Ent EPG'!$AA:$AA,0),1))</f>
        <v>103</v>
      </c>
      <c r="H10">
        <f>IF($A10="","",INDEX('Sky-Gen Ent EPG'!$Y:$AA,MATCH($A10,'Sky-Gen Ent EPG'!$AA:$AA,0),2))</f>
        <v>3</v>
      </c>
      <c r="I10" s="73">
        <f>IF(H10="","",(((VLOOKUP(H10,'Sky-Gen Ent - EMP slot values'!$A$25:$B$118,2,FALSE))/5)*('Nation weights - Sky'!$C$6)))</f>
        <v>0.46647405945413489</v>
      </c>
      <c r="J10">
        <f t="shared" si="1"/>
        <v>0</v>
      </c>
      <c r="K10" s="7">
        <f t="shared" si="2"/>
        <v>0</v>
      </c>
    </row>
    <row r="11" spans="1:11" x14ac:dyDescent="0.45">
      <c r="A11" t="str">
        <f>IF('Sky-Gen Ent EPG'!K13&lt;&gt;0,'Sky-Gen Ent EPG'!K13,"")</f>
        <v>Channel 4</v>
      </c>
      <c r="B11">
        <f t="shared" si="0"/>
        <v>1</v>
      </c>
      <c r="C11">
        <f>IF($A11="","",INDEX('Sky-Gen Ent EPG'!$I:$K,MATCH($A11,'Sky-Gen Ent EPG'!$K:$K,0),1))</f>
        <v>104</v>
      </c>
      <c r="D11">
        <f>IF($A11="","",INDEX('Sky-Gen Ent EPG'!$I:$K,MATCH($A11,'Sky-Gen Ent EPG'!$K:$K,0),2))</f>
        <v>4</v>
      </c>
      <c r="E11" s="73">
        <f>IF(D11="","",(((VLOOKUP(D11,'Sky-Gen Ent - EMP slot values'!$A$25:$B$118,2,FALSE))/5)*('Nation weights - Sky'!$C$6)))</f>
        <v>0.4503757525968628</v>
      </c>
      <c r="G11">
        <f>IF($A11="","",INDEX('Sky-Gen Ent EPG'!$Y:$AA,MATCH($A11,'Sky-Gen Ent EPG'!$AA:$AA,0),1))</f>
        <v>104</v>
      </c>
      <c r="H11">
        <f>IF($A11="","",INDEX('Sky-Gen Ent EPG'!$Y:$AA,MATCH($A11,'Sky-Gen Ent EPG'!$AA:$AA,0),2))</f>
        <v>4</v>
      </c>
      <c r="I11" s="73">
        <f>IF(H11="","",(((VLOOKUP(H11,'Sky-Gen Ent - EMP slot values'!$A$25:$B$118,2,FALSE))/5)*('Nation weights - Sky'!$C$6)))</f>
        <v>0.4503757525968628</v>
      </c>
      <c r="J11">
        <f t="shared" si="1"/>
        <v>0</v>
      </c>
      <c r="K11" s="7">
        <f t="shared" si="2"/>
        <v>0</v>
      </c>
    </row>
    <row r="12" spans="1:11" x14ac:dyDescent="0.45">
      <c r="A12" t="str">
        <f>IF('Sky-Gen Ent EPG'!K14&lt;&gt;0,'Sky-Gen Ent EPG'!K14,"")</f>
        <v>Channel 5</v>
      </c>
      <c r="B12">
        <f t="shared" si="0"/>
        <v>1</v>
      </c>
      <c r="C12">
        <f>IF($A12="","",INDEX('Sky-Gen Ent EPG'!$I:$K,MATCH($A12,'Sky-Gen Ent EPG'!$K:$K,0),1))</f>
        <v>105</v>
      </c>
      <c r="D12">
        <f>IF($A12="","",INDEX('Sky-Gen Ent EPG'!$I:$K,MATCH($A12,'Sky-Gen Ent EPG'!$K:$K,0),2))</f>
        <v>5</v>
      </c>
      <c r="E12" s="73">
        <f>IF(D12="","",(((VLOOKUP(D12,'Sky-Gen Ent - EMP slot values'!$A$25:$B$118,2,FALSE))/5)*('Nation weights - Sky'!$C$6)))</f>
        <v>0.42987644468278952</v>
      </c>
      <c r="G12">
        <f>IF($A12="","",INDEX('Sky-Gen Ent EPG'!$Y:$AA,MATCH($A12,'Sky-Gen Ent EPG'!$AA:$AA,0),1))</f>
        <v>105</v>
      </c>
      <c r="H12">
        <f>IF($A12="","",INDEX('Sky-Gen Ent EPG'!$Y:$AA,MATCH($A12,'Sky-Gen Ent EPG'!$AA:$AA,0),2))</f>
        <v>5</v>
      </c>
      <c r="I12" s="73">
        <f>IF(H12="","",(((VLOOKUP(H12,'Sky-Gen Ent - EMP slot values'!$A$25:$B$118,2,FALSE))/5)*('Nation weights - Sky'!$C$6)))</f>
        <v>0.42987644468278952</v>
      </c>
      <c r="J12">
        <f t="shared" si="1"/>
        <v>0</v>
      </c>
      <c r="K12" s="7">
        <f t="shared" si="2"/>
        <v>0</v>
      </c>
    </row>
    <row r="13" spans="1:11" x14ac:dyDescent="0.45">
      <c r="A13" t="str">
        <f>IF('Sky-Gen Ent EPG'!K15&lt;&gt;0,'Sky-Gen Ent EPG'!K15,"")</f>
        <v>Sky One HD</v>
      </c>
      <c r="B13">
        <f t="shared" si="0"/>
        <v>1</v>
      </c>
      <c r="C13">
        <f>IF($A13="","",INDEX('Sky-Gen Ent EPG'!$I:$K,MATCH($A13,'Sky-Gen Ent EPG'!$K:$K,0),1))</f>
        <v>106</v>
      </c>
      <c r="D13">
        <f>IF($A13="","",INDEX('Sky-Gen Ent EPG'!$I:$K,MATCH($A13,'Sky-Gen Ent EPG'!$K:$K,0),2))</f>
        <v>6</v>
      </c>
      <c r="E13" s="73">
        <f>IF(D13="","",(((VLOOKUP(D13,'Sky-Gen Ent - EMP slot values'!$A$25:$B$118,2,FALSE))/5)*('Nation weights - Sky'!$C$6)))</f>
        <v>0.41031018350254467</v>
      </c>
      <c r="G13">
        <f>IF($A13="","",INDEX('Sky-Gen Ent EPG'!$Y:$AA,MATCH($A13,'Sky-Gen Ent EPG'!$AA:$AA,0),1))</f>
        <v>106</v>
      </c>
      <c r="H13">
        <f>IF($A13="","",INDEX('Sky-Gen Ent EPG'!$Y:$AA,MATCH($A13,'Sky-Gen Ent EPG'!$AA:$AA,0),2))</f>
        <v>6</v>
      </c>
      <c r="I13" s="73">
        <f>IF(H13="","",(((VLOOKUP(H13,'Sky-Gen Ent - EMP slot values'!$A$25:$B$118,2,FALSE))/5)*('Nation weights - Sky'!$C$6)))</f>
        <v>0.41031018350254467</v>
      </c>
      <c r="J13">
        <f t="shared" si="1"/>
        <v>0</v>
      </c>
      <c r="K13" s="7">
        <f t="shared" si="2"/>
        <v>0</v>
      </c>
    </row>
    <row r="14" spans="1:11" x14ac:dyDescent="0.45">
      <c r="A14" t="str">
        <f>IF('Sky-Gen Ent EPG'!K16&lt;&gt;0,'Sky-Gen Ent EPG'!K16,"")</f>
        <v>Sky Witness HD</v>
      </c>
      <c r="B14">
        <f t="shared" si="0"/>
        <v>1</v>
      </c>
      <c r="C14">
        <f>IF($A14="","",INDEX('Sky-Gen Ent EPG'!$I:$K,MATCH($A14,'Sky-Gen Ent EPG'!$K:$K,0),1))</f>
        <v>107</v>
      </c>
      <c r="D14">
        <f>IF($A14="","",INDEX('Sky-Gen Ent EPG'!$I:$K,MATCH($A14,'Sky-Gen Ent EPG'!$K:$K,0),2))</f>
        <v>7</v>
      </c>
      <c r="E14" s="73">
        <f>IF(D14="","",(((VLOOKUP(D14,'Sky-Gen Ent - EMP slot values'!$A$25:$B$118,2,FALSE))/5)*('Nation weights - Sky'!$C$6)))</f>
        <v>0.39163450049030352</v>
      </c>
      <c r="G14">
        <f>IF($A14="","",INDEX('Sky-Gen Ent EPG'!$Y:$AA,MATCH($A14,'Sky-Gen Ent EPG'!$AA:$AA,0),1))</f>
        <v>107</v>
      </c>
      <c r="H14">
        <f>IF($A14="","",INDEX('Sky-Gen Ent EPG'!$Y:$AA,MATCH($A14,'Sky-Gen Ent EPG'!$AA:$AA,0),2))</f>
        <v>7</v>
      </c>
      <c r="I14" s="73">
        <f>IF(H14="","",(((VLOOKUP(H14,'Sky-Gen Ent - EMP slot values'!$A$25:$B$118,2,FALSE))/5)*('Nation weights - Sky'!$C$6)))</f>
        <v>0.39163450049030352</v>
      </c>
      <c r="J14">
        <f t="shared" si="1"/>
        <v>0</v>
      </c>
      <c r="K14" s="7">
        <f t="shared" si="2"/>
        <v>0</v>
      </c>
    </row>
    <row r="15" spans="1:11" x14ac:dyDescent="0.45">
      <c r="A15" t="str">
        <f>IF('Sky-Gen Ent EPG'!K17&lt;&gt;0,'Sky-Gen Ent EPG'!K17,"")</f>
        <v>Sky Atlantic HD</v>
      </c>
      <c r="B15">
        <f t="shared" si="0"/>
        <v>1</v>
      </c>
      <c r="C15">
        <f>IF($A15="","",INDEX('Sky-Gen Ent EPG'!$I:$K,MATCH($A15,'Sky-Gen Ent EPG'!$K:$K,0),1))</f>
        <v>108</v>
      </c>
      <c r="D15">
        <f>IF($A15="","",INDEX('Sky-Gen Ent EPG'!$I:$K,MATCH($A15,'Sky-Gen Ent EPG'!$K:$K,0),2))</f>
        <v>8</v>
      </c>
      <c r="E15" s="73">
        <f>IF(D15="","",(((VLOOKUP(D15,'Sky-Gen Ent - EMP slot values'!$A$25:$B$118,2,FALSE))/5)*('Nation weights - Sky'!$C$6)))</f>
        <v>0.37380886007997016</v>
      </c>
      <c r="G15">
        <f>IF($A15="","",INDEX('Sky-Gen Ent EPG'!$Y:$AA,MATCH($A15,'Sky-Gen Ent EPG'!$AA:$AA,0),1))</f>
        <v>109</v>
      </c>
      <c r="H15">
        <f>IF($A15="","",INDEX('Sky-Gen Ent EPG'!$Y:$AA,MATCH($A15,'Sky-Gen Ent EPG'!$AA:$AA,0),2))</f>
        <v>8</v>
      </c>
      <c r="I15" s="73">
        <f>IF(H15="","",(((VLOOKUP(H15,'Sky-Gen Ent - EMP slot values'!$A$25:$B$118,2,FALSE))/5)*('Nation weights - Sky'!$C$6)))</f>
        <v>0.37380886007997016</v>
      </c>
      <c r="J15">
        <f t="shared" si="1"/>
        <v>0</v>
      </c>
      <c r="K15" s="7">
        <f t="shared" si="2"/>
        <v>0</v>
      </c>
    </row>
    <row r="16" spans="1:11" x14ac:dyDescent="0.45">
      <c r="A16" t="str">
        <f>IF('Sky-Gen Ent EPG'!K18&lt;&gt;0,'Sky-Gen Ent EPG'!K18,"")</f>
        <v>W HD</v>
      </c>
      <c r="B16">
        <f t="shared" si="0"/>
        <v>1</v>
      </c>
      <c r="C16">
        <f>IF($A16="","",INDEX('Sky-Gen Ent EPG'!$I:$K,MATCH($A16,'Sky-Gen Ent EPG'!$K:$K,0),1))</f>
        <v>109</v>
      </c>
      <c r="D16">
        <f>IF($A16="","",INDEX('Sky-Gen Ent EPG'!$I:$K,MATCH($A16,'Sky-Gen Ent EPG'!$K:$K,0),2))</f>
        <v>9</v>
      </c>
      <c r="E16" s="73">
        <f>IF(D16="","",(((VLOOKUP(D16,'Sky-Gen Ent - EMP slot values'!$A$25:$B$118,2,FALSE))/5)*('Nation weights - Sky'!$C$6)))</f>
        <v>0.35679457172273904</v>
      </c>
      <c r="G16">
        <f>IF($A16="","",INDEX('Sky-Gen Ent EPG'!$Y:$AA,MATCH($A16,'Sky-Gen Ent EPG'!$AA:$AA,0),1))</f>
        <v>110</v>
      </c>
      <c r="H16">
        <f>IF($A16="","",INDEX('Sky-Gen Ent EPG'!$Y:$AA,MATCH($A16,'Sky-Gen Ent EPG'!$AA:$AA,0),2))</f>
        <v>9</v>
      </c>
      <c r="I16" s="73">
        <f>IF(H16="","",(((VLOOKUP(H16,'Sky-Gen Ent - EMP slot values'!$A$25:$B$118,2,FALSE))/5)*('Nation weights - Sky'!$C$6)))</f>
        <v>0.35679457172273904</v>
      </c>
      <c r="J16">
        <f t="shared" si="1"/>
        <v>0</v>
      </c>
      <c r="K16" s="7">
        <f t="shared" si="2"/>
        <v>0</v>
      </c>
    </row>
    <row r="17" spans="1:11" x14ac:dyDescent="0.45">
      <c r="A17" t="str">
        <f>IF('Sky-Gen Ent EPG'!K19&lt;&gt;0,'Sky-Gen Ent EPG'!K19,"")</f>
        <v>Gold HD</v>
      </c>
      <c r="B17">
        <f t="shared" si="0"/>
        <v>1</v>
      </c>
      <c r="C17">
        <f>IF($A17="","",INDEX('Sky-Gen Ent EPG'!$I:$K,MATCH($A17,'Sky-Gen Ent EPG'!$K:$K,0),1))</f>
        <v>110</v>
      </c>
      <c r="D17">
        <f>IF($A17="","",INDEX('Sky-Gen Ent EPG'!$I:$K,MATCH($A17,'Sky-Gen Ent EPG'!$K:$K,0),2))</f>
        <v>10</v>
      </c>
      <c r="E17" s="73">
        <f>IF(D17="","",(((VLOOKUP(D17,'Sky-Gen Ent - EMP slot values'!$A$25:$B$118,2,FALSE))/5)*('Nation weights - Sky'!$C$6)))</f>
        <v>0.34055470590926745</v>
      </c>
      <c r="G17">
        <f>IF($A17="","",INDEX('Sky-Gen Ent EPG'!$Y:$AA,MATCH($A17,'Sky-Gen Ent EPG'!$AA:$AA,0),1))</f>
        <v>111</v>
      </c>
      <c r="H17">
        <f>IF($A17="","",INDEX('Sky-Gen Ent EPG'!$Y:$AA,MATCH($A17,'Sky-Gen Ent EPG'!$AA:$AA,0),2))</f>
        <v>10</v>
      </c>
      <c r="I17" s="73">
        <f>IF(H17="","",(((VLOOKUP(H17,'Sky-Gen Ent - EMP slot values'!$A$25:$B$118,2,FALSE))/5)*('Nation weights - Sky'!$C$6)))</f>
        <v>0.34055470590926745</v>
      </c>
      <c r="J17">
        <f t="shared" si="1"/>
        <v>0</v>
      </c>
      <c r="K17" s="7">
        <f t="shared" si="2"/>
        <v>0</v>
      </c>
    </row>
    <row r="18" spans="1:11" x14ac:dyDescent="0.45">
      <c r="A18" t="str">
        <f>IF('Sky-Gen Ent EPG'!K20&lt;&gt;0,'Sky-Gen Ent EPG'!K20,"")</f>
        <v>Dave HD</v>
      </c>
      <c r="B18">
        <f t="shared" si="0"/>
        <v>1</v>
      </c>
      <c r="C18">
        <f>IF($A18="","",INDEX('Sky-Gen Ent EPG'!$I:$K,MATCH($A18,'Sky-Gen Ent EPG'!$K:$K,0),1))</f>
        <v>111</v>
      </c>
      <c r="D18">
        <f>IF($A18="","",INDEX('Sky-Gen Ent EPG'!$I:$K,MATCH($A18,'Sky-Gen Ent EPG'!$K:$K,0),2))</f>
        <v>11</v>
      </c>
      <c r="E18" s="73">
        <f>IF(D18="","",(((VLOOKUP(D18,'Sky-Gen Ent - EMP slot values'!$A$25:$B$118,2,FALSE))/5)*('Nation weights - Sky'!$C$6)))</f>
        <v>0.3250540140141831</v>
      </c>
      <c r="G18">
        <f>IF($A18="","",INDEX('Sky-Gen Ent EPG'!$Y:$AA,MATCH($A18,'Sky-Gen Ent EPG'!$AA:$AA,0),1))</f>
        <v>112</v>
      </c>
      <c r="H18">
        <f>IF($A18="","",INDEX('Sky-Gen Ent EPG'!$Y:$AA,MATCH($A18,'Sky-Gen Ent EPG'!$AA:$AA,0),2))</f>
        <v>11</v>
      </c>
      <c r="I18" s="73">
        <f>IF(H18="","",(((VLOOKUP(H18,'Sky-Gen Ent - EMP slot values'!$A$25:$B$118,2,FALSE))/5)*('Nation weights - Sky'!$C$6)))</f>
        <v>0.3250540140141831</v>
      </c>
      <c r="J18">
        <f t="shared" si="1"/>
        <v>0</v>
      </c>
      <c r="K18" s="7">
        <f t="shared" si="2"/>
        <v>0</v>
      </c>
    </row>
    <row r="19" spans="1:11" x14ac:dyDescent="0.45">
      <c r="A19" t="str">
        <f>IF('Sky-Gen Ent EPG'!K21&lt;&gt;0,'Sky-Gen Ent EPG'!K21,"")</f>
        <v>ComedyCentral</v>
      </c>
      <c r="B19">
        <f t="shared" si="0"/>
        <v>1</v>
      </c>
      <c r="C19">
        <f>IF($A19="","",INDEX('Sky-Gen Ent EPG'!$I:$K,MATCH($A19,'Sky-Gen Ent EPG'!$K:$K,0),1))</f>
        <v>112</v>
      </c>
      <c r="D19">
        <f>IF($A19="","",INDEX('Sky-Gen Ent EPG'!$I:$K,MATCH($A19,'Sky-Gen Ent EPG'!$K:$K,0),2))</f>
        <v>12</v>
      </c>
      <c r="E19" s="73">
        <f>IF(D19="","",(((VLOOKUP(D19,'Sky-Gen Ent - EMP slot values'!$A$25:$B$118,2,FALSE))/5)*('Nation weights - Sky'!$C$6)))</f>
        <v>0.31025885178894974</v>
      </c>
      <c r="G19">
        <f>IF($A19="","",INDEX('Sky-Gen Ent EPG'!$Y:$AA,MATCH($A19,'Sky-Gen Ent EPG'!$AA:$AA,0),1))</f>
        <v>113</v>
      </c>
      <c r="H19">
        <f>IF($A19="","",INDEX('Sky-Gen Ent EPG'!$Y:$AA,MATCH($A19,'Sky-Gen Ent EPG'!$AA:$AA,0),2))</f>
        <v>12</v>
      </c>
      <c r="I19" s="73">
        <f>IF(H19="","",(((VLOOKUP(H19,'Sky-Gen Ent - EMP slot values'!$A$25:$B$118,2,FALSE))/5)*('Nation weights - Sky'!$C$6)))</f>
        <v>0.31025885178894974</v>
      </c>
      <c r="J19">
        <f t="shared" si="1"/>
        <v>0</v>
      </c>
      <c r="K19" s="7">
        <f t="shared" si="2"/>
        <v>0</v>
      </c>
    </row>
    <row r="20" spans="1:11" x14ac:dyDescent="0.45">
      <c r="A20" t="str">
        <f>IF('Sky-Gen Ent EPG'!K22&lt;&gt;0,'Sky-Gen Ent EPG'!K22,"")</f>
        <v>Universal HD</v>
      </c>
      <c r="B20">
        <f t="shared" si="0"/>
        <v>1</v>
      </c>
      <c r="C20">
        <f>IF($A20="","",INDEX('Sky-Gen Ent EPG'!$I:$K,MATCH($A20,'Sky-Gen Ent EPG'!$K:$K,0),1))</f>
        <v>113</v>
      </c>
      <c r="D20">
        <f>IF($A20="","",INDEX('Sky-Gen Ent EPG'!$I:$K,MATCH($A20,'Sky-Gen Ent EPG'!$K:$K,0),2))</f>
        <v>13</v>
      </c>
      <c r="E20" s="73">
        <f>IF(D20="","",(((VLOOKUP(D20,'Sky-Gen Ent - EMP slot values'!$A$25:$B$118,2,FALSE))/5)*('Nation weights - Sky'!$C$6)))</f>
        <v>0.29371945834463864</v>
      </c>
      <c r="G20">
        <f>IF($A20="","",INDEX('Sky-Gen Ent EPG'!$Y:$AA,MATCH($A20,'Sky-Gen Ent EPG'!$AA:$AA,0),1))</f>
        <v>114</v>
      </c>
      <c r="H20">
        <f>IF($A20="","",INDEX('Sky-Gen Ent EPG'!$Y:$AA,MATCH($A20,'Sky-Gen Ent EPG'!$AA:$AA,0),2))</f>
        <v>13</v>
      </c>
      <c r="I20" s="73">
        <f>IF(H20="","",(((VLOOKUP(H20,'Sky-Gen Ent - EMP slot values'!$A$25:$B$118,2,FALSE))/5)*('Nation weights - Sky'!$C$6)))</f>
        <v>0.29371945834463864</v>
      </c>
      <c r="J20">
        <f t="shared" si="1"/>
        <v>0</v>
      </c>
      <c r="K20" s="7">
        <f t="shared" si="2"/>
        <v>0</v>
      </c>
    </row>
    <row r="21" spans="1:11" x14ac:dyDescent="0.45">
      <c r="A21" t="str">
        <f>IF('Sky-Gen Ent EPG'!K23&lt;&gt;0,'Sky-Gen Ent EPG'!K23,"")</f>
        <v>SYFY HD</v>
      </c>
      <c r="B21">
        <f t="shared" si="0"/>
        <v>1</v>
      </c>
      <c r="C21">
        <f>IF($A21="","",INDEX('Sky-Gen Ent EPG'!$I:$K,MATCH($A21,'Sky-Gen Ent EPG'!$K:$K,0),1))</f>
        <v>114</v>
      </c>
      <c r="D21">
        <f>IF($A21="","",INDEX('Sky-Gen Ent EPG'!$I:$K,MATCH($A21,'Sky-Gen Ent EPG'!$K:$K,0),2))</f>
        <v>14</v>
      </c>
      <c r="E21" s="73">
        <f>IF(D21="","",(((VLOOKUP(D21,'Sky-Gen Ent - EMP slot values'!$A$25:$B$118,2,FALSE))/5)*('Nation weights - Sky'!$C$6)))</f>
        <v>0.27806175299376434</v>
      </c>
      <c r="G21">
        <f>IF($A21="","",INDEX('Sky-Gen Ent EPG'!$Y:$AA,MATCH($A21,'Sky-Gen Ent EPG'!$AA:$AA,0),1))</f>
        <v>115</v>
      </c>
      <c r="H21">
        <f>IF($A21="","",INDEX('Sky-Gen Ent EPG'!$Y:$AA,MATCH($A21,'Sky-Gen Ent EPG'!$AA:$AA,0),2))</f>
        <v>14</v>
      </c>
      <c r="I21" s="73">
        <f>IF(H21="","",(((VLOOKUP(H21,'Sky-Gen Ent - EMP slot values'!$A$25:$B$118,2,FALSE))/5)*('Nation weights - Sky'!$C$6)))</f>
        <v>0.27806175299376434</v>
      </c>
      <c r="J21">
        <f t="shared" si="1"/>
        <v>0</v>
      </c>
      <c r="K21" s="7">
        <f t="shared" si="2"/>
        <v>0</v>
      </c>
    </row>
    <row r="22" spans="1:11" x14ac:dyDescent="0.45">
      <c r="A22" t="str">
        <f>IF('Sky-Gen Ent EPG'!K24&lt;&gt;0,'Sky-Gen Ent EPG'!K24,"")</f>
        <v>BBC Scotland</v>
      </c>
      <c r="B22">
        <f t="shared" si="0"/>
        <v>0</v>
      </c>
      <c r="C22">
        <f>IF($A22="","",INDEX('Sky-Gen Ent EPG'!$I:$K,MATCH($A22,'Sky-Gen Ent EPG'!$K:$K,0),1))</f>
        <v>115</v>
      </c>
      <c r="D22">
        <f>IF($A22="","",INDEX('Sky-Gen Ent EPG'!$I:$K,MATCH($A22,'Sky-Gen Ent EPG'!$K:$K,0),2))</f>
        <v>15</v>
      </c>
      <c r="E22" s="73">
        <f>IF(D22="","",(((VLOOKUP(D22,'Sky-Gen Ent - EMP slot values'!$A$25:$B$118,2,FALSE))/5)*('Nation weights - Sky'!$C$6)))</f>
        <v>0.26323873438185003</v>
      </c>
      <c r="G22">
        <f>IF($A22="","",INDEX('Sky-Gen Ent EPG'!$Y:$AA,MATCH($A22,'Sky-Gen Ent EPG'!$AA:$AA,0),1))</f>
        <v>116</v>
      </c>
      <c r="H22">
        <f>IF($A22="","",INDEX('Sky-Gen Ent EPG'!$Y:$AA,MATCH($A22,'Sky-Gen Ent EPG'!$AA:$AA,0),2))</f>
        <v>15</v>
      </c>
      <c r="I22" s="73">
        <f>IF(H22="","",(((VLOOKUP(H22,'Sky-Gen Ent - EMP slot values'!$A$25:$B$118,2,FALSE))/5)*('Nation weights - Sky'!$C$6)))</f>
        <v>0.26323873438185003</v>
      </c>
      <c r="J22">
        <f t="shared" si="1"/>
        <v>0</v>
      </c>
      <c r="K22" s="7">
        <f t="shared" si="2"/>
        <v>0</v>
      </c>
    </row>
    <row r="23" spans="1:11" x14ac:dyDescent="0.45">
      <c r="A23" t="str">
        <f>IF('Sky-Gen Ent EPG'!K25&lt;&gt;0,'Sky-Gen Ent EPG'!K25,"")</f>
        <v>BBC Four</v>
      </c>
      <c r="B23">
        <f t="shared" si="0"/>
        <v>0</v>
      </c>
      <c r="C23">
        <f>IF($A23="","",INDEX('Sky-Gen Ent EPG'!$I:$K,MATCH($A23,'Sky-Gen Ent EPG'!$K:$K,0),1))</f>
        <v>116</v>
      </c>
      <c r="D23">
        <f>IF($A23="","",INDEX('Sky-Gen Ent EPG'!$I:$K,MATCH($A23,'Sky-Gen Ent EPG'!$K:$K,0),2))</f>
        <v>16</v>
      </c>
      <c r="E23" s="73">
        <f>IF(D23="","",(((VLOOKUP(D23,'Sky-Gen Ent - EMP slot values'!$A$25:$B$118,2,FALSE))/5)*('Nation weights - Sky'!$C$6)))</f>
        <v>0.24920590671998025</v>
      </c>
      <c r="G23">
        <f>IF($A23="","",INDEX('Sky-Gen Ent EPG'!$Y:$AA,MATCH($A23,'Sky-Gen Ent EPG'!$AA:$AA,0),1))</f>
        <v>117</v>
      </c>
      <c r="H23">
        <f>IF($A23="","",INDEX('Sky-Gen Ent EPG'!$Y:$AA,MATCH($A23,'Sky-Gen Ent EPG'!$AA:$AA,0),2))</f>
        <v>16</v>
      </c>
      <c r="I23" s="73">
        <f>IF(H23="","",(((VLOOKUP(H23,'Sky-Gen Ent - EMP slot values'!$A$25:$B$118,2,FALSE))/5)*('Nation weights - Sky'!$C$6)))</f>
        <v>0.24920590671998025</v>
      </c>
      <c r="J23">
        <f t="shared" si="1"/>
        <v>0</v>
      </c>
      <c r="K23" s="7">
        <f t="shared" si="2"/>
        <v>0</v>
      </c>
    </row>
    <row r="24" spans="1:11" x14ac:dyDescent="0.45">
      <c r="A24" t="str">
        <f>IF('Sky-Gen Ent EPG'!K26&lt;&gt;0,'Sky-Gen Ent EPG'!K26,"")</f>
        <v/>
      </c>
      <c r="B24" t="str">
        <f t="shared" si="0"/>
        <v/>
      </c>
      <c r="C24" t="str">
        <f>IF($A24="","",INDEX('Sky-Gen Ent EPG'!$I:$K,MATCH($A24,'Sky-Gen Ent EPG'!$K:$K,0),1))</f>
        <v/>
      </c>
      <c r="D24" t="str">
        <f>IF($A24="","",INDEX('Sky-Gen Ent EPG'!$I:$K,MATCH($A24,'Sky-Gen Ent EPG'!$K:$K,0),2))</f>
        <v/>
      </c>
      <c r="E24" s="73" t="str">
        <f>IF(D24="","",(((VLOOKUP(D24,'Sky-Gen Ent - EMP slot values'!$A$25:$B$118,2,FALSE))/5)*('Nation weights - Sky'!$C$6)))</f>
        <v/>
      </c>
      <c r="G24" t="str">
        <f>IF($A24="","",INDEX('Sky-Gen Ent EPG'!$Y:$AA,MATCH($A24,'Sky-Gen Ent EPG'!$AA:$AA,0),1))</f>
        <v/>
      </c>
      <c r="H24" t="str">
        <f>IF($A24="","",INDEX('Sky-Gen Ent EPG'!$Y:$AA,MATCH($A24,'Sky-Gen Ent EPG'!$AA:$AA,0),2))</f>
        <v/>
      </c>
      <c r="I24" s="73" t="str">
        <f>IF(H24="","",(((VLOOKUP(H24,'Sky-Gen Ent - EMP slot values'!$A$25:$B$118,2,FALSE))/5)*('Nation weights - Sky'!$C$6)))</f>
        <v/>
      </c>
      <c r="J24" t="str">
        <f t="shared" si="1"/>
        <v/>
      </c>
      <c r="K24" s="7" t="str">
        <f t="shared" si="2"/>
        <v/>
      </c>
    </row>
    <row r="25" spans="1:11" x14ac:dyDescent="0.45">
      <c r="A25" t="str">
        <f>IF('Sky-Gen Ent EPG'!K27&lt;&gt;0,'Sky-Gen Ent EPG'!K27,"")</f>
        <v>ITV2 HD</v>
      </c>
      <c r="B25">
        <f t="shared" si="0"/>
        <v>1</v>
      </c>
      <c r="C25">
        <f>IF($A25="","",INDEX('Sky-Gen Ent EPG'!$I:$K,MATCH($A25,'Sky-Gen Ent EPG'!$K:$K,0),1))</f>
        <v>118</v>
      </c>
      <c r="D25">
        <f>IF($A25="","",INDEX('Sky-Gen Ent EPG'!$I:$K,MATCH($A25,'Sky-Gen Ent EPG'!$K:$K,0),2))</f>
        <v>17</v>
      </c>
      <c r="E25" s="73">
        <f>IF(D25="","",(((VLOOKUP(D25,'Sky-Gen Ent - EMP slot values'!$A$25:$B$118,2,FALSE))/5)*('Nation weights - Sky'!$C$6)))</f>
        <v>0.23592114621718616</v>
      </c>
      <c r="G25">
        <f>IF($A25="","",INDEX('Sky-Gen Ent EPG'!$Y:$AA,MATCH($A25,'Sky-Gen Ent EPG'!$AA:$AA,0),1))</f>
        <v>119</v>
      </c>
      <c r="H25">
        <f>IF($A25="","",INDEX('Sky-Gen Ent EPG'!$Y:$AA,MATCH($A25,'Sky-Gen Ent EPG'!$AA:$AA,0),2))</f>
        <v>17</v>
      </c>
      <c r="I25" s="73">
        <f>IF(H25="","",(((VLOOKUP(H25,'Sky-Gen Ent - EMP slot values'!$A$25:$B$118,2,FALSE))/5)*('Nation weights - Sky'!$C$6)))</f>
        <v>0.23592114621718616</v>
      </c>
      <c r="J25">
        <f t="shared" si="1"/>
        <v>0</v>
      </c>
      <c r="K25" s="7">
        <f t="shared" si="2"/>
        <v>0</v>
      </c>
    </row>
    <row r="26" spans="1:11" x14ac:dyDescent="0.45">
      <c r="A26" t="str">
        <f>IF('Sky-Gen Ent EPG'!K28&lt;&gt;0,'Sky-Gen Ent EPG'!K28,"")</f>
        <v>ITV3 HD</v>
      </c>
      <c r="B26">
        <f t="shared" si="0"/>
        <v>1</v>
      </c>
      <c r="C26">
        <f>IF($A26="","",INDEX('Sky-Gen Ent EPG'!$I:$K,MATCH($A26,'Sky-Gen Ent EPG'!$K:$K,0),1))</f>
        <v>119</v>
      </c>
      <c r="D26">
        <f>IF($A26="","",INDEX('Sky-Gen Ent EPG'!$I:$K,MATCH($A26,'Sky-Gen Ent EPG'!$K:$K,0),2))</f>
        <v>18</v>
      </c>
      <c r="E26" s="73">
        <f>IF(D26="","",(((VLOOKUP(D26,'Sky-Gen Ent - EMP slot values'!$A$25:$B$118,2,FALSE))/5)*('Nation weights - Sky'!$C$6)))</f>
        <v>0.22334457463310381</v>
      </c>
      <c r="G26">
        <f>IF($A26="","",INDEX('Sky-Gen Ent EPG'!$Y:$AA,MATCH($A26,'Sky-Gen Ent EPG'!$AA:$AA,0),1))</f>
        <v>120</v>
      </c>
      <c r="H26">
        <f>IF($A26="","",INDEX('Sky-Gen Ent EPG'!$Y:$AA,MATCH($A26,'Sky-Gen Ent EPG'!$AA:$AA,0),2))</f>
        <v>18</v>
      </c>
      <c r="I26" s="73">
        <f>IF(H26="","",(((VLOOKUP(H26,'Sky-Gen Ent - EMP slot values'!$A$25:$B$118,2,FALSE))/5)*('Nation weights - Sky'!$C$6)))</f>
        <v>0.22334457463310381</v>
      </c>
      <c r="J26">
        <f t="shared" si="1"/>
        <v>0</v>
      </c>
      <c r="K26" s="7">
        <f t="shared" si="2"/>
        <v>0</v>
      </c>
    </row>
    <row r="27" spans="1:11" x14ac:dyDescent="0.45">
      <c r="A27" t="str">
        <f>IF('Sky-Gen Ent EPG'!K29&lt;&gt;0,'Sky-Gen Ent EPG'!K29,"")</f>
        <v>ITV4 HD</v>
      </c>
      <c r="B27">
        <f t="shared" si="0"/>
        <v>1</v>
      </c>
      <c r="C27">
        <f>IF($A27="","",INDEX('Sky-Gen Ent EPG'!$I:$K,MATCH($A27,'Sky-Gen Ent EPG'!$K:$K,0),1))</f>
        <v>120</v>
      </c>
      <c r="D27">
        <f>IF($A27="","",INDEX('Sky-Gen Ent EPG'!$I:$K,MATCH($A27,'Sky-Gen Ent EPG'!$K:$K,0),2))</f>
        <v>19</v>
      </c>
      <c r="E27" s="73">
        <f>IF(D27="","",(((VLOOKUP(D27,'Sky-Gen Ent - EMP slot values'!$A$25:$B$118,2,FALSE))/5)*('Nation weights - Sky'!$C$6)))</f>
        <v>0.21143843957133282</v>
      </c>
      <c r="G27">
        <f>IF($A27="","",INDEX('Sky-Gen Ent EPG'!$Y:$AA,MATCH($A27,'Sky-Gen Ent EPG'!$AA:$AA,0),1))</f>
        <v>121</v>
      </c>
      <c r="H27">
        <f>IF($A27="","",INDEX('Sky-Gen Ent EPG'!$Y:$AA,MATCH($A27,'Sky-Gen Ent EPG'!$AA:$AA,0),2))</f>
        <v>19</v>
      </c>
      <c r="I27" s="73">
        <f>IF(H27="","",(((VLOOKUP(H27,'Sky-Gen Ent - EMP slot values'!$A$25:$B$118,2,FALSE))/5)*('Nation weights - Sky'!$C$6)))</f>
        <v>0.21143843957133282</v>
      </c>
      <c r="J27">
        <f t="shared" si="1"/>
        <v>0</v>
      </c>
      <c r="K27" s="7">
        <f t="shared" si="2"/>
        <v>0</v>
      </c>
    </row>
    <row r="28" spans="1:11" x14ac:dyDescent="0.45">
      <c r="A28" t="str">
        <f>IF('Sky-Gen Ent EPG'!K30&lt;&gt;0,'Sky-Gen Ent EPG'!K30,"")</f>
        <v>SkySp Mix HD</v>
      </c>
      <c r="B28">
        <f t="shared" si="0"/>
        <v>1</v>
      </c>
      <c r="C28">
        <f>IF($A28="","",INDEX('Sky-Gen Ent EPG'!$I:$K,MATCH($A28,'Sky-Gen Ent EPG'!$K:$K,0),1))</f>
        <v>121</v>
      </c>
      <c r="D28">
        <f>IF($A28="","",INDEX('Sky-Gen Ent EPG'!$I:$K,MATCH($A28,'Sky-Gen Ent EPG'!$K:$K,0),2))</f>
        <v>20</v>
      </c>
      <c r="E28" s="73">
        <f>IF(D28="","",(((VLOOKUP(D28,'Sky-Gen Ent - EMP slot values'!$A$25:$B$118,2,FALSE))/5)*('Nation weights - Sky'!$C$6)))</f>
        <v>0.20016700115416128</v>
      </c>
      <c r="G28">
        <f>IF($A28="","",INDEX('Sky-Gen Ent EPG'!$Y:$AA,MATCH($A28,'Sky-Gen Ent EPG'!$AA:$AA,0),1))</f>
        <v>122</v>
      </c>
      <c r="H28">
        <f>IF($A28="","",INDEX('Sky-Gen Ent EPG'!$Y:$AA,MATCH($A28,'Sky-Gen Ent EPG'!$AA:$AA,0),2))</f>
        <v>20</v>
      </c>
      <c r="I28" s="73">
        <f>IF(H28="","",(((VLOOKUP(H28,'Sky-Gen Ent - EMP slot values'!$A$25:$B$118,2,FALSE))/5)*('Nation weights - Sky'!$C$6)))</f>
        <v>0.20016700115416128</v>
      </c>
      <c r="J28">
        <f t="shared" si="1"/>
        <v>0</v>
      </c>
      <c r="K28" s="7">
        <f t="shared" si="2"/>
        <v>0</v>
      </c>
    </row>
    <row r="29" spans="1:11" x14ac:dyDescent="0.45">
      <c r="A29" t="str">
        <f>IF('Sky-Gen Ent EPG'!K31&lt;&gt;0,'Sky-Gen Ent EPG'!K31,"")</f>
        <v>Sky Arts HD</v>
      </c>
      <c r="B29">
        <f t="shared" si="0"/>
        <v>1</v>
      </c>
      <c r="C29">
        <f>IF($A29="","",INDEX('Sky-Gen Ent EPG'!$I:$K,MATCH($A29,'Sky-Gen Ent EPG'!$K:$K,0),1))</f>
        <v>122</v>
      </c>
      <c r="D29">
        <f>IF($A29="","",INDEX('Sky-Gen Ent EPG'!$I:$K,MATCH($A29,'Sky-Gen Ent EPG'!$K:$K,0),2))</f>
        <v>21</v>
      </c>
      <c r="E29" s="73">
        <f>IF(D29="","",(((VLOOKUP(D29,'Sky-Gen Ent - EMP slot values'!$A$25:$B$118,2,FALSE))/5)*('Nation weights - Sky'!$C$6)))</f>
        <v>0.19466090185852949</v>
      </c>
      <c r="G29">
        <f>IF($A29="","",INDEX('Sky-Gen Ent EPG'!$Y:$AA,MATCH($A29,'Sky-Gen Ent EPG'!$AA:$AA,0),1))</f>
        <v>123</v>
      </c>
      <c r="H29">
        <f>IF($A29="","",INDEX('Sky-Gen Ent EPG'!$Y:$AA,MATCH($A29,'Sky-Gen Ent EPG'!$AA:$AA,0),2))</f>
        <v>21</v>
      </c>
      <c r="I29" s="73">
        <f>IF(H29="","",(((VLOOKUP(H29,'Sky-Gen Ent - EMP slot values'!$A$25:$B$118,2,FALSE))/5)*('Nation weights - Sky'!$C$6)))</f>
        <v>0.19466090185852949</v>
      </c>
      <c r="J29">
        <f t="shared" si="1"/>
        <v>0</v>
      </c>
      <c r="K29" s="7">
        <f t="shared" si="2"/>
        <v>0</v>
      </c>
    </row>
    <row r="30" spans="1:11" x14ac:dyDescent="0.45">
      <c r="A30" t="str">
        <f>IF('Sky-Gen Ent EPG'!K32&lt;&gt;0,'Sky-Gen Ent EPG'!K32,"")</f>
        <v>E HD</v>
      </c>
      <c r="B30">
        <f t="shared" si="0"/>
        <v>1</v>
      </c>
      <c r="C30">
        <f>IF($A30="","",INDEX('Sky-Gen Ent EPG'!$I:$K,MATCH($A30,'Sky-Gen Ent EPG'!$K:$K,0),1))</f>
        <v>123</v>
      </c>
      <c r="D30">
        <f>IF($A30="","",INDEX('Sky-Gen Ent EPG'!$I:$K,MATCH($A30,'Sky-Gen Ent EPG'!$K:$K,0),2))</f>
        <v>22</v>
      </c>
      <c r="E30" s="73">
        <f>IF(D30="","",(((VLOOKUP(D30,'Sky-Gen Ent - EMP slot values'!$A$25:$B$118,2,FALSE))/5)*('Nation weights - Sky'!$C$6)))</f>
        <v>0.18930626174087697</v>
      </c>
      <c r="G30">
        <f>IF($A30="","",INDEX('Sky-Gen Ent EPG'!$Y:$AA,MATCH($A30,'Sky-Gen Ent EPG'!$AA:$AA,0),1))</f>
        <v>124</v>
      </c>
      <c r="H30">
        <f>IF($A30="","",INDEX('Sky-Gen Ent EPG'!$Y:$AA,MATCH($A30,'Sky-Gen Ent EPG'!$AA:$AA,0),2))</f>
        <v>22</v>
      </c>
      <c r="I30" s="73">
        <f>IF(H30="","",(((VLOOKUP(H30,'Sky-Gen Ent - EMP slot values'!$A$25:$B$118,2,FALSE))/5)*('Nation weights - Sky'!$C$6)))</f>
        <v>0.18930626174087697</v>
      </c>
      <c r="J30">
        <f t="shared" si="1"/>
        <v>0</v>
      </c>
      <c r="K30" s="7">
        <f t="shared" si="2"/>
        <v>0</v>
      </c>
    </row>
    <row r="31" spans="1:11" x14ac:dyDescent="0.45">
      <c r="A31" t="str">
        <f>IF('Sky-Gen Ent EPG'!K33&lt;&gt;0,'Sky-Gen Ent EPG'!K33,"")</f>
        <v>FOX HD</v>
      </c>
      <c r="B31">
        <f t="shared" si="0"/>
        <v>1</v>
      </c>
      <c r="C31">
        <f>IF($A31="","",INDEX('Sky-Gen Ent EPG'!$I:$K,MATCH($A31,'Sky-Gen Ent EPG'!$K:$K,0),1))</f>
        <v>124</v>
      </c>
      <c r="D31">
        <f>IF($A31="","",INDEX('Sky-Gen Ent EPG'!$I:$K,MATCH($A31,'Sky-Gen Ent EPG'!$K:$K,0),2))</f>
        <v>23</v>
      </c>
      <c r="E31" s="73">
        <f>IF(D31="","",(((VLOOKUP(D31,'Sky-Gen Ent - EMP slot values'!$A$25:$B$118,2,FALSE))/5)*('Nation weights - Sky'!$C$6)))</f>
        <v>0.18409891453369501</v>
      </c>
      <c r="G31">
        <f>IF($A31="","",INDEX('Sky-Gen Ent EPG'!$Y:$AA,MATCH($A31,'Sky-Gen Ent EPG'!$AA:$AA,0),1))</f>
        <v>125</v>
      </c>
      <c r="H31">
        <f>IF($A31="","",INDEX('Sky-Gen Ent EPG'!$Y:$AA,MATCH($A31,'Sky-Gen Ent EPG'!$AA:$AA,0),2))</f>
        <v>23</v>
      </c>
      <c r="I31" s="73">
        <f>IF(H31="","",(((VLOOKUP(H31,'Sky-Gen Ent - EMP slot values'!$A$25:$B$118,2,FALSE))/5)*('Nation weights - Sky'!$C$6)))</f>
        <v>0.18409891453369501</v>
      </c>
      <c r="J31">
        <f t="shared" si="1"/>
        <v>0</v>
      </c>
      <c r="K31" s="7">
        <f t="shared" si="2"/>
        <v>0</v>
      </c>
    </row>
    <row r="32" spans="1:11" x14ac:dyDescent="0.45">
      <c r="A32" t="str">
        <f>IF('Sky-Gen Ent EPG'!K34&lt;&gt;0,'Sky-Gen Ent EPG'!K34,"")</f>
        <v>Discovery HD</v>
      </c>
      <c r="B32">
        <f t="shared" si="0"/>
        <v>1</v>
      </c>
      <c r="C32">
        <f>IF($A32="","",INDEX('Sky-Gen Ent EPG'!$I:$K,MATCH($A32,'Sky-Gen Ent EPG'!$K:$K,0),1))</f>
        <v>125</v>
      </c>
      <c r="D32">
        <f>IF($A32="","",INDEX('Sky-Gen Ent EPG'!$I:$K,MATCH($A32,'Sky-Gen Ent EPG'!$K:$K,0),2))</f>
        <v>24</v>
      </c>
      <c r="E32" s="73">
        <f>IF(D32="","",(((VLOOKUP(D32,'Sky-Gen Ent - EMP slot values'!$A$25:$B$118,2,FALSE))/5)*('Nation weights - Sky'!$C$6)))</f>
        <v>0.17903480857319334</v>
      </c>
      <c r="G32">
        <f>IF($A32="","",INDEX('Sky-Gen Ent EPG'!$Y:$AA,MATCH($A32,'Sky-Gen Ent EPG'!$AA:$AA,0),1))</f>
        <v>127</v>
      </c>
      <c r="H32">
        <f>IF($A32="","",INDEX('Sky-Gen Ent EPG'!$Y:$AA,MATCH($A32,'Sky-Gen Ent EPG'!$AA:$AA,0),2))</f>
        <v>25</v>
      </c>
      <c r="I32" s="73">
        <f>IF(H32="","",(((VLOOKUP(H32,'Sky-Gen Ent - EMP slot values'!$A$25:$B$118,2,FALSE))/5)*('Nation weights - Sky'!$C$6)))</f>
        <v>0.17411000364683488</v>
      </c>
      <c r="J32">
        <f t="shared" si="1"/>
        <v>-1</v>
      </c>
      <c r="K32" s="7">
        <f t="shared" si="2"/>
        <v>-4.924804926358467E-3</v>
      </c>
    </row>
    <row r="33" spans="1:11" x14ac:dyDescent="0.45">
      <c r="A33" t="str">
        <f>IF('Sky-Gen Ent EPG'!K35&lt;&gt;0,'Sky-Gen Ent EPG'!K35,"")</f>
        <v>MTV HD</v>
      </c>
      <c r="B33">
        <f t="shared" si="0"/>
        <v>1</v>
      </c>
      <c r="C33">
        <f>IF($A33="","",INDEX('Sky-Gen Ent EPG'!$I:$K,MATCH($A33,'Sky-Gen Ent EPG'!$K:$K,0),1))</f>
        <v>126</v>
      </c>
      <c r="D33">
        <f>IF($A33="","",INDEX('Sky-Gen Ent EPG'!$I:$K,MATCH($A33,'Sky-Gen Ent EPG'!$K:$K,0),2))</f>
        <v>25</v>
      </c>
      <c r="E33" s="73">
        <f>IF(D33="","",(((VLOOKUP(D33,'Sky-Gen Ent - EMP slot values'!$A$25:$B$118,2,FALSE))/5)*('Nation weights - Sky'!$C$6)))</f>
        <v>0.17411000364683488</v>
      </c>
      <c r="G33">
        <f>IF($A33="","",INDEX('Sky-Gen Ent EPG'!$Y:$AA,MATCH($A33,'Sky-Gen Ent EPG'!$AA:$AA,0),1))</f>
        <v>128</v>
      </c>
      <c r="H33">
        <f>IF($A33="","",INDEX('Sky-Gen Ent EPG'!$Y:$AA,MATCH($A33,'Sky-Gen Ent EPG'!$AA:$AA,0),2))</f>
        <v>26</v>
      </c>
      <c r="I33" s="73">
        <f>IF(H33="","",(((VLOOKUP(H33,'Sky-Gen Ent - EMP slot values'!$A$25:$B$118,2,FALSE))/5)*('Nation weights - Sky'!$C$6)))</f>
        <v>0.16932066792758746</v>
      </c>
      <c r="J33">
        <f t="shared" si="1"/>
        <v>-1</v>
      </c>
      <c r="K33" s="7">
        <f t="shared" si="2"/>
        <v>-4.7893357192474173E-3</v>
      </c>
    </row>
    <row r="34" spans="1:11" x14ac:dyDescent="0.45">
      <c r="A34" t="str">
        <f>IF('Sky-Gen Ent EPG'!K36&lt;&gt;0,'Sky-Gen Ent EPG'!K36,"")</f>
        <v>ComedyXtra</v>
      </c>
      <c r="B34">
        <f t="shared" si="0"/>
        <v>1</v>
      </c>
      <c r="C34">
        <f>IF($A34="","",INDEX('Sky-Gen Ent EPG'!$I:$K,MATCH($A34,'Sky-Gen Ent EPG'!$K:$K,0),1))</f>
        <v>127</v>
      </c>
      <c r="D34">
        <f>IF($A34="","",INDEX('Sky-Gen Ent EPG'!$I:$K,MATCH($A34,'Sky-Gen Ent EPG'!$K:$K,0),2))</f>
        <v>26</v>
      </c>
      <c r="E34" s="73">
        <f>IF(D34="","",(((VLOOKUP(D34,'Sky-Gen Ent - EMP slot values'!$A$25:$B$118,2,FALSE))/5)*('Nation weights - Sky'!$C$6)))</f>
        <v>0.16932066792758746</v>
      </c>
      <c r="G34">
        <f>IF($A34="","",INDEX('Sky-Gen Ent EPG'!$Y:$AA,MATCH($A34,'Sky-Gen Ent EPG'!$AA:$AA,0),1))</f>
        <v>129</v>
      </c>
      <c r="H34">
        <f>IF($A34="","",INDEX('Sky-Gen Ent EPG'!$Y:$AA,MATCH($A34,'Sky-Gen Ent EPG'!$AA:$AA,0),2))</f>
        <v>27</v>
      </c>
      <c r="I34" s="73">
        <f>IF(H34="","",(((VLOOKUP(H34,'Sky-Gen Ent - EMP slot values'!$A$25:$B$118,2,FALSE))/5)*('Nation weights - Sky'!$C$6)))</f>
        <v>0.1646630749925064</v>
      </c>
      <c r="J34">
        <f t="shared" si="1"/>
        <v>-1</v>
      </c>
      <c r="K34" s="7">
        <f t="shared" si="2"/>
        <v>-4.6575929350810563E-3</v>
      </c>
    </row>
    <row r="35" spans="1:11" x14ac:dyDescent="0.45">
      <c r="A35" t="str">
        <f>IF('Sky-Gen Ent EPG'!K37&lt;&gt;0,'Sky-Gen Ent EPG'!K37,"")</f>
        <v>5STAR</v>
      </c>
      <c r="B35">
        <f t="shared" si="0"/>
        <v>1</v>
      </c>
      <c r="C35">
        <f>IF($A35="","",INDEX('Sky-Gen Ent EPG'!$I:$K,MATCH($A35,'Sky-Gen Ent EPG'!$K:$K,0),1))</f>
        <v>128</v>
      </c>
      <c r="D35">
        <f>IF($A35="","",INDEX('Sky-Gen Ent EPG'!$I:$K,MATCH($A35,'Sky-Gen Ent EPG'!$K:$K,0),2))</f>
        <v>27</v>
      </c>
      <c r="E35" s="73">
        <f>IF(D35="","",(((VLOOKUP(D35,'Sky-Gen Ent - EMP slot values'!$A$25:$B$118,2,FALSE))/5)*('Nation weights - Sky'!$C$6)))</f>
        <v>0.1646630749925064</v>
      </c>
      <c r="G35">
        <f>IF($A35="","",INDEX('Sky-Gen Ent EPG'!$Y:$AA,MATCH($A35,'Sky-Gen Ent EPG'!$AA:$AA,0),1))</f>
        <v>130</v>
      </c>
      <c r="H35">
        <f>IF($A35="","",INDEX('Sky-Gen Ent EPG'!$Y:$AA,MATCH($A35,'Sky-Gen Ent EPG'!$AA:$AA,0),2))</f>
        <v>28</v>
      </c>
      <c r="I35" s="73">
        <f>IF(H35="","",(((VLOOKUP(H35,'Sky-Gen Ent - EMP slot values'!$A$25:$B$118,2,FALSE))/5)*('Nation weights - Sky'!$C$6)))</f>
        <v>0.16013360092332904</v>
      </c>
      <c r="J35">
        <f t="shared" si="1"/>
        <v>-1</v>
      </c>
      <c r="K35" s="7">
        <f t="shared" si="2"/>
        <v>-4.5294740691773638E-3</v>
      </c>
    </row>
    <row r="36" spans="1:11" x14ac:dyDescent="0.45">
      <c r="A36" t="str">
        <f>IF('Sky-Gen Ent EPG'!K38&lt;&gt;0,'Sky-Gen Ent EPG'!K38,"")</f>
        <v>National Geographic HD</v>
      </c>
      <c r="B36">
        <f t="shared" si="0"/>
        <v>1</v>
      </c>
      <c r="C36">
        <f>IF($A36="","",INDEX('Sky-Gen Ent EPG'!$I:$K,MATCH($A36,'Sky-Gen Ent EPG'!$K:$K,0),1))</f>
        <v>129</v>
      </c>
      <c r="D36">
        <f>IF($A36="","",INDEX('Sky-Gen Ent EPG'!$I:$K,MATCH($A36,'Sky-Gen Ent EPG'!$K:$K,0),2))</f>
        <v>28</v>
      </c>
      <c r="E36" s="73">
        <f>IF(D36="","",(((VLOOKUP(D36,'Sky-Gen Ent - EMP slot values'!$A$25:$B$118,2,FALSE))/5)*('Nation weights - Sky'!$C$6)))</f>
        <v>0.16013360092332904</v>
      </c>
      <c r="G36">
        <f>IF($A36="","",INDEX('Sky-Gen Ent EPG'!$Y:$AA,MATCH($A36,'Sky-Gen Ent EPG'!$AA:$AA,0),1))</f>
        <v>131</v>
      </c>
      <c r="H36">
        <f>IF($A36="","",INDEX('Sky-Gen Ent EPG'!$Y:$AA,MATCH($A36,'Sky-Gen Ent EPG'!$AA:$AA,0),2))</f>
        <v>29</v>
      </c>
      <c r="I36" s="73">
        <f>IF(H36="","",(((VLOOKUP(H36,'Sky-Gen Ent - EMP slot values'!$A$25:$B$118,2,FALSE))/5)*('Nation weights - Sky'!$C$6)))</f>
        <v>0.15280640469559587</v>
      </c>
      <c r="J36">
        <f t="shared" si="1"/>
        <v>-1</v>
      </c>
      <c r="K36" s="7">
        <f t="shared" si="2"/>
        <v>-7.3271962277331737E-3</v>
      </c>
    </row>
    <row r="37" spans="1:11" x14ac:dyDescent="0.45">
      <c r="A37" t="str">
        <f>IF('Sky-Gen Ent EPG'!K39&lt;&gt;0,'Sky-Gen Ent EPG'!K39,"")</f>
        <v>History HD</v>
      </c>
      <c r="B37">
        <f t="shared" si="0"/>
        <v>1</v>
      </c>
      <c r="C37">
        <f>IF($A37="","",INDEX('Sky-Gen Ent EPG'!$I:$K,MATCH($A37,'Sky-Gen Ent EPG'!$K:$K,0),1))</f>
        <v>130</v>
      </c>
      <c r="D37">
        <f>IF($A37="","",INDEX('Sky-Gen Ent EPG'!$I:$K,MATCH($A37,'Sky-Gen Ent EPG'!$K:$K,0),2))</f>
        <v>29</v>
      </c>
      <c r="E37" s="73">
        <f>IF(D37="","",(((VLOOKUP(D37,'Sky-Gen Ent - EMP slot values'!$A$25:$B$118,2,FALSE))/5)*('Nation weights - Sky'!$C$6)))</f>
        <v>0.15280640469559587</v>
      </c>
      <c r="G37">
        <f>IF($A37="","",INDEX('Sky-Gen Ent EPG'!$Y:$AA,MATCH($A37,'Sky-Gen Ent EPG'!$AA:$AA,0),1))</f>
        <v>132</v>
      </c>
      <c r="H37">
        <f>IF($A37="","",INDEX('Sky-Gen Ent EPG'!$Y:$AA,MATCH($A37,'Sky-Gen Ent EPG'!$AA:$AA,0),2))</f>
        <v>30</v>
      </c>
      <c r="I37" s="73">
        <f>IF(H37="","",(((VLOOKUP(H37,'Sky-Gen Ent - EMP slot values'!$A$25:$B$118,2,FALSE))/5)*('Nation weights - Sky'!$C$6)))</f>
        <v>0.14581447729495553</v>
      </c>
      <c r="J37">
        <f t="shared" si="1"/>
        <v>-1</v>
      </c>
      <c r="K37" s="7">
        <f t="shared" si="2"/>
        <v>-6.9919274006403354E-3</v>
      </c>
    </row>
    <row r="38" spans="1:11" x14ac:dyDescent="0.45">
      <c r="A38" t="str">
        <f>IF('Sky-Gen Ent EPG'!K40&lt;&gt;0,'Sky-Gen Ent EPG'!K40,"")</f>
        <v>ITVBe</v>
      </c>
      <c r="B38">
        <f t="shared" si="0"/>
        <v>1</v>
      </c>
      <c r="C38">
        <f>IF($A38="","",INDEX('Sky-Gen Ent EPG'!$I:$K,MATCH($A38,'Sky-Gen Ent EPG'!$K:$K,0),1))</f>
        <v>131</v>
      </c>
      <c r="D38">
        <f>IF($A38="","",INDEX('Sky-Gen Ent EPG'!$I:$K,MATCH($A38,'Sky-Gen Ent EPG'!$K:$K,0),2))</f>
        <v>30</v>
      </c>
      <c r="E38" s="73">
        <f>IF(D38="","",(((VLOOKUP(D38,'Sky-Gen Ent - EMP slot values'!$A$25:$B$118,2,FALSE))/5)*('Nation weights - Sky'!$C$6)))</f>
        <v>0.14581447729495553</v>
      </c>
      <c r="G38">
        <f>IF($A38="","",INDEX('Sky-Gen Ent EPG'!$Y:$AA,MATCH($A38,'Sky-Gen Ent EPG'!$AA:$AA,0),1))</f>
        <v>133</v>
      </c>
      <c r="H38">
        <f>IF($A38="","",INDEX('Sky-Gen Ent EPG'!$Y:$AA,MATCH($A38,'Sky-Gen Ent EPG'!$AA:$AA,0),2))</f>
        <v>31</v>
      </c>
      <c r="I38" s="73">
        <f>IF(H38="","",(((VLOOKUP(H38,'Sky-Gen Ent - EMP slot values'!$A$25:$B$118,2,FALSE))/5)*('Nation weights - Sky'!$C$6)))</f>
        <v>0.13914247790304762</v>
      </c>
      <c r="J38">
        <f t="shared" si="1"/>
        <v>-1</v>
      </c>
      <c r="K38" s="7">
        <f t="shared" si="2"/>
        <v>-6.6719993919079068E-3</v>
      </c>
    </row>
    <row r="39" spans="1:11" x14ac:dyDescent="0.45">
      <c r="A39" t="str">
        <f>IF('Sky-Gen Ent EPG'!K41&lt;&gt;0,'Sky-Gen Ent EPG'!K41,"")</f>
        <v>alibi HD</v>
      </c>
      <c r="B39">
        <f t="shared" si="0"/>
        <v>1</v>
      </c>
      <c r="C39">
        <f>IF($A39="","",INDEX('Sky-Gen Ent EPG'!$I:$K,MATCH($A39,'Sky-Gen Ent EPG'!$K:$K,0),1))</f>
        <v>132</v>
      </c>
      <c r="D39">
        <f>IF($A39="","",INDEX('Sky-Gen Ent EPG'!$I:$K,MATCH($A39,'Sky-Gen Ent EPG'!$K:$K,0),2))</f>
        <v>31</v>
      </c>
      <c r="E39" s="73">
        <f>IF(D39="","",(((VLOOKUP(D39,'Sky-Gen Ent - EMP slot values'!$A$25:$B$118,2,FALSE))/5)*('Nation weights - Sky'!$C$6)))</f>
        <v>0.13914247790304762</v>
      </c>
      <c r="G39">
        <f>IF($A39="","",INDEX('Sky-Gen Ent EPG'!$Y:$AA,MATCH($A39,'Sky-Gen Ent EPG'!$AA:$AA,0),1))</f>
        <v>134</v>
      </c>
      <c r="H39">
        <f>IF($A39="","",INDEX('Sky-Gen Ent EPG'!$Y:$AA,MATCH($A39,'Sky-Gen Ent EPG'!$AA:$AA,0),2))</f>
        <v>32</v>
      </c>
      <c r="I39" s="73">
        <f>IF(H39="","",(((VLOOKUP(H39,'Sky-Gen Ent - EMP slot values'!$A$25:$B$118,2,FALSE))/5)*('Nation weights - Sky'!$C$6)))</f>
        <v>0.13277576764779778</v>
      </c>
      <c r="J39">
        <f t="shared" si="1"/>
        <v>-1</v>
      </c>
      <c r="K39" s="7">
        <f t="shared" si="2"/>
        <v>-6.3667102552498467E-3</v>
      </c>
    </row>
    <row r="40" spans="1:11" x14ac:dyDescent="0.45">
      <c r="A40" t="str">
        <f>IF('Sky-Gen Ent EPG'!K42&lt;&gt;0,'Sky-Gen Ent EPG'!K42,"")</f>
        <v>Good Food HD</v>
      </c>
      <c r="B40">
        <f t="shared" si="0"/>
        <v>1</v>
      </c>
      <c r="C40">
        <f>IF($A40="","",INDEX('Sky-Gen Ent EPG'!$I:$K,MATCH($A40,'Sky-Gen Ent EPG'!$K:$K,0),1))</f>
        <v>133</v>
      </c>
      <c r="D40">
        <f>IF($A40="","",INDEX('Sky-Gen Ent EPG'!$I:$K,MATCH($A40,'Sky-Gen Ent EPG'!$K:$K,0),2))</f>
        <v>32</v>
      </c>
      <c r="E40" s="73">
        <f>IF(D40="","",(((VLOOKUP(D40,'Sky-Gen Ent - EMP slot values'!$A$25:$B$118,2,FALSE))/5)*('Nation weights - Sky'!$C$6)))</f>
        <v>0.13277576764779778</v>
      </c>
      <c r="G40">
        <f>IF($A40="","",INDEX('Sky-Gen Ent EPG'!$Y:$AA,MATCH($A40,'Sky-Gen Ent EPG'!$AA:$AA,0),1))</f>
        <v>135</v>
      </c>
      <c r="H40">
        <f>IF($A40="","",INDEX('Sky-Gen Ent EPG'!$Y:$AA,MATCH($A40,'Sky-Gen Ent EPG'!$AA:$AA,0),2))</f>
        <v>33</v>
      </c>
      <c r="I40" s="73">
        <f>IF(H40="","",(((VLOOKUP(H40,'Sky-Gen Ent - EMP slot values'!$A$25:$B$118,2,FALSE))/5)*('Nation weights - Sky'!$C$6)))</f>
        <v>0.12670037748462326</v>
      </c>
      <c r="J40">
        <f t="shared" si="1"/>
        <v>-1</v>
      </c>
      <c r="K40" s="7">
        <f t="shared" si="2"/>
        <v>-6.0753901631745155E-3</v>
      </c>
    </row>
    <row r="41" spans="1:11" x14ac:dyDescent="0.45">
      <c r="A41" t="str">
        <f>IF('Sky-Gen Ent EPG'!K43&lt;&gt;0,'Sky-Gen Ent EPG'!K43,"")</f>
        <v>S4C</v>
      </c>
      <c r="B41">
        <f t="shared" si="0"/>
        <v>1</v>
      </c>
      <c r="C41">
        <f>IF($A41="","",INDEX('Sky-Gen Ent EPG'!$I:$K,MATCH($A41,'Sky-Gen Ent EPG'!$K:$K,0),1))</f>
        <v>134</v>
      </c>
      <c r="D41">
        <f>IF($A41="","",INDEX('Sky-Gen Ent EPG'!$I:$K,MATCH($A41,'Sky-Gen Ent EPG'!$K:$K,0),2))</f>
        <v>33</v>
      </c>
      <c r="E41" s="73">
        <f>IF(D41="","",(((VLOOKUP(D41,'Sky-Gen Ent - EMP slot values'!$A$25:$B$118,2,FALSE))/5)*('Nation weights - Sky'!$C$6)))</f>
        <v>0.12670037748462326</v>
      </c>
      <c r="G41">
        <f>IF($A41="","",INDEX('Sky-Gen Ent EPG'!$Y:$AA,MATCH($A41,'Sky-Gen Ent EPG'!$AA:$AA,0),1))</f>
        <v>136</v>
      </c>
      <c r="H41">
        <f>IF($A41="","",INDEX('Sky-Gen Ent EPG'!$Y:$AA,MATCH($A41,'Sky-Gen Ent EPG'!$AA:$AA,0),2))</f>
        <v>34</v>
      </c>
      <c r="I41" s="73">
        <f>IF(H41="","",(((VLOOKUP(H41,'Sky-Gen Ent - EMP slot values'!$A$25:$B$118,2,FALSE))/5)*('Nation weights - Sky'!$C$6)))</f>
        <v>0.12090297754729101</v>
      </c>
      <c r="J41">
        <f t="shared" si="1"/>
        <v>-1</v>
      </c>
      <c r="K41" s="7">
        <f t="shared" si="2"/>
        <v>-5.7973999373322482E-3</v>
      </c>
    </row>
    <row r="42" spans="1:11" x14ac:dyDescent="0.45">
      <c r="A42" t="str">
        <f>IF('Sky-Gen Ent EPG'!K44&lt;&gt;0,'Sky-Gen Ent EPG'!K44,"")</f>
        <v>E4 HD</v>
      </c>
      <c r="B42">
        <f t="shared" si="0"/>
        <v>1</v>
      </c>
      <c r="C42">
        <f>IF($A42="","",INDEX('Sky-Gen Ent EPG'!$I:$K,MATCH($A42,'Sky-Gen Ent EPG'!$K:$K,0),1))</f>
        <v>135</v>
      </c>
      <c r="D42">
        <f>IF($A42="","",INDEX('Sky-Gen Ent EPG'!$I:$K,MATCH($A42,'Sky-Gen Ent EPG'!$K:$K,0),2))</f>
        <v>34</v>
      </c>
      <c r="E42" s="73">
        <f>IF(D42="","",(((VLOOKUP(D42,'Sky-Gen Ent - EMP slot values'!$A$25:$B$118,2,FALSE))/5)*('Nation weights - Sky'!$C$6)))</f>
        <v>0.12090297754729101</v>
      </c>
      <c r="G42">
        <f>IF($A42="","",INDEX('Sky-Gen Ent EPG'!$Y:$AA,MATCH($A42,'Sky-Gen Ent EPG'!$AA:$AA,0),1))</f>
        <v>137</v>
      </c>
      <c r="H42">
        <f>IF($A42="","",INDEX('Sky-Gen Ent EPG'!$Y:$AA,MATCH($A42,'Sky-Gen Ent EPG'!$AA:$AA,0),2))</f>
        <v>35</v>
      </c>
      <c r="I42" s="73">
        <f>IF(H42="","",(((VLOOKUP(H42,'Sky-Gen Ent - EMP slot values'!$A$25:$B$118,2,FALSE))/5)*('Nation weights - Sky'!$C$6)))</f>
        <v>0.11537084790118154</v>
      </c>
      <c r="J42">
        <f t="shared" si="1"/>
        <v>-1</v>
      </c>
      <c r="K42" s="7">
        <f t="shared" si="2"/>
        <v>-5.5321296461094682E-3</v>
      </c>
    </row>
    <row r="43" spans="1:11" x14ac:dyDescent="0.45">
      <c r="A43" t="str">
        <f>IF('Sky-Gen Ent EPG'!K45&lt;&gt;0,'Sky-Gen Ent EPG'!K45,"")</f>
        <v>More4 HD</v>
      </c>
      <c r="B43">
        <f t="shared" si="0"/>
        <v>1</v>
      </c>
      <c r="C43">
        <f>IF($A43="","",INDEX('Sky-Gen Ent EPG'!$I:$K,MATCH($A43,'Sky-Gen Ent EPG'!$K:$K,0),1))</f>
        <v>136</v>
      </c>
      <c r="D43">
        <f>IF($A43="","",INDEX('Sky-Gen Ent EPG'!$I:$K,MATCH($A43,'Sky-Gen Ent EPG'!$K:$K,0),2))</f>
        <v>35</v>
      </c>
      <c r="E43" s="73">
        <f>IF(D43="","",(((VLOOKUP(D43,'Sky-Gen Ent - EMP slot values'!$A$25:$B$118,2,FALSE))/5)*('Nation weights - Sky'!$C$6)))</f>
        <v>0.11537084790118154</v>
      </c>
      <c r="G43">
        <f>IF($A43="","",INDEX('Sky-Gen Ent EPG'!$Y:$AA,MATCH($A43,'Sky-Gen Ent EPG'!$AA:$AA,0),1))</f>
        <v>138</v>
      </c>
      <c r="H43">
        <f>IF($A43="","",INDEX('Sky-Gen Ent EPG'!$Y:$AA,MATCH($A43,'Sky-Gen Ent EPG'!$AA:$AA,0),2))</f>
        <v>36</v>
      </c>
      <c r="I43" s="73">
        <f>IF(H43="","",(((VLOOKUP(H43,'Sky-Gen Ent - EMP slot values'!$A$25:$B$118,2,FALSE))/5)*('Nation weights - Sky'!$C$6)))</f>
        <v>0.11009185063478867</v>
      </c>
      <c r="J43">
        <f t="shared" si="1"/>
        <v>-1</v>
      </c>
      <c r="K43" s="7">
        <f t="shared" si="2"/>
        <v>-5.2789972663928736E-3</v>
      </c>
    </row>
    <row r="44" spans="1:11" x14ac:dyDescent="0.45">
      <c r="A44" t="str">
        <f>IF('Sky-Gen Ent EPG'!K46&lt;&gt;0,'Sky-Gen Ent EPG'!K46,"")</f>
        <v>4seven</v>
      </c>
      <c r="B44">
        <f t="shared" si="0"/>
        <v>1</v>
      </c>
      <c r="C44">
        <f>IF($A44="","",INDEX('Sky-Gen Ent EPG'!$I:$K,MATCH($A44,'Sky-Gen Ent EPG'!$K:$K,0),1))</f>
        <v>137</v>
      </c>
      <c r="D44">
        <f>IF($A44="","",INDEX('Sky-Gen Ent EPG'!$I:$K,MATCH($A44,'Sky-Gen Ent EPG'!$K:$K,0),2))</f>
        <v>36</v>
      </c>
      <c r="E44" s="73">
        <f>IF(D44="","",(((VLOOKUP(D44,'Sky-Gen Ent - EMP slot values'!$A$25:$B$118,2,FALSE))/5)*('Nation weights - Sky'!$C$6)))</f>
        <v>0.11009185063478867</v>
      </c>
      <c r="G44">
        <f>IF($A44="","",INDEX('Sky-Gen Ent EPG'!$Y:$AA,MATCH($A44,'Sky-Gen Ent EPG'!$AA:$AA,0),1))</f>
        <v>139</v>
      </c>
      <c r="H44">
        <f>IF($A44="","",INDEX('Sky-Gen Ent EPG'!$Y:$AA,MATCH($A44,'Sky-Gen Ent EPG'!$AA:$AA,0),2))</f>
        <v>37</v>
      </c>
      <c r="I44" s="73">
        <f>IF(H44="","",(((VLOOKUP(H44,'Sky-Gen Ent - EMP slot values'!$A$25:$B$118,2,FALSE))/5)*('Nation weights - Sky'!$C$6)))</f>
        <v>0.10579553399333466</v>
      </c>
      <c r="J44">
        <f t="shared" si="1"/>
        <v>-1</v>
      </c>
      <c r="K44" s="7">
        <f t="shared" si="2"/>
        <v>-4.2963166414540094E-3</v>
      </c>
    </row>
    <row r="45" spans="1:11" x14ac:dyDescent="0.45">
      <c r="A45" t="str">
        <f>IF('Sky-Gen Ent EPG'!K47&lt;&gt;0,'Sky-Gen Ent EPG'!K47,"")</f>
        <v>Channel 4 HD</v>
      </c>
      <c r="B45">
        <f t="shared" si="0"/>
        <v>1</v>
      </c>
      <c r="C45">
        <f>IF($A45="","",INDEX('Sky-Gen Ent EPG'!$I:$K,MATCH($A45,'Sky-Gen Ent EPG'!$K:$K,0),1))</f>
        <v>138</v>
      </c>
      <c r="D45">
        <f>IF($A45="","",INDEX('Sky-Gen Ent EPG'!$I:$K,MATCH($A45,'Sky-Gen Ent EPG'!$K:$K,0),2))</f>
        <v>37</v>
      </c>
      <c r="E45" s="73">
        <f>IF(D45="","",(((VLOOKUP(D45,'Sky-Gen Ent - EMP slot values'!$A$25:$B$118,2,FALSE))/5)*('Nation weights - Sky'!$C$6)))</f>
        <v>0.10579553399333466</v>
      </c>
      <c r="G45">
        <f>IF($A45="","",INDEX('Sky-Gen Ent EPG'!$Y:$AA,MATCH($A45,'Sky-Gen Ent EPG'!$AA:$AA,0),1))</f>
        <v>140</v>
      </c>
      <c r="H45">
        <f>IF($A45="","",INDEX('Sky-Gen Ent EPG'!$Y:$AA,MATCH($A45,'Sky-Gen Ent EPG'!$AA:$AA,0),2))</f>
        <v>38</v>
      </c>
      <c r="I45" s="73">
        <f>IF(H45="","",(((VLOOKUP(H45,'Sky-Gen Ent - EMP slot values'!$A$25:$B$118,2,FALSE))/5)*('Nation weights - Sky'!$C$6)))</f>
        <v>0.10166688041301736</v>
      </c>
      <c r="J45">
        <f t="shared" si="1"/>
        <v>-1</v>
      </c>
      <c r="K45" s="7">
        <f t="shared" si="2"/>
        <v>-4.1286535803173041E-3</v>
      </c>
    </row>
    <row r="46" spans="1:11" x14ac:dyDescent="0.45">
      <c r="A46" t="str">
        <f>IF('Sky-Gen Ent EPG'!K48&lt;&gt;0,'Sky-Gen Ent EPG'!K48,"")</f>
        <v>4Music</v>
      </c>
      <c r="B46">
        <f t="shared" si="0"/>
        <v>1</v>
      </c>
      <c r="C46">
        <f>IF($A46="","",INDEX('Sky-Gen Ent EPG'!$I:$K,MATCH($A46,'Sky-Gen Ent EPG'!$K:$K,0),1))</f>
        <v>139</v>
      </c>
      <c r="D46">
        <f>IF($A46="","",INDEX('Sky-Gen Ent EPG'!$I:$K,MATCH($A46,'Sky-Gen Ent EPG'!$K:$K,0),2))</f>
        <v>38</v>
      </c>
      <c r="E46" s="73">
        <f>IF(D46="","",(((VLOOKUP(D46,'Sky-Gen Ent - EMP slot values'!$A$25:$B$118,2,FALSE))/5)*('Nation weights - Sky'!$C$6)))</f>
        <v>0.10166688041301736</v>
      </c>
      <c r="G46">
        <f>IF($A46="","",INDEX('Sky-Gen Ent EPG'!$Y:$AA,MATCH($A46,'Sky-Gen Ent EPG'!$AA:$AA,0),1))</f>
        <v>141</v>
      </c>
      <c r="H46">
        <f>IF($A46="","",INDEX('Sky-Gen Ent EPG'!$Y:$AA,MATCH($A46,'Sky-Gen Ent EPG'!$AA:$AA,0),2))</f>
        <v>39</v>
      </c>
      <c r="I46" s="73">
        <f>IF(H46="","",(((VLOOKUP(H46,'Sky-Gen Ent - EMP slot values'!$A$25:$B$118,2,FALSE))/5)*('Nation weights - Sky'!$C$6)))</f>
        <v>9.7699346870029236E-2</v>
      </c>
      <c r="J46">
        <f t="shared" si="1"/>
        <v>-1</v>
      </c>
      <c r="K46" s="7">
        <f t="shared" si="2"/>
        <v>-3.967533542988122E-3</v>
      </c>
    </row>
    <row r="47" spans="1:11" x14ac:dyDescent="0.45">
      <c r="A47" t="str">
        <f>IF('Sky-Gen Ent EPG'!K49&lt;&gt;0,'Sky-Gen Ent EPG'!K49,"")</f>
        <v>TLC HD</v>
      </c>
      <c r="B47">
        <f t="shared" si="0"/>
        <v>1</v>
      </c>
      <c r="C47">
        <f>IF($A47="","",INDEX('Sky-Gen Ent EPG'!$I:$K,MATCH($A47,'Sky-Gen Ent EPG'!$K:$K,0),1))</f>
        <v>140</v>
      </c>
      <c r="D47">
        <f>IF($A47="","",INDEX('Sky-Gen Ent EPG'!$I:$K,MATCH($A47,'Sky-Gen Ent EPG'!$K:$K,0),2))</f>
        <v>39</v>
      </c>
      <c r="E47" s="73">
        <f>IF(D47="","",(((VLOOKUP(D47,'Sky-Gen Ent - EMP slot values'!$A$25:$B$118,2,FALSE))/5)*('Nation weights - Sky'!$C$6)))</f>
        <v>9.7699346870029236E-2</v>
      </c>
      <c r="G47">
        <f>IF($A47="","",INDEX('Sky-Gen Ent EPG'!$Y:$AA,MATCH($A47,'Sky-Gen Ent EPG'!$AA:$AA,0),1))</f>
        <v>142</v>
      </c>
      <c r="H47">
        <f>IF($A47="","",INDEX('Sky-Gen Ent EPG'!$Y:$AA,MATCH($A47,'Sky-Gen Ent EPG'!$AA:$AA,0),2))</f>
        <v>40</v>
      </c>
      <c r="I47" s="73">
        <f>IF(H47="","",(((VLOOKUP(H47,'Sky-Gen Ent - EMP slot values'!$A$25:$B$118,2,FALSE))/5)*('Nation weights - Sky'!$C$6)))</f>
        <v>9.3886645681007228E-2</v>
      </c>
      <c r="J47">
        <f t="shared" si="1"/>
        <v>-1</v>
      </c>
      <c r="K47" s="7">
        <f t="shared" si="2"/>
        <v>-3.8127011890220081E-3</v>
      </c>
    </row>
    <row r="48" spans="1:11" x14ac:dyDescent="0.45">
      <c r="A48" t="str">
        <f>IF('Sky-Gen Ent EPG'!K50&lt;&gt;0,'Sky-Gen Ent EPG'!K50,"")</f>
        <v>BBC Alba</v>
      </c>
      <c r="B48">
        <f t="shared" si="0"/>
        <v>0</v>
      </c>
      <c r="C48">
        <f>IF($A48="","",INDEX('Sky-Gen Ent EPG'!$I:$K,MATCH($A48,'Sky-Gen Ent EPG'!$K:$K,0),1))</f>
        <v>141</v>
      </c>
      <c r="D48">
        <f>IF($A48="","",INDEX('Sky-Gen Ent EPG'!$I:$K,MATCH($A48,'Sky-Gen Ent EPG'!$K:$K,0),2))</f>
        <v>40</v>
      </c>
      <c r="E48" s="73">
        <f>IF(D48="","",(((VLOOKUP(D48,'Sky-Gen Ent - EMP slot values'!$A$25:$B$118,2,FALSE))/5)*('Nation weights - Sky'!$C$6)))</f>
        <v>9.3886645681007228E-2</v>
      </c>
      <c r="G48">
        <f>IF($A48="","",INDEX('Sky-Gen Ent EPG'!$Y:$AA,MATCH($A48,'Sky-Gen Ent EPG'!$AA:$AA,0),1))</f>
        <v>126</v>
      </c>
      <c r="H48">
        <f>IF($A48="","",INDEX('Sky-Gen Ent EPG'!$Y:$AA,MATCH($A48,'Sky-Gen Ent EPG'!$AA:$AA,0),2))</f>
        <v>24</v>
      </c>
      <c r="I48" s="73">
        <f>IF(H48="","",(((VLOOKUP(H48,'Sky-Gen Ent - EMP slot values'!$A$25:$B$118,2,FALSE))/5)*('Nation weights - Sky'!$C$6)))</f>
        <v>0.17903480857319334</v>
      </c>
      <c r="J48">
        <f t="shared" si="1"/>
        <v>16</v>
      </c>
      <c r="K48" s="7">
        <f t="shared" si="2"/>
        <v>8.5148162892186116E-2</v>
      </c>
    </row>
    <row r="49" spans="1:11" x14ac:dyDescent="0.45">
      <c r="A49" t="str">
        <f>IF('Sky-Gen Ent EPG'!K51&lt;&gt;0,'Sky-Gen Ent EPG'!K51,"")</f>
        <v>Really</v>
      </c>
      <c r="B49">
        <f t="shared" si="0"/>
        <v>1</v>
      </c>
      <c r="C49">
        <f>IF($A49="","",INDEX('Sky-Gen Ent EPG'!$I:$K,MATCH($A49,'Sky-Gen Ent EPG'!$K:$K,0),1))</f>
        <v>142</v>
      </c>
      <c r="D49">
        <f>IF($A49="","",INDEX('Sky-Gen Ent EPG'!$I:$K,MATCH($A49,'Sky-Gen Ent EPG'!$K:$K,0),2))</f>
        <v>41</v>
      </c>
      <c r="E49" s="73">
        <f>IF(D49="","",(((VLOOKUP(D49,'Sky-Gen Ent - EMP slot values'!$A$25:$B$118,2,FALSE))/5)*('Nation weights - Sky'!$C$6)))</f>
        <v>9.0222734538413132E-2</v>
      </c>
      <c r="G49">
        <f>IF($A49="","",INDEX('Sky-Gen Ent EPG'!$Y:$AA,MATCH($A49,'Sky-Gen Ent EPG'!$AA:$AA,0),1))</f>
        <v>144</v>
      </c>
      <c r="H49">
        <f>IF($A49="","",INDEX('Sky-Gen Ent EPG'!$Y:$AA,MATCH($A49,'Sky-Gen Ent EPG'!$AA:$AA,0),2))</f>
        <v>41</v>
      </c>
      <c r="I49" s="73">
        <f>IF(H49="","",(((VLOOKUP(H49,'Sky-Gen Ent - EMP slot values'!$A$25:$B$118,2,FALSE))/5)*('Nation weights - Sky'!$C$6)))</f>
        <v>9.0222734538413132E-2</v>
      </c>
      <c r="J49">
        <f t="shared" si="1"/>
        <v>0</v>
      </c>
      <c r="K49" s="7">
        <f t="shared" si="2"/>
        <v>0</v>
      </c>
    </row>
    <row r="50" spans="1:11" ht="28.5" x14ac:dyDescent="0.45">
      <c r="A50" t="s">
        <v>199</v>
      </c>
      <c r="G50" s="2" t="s">
        <v>200</v>
      </c>
      <c r="H50" s="2" t="s">
        <v>201</v>
      </c>
    </row>
    <row r="51" spans="1:11" ht="57" x14ac:dyDescent="0.45">
      <c r="G51" s="2" t="s">
        <v>207</v>
      </c>
      <c r="J51">
        <f>COUNTIFS($B$8:$B$49,1,J8:J49,"&lt;0")</f>
        <v>16</v>
      </c>
    </row>
    <row r="52" spans="1:11" ht="85.5" x14ac:dyDescent="0.45">
      <c r="G52" s="2" t="s">
        <v>215</v>
      </c>
      <c r="J52" s="7">
        <f>SUMIFS(K8:K49,$B$8:$B$49,1,K8:K49,"&lt;0")</f>
        <v>-8.5148162892186116E-2</v>
      </c>
    </row>
    <row r="54" spans="1:11" ht="71.25" x14ac:dyDescent="0.45">
      <c r="G54" s="2" t="s">
        <v>202</v>
      </c>
      <c r="H54" s="2" t="s">
        <v>203</v>
      </c>
    </row>
  </sheetData>
  <pageMargins left="0.70866141732283472" right="0.70866141732283472" top="0.74803149606299213" bottom="0.74803149606299213" header="0.31496062992125984" footer="0.31496062992125984"/>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9B57D-3F6C-42F7-A922-B8017182AC42}">
  <sheetPr>
    <tabColor theme="8" tint="0.59999389629810485"/>
  </sheetPr>
  <dimension ref="A1:M58"/>
  <sheetViews>
    <sheetView workbookViewId="0"/>
  </sheetViews>
  <sheetFormatPr defaultRowHeight="14.25" x14ac:dyDescent="0.45"/>
  <cols>
    <col min="1" max="1" width="20.33203125" bestFit="1" customWidth="1"/>
    <col min="2" max="2" width="12.06640625" customWidth="1"/>
    <col min="4" max="4" width="10.796875" bestFit="1" customWidth="1"/>
    <col min="5" max="5" width="11.6640625" bestFit="1" customWidth="1"/>
    <col min="7" max="7" width="12.3984375" customWidth="1"/>
    <col min="8" max="8" width="13.3984375" customWidth="1"/>
    <col min="9" max="9" width="11.86328125" customWidth="1"/>
    <col min="11" max="11" width="12.06640625" customWidth="1"/>
  </cols>
  <sheetData>
    <row r="1" spans="1:13" x14ac:dyDescent="0.45">
      <c r="A1" t="s">
        <v>696</v>
      </c>
    </row>
    <row r="3" spans="1:13" x14ac:dyDescent="0.45">
      <c r="A3" t="s">
        <v>110</v>
      </c>
    </row>
    <row r="4" spans="1:13" ht="14.45" customHeight="1" x14ac:dyDescent="0.45">
      <c r="B4" s="148" t="s">
        <v>300</v>
      </c>
      <c r="C4" s="148"/>
      <c r="D4" s="148"/>
      <c r="E4" s="148"/>
      <c r="F4" s="2"/>
      <c r="G4" s="149" t="s">
        <v>301</v>
      </c>
      <c r="H4" s="149"/>
      <c r="I4" s="149"/>
      <c r="J4" s="149"/>
      <c r="K4" s="149"/>
      <c r="M4" s="148"/>
    </row>
    <row r="5" spans="1:13" x14ac:dyDescent="0.45">
      <c r="B5" s="148"/>
      <c r="C5" s="148"/>
      <c r="D5" s="148"/>
      <c r="E5" s="148"/>
      <c r="F5" s="2"/>
      <c r="G5" s="149"/>
      <c r="H5" s="149"/>
      <c r="I5" s="149"/>
      <c r="J5" s="149"/>
      <c r="K5" s="149"/>
      <c r="M5" s="148"/>
    </row>
    <row r="7" spans="1:13" ht="71.25" x14ac:dyDescent="0.45">
      <c r="A7" t="s">
        <v>197</v>
      </c>
      <c r="B7" s="2" t="s">
        <v>206</v>
      </c>
      <c r="C7" t="s">
        <v>12</v>
      </c>
      <c r="D7" t="s">
        <v>123</v>
      </c>
      <c r="E7" s="2" t="s">
        <v>209</v>
      </c>
      <c r="G7" t="s">
        <v>12</v>
      </c>
      <c r="H7" t="s">
        <v>123</v>
      </c>
      <c r="I7" s="2" t="s">
        <v>209</v>
      </c>
      <c r="J7" s="2" t="s">
        <v>152</v>
      </c>
      <c r="K7" s="2" t="s">
        <v>210</v>
      </c>
      <c r="L7" s="2"/>
    </row>
    <row r="8" spans="1:13" x14ac:dyDescent="0.45">
      <c r="A8" t="str">
        <f>IF('Sky-Gen Ent EPG'!AE10&lt;&gt;0,'Sky-Gen Ent EPG'!AE10,"")</f>
        <v>BBC One</v>
      </c>
      <c r="B8">
        <f>IF(A8="","",(IF((LEFT(A8,3))="BBC",0,1)))</f>
        <v>0</v>
      </c>
      <c r="C8">
        <f>IF($A8="","",INDEX('Sky-Gen Ent EPG'!$AC:$AE,MATCH($A8,'Sky-Gen Ent EPG'!$AE:$AE,0),1))</f>
        <v>101</v>
      </c>
      <c r="D8">
        <f>IF($A8="","",INDEX('Sky-Gen Ent EPG'!$AC:$AE,MATCH($A8,'Sky-Gen Ent EPG'!$AE:$AE,0),2))</f>
        <v>1</v>
      </c>
      <c r="E8" s="73">
        <f>IF(D8="","",(((VLOOKUP(D8,'Sky-Gen Ent - EMP slot values'!$A$25:$B$118,2,FALSE))/5)*('Nation weights - Sky'!$D$6)))</f>
        <v>0.36944369497912827</v>
      </c>
      <c r="G8">
        <f>IF($A8="","",INDEX('Sky-Gen Ent EPG'!$AG:$AI,MATCH($A8,'Sky-Gen Ent EPG'!$AI:$AI,0),1))</f>
        <v>101</v>
      </c>
      <c r="H8">
        <f>IF($A8="","",INDEX('Sky-Gen Ent EPG'!$AG:$AI,MATCH($A8,'Sky-Gen Ent EPG'!$AI:$AI,0),2))</f>
        <v>1</v>
      </c>
      <c r="I8" s="73">
        <f>IF(H8="","",(((VLOOKUP(H8,'Sky-Gen Ent - EMP slot values'!$A$25:$B$118,2,FALSE))/5)*('Nation weights - Sky'!$D$6)))</f>
        <v>0.36944369497912827</v>
      </c>
      <c r="J8">
        <f>IF($D8="","",$D8-H8)</f>
        <v>0</v>
      </c>
      <c r="K8" s="7">
        <f>IF(D8="","",(I8-$E8))</f>
        <v>0</v>
      </c>
    </row>
    <row r="9" spans="1:13" x14ac:dyDescent="0.45">
      <c r="A9" t="str">
        <f>IF('Sky-Gen Ent EPG'!AE11&lt;&gt;0,'Sky-Gen Ent EPG'!AE11,"")</f>
        <v>BBC Two</v>
      </c>
      <c r="B9">
        <f t="shared" ref="B9:B51" si="0">IF(A9="","",(IF((LEFT(A9,3))="BBC",0,1)))</f>
        <v>0</v>
      </c>
      <c r="C9">
        <f>IF($A9="","",INDEX('Sky-Gen Ent EPG'!$AC:$AE,MATCH($A9,'Sky-Gen Ent EPG'!$AE:$AE,0),1))</f>
        <v>102</v>
      </c>
      <c r="D9">
        <f>IF($A9="","",INDEX('Sky-Gen Ent EPG'!$AC:$AE,MATCH($A9,'Sky-Gen Ent EPG'!$AE:$AE,0),2))</f>
        <v>2</v>
      </c>
      <c r="E9" s="73">
        <f>IF(D9="","",(((VLOOKUP(D9,'Sky-Gen Ent - EMP slot values'!$A$25:$B$118,2,FALSE))/5)*('Nation weights - Sky'!$D$6)))</f>
        <v>0.35669396571182854</v>
      </c>
      <c r="G9">
        <f>IF($A9="","",INDEX('Sky-Gen Ent EPG'!$AG:$AI,MATCH($A9,'Sky-Gen Ent EPG'!$AI:$AI,0),1))</f>
        <v>102</v>
      </c>
      <c r="H9">
        <f>IF($A9="","",INDEX('Sky-Gen Ent EPG'!$AG:$AI,MATCH($A9,'Sky-Gen Ent EPG'!$AI:$AI,0),2))</f>
        <v>2</v>
      </c>
      <c r="I9" s="73">
        <f>IF(H9="","",(((VLOOKUP(H9,'Sky-Gen Ent - EMP slot values'!$A$25:$B$118,2,FALSE))/5)*('Nation weights - Sky'!$D$6)))</f>
        <v>0.35669396571182854</v>
      </c>
      <c r="J9">
        <f t="shared" ref="J9:J51" si="1">IF($D9="","",$D9-H9)</f>
        <v>0</v>
      </c>
      <c r="K9" s="7">
        <f t="shared" ref="K9:K51" si="2">IF(D9="","",(I9-$E9))</f>
        <v>0</v>
      </c>
    </row>
    <row r="10" spans="1:13" x14ac:dyDescent="0.45">
      <c r="A10" t="str">
        <f>IF('Sky-Gen Ent EPG'!AE12&lt;&gt;0,'Sky-Gen Ent EPG'!AE12,"")</f>
        <v>ITV</v>
      </c>
      <c r="B10">
        <f t="shared" si="0"/>
        <v>1</v>
      </c>
      <c r="C10">
        <f>IF($A10="","",INDEX('Sky-Gen Ent EPG'!$AC:$AE,MATCH($A10,'Sky-Gen Ent EPG'!$AE:$AE,0),1))</f>
        <v>103</v>
      </c>
      <c r="D10">
        <f>IF($A10="","",INDEX('Sky-Gen Ent EPG'!$AC:$AE,MATCH($A10,'Sky-Gen Ent EPG'!$AE:$AE,0),2))</f>
        <v>3</v>
      </c>
      <c r="E10" s="73">
        <f>IF(D10="","",(((VLOOKUP(D10,'Sky-Gen Ent - EMP slot values'!$A$25:$B$118,2,FALSE))/5)*('Nation weights - Sky'!$D$6)))</f>
        <v>0.34438423744765495</v>
      </c>
      <c r="G10">
        <f>IF($A10="","",INDEX('Sky-Gen Ent EPG'!$AG:$AI,MATCH($A10,'Sky-Gen Ent EPG'!$AI:$AI,0),1))</f>
        <v>103</v>
      </c>
      <c r="H10">
        <f>IF($A10="","",INDEX('Sky-Gen Ent EPG'!$AG:$AI,MATCH($A10,'Sky-Gen Ent EPG'!$AI:$AI,0),2))</f>
        <v>3</v>
      </c>
      <c r="I10" s="73">
        <f>IF(H10="","",(((VLOOKUP(H10,'Sky-Gen Ent - EMP slot values'!$A$25:$B$118,2,FALSE))/5)*('Nation weights - Sky'!$D$6)))</f>
        <v>0.34438423744765495</v>
      </c>
      <c r="J10">
        <f t="shared" si="1"/>
        <v>0</v>
      </c>
      <c r="K10" s="7">
        <f t="shared" si="2"/>
        <v>0</v>
      </c>
    </row>
    <row r="11" spans="1:13" x14ac:dyDescent="0.45">
      <c r="A11" t="str">
        <f>IF('Sky-Gen Ent EPG'!AE13&lt;&gt;0,'Sky-Gen Ent EPG'!AE13,"")</f>
        <v>S4C</v>
      </c>
      <c r="B11">
        <f t="shared" si="0"/>
        <v>1</v>
      </c>
      <c r="C11">
        <f>IF($A11="","",INDEX('Sky-Gen Ent EPG'!$AC:$AE,MATCH($A11,'Sky-Gen Ent EPG'!$AE:$AE,0),1))</f>
        <v>104</v>
      </c>
      <c r="D11">
        <f>IF($A11="","",INDEX('Sky-Gen Ent EPG'!$AC:$AE,MATCH($A11,'Sky-Gen Ent EPG'!$AE:$AE,0),2))</f>
        <v>4</v>
      </c>
      <c r="E11" s="73">
        <f>IF(D11="","",(((VLOOKUP(D11,'Sky-Gen Ent - EMP slot values'!$A$25:$B$118,2,FALSE))/5)*('Nation weights - Sky'!$D$6)))</f>
        <v>0.33249932548121552</v>
      </c>
      <c r="G11">
        <f>IF($A11="","",INDEX('Sky-Gen Ent EPG'!$AG:$AI,MATCH($A11,'Sky-Gen Ent EPG'!$AI:$AI,0),1))</f>
        <v>104</v>
      </c>
      <c r="H11">
        <f>IF($A11="","",INDEX('Sky-Gen Ent EPG'!$AG:$AI,MATCH($A11,'Sky-Gen Ent EPG'!$AI:$AI,0),2))</f>
        <v>4</v>
      </c>
      <c r="I11" s="73">
        <f>IF(H11="","",(((VLOOKUP(H11,'Sky-Gen Ent - EMP slot values'!$A$25:$B$118,2,FALSE))/5)*('Nation weights - Sky'!$D$6)))</f>
        <v>0.33249932548121552</v>
      </c>
      <c r="J11">
        <f t="shared" si="1"/>
        <v>0</v>
      </c>
      <c r="K11" s="7">
        <f t="shared" si="2"/>
        <v>0</v>
      </c>
    </row>
    <row r="12" spans="1:13" x14ac:dyDescent="0.45">
      <c r="A12" t="str">
        <f>IF('Sky-Gen Ent EPG'!AE14&lt;&gt;0,'Sky-Gen Ent EPG'!AE14,"")</f>
        <v>Channel 5</v>
      </c>
      <c r="B12">
        <f t="shared" si="0"/>
        <v>1</v>
      </c>
      <c r="C12">
        <f>IF($A12="","",INDEX('Sky-Gen Ent EPG'!$AC:$AE,MATCH($A12,'Sky-Gen Ent EPG'!$AE:$AE,0),1))</f>
        <v>105</v>
      </c>
      <c r="D12">
        <f>IF($A12="","",INDEX('Sky-Gen Ent EPG'!$AC:$AE,MATCH($A12,'Sky-Gen Ent EPG'!$AE:$AE,0),2))</f>
        <v>5</v>
      </c>
      <c r="E12" s="73">
        <f>IF(D12="","",(((VLOOKUP(D12,'Sky-Gen Ent - EMP slot values'!$A$25:$B$118,2,FALSE))/5)*('Nation weights - Sky'!$D$6)))</f>
        <v>0.31736528237396544</v>
      </c>
      <c r="G12">
        <f>IF($A12="","",INDEX('Sky-Gen Ent EPG'!$AG:$AI,MATCH($A12,'Sky-Gen Ent EPG'!$AI:$AI,0),1))</f>
        <v>105</v>
      </c>
      <c r="H12">
        <f>IF($A12="","",INDEX('Sky-Gen Ent EPG'!$AG:$AI,MATCH($A12,'Sky-Gen Ent EPG'!$AI:$AI,0),2))</f>
        <v>5</v>
      </c>
      <c r="I12" s="73">
        <f>IF(H12="","",(((VLOOKUP(H12,'Sky-Gen Ent - EMP slot values'!$A$25:$B$118,2,FALSE))/5)*('Nation weights - Sky'!$D$6)))</f>
        <v>0.31736528237396544</v>
      </c>
      <c r="J12">
        <f t="shared" si="1"/>
        <v>0</v>
      </c>
      <c r="K12" s="7">
        <f t="shared" si="2"/>
        <v>0</v>
      </c>
    </row>
    <row r="13" spans="1:13" x14ac:dyDescent="0.45">
      <c r="A13" t="str">
        <f>IF('Sky-Gen Ent EPG'!AE15&lt;&gt;0,'Sky-Gen Ent EPG'!AE15,"")</f>
        <v>Sky One HD</v>
      </c>
      <c r="B13">
        <f t="shared" si="0"/>
        <v>1</v>
      </c>
      <c r="C13">
        <f>IF($A13="","",INDEX('Sky-Gen Ent EPG'!$AC:$AE,MATCH($A13,'Sky-Gen Ent EPG'!$AE:$AE,0),1))</f>
        <v>106</v>
      </c>
      <c r="D13">
        <f>IF($A13="","",INDEX('Sky-Gen Ent EPG'!$AC:$AE,MATCH($A13,'Sky-Gen Ent EPG'!$AE:$AE,0),2))</f>
        <v>6</v>
      </c>
      <c r="E13" s="73">
        <f>IF(D13="","",(((VLOOKUP(D13,'Sky-Gen Ent - EMP slot values'!$A$25:$B$118,2,FALSE))/5)*('Nation weights - Sky'!$D$6)))</f>
        <v>0.3029200805461395</v>
      </c>
      <c r="G13">
        <f>IF($A13="","",INDEX('Sky-Gen Ent EPG'!$AG:$AI,MATCH($A13,'Sky-Gen Ent EPG'!$AI:$AI,0),1))</f>
        <v>106</v>
      </c>
      <c r="H13">
        <f>IF($A13="","",INDEX('Sky-Gen Ent EPG'!$AG:$AI,MATCH($A13,'Sky-Gen Ent EPG'!$AI:$AI,0),2))</f>
        <v>6</v>
      </c>
      <c r="I13" s="73">
        <f>IF(H13="","",(((VLOOKUP(H13,'Sky-Gen Ent - EMP slot values'!$A$25:$B$118,2,FALSE))/5)*('Nation weights - Sky'!$D$6)))</f>
        <v>0.3029200805461395</v>
      </c>
      <c r="J13">
        <f t="shared" si="1"/>
        <v>0</v>
      </c>
      <c r="K13" s="7">
        <f t="shared" si="2"/>
        <v>0</v>
      </c>
    </row>
    <row r="14" spans="1:13" x14ac:dyDescent="0.45">
      <c r="A14" t="str">
        <f>IF('Sky-Gen Ent EPG'!AE16&lt;&gt;0,'Sky-Gen Ent EPG'!AE16,"")</f>
        <v>Sky Witness HD</v>
      </c>
      <c r="B14">
        <f t="shared" si="0"/>
        <v>1</v>
      </c>
      <c r="C14">
        <f>IF($A14="","",INDEX('Sky-Gen Ent EPG'!$AC:$AE,MATCH($A14,'Sky-Gen Ent EPG'!$AE:$AE,0),1))</f>
        <v>107</v>
      </c>
      <c r="D14">
        <f>IF($A14="","",INDEX('Sky-Gen Ent EPG'!$AC:$AE,MATCH($A14,'Sky-Gen Ent EPG'!$AE:$AE,0),2))</f>
        <v>7</v>
      </c>
      <c r="E14" s="73">
        <f>IF(D14="","",(((VLOOKUP(D14,'Sky-Gen Ent - EMP slot values'!$A$25:$B$118,2,FALSE))/5)*('Nation weights - Sky'!$D$6)))</f>
        <v>0.28913236669017284</v>
      </c>
      <c r="G14">
        <f>IF($A14="","",INDEX('Sky-Gen Ent EPG'!$AG:$AI,MATCH($A14,'Sky-Gen Ent EPG'!$AI:$AI,0),1))</f>
        <v>107</v>
      </c>
      <c r="H14">
        <f>IF($A14="","",INDEX('Sky-Gen Ent EPG'!$AG:$AI,MATCH($A14,'Sky-Gen Ent EPG'!$AI:$AI,0),2))</f>
        <v>7</v>
      </c>
      <c r="I14" s="73">
        <f>IF(H14="","",(((VLOOKUP(H14,'Sky-Gen Ent - EMP slot values'!$A$25:$B$118,2,FALSE))/5)*('Nation weights - Sky'!$D$6)))</f>
        <v>0.28913236669017284</v>
      </c>
      <c r="J14">
        <f t="shared" si="1"/>
        <v>0</v>
      </c>
      <c r="K14" s="7">
        <f t="shared" si="2"/>
        <v>0</v>
      </c>
    </row>
    <row r="15" spans="1:13" x14ac:dyDescent="0.45">
      <c r="A15" t="str">
        <f>IF('Sky-Gen Ent EPG'!AE17&lt;&gt;0,'Sky-Gen Ent EPG'!AE17,"")</f>
        <v>Channel 4</v>
      </c>
      <c r="B15">
        <f t="shared" si="0"/>
        <v>1</v>
      </c>
      <c r="C15">
        <f>IF($A15="","",INDEX('Sky-Gen Ent EPG'!$AC:$AE,MATCH($A15,'Sky-Gen Ent EPG'!$AE:$AE,0),1))</f>
        <v>108</v>
      </c>
      <c r="D15">
        <f>IF($A15="","",INDEX('Sky-Gen Ent EPG'!$AC:$AE,MATCH($A15,'Sky-Gen Ent EPG'!$AE:$AE,0),2))</f>
        <v>8</v>
      </c>
      <c r="E15" s="73">
        <f>IF(D15="","",(((VLOOKUP(D15,'Sky-Gen Ent - EMP slot values'!$A$25:$B$118,2,FALSE))/5)*('Nation weights - Sky'!$D$6)))</f>
        <v>0.27597221457600718</v>
      </c>
      <c r="G15">
        <f>IF($A15="","",INDEX('Sky-Gen Ent EPG'!$AG:$AI,MATCH($A15,'Sky-Gen Ent EPG'!$AI:$AI,0),1))</f>
        <v>108</v>
      </c>
      <c r="H15">
        <f>IF($A15="","",INDEX('Sky-Gen Ent EPG'!$AG:$AI,MATCH($A15,'Sky-Gen Ent EPG'!$AI:$AI,0),2))</f>
        <v>8</v>
      </c>
      <c r="I15" s="73">
        <f>IF(H15="","",(((VLOOKUP(H15,'Sky-Gen Ent - EMP slot values'!$A$25:$B$118,2,FALSE))/5)*('Nation weights - Sky'!$D$6)))</f>
        <v>0.27597221457600718</v>
      </c>
      <c r="J15">
        <f t="shared" si="1"/>
        <v>0</v>
      </c>
      <c r="K15" s="7">
        <f t="shared" si="2"/>
        <v>0</v>
      </c>
    </row>
    <row r="16" spans="1:13" x14ac:dyDescent="0.45">
      <c r="A16" t="str">
        <f>IF('Sky-Gen Ent EPG'!AE18&lt;&gt;0,'Sky-Gen Ent EPG'!AE18,"")</f>
        <v>Sky Atlantic HD</v>
      </c>
      <c r="B16">
        <f t="shared" si="0"/>
        <v>1</v>
      </c>
      <c r="C16">
        <f>IF($A16="","",INDEX('Sky-Gen Ent EPG'!$AC:$AE,MATCH($A16,'Sky-Gen Ent EPG'!$AE:$AE,0),1))</f>
        <v>109</v>
      </c>
      <c r="D16">
        <f>IF($A16="","",INDEX('Sky-Gen Ent EPG'!$AC:$AE,MATCH($A16,'Sky-Gen Ent EPG'!$AE:$AE,0),2))</f>
        <v>9</v>
      </c>
      <c r="E16" s="73">
        <f>IF(D16="","",(((VLOOKUP(D16,'Sky-Gen Ent - EMP slot values'!$A$25:$B$118,2,FALSE))/5)*('Nation weights - Sky'!$D$6)))</f>
        <v>0.26341106009621418</v>
      </c>
      <c r="G16">
        <f>IF($A16="","",INDEX('Sky-Gen Ent EPG'!$AG:$AI,MATCH($A16,'Sky-Gen Ent EPG'!$AI:$AI,0),1))</f>
        <v>109</v>
      </c>
      <c r="H16">
        <f>IF($A16="","",INDEX('Sky-Gen Ent EPG'!$AG:$AI,MATCH($A16,'Sky-Gen Ent EPG'!$AI:$AI,0),2))</f>
        <v>9</v>
      </c>
      <c r="I16" s="73">
        <f>IF(H16="","",(((VLOOKUP(H16,'Sky-Gen Ent - EMP slot values'!$A$25:$B$118,2,FALSE))/5)*('Nation weights - Sky'!$D$6)))</f>
        <v>0.26341106009621418</v>
      </c>
      <c r="J16">
        <f t="shared" si="1"/>
        <v>0</v>
      </c>
      <c r="K16" s="7">
        <f t="shared" si="2"/>
        <v>0</v>
      </c>
    </row>
    <row r="17" spans="1:11" x14ac:dyDescent="0.45">
      <c r="A17" t="str">
        <f>IF('Sky-Gen Ent EPG'!AE19&lt;&gt;0,'Sky-Gen Ent EPG'!AE19,"")</f>
        <v>W HD</v>
      </c>
      <c r="B17">
        <f t="shared" si="0"/>
        <v>1</v>
      </c>
      <c r="C17">
        <f>IF($A17="","",INDEX('Sky-Gen Ent EPG'!$AC:$AE,MATCH($A17,'Sky-Gen Ent EPG'!$AE:$AE,0),1))</f>
        <v>110</v>
      </c>
      <c r="D17">
        <f>IF($A17="","",INDEX('Sky-Gen Ent EPG'!$AC:$AE,MATCH($A17,'Sky-Gen Ent EPG'!$AE:$AE,0),2))</f>
        <v>10</v>
      </c>
      <c r="E17" s="73">
        <f>IF(D17="","",(((VLOOKUP(D17,'Sky-Gen Ent - EMP slot values'!$A$25:$B$118,2,FALSE))/5)*('Nation weights - Sky'!$D$6)))</f>
        <v>0.25142163926760636</v>
      </c>
      <c r="G17">
        <f>IF($A17="","",INDEX('Sky-Gen Ent EPG'!$AG:$AI,MATCH($A17,'Sky-Gen Ent EPG'!$AI:$AI,0),1))</f>
        <v>110</v>
      </c>
      <c r="H17">
        <f>IF($A17="","",INDEX('Sky-Gen Ent EPG'!$AG:$AI,MATCH($A17,'Sky-Gen Ent EPG'!$AI:$AI,0),2))</f>
        <v>10</v>
      </c>
      <c r="I17" s="73">
        <f>IF(H17="","",(((VLOOKUP(H17,'Sky-Gen Ent - EMP slot values'!$A$25:$B$118,2,FALSE))/5)*('Nation weights - Sky'!$D$6)))</f>
        <v>0.25142163926760636</v>
      </c>
      <c r="J17">
        <f t="shared" si="1"/>
        <v>0</v>
      </c>
      <c r="K17" s="7">
        <f t="shared" si="2"/>
        <v>0</v>
      </c>
    </row>
    <row r="18" spans="1:11" x14ac:dyDescent="0.45">
      <c r="A18" t="str">
        <f>IF('Sky-Gen Ent EPG'!AE20&lt;&gt;0,'Sky-Gen Ent EPG'!AE20,"")</f>
        <v>Gold HD</v>
      </c>
      <c r="B18">
        <f t="shared" si="0"/>
        <v>1</v>
      </c>
      <c r="C18">
        <f>IF($A18="","",INDEX('Sky-Gen Ent EPG'!$AC:$AE,MATCH($A18,'Sky-Gen Ent EPG'!$AE:$AE,0),1))</f>
        <v>111</v>
      </c>
      <c r="D18">
        <f>IF($A18="","",INDEX('Sky-Gen Ent EPG'!$AC:$AE,MATCH($A18,'Sky-Gen Ent EPG'!$AE:$AE,0),2))</f>
        <v>11</v>
      </c>
      <c r="E18" s="73">
        <f>IF(D18="","",(((VLOOKUP(D18,'Sky-Gen Ent - EMP slot values'!$A$25:$B$118,2,FALSE))/5)*('Nation weights - Sky'!$D$6)))</f>
        <v>0.2399779290547675</v>
      </c>
      <c r="G18">
        <f>IF($A18="","",INDEX('Sky-Gen Ent EPG'!$AG:$AI,MATCH($A18,'Sky-Gen Ent EPG'!$AI:$AI,0),1))</f>
        <v>111</v>
      </c>
      <c r="H18">
        <f>IF($A18="","",INDEX('Sky-Gen Ent EPG'!$AG:$AI,MATCH($A18,'Sky-Gen Ent EPG'!$AI:$AI,0),2))</f>
        <v>11</v>
      </c>
      <c r="I18" s="73">
        <f>IF(H18="","",(((VLOOKUP(H18,'Sky-Gen Ent - EMP slot values'!$A$25:$B$118,2,FALSE))/5)*('Nation weights - Sky'!$D$6)))</f>
        <v>0.2399779290547675</v>
      </c>
      <c r="J18">
        <f t="shared" si="1"/>
        <v>0</v>
      </c>
      <c r="K18" s="7">
        <f t="shared" si="2"/>
        <v>0</v>
      </c>
    </row>
    <row r="19" spans="1:11" x14ac:dyDescent="0.45">
      <c r="A19" t="str">
        <f>IF('Sky-Gen Ent EPG'!AE21&lt;&gt;0,'Sky-Gen Ent EPG'!AE21,"")</f>
        <v>Dave HD</v>
      </c>
      <c r="B19">
        <f t="shared" si="0"/>
        <v>1</v>
      </c>
      <c r="C19">
        <f>IF($A19="","",INDEX('Sky-Gen Ent EPG'!$AC:$AE,MATCH($A19,'Sky-Gen Ent EPG'!$AE:$AE,0),1))</f>
        <v>112</v>
      </c>
      <c r="D19">
        <f>IF($A19="","",INDEX('Sky-Gen Ent EPG'!$AC:$AE,MATCH($A19,'Sky-Gen Ent EPG'!$AE:$AE,0),2))</f>
        <v>12</v>
      </c>
      <c r="E19" s="73">
        <f>IF(D19="","",(((VLOOKUP(D19,'Sky-Gen Ent - EMP slot values'!$A$25:$B$118,2,FALSE))/5)*('Nation weights - Sky'!$D$6)))</f>
        <v>0.22905509088705944</v>
      </c>
      <c r="G19">
        <f>IF($A19="","",INDEX('Sky-Gen Ent EPG'!$AG:$AI,MATCH($A19,'Sky-Gen Ent EPG'!$AI:$AI,0),1))</f>
        <v>112</v>
      </c>
      <c r="H19">
        <f>IF($A19="","",INDEX('Sky-Gen Ent EPG'!$AG:$AI,MATCH($A19,'Sky-Gen Ent EPG'!$AI:$AI,0),2))</f>
        <v>12</v>
      </c>
      <c r="I19" s="73">
        <f>IF(H19="","",(((VLOOKUP(H19,'Sky-Gen Ent - EMP slot values'!$A$25:$B$118,2,FALSE))/5)*('Nation weights - Sky'!$D$6)))</f>
        <v>0.22905509088705944</v>
      </c>
      <c r="J19">
        <f t="shared" si="1"/>
        <v>0</v>
      </c>
      <c r="K19" s="7">
        <f t="shared" si="2"/>
        <v>0</v>
      </c>
    </row>
    <row r="20" spans="1:11" x14ac:dyDescent="0.45">
      <c r="A20" t="str">
        <f>IF('Sky-Gen Ent EPG'!AE22&lt;&gt;0,'Sky-Gen Ent EPG'!AE22,"")</f>
        <v>ComedyCentral</v>
      </c>
      <c r="B20">
        <f t="shared" si="0"/>
        <v>1</v>
      </c>
      <c r="C20">
        <f>IF($A20="","",INDEX('Sky-Gen Ent EPG'!$AC:$AE,MATCH($A20,'Sky-Gen Ent EPG'!$AE:$AE,0),1))</f>
        <v>113</v>
      </c>
      <c r="D20">
        <f>IF($A20="","",INDEX('Sky-Gen Ent EPG'!$AC:$AE,MATCH($A20,'Sky-Gen Ent EPG'!$AE:$AE,0),2))</f>
        <v>13</v>
      </c>
      <c r="E20" s="73">
        <f>IF(D20="","",(((VLOOKUP(D20,'Sky-Gen Ent - EMP slot values'!$A$25:$B$118,2,FALSE))/5)*('Nation weights - Sky'!$D$6)))</f>
        <v>0.21684453751602925</v>
      </c>
      <c r="G20">
        <f>IF($A20="","",INDEX('Sky-Gen Ent EPG'!$AG:$AI,MATCH($A20,'Sky-Gen Ent EPG'!$AI:$AI,0),1))</f>
        <v>113</v>
      </c>
      <c r="H20">
        <f>IF($A20="","",INDEX('Sky-Gen Ent EPG'!$AG:$AI,MATCH($A20,'Sky-Gen Ent EPG'!$AI:$AI,0),2))</f>
        <v>13</v>
      </c>
      <c r="I20" s="73">
        <f>IF(H20="","",(((VLOOKUP(H20,'Sky-Gen Ent - EMP slot values'!$A$25:$B$118,2,FALSE))/5)*('Nation weights - Sky'!$D$6)))</f>
        <v>0.21684453751602925</v>
      </c>
      <c r="J20">
        <f t="shared" si="1"/>
        <v>0</v>
      </c>
      <c r="K20" s="7">
        <f t="shared" si="2"/>
        <v>0</v>
      </c>
    </row>
    <row r="21" spans="1:11" x14ac:dyDescent="0.45">
      <c r="A21" t="str">
        <f>IF('Sky-Gen Ent EPG'!AE23&lt;&gt;0,'Sky-Gen Ent EPG'!AE23,"")</f>
        <v>Universal HD</v>
      </c>
      <c r="B21">
        <f t="shared" si="0"/>
        <v>1</v>
      </c>
      <c r="C21">
        <f>IF($A21="","",INDEX('Sky-Gen Ent EPG'!$AC:$AE,MATCH($A21,'Sky-Gen Ent EPG'!$AE:$AE,0),1))</f>
        <v>114</v>
      </c>
      <c r="D21">
        <f>IF($A21="","",INDEX('Sky-Gen Ent EPG'!$AC:$AE,MATCH($A21,'Sky-Gen Ent EPG'!$AE:$AE,0),2))</f>
        <v>14</v>
      </c>
      <c r="E21" s="73">
        <f>IF(D21="","",(((VLOOKUP(D21,'Sky-Gen Ent - EMP slot values'!$A$25:$B$118,2,FALSE))/5)*('Nation weights - Sky'!$D$6)))</f>
        <v>0.20528490883324482</v>
      </c>
      <c r="G21">
        <f>IF($A21="","",INDEX('Sky-Gen Ent EPG'!$AG:$AI,MATCH($A21,'Sky-Gen Ent EPG'!$AI:$AI,0),1))</f>
        <v>114</v>
      </c>
      <c r="H21">
        <f>IF($A21="","",INDEX('Sky-Gen Ent EPG'!$AG:$AI,MATCH($A21,'Sky-Gen Ent EPG'!$AI:$AI,0),2))</f>
        <v>14</v>
      </c>
      <c r="I21" s="73">
        <f>IF(H21="","",(((VLOOKUP(H21,'Sky-Gen Ent - EMP slot values'!$A$25:$B$118,2,FALSE))/5)*('Nation weights - Sky'!$D$6)))</f>
        <v>0.20528490883324482</v>
      </c>
      <c r="J21">
        <f t="shared" si="1"/>
        <v>0</v>
      </c>
      <c r="K21" s="7">
        <f t="shared" si="2"/>
        <v>0</v>
      </c>
    </row>
    <row r="22" spans="1:11" x14ac:dyDescent="0.45">
      <c r="A22" t="str">
        <f>IF('Sky-Gen Ent EPG'!AE24&lt;&gt;0,'Sky-Gen Ent EPG'!AE24,"")</f>
        <v>SYFY HD</v>
      </c>
      <c r="B22">
        <f t="shared" si="0"/>
        <v>1</v>
      </c>
      <c r="C22">
        <f>IF($A22="","",INDEX('Sky-Gen Ent EPG'!$AC:$AE,MATCH($A22,'Sky-Gen Ent EPG'!$AE:$AE,0),1))</f>
        <v>115</v>
      </c>
      <c r="D22">
        <f>IF($A22="","",INDEX('Sky-Gen Ent EPG'!$AC:$AE,MATCH($A22,'Sky-Gen Ent EPG'!$AE:$AE,0),2))</f>
        <v>15</v>
      </c>
      <c r="E22" s="73">
        <f>IF(D22="","",(((VLOOKUP(D22,'Sky-Gen Ent - EMP slot values'!$A$25:$B$118,2,FALSE))/5)*('Nation weights - Sky'!$D$6)))</f>
        <v>0.19434150510505011</v>
      </c>
      <c r="G22">
        <f>IF($A22="","",INDEX('Sky-Gen Ent EPG'!$AG:$AI,MATCH($A22,'Sky-Gen Ent EPG'!$AI:$AI,0),1))</f>
        <v>115</v>
      </c>
      <c r="H22">
        <f>IF($A22="","",INDEX('Sky-Gen Ent EPG'!$AG:$AI,MATCH($A22,'Sky-Gen Ent EPG'!$AI:$AI,0),2))</f>
        <v>15</v>
      </c>
      <c r="I22" s="73">
        <f>IF(H22="","",(((VLOOKUP(H22,'Sky-Gen Ent - EMP slot values'!$A$25:$B$118,2,FALSE))/5)*('Nation weights - Sky'!$D$6)))</f>
        <v>0.19434150510505011</v>
      </c>
      <c r="J22">
        <f t="shared" si="1"/>
        <v>0</v>
      </c>
      <c r="K22" s="7">
        <f t="shared" si="2"/>
        <v>0</v>
      </c>
    </row>
    <row r="23" spans="1:11" x14ac:dyDescent="0.45">
      <c r="A23" t="str">
        <f>IF('Sky-Gen Ent EPG'!AE25&lt;&gt;0,'Sky-Gen Ent EPG'!AE25,"")</f>
        <v/>
      </c>
      <c r="B23" t="str">
        <f t="shared" si="0"/>
        <v/>
      </c>
      <c r="C23" t="str">
        <f>IF($A23="","",INDEX('Sky-Gen Ent EPG'!$AC:$AE,MATCH($A23,'Sky-Gen Ent EPG'!$AE:$AE,0),1))</f>
        <v/>
      </c>
      <c r="D23" t="str">
        <f>IF($A23="","",INDEX('Sky-Gen Ent EPG'!$AC:$AE,MATCH($A23,'Sky-Gen Ent EPG'!$AE:$AE,0),2))</f>
        <v/>
      </c>
      <c r="E23" s="73" t="str">
        <f>IF(D23="","",(((VLOOKUP(D23,'Sky-Gen Ent - EMP slot values'!$A$25:$B$118,2,FALSE))/5)*('Nation weights - Sky'!$D$6)))</f>
        <v/>
      </c>
      <c r="G23" t="str">
        <f>IF($A23="","",INDEX('Sky-Gen Ent EPG'!$AG:$AI,MATCH($A23,'Sky-Gen Ent EPG'!$AI:$AI,0),1))</f>
        <v/>
      </c>
      <c r="H23" t="str">
        <f>IF($A23="","",INDEX('Sky-Gen Ent EPG'!$AG:$AI,MATCH($A23,'Sky-Gen Ent EPG'!$AI:$AI,0),2))</f>
        <v/>
      </c>
      <c r="I23" s="73" t="str">
        <f>IF(H23="","",(((VLOOKUP(H23,'Sky-Gen Ent - EMP slot values'!$A$25:$B$118,2,FALSE))/5)*('Nation weights - Sky'!$D$6)))</f>
        <v/>
      </c>
      <c r="J23" t="str">
        <f t="shared" si="1"/>
        <v/>
      </c>
      <c r="K23" s="7" t="str">
        <f t="shared" si="2"/>
        <v/>
      </c>
    </row>
    <row r="24" spans="1:11" x14ac:dyDescent="0.45">
      <c r="A24" t="str">
        <f>IF('Sky-Gen Ent EPG'!AE26&lt;&gt;0,'Sky-Gen Ent EPG'!AE26,"")</f>
        <v>BBC Four</v>
      </c>
      <c r="B24">
        <f t="shared" si="0"/>
        <v>0</v>
      </c>
      <c r="C24">
        <f>IF($A24="","",INDEX('Sky-Gen Ent EPG'!$AC:$AE,MATCH($A24,'Sky-Gen Ent EPG'!$AE:$AE,0),1))</f>
        <v>117</v>
      </c>
      <c r="D24">
        <f>IF($A24="","",INDEX('Sky-Gen Ent EPG'!$AC:$AE,MATCH($A24,'Sky-Gen Ent EPG'!$AE:$AE,0),2))</f>
        <v>16</v>
      </c>
      <c r="E24" s="73">
        <f>IF(D24="","",(((VLOOKUP(D24,'Sky-Gen Ent - EMP slot values'!$A$25:$B$118,2,FALSE))/5)*('Nation weights - Sky'!$D$6)))</f>
        <v>0.18398147638400489</v>
      </c>
      <c r="G24">
        <f>IF($A24="","",INDEX('Sky-Gen Ent EPG'!$AG:$AI,MATCH($A24,'Sky-Gen Ent EPG'!$AI:$AI,0),1))</f>
        <v>117</v>
      </c>
      <c r="H24">
        <f>IF($A24="","",INDEX('Sky-Gen Ent EPG'!$AG:$AI,MATCH($A24,'Sky-Gen Ent EPG'!$AI:$AI,0),2))</f>
        <v>16</v>
      </c>
      <c r="I24" s="73">
        <f>IF(H24="","",(((VLOOKUP(H24,'Sky-Gen Ent - EMP slot values'!$A$25:$B$118,2,FALSE))/5)*('Nation weights - Sky'!$D$6)))</f>
        <v>0.18398147638400489</v>
      </c>
      <c r="J24">
        <f t="shared" si="1"/>
        <v>0</v>
      </c>
      <c r="K24" s="7">
        <f t="shared" si="2"/>
        <v>0</v>
      </c>
    </row>
    <row r="25" spans="1:11" x14ac:dyDescent="0.45">
      <c r="A25" t="str">
        <f>IF('Sky-Gen Ent EPG'!AE27&lt;&gt;0,'Sky-Gen Ent EPG'!AE27,"")</f>
        <v/>
      </c>
      <c r="B25" t="str">
        <f t="shared" si="0"/>
        <v/>
      </c>
      <c r="C25" t="str">
        <f>IF($A25="","",INDEX('Sky-Gen Ent EPG'!$AC:$AE,MATCH($A25,'Sky-Gen Ent EPG'!$AE:$AE,0),1))</f>
        <v/>
      </c>
      <c r="D25" t="str">
        <f>IF($A25="","",INDEX('Sky-Gen Ent EPG'!$AC:$AE,MATCH($A25,'Sky-Gen Ent EPG'!$AE:$AE,0),2))</f>
        <v/>
      </c>
      <c r="E25" s="73" t="str">
        <f>IF(D25="","",(((VLOOKUP(D25,'Sky-Gen Ent - EMP slot values'!$A$25:$B$118,2,FALSE))/5)*('Nation weights - Sky'!$D$6)))</f>
        <v/>
      </c>
      <c r="G25" t="str">
        <f>IF($A25="","",INDEX('Sky-Gen Ent EPG'!$AG:$AI,MATCH($A25,'Sky-Gen Ent EPG'!$AI:$AI,0),1))</f>
        <v/>
      </c>
      <c r="H25" t="str">
        <f>IF($A25="","",INDEX('Sky-Gen Ent EPG'!$AG:$AI,MATCH($A25,'Sky-Gen Ent EPG'!$AI:$AI,0),2))</f>
        <v/>
      </c>
      <c r="I25" s="73" t="str">
        <f>IF(H25="","",(((VLOOKUP(H25,'Sky-Gen Ent - EMP slot values'!$A$25:$B$118,2,FALSE))/5)*('Nation weights - Sky'!$D$6)))</f>
        <v/>
      </c>
      <c r="J25" t="str">
        <f t="shared" si="1"/>
        <v/>
      </c>
      <c r="K25" s="7" t="str">
        <f t="shared" si="2"/>
        <v/>
      </c>
    </row>
    <row r="26" spans="1:11" x14ac:dyDescent="0.45">
      <c r="A26" t="str">
        <f>IF('Sky-Gen Ent EPG'!AE28&lt;&gt;0,'Sky-Gen Ent EPG'!AE28,"")</f>
        <v>ITV2 HD</v>
      </c>
      <c r="B26">
        <f t="shared" si="0"/>
        <v>1</v>
      </c>
      <c r="C26">
        <f>IF($A26="","",INDEX('Sky-Gen Ent EPG'!$AC:$AE,MATCH($A26,'Sky-Gen Ent EPG'!$AE:$AE,0),1))</f>
        <v>119</v>
      </c>
      <c r="D26">
        <f>IF($A26="","",INDEX('Sky-Gen Ent EPG'!$AC:$AE,MATCH($A26,'Sky-Gen Ent EPG'!$AE:$AE,0),2))</f>
        <v>17</v>
      </c>
      <c r="E26" s="73">
        <f>IF(D26="","",(((VLOOKUP(D26,'Sky-Gen Ent - EMP slot values'!$A$25:$B$118,2,FALSE))/5)*('Nation weights - Sky'!$D$6)))</f>
        <v>0.17417372389979779</v>
      </c>
      <c r="G26">
        <f>IF($A26="","",INDEX('Sky-Gen Ent EPG'!$AG:$AI,MATCH($A26,'Sky-Gen Ent EPG'!$AI:$AI,0),1))</f>
        <v>119</v>
      </c>
      <c r="H26">
        <f>IF($A26="","",INDEX('Sky-Gen Ent EPG'!$AG:$AI,MATCH($A26,'Sky-Gen Ent EPG'!$AI:$AI,0),2))</f>
        <v>17</v>
      </c>
      <c r="I26" s="73">
        <f>IF(H26="","",(((VLOOKUP(H26,'Sky-Gen Ent - EMP slot values'!$A$25:$B$118,2,FALSE))/5)*('Nation weights - Sky'!$D$6)))</f>
        <v>0.17417372389979779</v>
      </c>
      <c r="J26">
        <f t="shared" si="1"/>
        <v>0</v>
      </c>
      <c r="K26" s="7">
        <f t="shared" si="2"/>
        <v>0</v>
      </c>
    </row>
    <row r="27" spans="1:11" x14ac:dyDescent="0.45">
      <c r="A27" t="str">
        <f>IF('Sky-Gen Ent EPG'!AE29&lt;&gt;0,'Sky-Gen Ent EPG'!AE29,"")</f>
        <v>ITV3 HD</v>
      </c>
      <c r="B27">
        <f t="shared" si="0"/>
        <v>1</v>
      </c>
      <c r="C27">
        <f>IF($A27="","",INDEX('Sky-Gen Ent EPG'!$AC:$AE,MATCH($A27,'Sky-Gen Ent EPG'!$AE:$AE,0),1))</f>
        <v>120</v>
      </c>
      <c r="D27">
        <f>IF($A27="","",INDEX('Sky-Gen Ent EPG'!$AC:$AE,MATCH($A27,'Sky-Gen Ent EPG'!$AE:$AE,0),2))</f>
        <v>18</v>
      </c>
      <c r="E27" s="73">
        <f>IF(D27="","",(((VLOOKUP(D27,'Sky-Gen Ent - EMP slot values'!$A$25:$B$118,2,FALSE))/5)*('Nation weights - Sky'!$D$6)))</f>
        <v>0.16488880670684958</v>
      </c>
      <c r="G27">
        <f>IF($A27="","",INDEX('Sky-Gen Ent EPG'!$AG:$AI,MATCH($A27,'Sky-Gen Ent EPG'!$AI:$AI,0),1))</f>
        <v>120</v>
      </c>
      <c r="H27">
        <f>IF($A27="","",INDEX('Sky-Gen Ent EPG'!$AG:$AI,MATCH($A27,'Sky-Gen Ent EPG'!$AI:$AI,0),2))</f>
        <v>18</v>
      </c>
      <c r="I27" s="73">
        <f>IF(H27="","",(((VLOOKUP(H27,'Sky-Gen Ent - EMP slot values'!$A$25:$B$118,2,FALSE))/5)*('Nation weights - Sky'!$D$6)))</f>
        <v>0.16488880670684958</v>
      </c>
      <c r="J27">
        <f t="shared" si="1"/>
        <v>0</v>
      </c>
      <c r="K27" s="7">
        <f t="shared" si="2"/>
        <v>0</v>
      </c>
    </row>
    <row r="28" spans="1:11" x14ac:dyDescent="0.45">
      <c r="A28" t="str">
        <f>IF('Sky-Gen Ent EPG'!AE30&lt;&gt;0,'Sky-Gen Ent EPG'!AE30,"")</f>
        <v>ITV4 HD</v>
      </c>
      <c r="B28">
        <f t="shared" si="0"/>
        <v>1</v>
      </c>
      <c r="C28">
        <f>IF($A28="","",INDEX('Sky-Gen Ent EPG'!$AC:$AE,MATCH($A28,'Sky-Gen Ent EPG'!$AE:$AE,0),1))</f>
        <v>121</v>
      </c>
      <c r="D28">
        <f>IF($A28="","",INDEX('Sky-Gen Ent EPG'!$AC:$AE,MATCH($A28,'Sky-Gen Ent EPG'!$AE:$AE,0),2))</f>
        <v>19</v>
      </c>
      <c r="E28" s="73">
        <f>IF(D28="","",(((VLOOKUP(D28,'Sky-Gen Ent - EMP slot values'!$A$25:$B$118,2,FALSE))/5)*('Nation weights - Sky'!$D$6)))</f>
        <v>0.15609885330837994</v>
      </c>
      <c r="G28">
        <f>IF($A28="","",INDEX('Sky-Gen Ent EPG'!$AG:$AI,MATCH($A28,'Sky-Gen Ent EPG'!$AI:$AI,0),1))</f>
        <v>121</v>
      </c>
      <c r="H28">
        <f>IF($A28="","",INDEX('Sky-Gen Ent EPG'!$AG:$AI,MATCH($A28,'Sky-Gen Ent EPG'!$AI:$AI,0),2))</f>
        <v>19</v>
      </c>
      <c r="I28" s="73">
        <f>IF(H28="","",(((VLOOKUP(H28,'Sky-Gen Ent - EMP slot values'!$A$25:$B$118,2,FALSE))/5)*('Nation weights - Sky'!$D$6)))</f>
        <v>0.15609885330837994</v>
      </c>
      <c r="J28">
        <f t="shared" si="1"/>
        <v>0</v>
      </c>
      <c r="K28" s="7">
        <f t="shared" si="2"/>
        <v>0</v>
      </c>
    </row>
    <row r="29" spans="1:11" x14ac:dyDescent="0.45">
      <c r="A29" t="str">
        <f>IF('Sky-Gen Ent EPG'!AE31&lt;&gt;0,'Sky-Gen Ent EPG'!AE31,"")</f>
        <v>SkySp Mix HD</v>
      </c>
      <c r="B29">
        <f t="shared" si="0"/>
        <v>1</v>
      </c>
      <c r="C29">
        <f>IF($A29="","",INDEX('Sky-Gen Ent EPG'!$AC:$AE,MATCH($A29,'Sky-Gen Ent EPG'!$AE:$AE,0),1))</f>
        <v>122</v>
      </c>
      <c r="D29">
        <f>IF($A29="","",INDEX('Sky-Gen Ent EPG'!$AC:$AE,MATCH($A29,'Sky-Gen Ent EPG'!$AE:$AE,0),2))</f>
        <v>20</v>
      </c>
      <c r="E29" s="73">
        <f>IF(D29="","",(((VLOOKUP(D29,'Sky-Gen Ent - EMP slot values'!$A$25:$B$118,2,FALSE))/5)*('Nation weights - Sky'!$D$6)))</f>
        <v>0.14777747799165136</v>
      </c>
      <c r="G29">
        <f>IF($A29="","",INDEX('Sky-Gen Ent EPG'!$AG:$AI,MATCH($A29,'Sky-Gen Ent EPG'!$AI:$AI,0),1))</f>
        <v>122</v>
      </c>
      <c r="H29">
        <f>IF($A29="","",INDEX('Sky-Gen Ent EPG'!$AG:$AI,MATCH($A29,'Sky-Gen Ent EPG'!$AI:$AI,0),2))</f>
        <v>20</v>
      </c>
      <c r="I29" s="73">
        <f>IF(H29="","",(((VLOOKUP(H29,'Sky-Gen Ent - EMP slot values'!$A$25:$B$118,2,FALSE))/5)*('Nation weights - Sky'!$D$6)))</f>
        <v>0.14777747799165136</v>
      </c>
      <c r="J29">
        <f t="shared" si="1"/>
        <v>0</v>
      </c>
      <c r="K29" s="7">
        <f t="shared" si="2"/>
        <v>0</v>
      </c>
    </row>
    <row r="30" spans="1:11" x14ac:dyDescent="0.45">
      <c r="A30" t="str">
        <f>IF('Sky-Gen Ent EPG'!AE32&lt;&gt;0,'Sky-Gen Ent EPG'!AE32,"")</f>
        <v>Sky Arts HD</v>
      </c>
      <c r="B30">
        <f t="shared" si="0"/>
        <v>1</v>
      </c>
      <c r="C30">
        <f>IF($A30="","",INDEX('Sky-Gen Ent EPG'!$AC:$AE,MATCH($A30,'Sky-Gen Ent EPG'!$AE:$AE,0),1))</f>
        <v>123</v>
      </c>
      <c r="D30">
        <f>IF($A30="","",INDEX('Sky-Gen Ent EPG'!$AC:$AE,MATCH($A30,'Sky-Gen Ent EPG'!$AE:$AE,0),2))</f>
        <v>21</v>
      </c>
      <c r="E30" s="73">
        <f>IF(D30="","",(((VLOOKUP(D30,'Sky-Gen Ent - EMP slot values'!$A$25:$B$118,2,FALSE))/5)*('Nation weights - Sky'!$D$6)))</f>
        <v>0.14371248494690167</v>
      </c>
      <c r="G30">
        <f>IF($A30="","",INDEX('Sky-Gen Ent EPG'!$AG:$AI,MATCH($A30,'Sky-Gen Ent EPG'!$AI:$AI,0),1))</f>
        <v>123</v>
      </c>
      <c r="H30">
        <f>IF($A30="","",INDEX('Sky-Gen Ent EPG'!$AG:$AI,MATCH($A30,'Sky-Gen Ent EPG'!$AI:$AI,0),2))</f>
        <v>21</v>
      </c>
      <c r="I30" s="73">
        <f>IF(H30="","",(((VLOOKUP(H30,'Sky-Gen Ent - EMP slot values'!$A$25:$B$118,2,FALSE))/5)*('Nation weights - Sky'!$D$6)))</f>
        <v>0.14371248494690167</v>
      </c>
      <c r="J30">
        <f t="shared" si="1"/>
        <v>0</v>
      </c>
      <c r="K30" s="7">
        <f t="shared" si="2"/>
        <v>0</v>
      </c>
    </row>
    <row r="31" spans="1:11" x14ac:dyDescent="0.45">
      <c r="A31" t="str">
        <f>IF('Sky-Gen Ent EPG'!AE33&lt;&gt;0,'Sky-Gen Ent EPG'!AE33,"")</f>
        <v>E HD</v>
      </c>
      <c r="B31">
        <f t="shared" si="0"/>
        <v>1</v>
      </c>
      <c r="C31">
        <f>IF($A31="","",INDEX('Sky-Gen Ent EPG'!$AC:$AE,MATCH($A31,'Sky-Gen Ent EPG'!$AE:$AE,0),1))</f>
        <v>124</v>
      </c>
      <c r="D31">
        <f>IF($A31="","",INDEX('Sky-Gen Ent EPG'!$AC:$AE,MATCH($A31,'Sky-Gen Ent EPG'!$AE:$AE,0),2))</f>
        <v>22</v>
      </c>
      <c r="E31" s="73">
        <f>IF(D31="","",(((VLOOKUP(D31,'Sky-Gen Ent - EMP slot values'!$A$25:$B$118,2,FALSE))/5)*('Nation weights - Sky'!$D$6)))</f>
        <v>0.13975930981025572</v>
      </c>
      <c r="G31">
        <f>IF($A31="","",INDEX('Sky-Gen Ent EPG'!$AG:$AI,MATCH($A31,'Sky-Gen Ent EPG'!$AI:$AI,0),1))</f>
        <v>124</v>
      </c>
      <c r="H31">
        <f>IF($A31="","",INDEX('Sky-Gen Ent EPG'!$AG:$AI,MATCH($A31,'Sky-Gen Ent EPG'!$AI:$AI,0),2))</f>
        <v>22</v>
      </c>
      <c r="I31" s="73">
        <f>IF(H31="","",(((VLOOKUP(H31,'Sky-Gen Ent - EMP slot values'!$A$25:$B$118,2,FALSE))/5)*('Nation weights - Sky'!$D$6)))</f>
        <v>0.13975930981025572</v>
      </c>
      <c r="J31">
        <f t="shared" si="1"/>
        <v>0</v>
      </c>
      <c r="K31" s="7">
        <f t="shared" si="2"/>
        <v>0</v>
      </c>
    </row>
    <row r="32" spans="1:11" x14ac:dyDescent="0.45">
      <c r="A32" t="str">
        <f>IF('Sky-Gen Ent EPG'!AE34&lt;&gt;0,'Sky-Gen Ent EPG'!AE34,"")</f>
        <v>FOX HD</v>
      </c>
      <c r="B32">
        <f t="shared" si="0"/>
        <v>1</v>
      </c>
      <c r="C32">
        <f>IF($A32="","",INDEX('Sky-Gen Ent EPG'!$AC:$AE,MATCH($A32,'Sky-Gen Ent EPG'!$AE:$AE,0),1))</f>
        <v>125</v>
      </c>
      <c r="D32">
        <f>IF($A32="","",INDEX('Sky-Gen Ent EPG'!$AC:$AE,MATCH($A32,'Sky-Gen Ent EPG'!$AE:$AE,0),2))</f>
        <v>23</v>
      </c>
      <c r="E32" s="73">
        <f>IF(D32="","",(((VLOOKUP(D32,'Sky-Gen Ent - EMP slot values'!$A$25:$B$118,2,FALSE))/5)*('Nation weights - Sky'!$D$6)))</f>
        <v>0.13591487674752747</v>
      </c>
      <c r="G32">
        <f>IF($A32="","",INDEX('Sky-Gen Ent EPG'!$AG:$AI,MATCH($A32,'Sky-Gen Ent EPG'!$AI:$AI,0),1))</f>
        <v>125</v>
      </c>
      <c r="H32">
        <f>IF($A32="","",INDEX('Sky-Gen Ent EPG'!$AG:$AI,MATCH($A32,'Sky-Gen Ent EPG'!$AI:$AI,0),2))</f>
        <v>23</v>
      </c>
      <c r="I32" s="73">
        <f>IF(H32="","",(((VLOOKUP(H32,'Sky-Gen Ent - EMP slot values'!$A$25:$B$118,2,FALSE))/5)*('Nation weights - Sky'!$D$6)))</f>
        <v>0.13591487674752747</v>
      </c>
      <c r="J32">
        <f t="shared" si="1"/>
        <v>0</v>
      </c>
      <c r="K32" s="7">
        <f t="shared" si="2"/>
        <v>0</v>
      </c>
    </row>
    <row r="33" spans="1:11" x14ac:dyDescent="0.45">
      <c r="A33" t="str">
        <f>IF('Sky-Gen Ent EPG'!AE35&lt;&gt;0,'Sky-Gen Ent EPG'!AE35,"")</f>
        <v/>
      </c>
      <c r="B33" t="str">
        <f t="shared" si="0"/>
        <v/>
      </c>
      <c r="C33" t="str">
        <f>IF($A33="","",INDEX('Sky-Gen Ent EPG'!$AC:$AE,MATCH($A33,'Sky-Gen Ent EPG'!$AE:$AE,0),1))</f>
        <v/>
      </c>
      <c r="D33" t="str">
        <f>IF($A33="","",INDEX('Sky-Gen Ent EPG'!$AC:$AE,MATCH($A33,'Sky-Gen Ent EPG'!$AE:$AE,0),2))</f>
        <v/>
      </c>
      <c r="E33" s="73" t="str">
        <f>IF(D33="","",(((VLOOKUP(D33,'Sky-Gen Ent - EMP slot values'!$A$25:$B$118,2,FALSE))/5)*('Nation weights - Sky'!$D$6)))</f>
        <v/>
      </c>
      <c r="G33" t="str">
        <f>IF($A33="","",INDEX('Sky-Gen Ent EPG'!$AG:$AI,MATCH($A33,'Sky-Gen Ent EPG'!$AI:$AI,0),1))</f>
        <v/>
      </c>
      <c r="H33" t="str">
        <f>IF($A33="","",INDEX('Sky-Gen Ent EPG'!$AG:$AI,MATCH($A33,'Sky-Gen Ent EPG'!$AI:$AI,0),2))</f>
        <v/>
      </c>
      <c r="I33" s="73" t="str">
        <f>IF(H33="","",(((VLOOKUP(H33,'Sky-Gen Ent - EMP slot values'!$A$25:$B$118,2,FALSE))/5)*('Nation weights - Sky'!$D$6)))</f>
        <v/>
      </c>
      <c r="J33" t="str">
        <f t="shared" si="1"/>
        <v/>
      </c>
      <c r="K33" s="7" t="str">
        <f t="shared" si="2"/>
        <v/>
      </c>
    </row>
    <row r="34" spans="1:11" x14ac:dyDescent="0.45">
      <c r="A34" t="str">
        <f>IF('Sky-Gen Ent EPG'!AE36&lt;&gt;0,'Sky-Gen Ent EPG'!AE36,"")</f>
        <v>Discovery HD</v>
      </c>
      <c r="B34">
        <f t="shared" si="0"/>
        <v>1</v>
      </c>
      <c r="C34">
        <f>IF($A34="","",INDEX('Sky-Gen Ent EPG'!$AC:$AE,MATCH($A34,'Sky-Gen Ent EPG'!$AE:$AE,0),1))</f>
        <v>127</v>
      </c>
      <c r="D34">
        <f>IF($A34="","",INDEX('Sky-Gen Ent EPG'!$AC:$AE,MATCH($A34,'Sky-Gen Ent EPG'!$AE:$AE,0),2))</f>
        <v>24</v>
      </c>
      <c r="E34" s="73">
        <f>IF(D34="","",(((VLOOKUP(D34,'Sky-Gen Ent - EMP slot values'!$A$25:$B$118,2,FALSE))/5)*('Nation weights - Sky'!$D$6)))</f>
        <v>0.1321761945331246</v>
      </c>
      <c r="G34">
        <f>IF($A34="","",INDEX('Sky-Gen Ent EPG'!$AG:$AI,MATCH($A34,'Sky-Gen Ent EPG'!$AI:$AI,0),1))</f>
        <v>127</v>
      </c>
      <c r="H34">
        <f>IF($A34="","",INDEX('Sky-Gen Ent EPG'!$AG:$AI,MATCH($A34,'Sky-Gen Ent EPG'!$AI:$AI,0),2))</f>
        <v>25</v>
      </c>
      <c r="I34" s="73">
        <f>IF(H34="","",(((VLOOKUP(H34,'Sky-Gen Ent - EMP slot values'!$A$25:$B$118,2,FALSE))/5)*('Nation weights - Sky'!$D$6)))</f>
        <v>0.12854035422267499</v>
      </c>
      <c r="J34">
        <f t="shared" si="1"/>
        <v>-1</v>
      </c>
      <c r="K34" s="7">
        <f t="shared" si="2"/>
        <v>-3.6358403104496118E-3</v>
      </c>
    </row>
    <row r="35" spans="1:11" x14ac:dyDescent="0.45">
      <c r="A35" t="str">
        <f>IF('Sky-Gen Ent EPG'!AE37&lt;&gt;0,'Sky-Gen Ent EPG'!AE37,"")</f>
        <v>MTV HD</v>
      </c>
      <c r="B35">
        <f t="shared" si="0"/>
        <v>1</v>
      </c>
      <c r="C35">
        <f>IF($A35="","",INDEX('Sky-Gen Ent EPG'!$AC:$AE,MATCH($A35,'Sky-Gen Ent EPG'!$AE:$AE,0),1))</f>
        <v>128</v>
      </c>
      <c r="D35">
        <f>IF($A35="","",INDEX('Sky-Gen Ent EPG'!$AC:$AE,MATCH($A35,'Sky-Gen Ent EPG'!$AE:$AE,0),2))</f>
        <v>25</v>
      </c>
      <c r="E35" s="73">
        <f>IF(D35="","",(((VLOOKUP(D35,'Sky-Gen Ent - EMP slot values'!$A$25:$B$118,2,FALSE))/5)*('Nation weights - Sky'!$D$6)))</f>
        <v>0.12854035422267499</v>
      </c>
      <c r="G35">
        <f>IF($A35="","",INDEX('Sky-Gen Ent EPG'!$AG:$AI,MATCH($A35,'Sky-Gen Ent EPG'!$AI:$AI,0),1))</f>
        <v>128</v>
      </c>
      <c r="H35">
        <f>IF($A35="","",INDEX('Sky-Gen Ent EPG'!$AG:$AI,MATCH($A35,'Sky-Gen Ent EPG'!$AI:$AI,0),2))</f>
        <v>26</v>
      </c>
      <c r="I35" s="73">
        <f>IF(H35="","",(((VLOOKUP(H35,'Sky-Gen Ent - EMP slot values'!$A$25:$B$118,2,FALSE))/5)*('Nation weights - Sky'!$D$6)))</f>
        <v>0.12500452688967403</v>
      </c>
      <c r="J35">
        <f t="shared" si="1"/>
        <v>-1</v>
      </c>
      <c r="K35" s="7">
        <f t="shared" si="2"/>
        <v>-3.5358273330009515E-3</v>
      </c>
    </row>
    <row r="36" spans="1:11" x14ac:dyDescent="0.45">
      <c r="A36" t="str">
        <f>IF('Sky-Gen Ent EPG'!AE38&lt;&gt;0,'Sky-Gen Ent EPG'!AE38,"")</f>
        <v>ComedyXtra</v>
      </c>
      <c r="B36">
        <f t="shared" si="0"/>
        <v>1</v>
      </c>
      <c r="C36">
        <f>IF($A36="","",INDEX('Sky-Gen Ent EPG'!$AC:$AE,MATCH($A36,'Sky-Gen Ent EPG'!$AE:$AE,0),1))</f>
        <v>129</v>
      </c>
      <c r="D36">
        <f>IF($A36="","",INDEX('Sky-Gen Ent EPG'!$AC:$AE,MATCH($A36,'Sky-Gen Ent EPG'!$AE:$AE,0),2))</f>
        <v>26</v>
      </c>
      <c r="E36" s="73">
        <f>IF(D36="","",(((VLOOKUP(D36,'Sky-Gen Ent - EMP slot values'!$A$25:$B$118,2,FALSE))/5)*('Nation weights - Sky'!$D$6)))</f>
        <v>0.12500452688967403</v>
      </c>
      <c r="G36">
        <f>IF($A36="","",INDEX('Sky-Gen Ent EPG'!$AG:$AI,MATCH($A36,'Sky-Gen Ent EPG'!$AI:$AI,0),1))</f>
        <v>129</v>
      </c>
      <c r="H36">
        <f>IF($A36="","",INDEX('Sky-Gen Ent EPG'!$AG:$AI,MATCH($A36,'Sky-Gen Ent EPG'!$AI:$AI,0),2))</f>
        <v>27</v>
      </c>
      <c r="I36" s="73">
        <f>IF(H36="","",(((VLOOKUP(H36,'Sky-Gen Ent - EMP slot values'!$A$25:$B$118,2,FALSE))/5)*('Nation weights - Sky'!$D$6)))</f>
        <v>0.12156596142439079</v>
      </c>
      <c r="J36">
        <f t="shared" si="1"/>
        <v>-1</v>
      </c>
      <c r="K36" s="7">
        <f t="shared" si="2"/>
        <v>-3.438565465283247E-3</v>
      </c>
    </row>
    <row r="37" spans="1:11" x14ac:dyDescent="0.45">
      <c r="A37" t="str">
        <f>IF('Sky-Gen Ent EPG'!AE39&lt;&gt;0,'Sky-Gen Ent EPG'!AE39,"")</f>
        <v>5STAR</v>
      </c>
      <c r="B37">
        <f t="shared" si="0"/>
        <v>1</v>
      </c>
      <c r="C37">
        <f>IF($A37="","",INDEX('Sky-Gen Ent EPG'!$AC:$AE,MATCH($A37,'Sky-Gen Ent EPG'!$AE:$AE,0),1))</f>
        <v>130</v>
      </c>
      <c r="D37">
        <f>IF($A37="","",INDEX('Sky-Gen Ent EPG'!$AC:$AE,MATCH($A37,'Sky-Gen Ent EPG'!$AE:$AE,0),2))</f>
        <v>27</v>
      </c>
      <c r="E37" s="73">
        <f>IF(D37="","",(((VLOOKUP(D37,'Sky-Gen Ent - EMP slot values'!$A$25:$B$118,2,FALSE))/5)*('Nation weights - Sky'!$D$6)))</f>
        <v>0.12156596142439079</v>
      </c>
      <c r="G37">
        <f>IF($A37="","",INDEX('Sky-Gen Ent EPG'!$AG:$AI,MATCH($A37,'Sky-Gen Ent EPG'!$AI:$AI,0),1))</f>
        <v>130</v>
      </c>
      <c r="H37">
        <f>IF($A37="","",INDEX('Sky-Gen Ent EPG'!$AG:$AI,MATCH($A37,'Sky-Gen Ent EPG'!$AI:$AI,0),2))</f>
        <v>28</v>
      </c>
      <c r="I37" s="73">
        <f>IF(H37="","",(((VLOOKUP(H37,'Sky-Gen Ent - EMP slot values'!$A$25:$B$118,2,FALSE))/5)*('Nation weights - Sky'!$D$6)))</f>
        <v>0.1182219823933211</v>
      </c>
      <c r="J37">
        <f t="shared" si="1"/>
        <v>-1</v>
      </c>
      <c r="K37" s="7">
        <f t="shared" si="2"/>
        <v>-3.3439790310696854E-3</v>
      </c>
    </row>
    <row r="38" spans="1:11" x14ac:dyDescent="0.45">
      <c r="A38" t="str">
        <f>IF('Sky-Gen Ent EPG'!AE40&lt;&gt;0,'Sky-Gen Ent EPG'!AE40,"")</f>
        <v>National Geographic HD</v>
      </c>
      <c r="B38">
        <f t="shared" si="0"/>
        <v>1</v>
      </c>
      <c r="C38">
        <f>IF($A38="","",INDEX('Sky-Gen Ent EPG'!$AC:$AE,MATCH($A38,'Sky-Gen Ent EPG'!$AE:$AE,0),1))</f>
        <v>131</v>
      </c>
      <c r="D38">
        <f>IF($A38="","",INDEX('Sky-Gen Ent EPG'!$AC:$AE,MATCH($A38,'Sky-Gen Ent EPG'!$AE:$AE,0),2))</f>
        <v>28</v>
      </c>
      <c r="E38" s="73">
        <f>IF(D38="","",(((VLOOKUP(D38,'Sky-Gen Ent - EMP slot values'!$A$25:$B$118,2,FALSE))/5)*('Nation weights - Sky'!$D$6)))</f>
        <v>0.1182219823933211</v>
      </c>
      <c r="G38">
        <f>IF($A38="","",INDEX('Sky-Gen Ent EPG'!$AG:$AI,MATCH($A38,'Sky-Gen Ent EPG'!$AI:$AI,0),1))</f>
        <v>131</v>
      </c>
      <c r="H38">
        <f>IF($A38="","",INDEX('Sky-Gen Ent EPG'!$AG:$AI,MATCH($A38,'Sky-Gen Ent EPG'!$AI:$AI,0),2))</f>
        <v>29</v>
      </c>
      <c r="I38" s="73">
        <f>IF(H38="","",(((VLOOKUP(H38,'Sky-Gen Ent - EMP slot values'!$A$25:$B$118,2,FALSE))/5)*('Nation weights - Sky'!$D$6)))</f>
        <v>0.1128125264238508</v>
      </c>
      <c r="J38">
        <f t="shared" si="1"/>
        <v>-1</v>
      </c>
      <c r="K38" s="7">
        <f t="shared" si="2"/>
        <v>-5.4094559694703032E-3</v>
      </c>
    </row>
    <row r="39" spans="1:11" x14ac:dyDescent="0.45">
      <c r="A39" t="str">
        <f>IF('Sky-Gen Ent EPG'!AE41&lt;&gt;0,'Sky-Gen Ent EPG'!AE41,"")</f>
        <v>History HD</v>
      </c>
      <c r="B39">
        <f t="shared" si="0"/>
        <v>1</v>
      </c>
      <c r="C39">
        <f>IF($A39="","",INDEX('Sky-Gen Ent EPG'!$AC:$AE,MATCH($A39,'Sky-Gen Ent EPG'!$AE:$AE,0),1))</f>
        <v>132</v>
      </c>
      <c r="D39">
        <f>IF($A39="","",INDEX('Sky-Gen Ent EPG'!$AC:$AE,MATCH($A39,'Sky-Gen Ent EPG'!$AE:$AE,0),2))</f>
        <v>29</v>
      </c>
      <c r="E39" s="73">
        <f>IF(D39="","",(((VLOOKUP(D39,'Sky-Gen Ent - EMP slot values'!$A$25:$B$118,2,FALSE))/5)*('Nation weights - Sky'!$D$6)))</f>
        <v>0.1128125264238508</v>
      </c>
      <c r="G39">
        <f>IF($A39="","",INDEX('Sky-Gen Ent EPG'!$AG:$AI,MATCH($A39,'Sky-Gen Ent EPG'!$AI:$AI,0),1))</f>
        <v>132</v>
      </c>
      <c r="H39">
        <f>IF($A39="","",INDEX('Sky-Gen Ent EPG'!$AG:$AI,MATCH($A39,'Sky-Gen Ent EPG'!$AI:$AI,0),2))</f>
        <v>30</v>
      </c>
      <c r="I39" s="73">
        <f>IF(H39="","",(((VLOOKUP(H39,'Sky-Gen Ent - EMP slot values'!$A$25:$B$118,2,FALSE))/5)*('Nation weights - Sky'!$D$6)))</f>
        <v>0.10765058968298119</v>
      </c>
      <c r="J39">
        <f t="shared" si="1"/>
        <v>-1</v>
      </c>
      <c r="K39" s="7">
        <f t="shared" si="2"/>
        <v>-5.1619367408696076E-3</v>
      </c>
    </row>
    <row r="40" spans="1:11" x14ac:dyDescent="0.45">
      <c r="A40" t="str">
        <f>IF('Sky-Gen Ent EPG'!AE42&lt;&gt;0,'Sky-Gen Ent EPG'!AE42,"")</f>
        <v>ITVBe</v>
      </c>
      <c r="B40">
        <f t="shared" si="0"/>
        <v>1</v>
      </c>
      <c r="C40">
        <f>IF($A40="","",INDEX('Sky-Gen Ent EPG'!$AC:$AE,MATCH($A40,'Sky-Gen Ent EPG'!$AE:$AE,0),1))</f>
        <v>133</v>
      </c>
      <c r="D40">
        <f>IF($A40="","",INDEX('Sky-Gen Ent EPG'!$AC:$AE,MATCH($A40,'Sky-Gen Ent EPG'!$AE:$AE,0),2))</f>
        <v>30</v>
      </c>
      <c r="E40" s="73">
        <f>IF(D40="","",(((VLOOKUP(D40,'Sky-Gen Ent - EMP slot values'!$A$25:$B$118,2,FALSE))/5)*('Nation weights - Sky'!$D$6)))</f>
        <v>0.10765058968298119</v>
      </c>
      <c r="G40">
        <f>IF($A40="","",INDEX('Sky-Gen Ent EPG'!$AG:$AI,MATCH($A40,'Sky-Gen Ent EPG'!$AI:$AI,0),1))</f>
        <v>133</v>
      </c>
      <c r="H40">
        <f>IF($A40="","",INDEX('Sky-Gen Ent EPG'!$AG:$AI,MATCH($A40,'Sky-Gen Ent EPG'!$AI:$AI,0),2))</f>
        <v>31</v>
      </c>
      <c r="I40" s="73">
        <f>IF(H40="","",(((VLOOKUP(H40,'Sky-Gen Ent - EMP slot values'!$A$25:$B$118,2,FALSE))/5)*('Nation weights - Sky'!$D$6)))</f>
        <v>0.10272484649048252</v>
      </c>
      <c r="J40">
        <f t="shared" si="1"/>
        <v>-1</v>
      </c>
      <c r="K40" s="7">
        <f t="shared" si="2"/>
        <v>-4.9257431924986661E-3</v>
      </c>
    </row>
    <row r="41" spans="1:11" x14ac:dyDescent="0.45">
      <c r="A41" t="str">
        <f>IF('Sky-Gen Ent EPG'!AE43&lt;&gt;0,'Sky-Gen Ent EPG'!AE43,"")</f>
        <v>alibi HD</v>
      </c>
      <c r="B41">
        <f t="shared" si="0"/>
        <v>1</v>
      </c>
      <c r="C41">
        <f>IF($A41="","",INDEX('Sky-Gen Ent EPG'!$AC:$AE,MATCH($A41,'Sky-Gen Ent EPG'!$AE:$AE,0),1))</f>
        <v>134</v>
      </c>
      <c r="D41">
        <f>IF($A41="","",INDEX('Sky-Gen Ent EPG'!$AC:$AE,MATCH($A41,'Sky-Gen Ent EPG'!$AE:$AE,0),2))</f>
        <v>31</v>
      </c>
      <c r="E41" s="73">
        <f>IF(D41="","",(((VLOOKUP(D41,'Sky-Gen Ent - EMP slot values'!$A$25:$B$118,2,FALSE))/5)*('Nation weights - Sky'!$D$6)))</f>
        <v>0.10272484649048252</v>
      </c>
      <c r="G41">
        <f>IF($A41="","",INDEX('Sky-Gen Ent EPG'!$AG:$AI,MATCH($A41,'Sky-Gen Ent EPG'!$AI:$AI,0),1))</f>
        <v>134</v>
      </c>
      <c r="H41">
        <f>IF($A41="","",INDEX('Sky-Gen Ent EPG'!$AG:$AI,MATCH($A41,'Sky-Gen Ent EPG'!$AI:$AI,0),2))</f>
        <v>32</v>
      </c>
      <c r="I41" s="73">
        <f>IF(H41="","",(((VLOOKUP(H41,'Sky-Gen Ent - EMP slot values'!$A$25:$B$118,2,FALSE))/5)*('Nation weights - Sky'!$D$6)))</f>
        <v>9.8024489392662048E-2</v>
      </c>
      <c r="J41">
        <f t="shared" si="1"/>
        <v>-1</v>
      </c>
      <c r="K41" s="7">
        <f t="shared" si="2"/>
        <v>-4.7003570978204762E-3</v>
      </c>
    </row>
    <row r="42" spans="1:11" x14ac:dyDescent="0.45">
      <c r="A42" t="str">
        <f>IF('Sky-Gen Ent EPG'!AE44&lt;&gt;0,'Sky-Gen Ent EPG'!AE44,"")</f>
        <v>Good Food HD</v>
      </c>
      <c r="B42">
        <f t="shared" si="0"/>
        <v>1</v>
      </c>
      <c r="C42">
        <f>IF($A42="","",INDEX('Sky-Gen Ent EPG'!$AC:$AE,MATCH($A42,'Sky-Gen Ent EPG'!$AE:$AE,0),1))</f>
        <v>135</v>
      </c>
      <c r="D42">
        <f>IF($A42="","",INDEX('Sky-Gen Ent EPG'!$AC:$AE,MATCH($A42,'Sky-Gen Ent EPG'!$AE:$AE,0),2))</f>
        <v>32</v>
      </c>
      <c r="E42" s="73">
        <f>IF(D42="","",(((VLOOKUP(D42,'Sky-Gen Ent - EMP slot values'!$A$25:$B$118,2,FALSE))/5)*('Nation weights - Sky'!$D$6)))</f>
        <v>9.8024489392662048E-2</v>
      </c>
      <c r="G42">
        <f>IF($A42="","",INDEX('Sky-Gen Ent EPG'!$AG:$AI,MATCH($A42,'Sky-Gen Ent EPG'!$AI:$AI,0),1))</f>
        <v>135</v>
      </c>
      <c r="H42">
        <f>IF($A42="","",INDEX('Sky-Gen Ent EPG'!$AG:$AI,MATCH($A42,'Sky-Gen Ent EPG'!$AI:$AI,0),2))</f>
        <v>33</v>
      </c>
      <c r="I42" s="73">
        <f>IF(H42="","",(((VLOOKUP(H42,'Sky-Gen Ent - EMP slot values'!$A$25:$B$118,2,FALSE))/5)*('Nation weights - Sky'!$D$6)))</f>
        <v>9.3539205449991794E-2</v>
      </c>
      <c r="J42">
        <f t="shared" si="1"/>
        <v>-1</v>
      </c>
      <c r="K42" s="7">
        <f t="shared" si="2"/>
        <v>-4.485283942670254E-3</v>
      </c>
    </row>
    <row r="43" spans="1:11" x14ac:dyDescent="0.45">
      <c r="A43" t="str">
        <f>IF('Sky-Gen Ent EPG'!AE45&lt;&gt;0,'Sky-Gen Ent EPG'!AE45,"")</f>
        <v>Cardiff TV</v>
      </c>
      <c r="B43">
        <f t="shared" si="0"/>
        <v>1</v>
      </c>
      <c r="C43">
        <f>IF($A43="","",INDEX('Sky-Gen Ent EPG'!$AC:$AE,MATCH($A43,'Sky-Gen Ent EPG'!$AE:$AE,0),1))</f>
        <v>136</v>
      </c>
      <c r="D43">
        <f>IF($A43="","",INDEX('Sky-Gen Ent EPG'!$AC:$AE,MATCH($A43,'Sky-Gen Ent EPG'!$AE:$AE,0),2))</f>
        <v>33</v>
      </c>
      <c r="E43" s="73">
        <f>IF(D43="","",(((VLOOKUP(D43,'Sky-Gen Ent - EMP slot values'!$A$25:$B$118,2,FALSE))/5)*('Nation weights - Sky'!$D$6)))</f>
        <v>9.3539205449991794E-2</v>
      </c>
      <c r="G43">
        <f>IF($A43="","",INDEX('Sky-Gen Ent EPG'!$AG:$AI,MATCH($A43,'Sky-Gen Ent EPG'!$AI:$AI,0),1))</f>
        <v>126</v>
      </c>
      <c r="H43">
        <f>IF($A43="","",INDEX('Sky-Gen Ent EPG'!$AG:$AI,MATCH($A43,'Sky-Gen Ent EPG'!$AI:$AI,0),2))</f>
        <v>24</v>
      </c>
      <c r="I43" s="73">
        <f>IF(H43="","",(((VLOOKUP(H43,'Sky-Gen Ent - EMP slot values'!$A$25:$B$118,2,FALSE))/5)*('Nation weights - Sky'!$D$6)))</f>
        <v>0.1321761945331246</v>
      </c>
      <c r="J43">
        <f t="shared" si="1"/>
        <v>9</v>
      </c>
      <c r="K43" s="7">
        <f t="shared" si="2"/>
        <v>3.8636989083132803E-2</v>
      </c>
    </row>
    <row r="44" spans="1:11" x14ac:dyDescent="0.45">
      <c r="A44" t="str">
        <f>IF('Sky-Gen Ent EPG'!AE46&lt;&gt;0,'Sky-Gen Ent EPG'!AE46,"")</f>
        <v>E4 HD</v>
      </c>
      <c r="B44">
        <f t="shared" si="0"/>
        <v>1</v>
      </c>
      <c r="C44">
        <f>IF($A44="","",INDEX('Sky-Gen Ent EPG'!$AC:$AE,MATCH($A44,'Sky-Gen Ent EPG'!$AE:$AE,0),1))</f>
        <v>137</v>
      </c>
      <c r="D44">
        <f>IF($A44="","",INDEX('Sky-Gen Ent EPG'!$AC:$AE,MATCH($A44,'Sky-Gen Ent EPG'!$AE:$AE,0),2))</f>
        <v>34</v>
      </c>
      <c r="E44" s="73">
        <f>IF(D44="","",(((VLOOKUP(D44,'Sky-Gen Ent - EMP slot values'!$A$25:$B$118,2,FALSE))/5)*('Nation weights - Sky'!$D$6)))</f>
        <v>8.925915360973817E-2</v>
      </c>
      <c r="G44">
        <f>IF($A44="","",INDEX('Sky-Gen Ent EPG'!$AG:$AI,MATCH($A44,'Sky-Gen Ent EPG'!$AI:$AI,0),1))</f>
        <v>137</v>
      </c>
      <c r="H44">
        <f>IF($A44="","",INDEX('Sky-Gen Ent EPG'!$AG:$AI,MATCH($A44,'Sky-Gen Ent EPG'!$AI:$AI,0),2))</f>
        <v>34</v>
      </c>
      <c r="I44" s="73">
        <f>IF(H44="","",(((VLOOKUP(H44,'Sky-Gen Ent - EMP slot values'!$A$25:$B$118,2,FALSE))/5)*('Nation weights - Sky'!$D$6)))</f>
        <v>8.925915360973817E-2</v>
      </c>
      <c r="J44">
        <f t="shared" si="1"/>
        <v>0</v>
      </c>
      <c r="K44" s="7">
        <f t="shared" si="2"/>
        <v>0</v>
      </c>
    </row>
    <row r="45" spans="1:11" x14ac:dyDescent="0.45">
      <c r="A45" t="str">
        <f>IF('Sky-Gen Ent EPG'!AE47&lt;&gt;0,'Sky-Gen Ent EPG'!AE47,"")</f>
        <v>More4 HD</v>
      </c>
      <c r="B45">
        <f t="shared" si="0"/>
        <v>1</v>
      </c>
      <c r="C45">
        <f>IF($A45="","",INDEX('Sky-Gen Ent EPG'!$AC:$AE,MATCH($A45,'Sky-Gen Ent EPG'!$AE:$AE,0),1))</f>
        <v>138</v>
      </c>
      <c r="D45">
        <f>IF($A45="","",INDEX('Sky-Gen Ent EPG'!$AC:$AE,MATCH($A45,'Sky-Gen Ent EPG'!$AE:$AE,0),2))</f>
        <v>35</v>
      </c>
      <c r="E45" s="73">
        <f>IF(D45="","",(((VLOOKUP(D45,'Sky-Gen Ent - EMP slot values'!$A$25:$B$118,2,FALSE))/5)*('Nation weights - Sky'!$D$6)))</f>
        <v>8.5174943113946813E-2</v>
      </c>
      <c r="G45">
        <f>IF($A45="","",INDEX('Sky-Gen Ent EPG'!$AG:$AI,MATCH($A45,'Sky-Gen Ent EPG'!$AI:$AI,0),1))</f>
        <v>138</v>
      </c>
      <c r="H45">
        <f>IF($A45="","",INDEX('Sky-Gen Ent EPG'!$AG:$AI,MATCH($A45,'Sky-Gen Ent EPG'!$AI:$AI,0),2))</f>
        <v>35</v>
      </c>
      <c r="I45" s="73">
        <f>IF(H45="","",(((VLOOKUP(H45,'Sky-Gen Ent - EMP slot values'!$A$25:$B$118,2,FALSE))/5)*('Nation weights - Sky'!$D$6)))</f>
        <v>8.5174943113946813E-2</v>
      </c>
      <c r="J45">
        <f t="shared" si="1"/>
        <v>0</v>
      </c>
      <c r="K45" s="7">
        <f t="shared" si="2"/>
        <v>0</v>
      </c>
    </row>
    <row r="46" spans="1:11" x14ac:dyDescent="0.45">
      <c r="A46" t="str">
        <f>IF('Sky-Gen Ent EPG'!AE48&lt;&gt;0,'Sky-Gen Ent EPG'!AE48,"")</f>
        <v>4seven</v>
      </c>
      <c r="B46">
        <f t="shared" si="0"/>
        <v>1</v>
      </c>
      <c r="C46">
        <f>IF($A46="","",INDEX('Sky-Gen Ent EPG'!$AC:$AE,MATCH($A46,'Sky-Gen Ent EPG'!$AE:$AE,0),1))</f>
        <v>139</v>
      </c>
      <c r="D46">
        <f>IF($A46="","",INDEX('Sky-Gen Ent EPG'!$AC:$AE,MATCH($A46,'Sky-Gen Ent EPG'!$AE:$AE,0),2))</f>
        <v>36</v>
      </c>
      <c r="E46" s="73">
        <f>IF(D46="","",(((VLOOKUP(D46,'Sky-Gen Ent - EMP slot values'!$A$25:$B$118,2,FALSE))/5)*('Nation weights - Sky'!$D$6)))</f>
        <v>8.1277612895408219E-2</v>
      </c>
      <c r="G46">
        <f>IF($A46="","",INDEX('Sky-Gen Ent EPG'!$AG:$AI,MATCH($A46,'Sky-Gen Ent EPG'!$AI:$AI,0),1))</f>
        <v>139</v>
      </c>
      <c r="H46">
        <f>IF($A46="","",INDEX('Sky-Gen Ent EPG'!$AG:$AI,MATCH($A46,'Sky-Gen Ent EPG'!$AI:$AI,0),2))</f>
        <v>36</v>
      </c>
      <c r="I46" s="73">
        <f>IF(H46="","",(((VLOOKUP(H46,'Sky-Gen Ent - EMP slot values'!$A$25:$B$118,2,FALSE))/5)*('Nation weights - Sky'!$D$6)))</f>
        <v>8.1277612895408219E-2</v>
      </c>
      <c r="J46">
        <f t="shared" si="1"/>
        <v>0</v>
      </c>
      <c r="K46" s="7">
        <f t="shared" si="2"/>
        <v>0</v>
      </c>
    </row>
    <row r="47" spans="1:11" x14ac:dyDescent="0.45">
      <c r="A47" t="str">
        <f>IF('Sky-Gen Ent EPG'!AE49&lt;&gt;0,'Sky-Gen Ent EPG'!AE49,"")</f>
        <v>Channel 4 HD</v>
      </c>
      <c r="B47">
        <f t="shared" si="0"/>
        <v>1</v>
      </c>
      <c r="C47">
        <f>IF($A47="","",INDEX('Sky-Gen Ent EPG'!$AC:$AE,MATCH($A47,'Sky-Gen Ent EPG'!$AE:$AE,0),1))</f>
        <v>140</v>
      </c>
      <c r="D47">
        <f>IF($A47="","",INDEX('Sky-Gen Ent EPG'!$AC:$AE,MATCH($A47,'Sky-Gen Ent EPG'!$AE:$AE,0),2))</f>
        <v>37</v>
      </c>
      <c r="E47" s="73">
        <f>IF(D47="","",(((VLOOKUP(D47,'Sky-Gen Ent - EMP slot values'!$A$25:$B$118,2,FALSE))/5)*('Nation weights - Sky'!$D$6)))</f>
        <v>7.8105767215217115E-2</v>
      </c>
      <c r="G47">
        <f>IF($A47="","",INDEX('Sky-Gen Ent EPG'!$AG:$AI,MATCH($A47,'Sky-Gen Ent EPG'!$AI:$AI,0),1))</f>
        <v>140</v>
      </c>
      <c r="H47">
        <f>IF($A47="","",INDEX('Sky-Gen Ent EPG'!$AG:$AI,MATCH($A47,'Sky-Gen Ent EPG'!$AI:$AI,0),2))</f>
        <v>37</v>
      </c>
      <c r="I47" s="73">
        <f>IF(H47="","",(((VLOOKUP(H47,'Sky-Gen Ent - EMP slot values'!$A$25:$B$118,2,FALSE))/5)*('Nation weights - Sky'!$D$6)))</f>
        <v>7.8105767215217115E-2</v>
      </c>
      <c r="J47">
        <f t="shared" si="1"/>
        <v>0</v>
      </c>
      <c r="K47" s="7">
        <f t="shared" si="2"/>
        <v>0</v>
      </c>
    </row>
    <row r="48" spans="1:11" x14ac:dyDescent="0.45">
      <c r="A48" t="str">
        <f>IF('Sky-Gen Ent EPG'!AE50&lt;&gt;0,'Sky-Gen Ent EPG'!AE50,"")</f>
        <v>4Music</v>
      </c>
      <c r="B48">
        <f t="shared" si="0"/>
        <v>1</v>
      </c>
      <c r="C48">
        <f>IF($A48="","",INDEX('Sky-Gen Ent EPG'!$AC:$AE,MATCH($A48,'Sky-Gen Ent EPG'!$AE:$AE,0),1))</f>
        <v>141</v>
      </c>
      <c r="D48">
        <f>IF($A48="","",INDEX('Sky-Gen Ent EPG'!$AC:$AE,MATCH($A48,'Sky-Gen Ent EPG'!$AE:$AE,0),2))</f>
        <v>38</v>
      </c>
      <c r="E48" s="73">
        <f>IF(D48="","",(((VLOOKUP(D48,'Sky-Gen Ent - EMP slot values'!$A$25:$B$118,2,FALSE))/5)*('Nation weights - Sky'!$D$6)))</f>
        <v>7.5057702299009474E-2</v>
      </c>
      <c r="G48">
        <f>IF($A48="","",INDEX('Sky-Gen Ent EPG'!$AG:$AI,MATCH($A48,'Sky-Gen Ent EPG'!$AI:$AI,0),1))</f>
        <v>141</v>
      </c>
      <c r="H48">
        <f>IF($A48="","",INDEX('Sky-Gen Ent EPG'!$AG:$AI,MATCH($A48,'Sky-Gen Ent EPG'!$AI:$AI,0),2))</f>
        <v>38</v>
      </c>
      <c r="I48" s="73">
        <f>IF(H48="","",(((VLOOKUP(H48,'Sky-Gen Ent - EMP slot values'!$A$25:$B$118,2,FALSE))/5)*('Nation weights - Sky'!$D$6)))</f>
        <v>7.5057702299009474E-2</v>
      </c>
      <c r="J48">
        <f t="shared" si="1"/>
        <v>0</v>
      </c>
      <c r="K48" s="7">
        <f t="shared" si="2"/>
        <v>0</v>
      </c>
    </row>
    <row r="49" spans="1:11" x14ac:dyDescent="0.45">
      <c r="A49" t="str">
        <f>IF('Sky-Gen Ent EPG'!AE51&lt;&gt;0,'Sky-Gen Ent EPG'!AE51,"")</f>
        <v>TLC HD</v>
      </c>
      <c r="B49">
        <f t="shared" si="0"/>
        <v>1</v>
      </c>
      <c r="C49">
        <f>IF($A49="","",INDEX('Sky-Gen Ent EPG'!$AC:$AE,MATCH($A49,'Sky-Gen Ent EPG'!$AE:$AE,0),1))</f>
        <v>142</v>
      </c>
      <c r="D49">
        <f>IF($A49="","",INDEX('Sky-Gen Ent EPG'!$AC:$AE,MATCH($A49,'Sky-Gen Ent EPG'!$AE:$AE,0),2))</f>
        <v>39</v>
      </c>
      <c r="E49" s="73">
        <f>IF(D49="","",(((VLOOKUP(D49,'Sky-Gen Ent - EMP slot values'!$A$25:$B$118,2,FALSE))/5)*('Nation weights - Sky'!$D$6)))</f>
        <v>7.2128587622517379E-2</v>
      </c>
      <c r="G49">
        <f>IF($A49="","",INDEX('Sky-Gen Ent EPG'!$AG:$AI,MATCH($A49,'Sky-Gen Ent EPG'!$AI:$AI,0),1))</f>
        <v>142</v>
      </c>
      <c r="H49">
        <f>IF($A49="","",INDEX('Sky-Gen Ent EPG'!$AG:$AI,MATCH($A49,'Sky-Gen Ent EPG'!$AI:$AI,0),2))</f>
        <v>39</v>
      </c>
      <c r="I49" s="73">
        <f>IF(H49="","",(((VLOOKUP(H49,'Sky-Gen Ent - EMP slot values'!$A$25:$B$118,2,FALSE))/5)*('Nation weights - Sky'!$D$6)))</f>
        <v>7.2128587622517379E-2</v>
      </c>
      <c r="J49">
        <f t="shared" si="1"/>
        <v>0</v>
      </c>
      <c r="K49" s="7">
        <f t="shared" si="2"/>
        <v>0</v>
      </c>
    </row>
    <row r="50" spans="1:11" x14ac:dyDescent="0.45">
      <c r="A50" t="str">
        <f>IF('Sky-Gen Ent EPG'!AE52&lt;&gt;0,'Sky-Gen Ent EPG'!AE52,"")</f>
        <v>5USA</v>
      </c>
      <c r="B50">
        <f t="shared" si="0"/>
        <v>1</v>
      </c>
      <c r="C50">
        <f>IF($A50="","",INDEX('Sky-Gen Ent EPG'!$AC:$AE,MATCH($A50,'Sky-Gen Ent EPG'!$AE:$AE,0),1))</f>
        <v>143</v>
      </c>
      <c r="D50">
        <f>IF($A50="","",INDEX('Sky-Gen Ent EPG'!$AC:$AE,MATCH($A50,'Sky-Gen Ent EPG'!$AE:$AE,0),2))</f>
        <v>40</v>
      </c>
      <c r="E50" s="73">
        <f>IF(D50="","",(((VLOOKUP(D50,'Sky-Gen Ent - EMP slot values'!$A$25:$B$118,2,FALSE))/5)*('Nation weights - Sky'!$D$6)))</f>
        <v>6.9313781171900138E-2</v>
      </c>
      <c r="G50">
        <f>IF($A50="","",INDEX('Sky-Gen Ent EPG'!$AG:$AI,MATCH($A50,'Sky-Gen Ent EPG'!$AI:$AI,0),1))</f>
        <v>143</v>
      </c>
      <c r="H50">
        <f>IF($A50="","",INDEX('Sky-Gen Ent EPG'!$AG:$AI,MATCH($A50,'Sky-Gen Ent EPG'!$AI:$AI,0),2))</f>
        <v>40</v>
      </c>
      <c r="I50" s="73">
        <f>IF(H50="","",(((VLOOKUP(H50,'Sky-Gen Ent - EMP slot values'!$A$25:$B$118,2,FALSE))/5)*('Nation weights - Sky'!$D$6)))</f>
        <v>6.9313781171900138E-2</v>
      </c>
      <c r="J50">
        <f t="shared" si="1"/>
        <v>0</v>
      </c>
      <c r="K50" s="7">
        <f t="shared" si="2"/>
        <v>0</v>
      </c>
    </row>
    <row r="51" spans="1:11" x14ac:dyDescent="0.45">
      <c r="A51" t="str">
        <f>IF('Sky-Gen Ent EPG'!AE53&lt;&gt;0,'Sky-Gen Ent EPG'!AE53,"")</f>
        <v>Really</v>
      </c>
      <c r="B51">
        <f t="shared" si="0"/>
        <v>1</v>
      </c>
      <c r="C51">
        <f>IF($A51="","",INDEX('Sky-Gen Ent EPG'!$AC:$AE,MATCH($A51,'Sky-Gen Ent EPG'!$AE:$AE,0),1))</f>
        <v>144</v>
      </c>
      <c r="D51">
        <f>IF($A51="","",INDEX('Sky-Gen Ent EPG'!$AC:$AE,MATCH($A51,'Sky-Gen Ent EPG'!$AE:$AE,0),2))</f>
        <v>41</v>
      </c>
      <c r="E51" s="73">
        <f>IF(D51="","",(((VLOOKUP(D51,'Sky-Gen Ent - EMP slot values'!$A$25:$B$118,2,FALSE))/5)*('Nation weights - Sky'!$D$6)))</f>
        <v>6.6608822087155364E-2</v>
      </c>
      <c r="G51">
        <f>IF($A51="","",INDEX('Sky-Gen Ent EPG'!$AG:$AI,MATCH($A51,'Sky-Gen Ent EPG'!$AI:$AI,0),1))</f>
        <v>144</v>
      </c>
      <c r="H51">
        <f>IF($A51="","",INDEX('Sky-Gen Ent EPG'!$AG:$AI,MATCH($A51,'Sky-Gen Ent EPG'!$AI:$AI,0),2))</f>
        <v>41</v>
      </c>
      <c r="I51" s="73">
        <f>IF(H51="","",(((VLOOKUP(H51,'Sky-Gen Ent - EMP slot values'!$A$25:$B$118,2,FALSE))/5)*('Nation weights - Sky'!$D$6)))</f>
        <v>6.6608822087155364E-2</v>
      </c>
      <c r="J51">
        <f t="shared" si="1"/>
        <v>0</v>
      </c>
      <c r="K51" s="7">
        <f t="shared" si="2"/>
        <v>0</v>
      </c>
    </row>
    <row r="52" spans="1:11" ht="28.5" x14ac:dyDescent="0.45">
      <c r="A52" t="s">
        <v>199</v>
      </c>
      <c r="G52" s="2" t="s">
        <v>296</v>
      </c>
      <c r="H52" s="2" t="s">
        <v>296</v>
      </c>
    </row>
    <row r="53" spans="1:11" ht="57" x14ac:dyDescent="0.45">
      <c r="G53" s="2" t="s">
        <v>207</v>
      </c>
      <c r="J53">
        <f>COUNTIFS($B$8:$B$51,1,J8:J51,"&lt;0")</f>
        <v>9</v>
      </c>
    </row>
    <row r="54" spans="1:11" ht="85.5" x14ac:dyDescent="0.45">
      <c r="G54" s="2" t="s">
        <v>216</v>
      </c>
      <c r="J54" s="7">
        <f>SUMIFS(K8:K51,$B$8:$B$51,1,K8:K51,"&lt;0")</f>
        <v>-3.8636989083132803E-2</v>
      </c>
    </row>
    <row r="56" spans="1:11" ht="85.5" x14ac:dyDescent="0.45">
      <c r="G56" s="2" t="s">
        <v>295</v>
      </c>
      <c r="H56" s="2" t="s">
        <v>203</v>
      </c>
    </row>
    <row r="58" spans="1:11" ht="156.75" x14ac:dyDescent="0.45">
      <c r="G58" s="2" t="s">
        <v>297</v>
      </c>
      <c r="H58" t="s">
        <v>211</v>
      </c>
    </row>
  </sheetData>
  <mergeCells count="3">
    <mergeCell ref="G4:K5"/>
    <mergeCell ref="B4:E5"/>
    <mergeCell ref="M4:M5"/>
  </mergeCells>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72EC1-68B9-4B63-8FBC-94BA891E316F}">
  <sheetPr>
    <tabColor theme="8" tint="0.59999389629810485"/>
  </sheetPr>
  <dimension ref="A1:L71"/>
  <sheetViews>
    <sheetView zoomScale="104" zoomScaleNormal="104" workbookViewId="0"/>
  </sheetViews>
  <sheetFormatPr defaultRowHeight="14.25" x14ac:dyDescent="0.45"/>
  <cols>
    <col min="1" max="1" width="35.46484375" bestFit="1" customWidth="1"/>
    <col min="2" max="2" width="19" bestFit="1" customWidth="1"/>
    <col min="3" max="3" width="12.46484375" customWidth="1"/>
    <col min="4" max="4" width="13.06640625" customWidth="1"/>
    <col min="12" max="12" width="9.265625" customWidth="1"/>
  </cols>
  <sheetData>
    <row r="1" spans="1:12" x14ac:dyDescent="0.45">
      <c r="A1" t="s">
        <v>696</v>
      </c>
    </row>
    <row r="3" spans="1:12" x14ac:dyDescent="0.45">
      <c r="A3" s="1" t="s">
        <v>0</v>
      </c>
    </row>
    <row r="4" spans="1:12" ht="43.15" thickBot="1" x14ac:dyDescent="0.5">
      <c r="A4" s="1"/>
      <c r="B4" s="1" t="s">
        <v>1</v>
      </c>
      <c r="C4">
        <v>2.5</v>
      </c>
      <c r="E4" s="2" t="s">
        <v>245</v>
      </c>
      <c r="F4">
        <v>36</v>
      </c>
    </row>
    <row r="5" spans="1:12" ht="28.9" thickBot="1" x14ac:dyDescent="0.5">
      <c r="A5" s="145" t="s">
        <v>246</v>
      </c>
      <c r="B5" s="146"/>
      <c r="C5" s="146"/>
      <c r="D5" s="147"/>
      <c r="E5" s="3" t="s">
        <v>5</v>
      </c>
      <c r="F5" s="3" t="s">
        <v>6</v>
      </c>
      <c r="G5" s="3"/>
      <c r="H5" s="1" t="s">
        <v>3</v>
      </c>
    </row>
    <row r="6" spans="1:12" ht="71.650000000000006" thickBot="1" x14ac:dyDescent="0.5">
      <c r="A6" s="74" t="s">
        <v>12</v>
      </c>
      <c r="B6" s="26" t="s">
        <v>13</v>
      </c>
      <c r="C6" s="71" t="s">
        <v>14</v>
      </c>
      <c r="D6" s="72" t="s">
        <v>15</v>
      </c>
      <c r="E6" s="7">
        <f>(C4/C7)^(1/3)</f>
        <v>1.0772173450159419</v>
      </c>
      <c r="F6" s="8" t="s">
        <v>16</v>
      </c>
      <c r="H6" s="2" t="s">
        <v>7</v>
      </c>
      <c r="I6" s="2" t="s">
        <v>8</v>
      </c>
      <c r="J6" s="2" t="s">
        <v>9</v>
      </c>
      <c r="K6" s="2" t="s">
        <v>10</v>
      </c>
      <c r="L6" s="2" t="s">
        <v>11</v>
      </c>
    </row>
    <row r="7" spans="1:12" ht="57" x14ac:dyDescent="0.45">
      <c r="A7" s="9" t="s">
        <v>247</v>
      </c>
      <c r="B7" s="10">
        <v>1</v>
      </c>
      <c r="C7" s="10">
        <v>2</v>
      </c>
      <c r="D7" s="15">
        <v>16</v>
      </c>
      <c r="E7" s="7">
        <f>(C7/C8)^(1/8)</f>
        <v>1.1304362912135053</v>
      </c>
      <c r="F7" s="2" t="s">
        <v>95</v>
      </c>
      <c r="H7">
        <v>1</v>
      </c>
      <c r="I7" s="7">
        <f>SUMIFS($B$18:$B$53,$C$18:$C$53,H7)</f>
        <v>14.918783016535311</v>
      </c>
      <c r="J7" s="7">
        <f>I7/D7</f>
        <v>0.93242393853345695</v>
      </c>
      <c r="K7" s="7">
        <f>MIN(J7:J12)</f>
        <v>0.93242393853345695</v>
      </c>
      <c r="L7" s="7">
        <f>MAX(J7:J12)</f>
        <v>1.0516615378833996</v>
      </c>
    </row>
    <row r="8" spans="1:12" ht="57" x14ac:dyDescent="0.45">
      <c r="A8" s="12" t="s">
        <v>248</v>
      </c>
      <c r="B8" s="13">
        <v>2</v>
      </c>
      <c r="C8" s="13">
        <v>0.75</v>
      </c>
      <c r="D8" s="15">
        <v>6</v>
      </c>
      <c r="E8" s="7">
        <f>(C8/C9)^(1/8)</f>
        <v>1.1472026904398771</v>
      </c>
      <c r="F8" s="2" t="s">
        <v>97</v>
      </c>
      <c r="H8">
        <v>2</v>
      </c>
      <c r="I8" s="7">
        <f>SUMIFS($B$18:$B$53,$C$18:$C$53,H8)</f>
        <v>5.7930755442605468</v>
      </c>
      <c r="J8" s="7">
        <f t="shared" ref="J8:J12" si="0">I8/D8</f>
        <v>0.9655125907100911</v>
      </c>
    </row>
    <row r="9" spans="1:12" ht="57" x14ac:dyDescent="0.45">
      <c r="A9" s="12" t="s">
        <v>249</v>
      </c>
      <c r="B9" s="13">
        <v>3</v>
      </c>
      <c r="C9" s="13">
        <v>0.25</v>
      </c>
      <c r="D9" s="15">
        <v>2</v>
      </c>
      <c r="E9" s="7">
        <f t="shared" ref="E9:E10" si="1">(C9/C10)^(1/8)</f>
        <v>1.0659359110507063</v>
      </c>
      <c r="F9" s="2" t="s">
        <v>22</v>
      </c>
      <c r="H9">
        <v>3</v>
      </c>
      <c r="I9" s="7">
        <f>SUMIFS($B$18:$B$53,$C$18:$C$53,H9)</f>
        <v>2.0979004675535995</v>
      </c>
      <c r="J9" s="7">
        <f t="shared" si="0"/>
        <v>1.0489502337767997</v>
      </c>
    </row>
    <row r="10" spans="1:12" ht="57" x14ac:dyDescent="0.45">
      <c r="A10" s="12" t="s">
        <v>250</v>
      </c>
      <c r="B10" s="13">
        <v>4</v>
      </c>
      <c r="C10" s="13">
        <v>0.15</v>
      </c>
      <c r="D10" s="15">
        <v>1.2</v>
      </c>
      <c r="E10" s="7">
        <f t="shared" si="1"/>
        <v>1</v>
      </c>
      <c r="F10" s="2" t="s">
        <v>251</v>
      </c>
      <c r="H10">
        <v>4</v>
      </c>
      <c r="I10" s="7">
        <f>SUMIFS($B$18:$B$53,$C$18:$C$53,H10)</f>
        <v>1.2619938454600794</v>
      </c>
      <c r="J10" s="7">
        <f t="shared" si="0"/>
        <v>1.0516615378833996</v>
      </c>
    </row>
    <row r="11" spans="1:12" ht="14.65" thickBot="1" x14ac:dyDescent="0.5">
      <c r="A11" s="16" t="s">
        <v>252</v>
      </c>
      <c r="B11" s="17">
        <v>5</v>
      </c>
      <c r="C11" s="17">
        <v>0.15</v>
      </c>
      <c r="D11" s="15">
        <v>0.6</v>
      </c>
      <c r="H11">
        <v>5</v>
      </c>
      <c r="I11" s="7">
        <f>SUMIFS($B$18:$B$53,$C$18:$C$53,H11)</f>
        <v>0.6</v>
      </c>
      <c r="J11" s="7">
        <f t="shared" si="0"/>
        <v>1</v>
      </c>
    </row>
    <row r="12" spans="1:12" ht="14.65" thickBot="1" x14ac:dyDescent="0.5">
      <c r="A12" s="20" t="s">
        <v>253</v>
      </c>
      <c r="B12" s="19"/>
      <c r="C12" s="19"/>
      <c r="D12" s="75">
        <v>25.8</v>
      </c>
      <c r="H12" t="s">
        <v>47</v>
      </c>
      <c r="I12" s="7">
        <f>SUM(I7:I11)</f>
        <v>24.671752873809538</v>
      </c>
      <c r="J12" s="7">
        <f t="shared" si="0"/>
        <v>0.95626949123292782</v>
      </c>
    </row>
    <row r="15" spans="1:12" x14ac:dyDescent="0.45">
      <c r="A15" t="s">
        <v>205</v>
      </c>
    </row>
    <row r="17" spans="1:3" x14ac:dyDescent="0.45">
      <c r="A17" s="21" t="s">
        <v>48</v>
      </c>
      <c r="B17" s="1" t="s">
        <v>49</v>
      </c>
      <c r="C17" s="1" t="s">
        <v>298</v>
      </c>
    </row>
    <row r="18" spans="1:3" x14ac:dyDescent="0.45">
      <c r="A18" s="22">
        <v>1</v>
      </c>
      <c r="B18" s="7">
        <f>$C$4/($E$6^(A18-1))</f>
        <v>2.5</v>
      </c>
      <c r="C18">
        <f>ROUNDUP(A18/8,0)</f>
        <v>1</v>
      </c>
    </row>
    <row r="19" spans="1:3" x14ac:dyDescent="0.45">
      <c r="A19" s="22">
        <v>2</v>
      </c>
      <c r="B19" s="7">
        <f t="shared" ref="B19:B21" si="2">$C$4/($E$6^(A19-1))</f>
        <v>2.3207944168063892</v>
      </c>
      <c r="C19">
        <f t="shared" ref="C19:C53" si="3">ROUNDUP(A19/8,0)</f>
        <v>1</v>
      </c>
    </row>
    <row r="20" spans="1:3" x14ac:dyDescent="0.45">
      <c r="A20" s="22">
        <v>3</v>
      </c>
      <c r="B20" s="7">
        <f t="shared" si="2"/>
        <v>2.1544346900318834</v>
      </c>
      <c r="C20">
        <f t="shared" si="3"/>
        <v>1</v>
      </c>
    </row>
    <row r="21" spans="1:3" x14ac:dyDescent="0.45">
      <c r="A21" s="22">
        <v>4</v>
      </c>
      <c r="B21" s="7">
        <f t="shared" si="2"/>
        <v>1.9999999999999996</v>
      </c>
      <c r="C21">
        <f t="shared" si="3"/>
        <v>1</v>
      </c>
    </row>
    <row r="22" spans="1:3" x14ac:dyDescent="0.45">
      <c r="A22" s="22">
        <v>5</v>
      </c>
      <c r="B22" s="7">
        <f>$C$7/($E$7^(A22-4))</f>
        <v>1.7692284081334932</v>
      </c>
      <c r="C22">
        <f t="shared" si="3"/>
        <v>1</v>
      </c>
    </row>
    <row r="23" spans="1:3" x14ac:dyDescent="0.45">
      <c r="A23" s="22">
        <v>6</v>
      </c>
      <c r="B23" s="7">
        <f t="shared" ref="B23:B29" si="4">$C$7/($E$7^(A23-4))</f>
        <v>1.5650845800732871</v>
      </c>
      <c r="C23">
        <f t="shared" si="3"/>
        <v>1</v>
      </c>
    </row>
    <row r="24" spans="1:3" x14ac:dyDescent="0.45">
      <c r="A24" s="22">
        <v>7</v>
      </c>
      <c r="B24" s="7">
        <f t="shared" si="4"/>
        <v>1.3844960500986694</v>
      </c>
      <c r="C24">
        <f t="shared" si="3"/>
        <v>1</v>
      </c>
    </row>
    <row r="25" spans="1:3" x14ac:dyDescent="0.45">
      <c r="A25" s="22">
        <v>8</v>
      </c>
      <c r="B25" s="7">
        <f t="shared" si="4"/>
        <v>1.2247448713915887</v>
      </c>
      <c r="C25">
        <f t="shared" si="3"/>
        <v>1</v>
      </c>
    </row>
    <row r="26" spans="1:3" x14ac:dyDescent="0.45">
      <c r="A26" s="22">
        <v>9</v>
      </c>
      <c r="B26" s="7">
        <f t="shared" si="4"/>
        <v>1.0834267095909003</v>
      </c>
      <c r="C26">
        <f t="shared" si="3"/>
        <v>2</v>
      </c>
    </row>
    <row r="27" spans="1:3" x14ac:dyDescent="0.45">
      <c r="A27" s="22">
        <v>10</v>
      </c>
      <c r="B27" s="7">
        <f t="shared" si="4"/>
        <v>0.95841465636940826</v>
      </c>
      <c r="C27">
        <f t="shared" si="3"/>
        <v>2</v>
      </c>
    </row>
    <row r="28" spans="1:3" x14ac:dyDescent="0.45">
      <c r="A28" s="22">
        <v>11</v>
      </c>
      <c r="B28" s="7">
        <f t="shared" si="4"/>
        <v>0.84782721841012865</v>
      </c>
      <c r="C28">
        <f t="shared" si="3"/>
        <v>2</v>
      </c>
    </row>
    <row r="29" spans="1:3" x14ac:dyDescent="0.45">
      <c r="A29" s="22">
        <v>12</v>
      </c>
      <c r="B29" s="7">
        <f t="shared" si="4"/>
        <v>0.74999999999999956</v>
      </c>
      <c r="C29">
        <f t="shared" si="3"/>
        <v>2</v>
      </c>
    </row>
    <row r="30" spans="1:3" x14ac:dyDescent="0.45">
      <c r="A30" s="22">
        <v>13</v>
      </c>
      <c r="B30" s="7">
        <f>$C$8/($E$8^(A30-12))</f>
        <v>0.65376415715380176</v>
      </c>
      <c r="C30">
        <f t="shared" si="3"/>
        <v>2</v>
      </c>
    </row>
    <row r="31" spans="1:3" x14ac:dyDescent="0.45">
      <c r="A31" s="22">
        <v>14</v>
      </c>
      <c r="B31" s="7">
        <f>$C$8/($E$8^(A31-12))</f>
        <v>0.56987676423869438</v>
      </c>
      <c r="C31">
        <f t="shared" si="3"/>
        <v>2</v>
      </c>
    </row>
    <row r="32" spans="1:3" x14ac:dyDescent="0.45">
      <c r="A32" s="22">
        <v>15</v>
      </c>
      <c r="B32" s="7">
        <f t="shared" ref="B32:B36" si="5">$C$8/($E$8^(A32-12))</f>
        <v>0.49675333660539445</v>
      </c>
      <c r="C32">
        <f t="shared" si="3"/>
        <v>2</v>
      </c>
    </row>
    <row r="33" spans="1:3" x14ac:dyDescent="0.45">
      <c r="A33" s="22">
        <v>16</v>
      </c>
      <c r="B33" s="7">
        <f t="shared" si="5"/>
        <v>0.43301270189221924</v>
      </c>
      <c r="C33">
        <f t="shared" si="3"/>
        <v>2</v>
      </c>
    </row>
    <row r="34" spans="1:3" x14ac:dyDescent="0.45">
      <c r="A34" s="22">
        <v>17</v>
      </c>
      <c r="B34" s="7">
        <f t="shared" si="5"/>
        <v>0.37745091211927617</v>
      </c>
      <c r="C34">
        <f t="shared" si="3"/>
        <v>3</v>
      </c>
    </row>
    <row r="35" spans="1:3" x14ac:dyDescent="0.45">
      <c r="A35" s="22">
        <v>18</v>
      </c>
      <c r="B35" s="7">
        <f t="shared" si="5"/>
        <v>0.32901850323812298</v>
      </c>
      <c r="C35">
        <f t="shared" si="3"/>
        <v>3</v>
      </c>
    </row>
    <row r="36" spans="1:3" x14ac:dyDescent="0.45">
      <c r="A36" s="22">
        <v>19</v>
      </c>
      <c r="B36" s="7">
        <f t="shared" si="5"/>
        <v>0.28680067260996917</v>
      </c>
      <c r="C36">
        <f t="shared" si="3"/>
        <v>3</v>
      </c>
    </row>
    <row r="37" spans="1:3" x14ac:dyDescent="0.45">
      <c r="A37" s="22">
        <v>20</v>
      </c>
      <c r="B37" s="7">
        <f>$C$8/($E$8^(A37-12))</f>
        <v>0.24999999999999989</v>
      </c>
      <c r="C37">
        <f t="shared" si="3"/>
        <v>3</v>
      </c>
    </row>
    <row r="38" spans="1:3" x14ac:dyDescent="0.45">
      <c r="A38" s="22">
        <v>21</v>
      </c>
      <c r="B38" s="7">
        <f>$C$9/($E$9^(A38-20))</f>
        <v>0.23453567649632134</v>
      </c>
      <c r="C38">
        <f t="shared" si="3"/>
        <v>3</v>
      </c>
    </row>
    <row r="39" spans="1:3" x14ac:dyDescent="0.45">
      <c r="A39" s="22">
        <v>22</v>
      </c>
      <c r="B39" s="7">
        <f t="shared" ref="B39:B44" si="6">$C$9/($E$9^(A39-20))</f>
        <v>0.22002793419834835</v>
      </c>
      <c r="C39">
        <f t="shared" si="3"/>
        <v>3</v>
      </c>
    </row>
    <row r="40" spans="1:3" x14ac:dyDescent="0.45">
      <c r="A40" s="22">
        <v>23</v>
      </c>
      <c r="B40" s="7">
        <f t="shared" si="6"/>
        <v>0.20641760158119082</v>
      </c>
      <c r="C40">
        <f t="shared" si="3"/>
        <v>3</v>
      </c>
    </row>
    <row r="41" spans="1:3" x14ac:dyDescent="0.45">
      <c r="A41" s="22">
        <v>24</v>
      </c>
      <c r="B41" s="7">
        <f t="shared" si="6"/>
        <v>0.19364916731037085</v>
      </c>
      <c r="C41">
        <f t="shared" si="3"/>
        <v>3</v>
      </c>
    </row>
    <row r="42" spans="1:3" x14ac:dyDescent="0.45">
      <c r="A42" s="22">
        <v>25</v>
      </c>
      <c r="B42" s="7">
        <f t="shared" si="6"/>
        <v>0.18167055383234856</v>
      </c>
      <c r="C42">
        <f t="shared" si="3"/>
        <v>4</v>
      </c>
    </row>
    <row r="43" spans="1:3" x14ac:dyDescent="0.45">
      <c r="A43" s="22">
        <v>26</v>
      </c>
      <c r="B43" s="7">
        <f t="shared" si="6"/>
        <v>0.17043290497012492</v>
      </c>
      <c r="C43">
        <f t="shared" si="3"/>
        <v>4</v>
      </c>
    </row>
    <row r="44" spans="1:3" x14ac:dyDescent="0.45">
      <c r="A44" s="22">
        <v>27</v>
      </c>
      <c r="B44" s="7">
        <f t="shared" si="6"/>
        <v>0.15989038665760599</v>
      </c>
      <c r="C44">
        <f t="shared" si="3"/>
        <v>4</v>
      </c>
    </row>
    <row r="45" spans="1:3" x14ac:dyDescent="0.45">
      <c r="A45" s="22">
        <v>28</v>
      </c>
      <c r="B45" s="7">
        <f>$C$9/($E$9^(A45-20))</f>
        <v>0.15000000000000002</v>
      </c>
      <c r="C45">
        <f t="shared" si="3"/>
        <v>4</v>
      </c>
    </row>
    <row r="46" spans="1:3" x14ac:dyDescent="0.45">
      <c r="A46" s="22">
        <v>29</v>
      </c>
      <c r="B46" s="7">
        <f>$C$10/($E$10^(A46-28))</f>
        <v>0.15</v>
      </c>
      <c r="C46">
        <f t="shared" si="3"/>
        <v>4</v>
      </c>
    </row>
    <row r="47" spans="1:3" x14ac:dyDescent="0.45">
      <c r="A47" s="22">
        <v>30</v>
      </c>
      <c r="B47" s="7">
        <f t="shared" ref="B47:B53" si="7">$C$10/($E$10^(A47-28))</f>
        <v>0.15</v>
      </c>
      <c r="C47">
        <f t="shared" si="3"/>
        <v>4</v>
      </c>
    </row>
    <row r="48" spans="1:3" ht="15.75" customHeight="1" x14ac:dyDescent="0.45">
      <c r="A48" s="22">
        <v>31</v>
      </c>
      <c r="B48" s="7">
        <f t="shared" si="7"/>
        <v>0.15</v>
      </c>
      <c r="C48">
        <f t="shared" si="3"/>
        <v>4</v>
      </c>
    </row>
    <row r="49" spans="1:12" ht="15.75" customHeight="1" x14ac:dyDescent="0.45">
      <c r="A49" s="22">
        <v>32</v>
      </c>
      <c r="B49" s="7">
        <f t="shared" si="7"/>
        <v>0.15</v>
      </c>
      <c r="C49">
        <f t="shared" si="3"/>
        <v>4</v>
      </c>
    </row>
    <row r="50" spans="1:12" ht="15.75" customHeight="1" x14ac:dyDescent="0.45">
      <c r="A50" s="22">
        <v>33</v>
      </c>
      <c r="B50" s="7">
        <f t="shared" si="7"/>
        <v>0.15</v>
      </c>
      <c r="C50">
        <f t="shared" si="3"/>
        <v>5</v>
      </c>
    </row>
    <row r="51" spans="1:12" ht="15.75" customHeight="1" x14ac:dyDescent="0.45">
      <c r="A51" s="22">
        <v>34</v>
      </c>
      <c r="B51" s="7">
        <f t="shared" si="7"/>
        <v>0.15</v>
      </c>
      <c r="C51">
        <f t="shared" si="3"/>
        <v>5</v>
      </c>
    </row>
    <row r="52" spans="1:12" ht="15.75" customHeight="1" x14ac:dyDescent="0.45">
      <c r="A52" s="22">
        <v>35</v>
      </c>
      <c r="B52" s="7">
        <f t="shared" si="7"/>
        <v>0.15</v>
      </c>
      <c r="C52">
        <f t="shared" si="3"/>
        <v>5</v>
      </c>
    </row>
    <row r="53" spans="1:12" ht="15.75" customHeight="1" x14ac:dyDescent="0.45">
      <c r="A53" s="22">
        <v>36</v>
      </c>
      <c r="B53" s="7">
        <f t="shared" si="7"/>
        <v>0.15</v>
      </c>
      <c r="C53">
        <f t="shared" si="3"/>
        <v>5</v>
      </c>
    </row>
    <row r="54" spans="1:12" ht="15.75" customHeight="1" x14ac:dyDescent="0.45">
      <c r="A54" s="22"/>
      <c r="B54" s="7"/>
    </row>
    <row r="55" spans="1:12" ht="15.75" customHeight="1" x14ac:dyDescent="0.45"/>
    <row r="56" spans="1:12" x14ac:dyDescent="0.45">
      <c r="A56" s="1" t="s">
        <v>271</v>
      </c>
    </row>
    <row r="57" spans="1:12" x14ac:dyDescent="0.45">
      <c r="A57" s="23" t="s">
        <v>272</v>
      </c>
      <c r="B57" s="24" t="s">
        <v>273</v>
      </c>
      <c r="C57" s="76"/>
    </row>
    <row r="58" spans="1:12" ht="28.5" x14ac:dyDescent="0.45">
      <c r="A58" s="2" t="s">
        <v>254</v>
      </c>
      <c r="B58" s="2" t="s">
        <v>274</v>
      </c>
      <c r="C58" s="77"/>
    </row>
    <row r="60" spans="1:12" ht="99.75" x14ac:dyDescent="0.45">
      <c r="A60" s="23" t="s">
        <v>255</v>
      </c>
      <c r="B60" s="24" t="s">
        <v>256</v>
      </c>
      <c r="C60" s="23"/>
      <c r="D60" s="23" t="s">
        <v>206</v>
      </c>
      <c r="E60" s="23" t="s">
        <v>257</v>
      </c>
      <c r="F60" s="23" t="s">
        <v>258</v>
      </c>
      <c r="G60" s="23" t="s">
        <v>275</v>
      </c>
      <c r="H60" s="23" t="s">
        <v>276</v>
      </c>
      <c r="I60" s="23" t="s">
        <v>277</v>
      </c>
    </row>
    <row r="61" spans="1:12" x14ac:dyDescent="0.45">
      <c r="A61" t="s">
        <v>259</v>
      </c>
      <c r="B61" t="s">
        <v>260</v>
      </c>
      <c r="D61">
        <f t="shared" ref="D61:D68" si="8">IF(B61="BBC",0,1)</f>
        <v>1</v>
      </c>
      <c r="E61">
        <v>7</v>
      </c>
      <c r="F61" s="73">
        <f t="shared" ref="F61:F68" si="9">VLOOKUP(E61,$A$18:$B$53,2,FALSE)</f>
        <v>1.3844960500986694</v>
      </c>
      <c r="G61">
        <v>9</v>
      </c>
      <c r="H61" s="73">
        <f t="shared" ref="H61:H68" si="10">VLOOKUP(G61,$A$18:$B$53,2,FALSE)</f>
        <v>1.0834267095909003</v>
      </c>
      <c r="I61" s="73">
        <f t="shared" ref="I61:I68" si="11">H61-$F61</f>
        <v>-0.30106934050776912</v>
      </c>
      <c r="K61" s="7"/>
      <c r="L61" s="25"/>
    </row>
    <row r="62" spans="1:12" x14ac:dyDescent="0.45">
      <c r="A62" t="s">
        <v>261</v>
      </c>
      <c r="B62" t="s">
        <v>260</v>
      </c>
      <c r="D62">
        <f t="shared" si="8"/>
        <v>1</v>
      </c>
      <c r="E62">
        <v>8</v>
      </c>
      <c r="F62" s="73">
        <f t="shared" si="9"/>
        <v>1.2247448713915887</v>
      </c>
      <c r="G62">
        <v>10</v>
      </c>
      <c r="H62" s="73">
        <f t="shared" si="10"/>
        <v>0.95841465636940826</v>
      </c>
      <c r="I62" s="73">
        <f t="shared" si="11"/>
        <v>-0.26633021502218046</v>
      </c>
      <c r="K62" s="7"/>
      <c r="L62" s="25"/>
    </row>
    <row r="63" spans="1:12" x14ac:dyDescent="0.45">
      <c r="A63" t="s">
        <v>262</v>
      </c>
      <c r="B63" t="s">
        <v>260</v>
      </c>
      <c r="D63">
        <f t="shared" si="8"/>
        <v>1</v>
      </c>
      <c r="E63">
        <v>9</v>
      </c>
      <c r="F63" s="73">
        <f t="shared" si="9"/>
        <v>1.0834267095909003</v>
      </c>
      <c r="G63">
        <v>11</v>
      </c>
      <c r="H63" s="73">
        <f t="shared" si="10"/>
        <v>0.84782721841012865</v>
      </c>
      <c r="I63" s="73">
        <f t="shared" si="11"/>
        <v>-0.23559949118077161</v>
      </c>
      <c r="K63" s="7"/>
      <c r="L63" s="25"/>
    </row>
    <row r="64" spans="1:12" x14ac:dyDescent="0.45">
      <c r="A64" t="s">
        <v>263</v>
      </c>
      <c r="B64" t="s">
        <v>260</v>
      </c>
      <c r="D64">
        <f t="shared" si="8"/>
        <v>1</v>
      </c>
      <c r="E64">
        <v>10</v>
      </c>
      <c r="F64" s="73">
        <f t="shared" si="9"/>
        <v>0.95841465636940826</v>
      </c>
      <c r="G64">
        <v>12</v>
      </c>
      <c r="H64" s="73">
        <f t="shared" si="10"/>
        <v>0.74999999999999956</v>
      </c>
      <c r="I64" s="73">
        <f t="shared" si="11"/>
        <v>-0.2084146563694087</v>
      </c>
      <c r="K64" s="7"/>
      <c r="L64" s="25"/>
    </row>
    <row r="65" spans="1:12" x14ac:dyDescent="0.45">
      <c r="A65" t="s">
        <v>264</v>
      </c>
      <c r="B65" t="s">
        <v>260</v>
      </c>
      <c r="D65">
        <f t="shared" si="8"/>
        <v>1</v>
      </c>
      <c r="E65">
        <v>11</v>
      </c>
      <c r="F65" s="73">
        <f t="shared" si="9"/>
        <v>0.84782721841012865</v>
      </c>
      <c r="G65">
        <v>13</v>
      </c>
      <c r="H65" s="73">
        <f t="shared" si="10"/>
        <v>0.65376415715380176</v>
      </c>
      <c r="I65" s="73">
        <f t="shared" si="11"/>
        <v>-0.19406306125632689</v>
      </c>
      <c r="K65" s="7"/>
      <c r="L65" s="25"/>
    </row>
    <row r="66" spans="1:12" x14ac:dyDescent="0.45">
      <c r="A66" t="s">
        <v>265</v>
      </c>
      <c r="B66" t="s">
        <v>260</v>
      </c>
      <c r="D66">
        <f t="shared" si="8"/>
        <v>1</v>
      </c>
      <c r="E66">
        <v>12</v>
      </c>
      <c r="F66" s="73">
        <f t="shared" si="9"/>
        <v>0.74999999999999956</v>
      </c>
      <c r="G66">
        <v>14</v>
      </c>
      <c r="H66" s="73">
        <f t="shared" si="10"/>
        <v>0.56987676423869438</v>
      </c>
      <c r="I66" s="73">
        <f t="shared" si="11"/>
        <v>-0.18012323576130518</v>
      </c>
      <c r="K66" s="7"/>
      <c r="L66" s="25"/>
    </row>
    <row r="67" spans="1:12" x14ac:dyDescent="0.45">
      <c r="A67" t="s">
        <v>266</v>
      </c>
      <c r="B67" t="s">
        <v>267</v>
      </c>
      <c r="D67">
        <f t="shared" si="8"/>
        <v>0</v>
      </c>
      <c r="E67">
        <v>13</v>
      </c>
      <c r="F67" s="73">
        <f t="shared" si="9"/>
        <v>0.65376415715380176</v>
      </c>
      <c r="G67">
        <v>7</v>
      </c>
      <c r="H67" s="73">
        <f t="shared" si="10"/>
        <v>1.3844960500986694</v>
      </c>
      <c r="I67" s="73">
        <f t="shared" si="11"/>
        <v>0.73073189294486762</v>
      </c>
      <c r="K67" s="7"/>
      <c r="L67" s="25"/>
    </row>
    <row r="68" spans="1:12" x14ac:dyDescent="0.45">
      <c r="A68" t="s">
        <v>268</v>
      </c>
      <c r="B68" t="s">
        <v>267</v>
      </c>
      <c r="D68">
        <f t="shared" si="8"/>
        <v>0</v>
      </c>
      <c r="E68">
        <v>14</v>
      </c>
      <c r="F68" s="73">
        <f t="shared" si="9"/>
        <v>0.56987676423869438</v>
      </c>
      <c r="G68">
        <v>8</v>
      </c>
      <c r="H68" s="73">
        <f t="shared" si="10"/>
        <v>1.2247448713915887</v>
      </c>
      <c r="I68" s="73">
        <f t="shared" si="11"/>
        <v>0.65486810715289434</v>
      </c>
      <c r="K68" s="7"/>
      <c r="L68" s="25"/>
    </row>
    <row r="69" spans="1:12" x14ac:dyDescent="0.45">
      <c r="A69" t="s">
        <v>269</v>
      </c>
      <c r="H69" s="25"/>
      <c r="I69" s="73">
        <f>-(SUMIFS(I61:I68,$D$61:$D$68,1,I61:I68,"&lt;0"))</f>
        <v>1.385600000097762</v>
      </c>
      <c r="K69" s="25"/>
      <c r="L69" s="25"/>
    </row>
    <row r="70" spans="1:12" x14ac:dyDescent="0.45">
      <c r="A70" t="s">
        <v>270</v>
      </c>
      <c r="I70" s="78">
        <f>COUNTIFS(I61:I68,"&lt;0",$D$61:$D$68,1)</f>
        <v>6</v>
      </c>
      <c r="L70" s="37"/>
    </row>
    <row r="71" spans="1:12" x14ac:dyDescent="0.45">
      <c r="A71" t="s">
        <v>278</v>
      </c>
      <c r="I71" s="73">
        <f>I69/5</f>
        <v>0.27712000001955239</v>
      </c>
      <c r="L71" s="25"/>
    </row>
  </sheetData>
  <mergeCells count="1">
    <mergeCell ref="A5:D5"/>
  </mergeCells>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03DB1-7542-419D-B239-0D45F8343F79}">
  <sheetPr>
    <tabColor theme="7"/>
  </sheetPr>
  <dimension ref="A1"/>
  <sheetViews>
    <sheetView workbookViewId="0"/>
  </sheetViews>
  <sheetFormatPr defaultRowHeight="14.25" x14ac:dyDescent="0.45"/>
  <sheetData/>
  <pageMargins left="0.70866141732283472" right="0.70866141732283472" top="0.74803149606299213" bottom="0.74803149606299213" header="0.31496062992125984" footer="0.31496062992125984"/>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06616-9089-40B0-85CD-B3AF5C620CCA}">
  <sheetPr>
    <tabColor theme="7"/>
  </sheetPr>
  <dimension ref="A1:G12"/>
  <sheetViews>
    <sheetView workbookViewId="0"/>
  </sheetViews>
  <sheetFormatPr defaultRowHeight="14.25" x14ac:dyDescent="0.45"/>
  <cols>
    <col min="1" max="1" width="11.73046875" customWidth="1"/>
    <col min="2" max="3" width="16" customWidth="1"/>
    <col min="4" max="4" width="13" customWidth="1"/>
    <col min="5" max="5" width="16" customWidth="1"/>
    <col min="6" max="6" width="23.73046875" bestFit="1" customWidth="1"/>
    <col min="7" max="7" width="17" bestFit="1" customWidth="1"/>
    <col min="8" max="8" width="24" bestFit="1" customWidth="1"/>
    <col min="9" max="9" width="26.73046875" bestFit="1" customWidth="1"/>
    <col min="10" max="10" width="13.265625" bestFit="1" customWidth="1"/>
    <col min="11" max="11" width="13.46484375" bestFit="1" customWidth="1"/>
    <col min="12" max="14" width="12" bestFit="1" customWidth="1"/>
    <col min="15" max="15" width="13.265625" bestFit="1" customWidth="1"/>
  </cols>
  <sheetData>
    <row r="1" spans="1:7" x14ac:dyDescent="0.45">
      <c r="A1" s="51" t="s">
        <v>191</v>
      </c>
      <c r="B1" s="50"/>
      <c r="C1" s="47"/>
      <c r="D1" s="47"/>
      <c r="E1" s="48"/>
      <c r="F1" s="49"/>
      <c r="G1" s="49"/>
    </row>
    <row r="2" spans="1:7" x14ac:dyDescent="0.45">
      <c r="A2" s="47" t="s">
        <v>190</v>
      </c>
      <c r="B2" s="47"/>
      <c r="C2" s="47"/>
      <c r="E2" s="48"/>
      <c r="F2" s="47"/>
      <c r="G2" s="47"/>
    </row>
    <row r="3" spans="1:7" x14ac:dyDescent="0.45">
      <c r="A3" s="47" t="s">
        <v>189</v>
      </c>
      <c r="B3" s="47"/>
      <c r="C3" s="47"/>
      <c r="E3" s="48"/>
      <c r="F3" s="47"/>
      <c r="G3" s="47"/>
    </row>
    <row r="4" spans="1:7" x14ac:dyDescent="0.45">
      <c r="A4" s="47" t="s">
        <v>188</v>
      </c>
      <c r="B4" s="47"/>
      <c r="C4" s="47"/>
      <c r="E4" s="48"/>
      <c r="F4" s="47"/>
      <c r="G4" s="47"/>
    </row>
    <row r="5" spans="1:7" x14ac:dyDescent="0.45">
      <c r="A5" s="47"/>
      <c r="B5" s="47"/>
      <c r="C5" s="47"/>
      <c r="E5" s="48"/>
      <c r="F5" s="47"/>
      <c r="G5" s="47"/>
    </row>
    <row r="6" spans="1:7" x14ac:dyDescent="0.45">
      <c r="A6" s="47"/>
      <c r="B6" s="47"/>
      <c r="C6" s="47"/>
      <c r="E6" s="48"/>
      <c r="F6" s="47"/>
      <c r="G6" s="47"/>
    </row>
    <row r="7" spans="1:7" x14ac:dyDescent="0.45">
      <c r="A7" s="1" t="s">
        <v>187</v>
      </c>
      <c r="B7" s="1"/>
      <c r="C7" s="1"/>
      <c r="D7" s="1"/>
      <c r="E7" s="1"/>
    </row>
    <row r="8" spans="1:7" x14ac:dyDescent="0.45">
      <c r="A8" s="1"/>
      <c r="B8" s="1"/>
      <c r="C8" s="1"/>
      <c r="D8" s="1"/>
      <c r="E8" s="1"/>
    </row>
    <row r="9" spans="1:7" x14ac:dyDescent="0.45">
      <c r="A9" s="46"/>
      <c r="B9" s="45" t="s">
        <v>155</v>
      </c>
      <c r="C9" s="44" t="s">
        <v>110</v>
      </c>
      <c r="D9" s="44" t="s">
        <v>186</v>
      </c>
      <c r="E9" s="43" t="s">
        <v>153</v>
      </c>
      <c r="F9" s="42" t="s">
        <v>185</v>
      </c>
      <c r="G9" s="42" t="s">
        <v>111</v>
      </c>
    </row>
    <row r="10" spans="1:7" x14ac:dyDescent="0.45">
      <c r="A10" s="1" t="s">
        <v>184</v>
      </c>
      <c r="B10" s="41">
        <v>140133186</v>
      </c>
      <c r="C10" s="36">
        <v>101167938</v>
      </c>
      <c r="D10" s="36">
        <v>44378694</v>
      </c>
      <c r="E10" s="36">
        <v>1202348676</v>
      </c>
      <c r="F10" s="36">
        <f>SUM(D10:E10)</f>
        <v>1246727370</v>
      </c>
      <c r="G10" s="36">
        <f>SUM(B10:E10)</f>
        <v>1488028494</v>
      </c>
    </row>
    <row r="11" spans="1:7" x14ac:dyDescent="0.45">
      <c r="A11" s="1" t="s">
        <v>183</v>
      </c>
      <c r="B11" s="41">
        <v>29294328</v>
      </c>
      <c r="C11" s="36">
        <v>22052172</v>
      </c>
      <c r="D11" s="36">
        <v>7834260</v>
      </c>
      <c r="E11" s="36">
        <v>217198356</v>
      </c>
      <c r="F11" s="36">
        <f>SUM(D11:E11)</f>
        <v>225032616</v>
      </c>
      <c r="G11" s="36">
        <f>SUM(B11:E11)</f>
        <v>276379116</v>
      </c>
    </row>
    <row r="12" spans="1:7" x14ac:dyDescent="0.45">
      <c r="A12" s="1"/>
      <c r="B12" s="40"/>
      <c r="C12" s="36"/>
      <c r="D12" s="36"/>
      <c r="E12" s="39"/>
      <c r="F12" s="36"/>
      <c r="G12" s="36"/>
    </row>
  </sheetData>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2A801-9D1C-4F97-A1C2-B7AD43D1EFCE}">
  <sheetPr>
    <tabColor theme="7"/>
  </sheetPr>
  <dimension ref="A1:G8"/>
  <sheetViews>
    <sheetView workbookViewId="0"/>
  </sheetViews>
  <sheetFormatPr defaultRowHeight="14.25" x14ac:dyDescent="0.45"/>
  <cols>
    <col min="1" max="1" width="17.265625" bestFit="1" customWidth="1"/>
    <col min="2" max="2" width="18.33203125" customWidth="1"/>
    <col min="3" max="3" width="10.06640625" customWidth="1"/>
    <col min="7" max="7" width="11.59765625" customWidth="1"/>
  </cols>
  <sheetData>
    <row r="1" spans="1:7" x14ac:dyDescent="0.45">
      <c r="C1" s="1" t="s">
        <v>192</v>
      </c>
    </row>
    <row r="2" spans="1:7" x14ac:dyDescent="0.45">
      <c r="B2" s="1"/>
    </row>
    <row r="3" spans="1:7" ht="41.85" customHeight="1" x14ac:dyDescent="0.45">
      <c r="A3" s="2"/>
      <c r="B3" s="1" t="s">
        <v>109</v>
      </c>
      <c r="C3" s="3" t="s">
        <v>155</v>
      </c>
      <c r="D3" s="1" t="s">
        <v>110</v>
      </c>
      <c r="E3" s="1" t="s">
        <v>154</v>
      </c>
      <c r="F3" s="1" t="s">
        <v>153</v>
      </c>
      <c r="G3" s="3" t="s">
        <v>193</v>
      </c>
    </row>
    <row r="4" spans="1:7" ht="42.75" x14ac:dyDescent="0.45">
      <c r="A4" s="35" t="s">
        <v>112</v>
      </c>
      <c r="B4" s="2" t="s">
        <v>115</v>
      </c>
      <c r="C4" s="2">
        <f>'Viewing data (2)'!B10/'Viewing data (2)'!$G10</f>
        <v>9.4173724874921649E-2</v>
      </c>
      <c r="D4" s="2">
        <f>'Viewing data (2)'!C10/'Viewing data (2)'!$G10</f>
        <v>6.7987903731633784E-2</v>
      </c>
      <c r="E4" s="2">
        <f>'Viewing data (2)'!D10/'Viewing data (2)'!$G10</f>
        <v>2.9823820026930209E-2</v>
      </c>
      <c r="F4" s="2">
        <f>'Viewing data (2)'!E10/'Viewing data (2)'!$G10</f>
        <v>0.80801455136651434</v>
      </c>
      <c r="G4" s="2">
        <f>'Viewing data (2)'!F10/'Viewing data (2)'!$G10</f>
        <v>0.83783837139344453</v>
      </c>
    </row>
    <row r="5" spans="1:7" ht="28.5" x14ac:dyDescent="0.45">
      <c r="A5" s="35" t="s">
        <v>114</v>
      </c>
      <c r="B5" s="2" t="s">
        <v>113</v>
      </c>
      <c r="C5" s="2">
        <f>'Viewing data (2)'!B11/'Viewing data (2)'!$G11</f>
        <v>0.10599327627923956</v>
      </c>
      <c r="D5" s="2">
        <f>'Viewing data (2)'!C11/'Viewing data (2)'!$G11</f>
        <v>7.9789574260017537E-2</v>
      </c>
      <c r="E5" s="2">
        <f>'Viewing data (2)'!D11/'Viewing data (2)'!$G11</f>
        <v>2.8346063600550774E-2</v>
      </c>
      <c r="F5" s="2">
        <f>'Viewing data (2)'!E11/'Viewing data (2)'!$G11</f>
        <v>0.78587108586019216</v>
      </c>
      <c r="G5" s="2">
        <f>'Viewing data (2)'!F11/'Viewing data (2)'!$G11</f>
        <v>0.81421714946074286</v>
      </c>
    </row>
    <row r="6" spans="1:7" x14ac:dyDescent="0.45">
      <c r="A6" t="s">
        <v>116</v>
      </c>
      <c r="C6">
        <f>AVERAGE(C4:C5)</f>
        <v>0.1000835005770806</v>
      </c>
      <c r="D6">
        <f t="shared" ref="D6:G6" si="0">AVERAGE(D4:D5)</f>
        <v>7.3888738995825654E-2</v>
      </c>
      <c r="E6">
        <f t="shared" si="0"/>
        <v>2.9084941813740491E-2</v>
      </c>
      <c r="F6">
        <f t="shared" si="0"/>
        <v>0.79694281861335325</v>
      </c>
      <c r="G6">
        <f t="shared" si="0"/>
        <v>0.82602776042709369</v>
      </c>
    </row>
    <row r="8" spans="1:7" x14ac:dyDescent="0.45">
      <c r="A8" s="85" t="s">
        <v>307</v>
      </c>
    </row>
  </sheetData>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C56B2-8DDE-4EB1-B52E-7DCCDA7A43C3}">
  <sheetPr>
    <tabColor theme="7"/>
  </sheetPr>
  <dimension ref="A1:AP406"/>
  <sheetViews>
    <sheetView workbookViewId="0">
      <pane xSplit="2" topLeftCell="C1" activePane="topRight" state="frozen"/>
      <selection activeCell="G10" sqref="G10"/>
      <selection pane="topRight"/>
    </sheetView>
  </sheetViews>
  <sheetFormatPr defaultRowHeight="14.25" x14ac:dyDescent="0.45"/>
  <cols>
    <col min="1" max="1" width="4.06640625" customWidth="1"/>
    <col min="2" max="2" width="40.33203125" customWidth="1"/>
    <col min="3" max="3" width="17.33203125" style="78" customWidth="1"/>
    <col min="4" max="4" width="25.73046875" style="78" customWidth="1"/>
    <col min="5" max="5" width="17.33203125" style="78" customWidth="1"/>
    <col min="6" max="7" width="19.265625" style="78" customWidth="1"/>
    <col min="8" max="8" width="17.33203125" style="78" customWidth="1"/>
    <col min="9" max="9" width="18" style="78" customWidth="1"/>
    <col min="10" max="10" width="25.73046875" style="78" customWidth="1"/>
    <col min="11" max="14" width="18" style="78" customWidth="1"/>
    <col min="15" max="15" width="17.33203125" style="78" customWidth="1"/>
    <col min="16" max="16" width="25.73046875" style="78" customWidth="1"/>
    <col min="17" max="17" width="18.796875" style="78" customWidth="1"/>
    <col min="18" max="20" width="17.33203125" style="78" customWidth="1"/>
    <col min="21" max="21" width="14.06640625" style="78" customWidth="1"/>
    <col min="22" max="22" width="25.73046875" style="78" bestFit="1" customWidth="1"/>
    <col min="23" max="23" width="17.796875" style="78" customWidth="1"/>
    <col min="24" max="25" width="14.06640625" style="78" customWidth="1"/>
    <col min="26" max="26" width="23.06640625" style="78" bestFit="1" customWidth="1"/>
    <col min="27" max="30" width="20.796875" style="78" customWidth="1"/>
    <col min="32" max="32" width="32.73046875" bestFit="1" customWidth="1"/>
    <col min="37" max="37" width="32.73046875" bestFit="1" customWidth="1"/>
  </cols>
  <sheetData>
    <row r="1" spans="1:42" ht="20.2" customHeight="1" x14ac:dyDescent="0.45">
      <c r="A1" t="s">
        <v>334</v>
      </c>
      <c r="B1" s="95"/>
    </row>
    <row r="2" spans="1:42" s="96" customFormat="1" ht="20.2" customHeight="1" x14ac:dyDescent="0.45">
      <c r="B2" s="97" t="s">
        <v>335</v>
      </c>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row>
    <row r="3" spans="1:42" ht="20.2" customHeight="1" x14ac:dyDescent="0.45">
      <c r="B3" s="95"/>
    </row>
    <row r="4" spans="1:42" s="99" customFormat="1" ht="41.25" customHeight="1" x14ac:dyDescent="0.55000000000000004">
      <c r="B4" s="100"/>
      <c r="C4" s="150" t="s">
        <v>336</v>
      </c>
      <c r="D4" s="150"/>
      <c r="E4" s="150"/>
      <c r="F4" s="150"/>
      <c r="G4" s="150"/>
      <c r="H4" s="151"/>
      <c r="I4" s="152" t="s">
        <v>337</v>
      </c>
      <c r="J4" s="153"/>
      <c r="K4" s="153"/>
      <c r="L4" s="153"/>
      <c r="M4" s="153"/>
      <c r="N4" s="154"/>
      <c r="O4" s="155" t="s">
        <v>338</v>
      </c>
      <c r="P4" s="150"/>
      <c r="Q4" s="150"/>
      <c r="R4" s="150"/>
      <c r="S4" s="150"/>
      <c r="T4" s="151"/>
      <c r="U4" s="152" t="s">
        <v>339</v>
      </c>
      <c r="V4" s="153"/>
      <c r="W4" s="153"/>
      <c r="X4" s="153"/>
      <c r="Y4" s="153"/>
      <c r="Z4" s="154"/>
      <c r="AA4" s="156" t="s">
        <v>340</v>
      </c>
      <c r="AB4" s="157"/>
      <c r="AC4" s="157"/>
      <c r="AD4" s="157"/>
      <c r="AF4"/>
      <c r="AG4" s="101"/>
      <c r="AH4"/>
      <c r="AI4"/>
      <c r="AJ4"/>
    </row>
    <row r="5" spans="1:42" ht="39.75" customHeight="1" x14ac:dyDescent="0.45">
      <c r="B5" s="102" t="s">
        <v>50</v>
      </c>
      <c r="C5" s="103"/>
      <c r="D5" s="103" t="s">
        <v>341</v>
      </c>
      <c r="E5" s="103"/>
      <c r="F5" s="103"/>
      <c r="G5" s="103"/>
      <c r="H5" s="103" t="s">
        <v>342</v>
      </c>
      <c r="I5" s="103"/>
      <c r="J5" s="103" t="s">
        <v>341</v>
      </c>
      <c r="K5" s="103"/>
      <c r="L5" s="103"/>
      <c r="M5" s="103"/>
      <c r="N5" s="103" t="s">
        <v>342</v>
      </c>
      <c r="O5" s="103"/>
      <c r="P5" s="103" t="s">
        <v>341</v>
      </c>
      <c r="Q5" s="103"/>
      <c r="R5" s="103"/>
      <c r="S5" s="103"/>
      <c r="T5" s="103" t="s">
        <v>342</v>
      </c>
      <c r="U5" s="103"/>
      <c r="V5" s="103" t="s">
        <v>341</v>
      </c>
      <c r="W5" s="103"/>
      <c r="X5" s="103"/>
      <c r="Y5" s="103"/>
      <c r="Z5" s="103" t="s">
        <v>342</v>
      </c>
      <c r="AA5" s="103"/>
      <c r="AB5" s="104" t="s">
        <v>341</v>
      </c>
      <c r="AC5" s="104"/>
      <c r="AD5" s="104" t="s">
        <v>343</v>
      </c>
      <c r="AF5" s="105"/>
      <c r="AG5" s="106"/>
      <c r="AM5" s="99"/>
      <c r="AN5" s="99"/>
      <c r="AO5" s="99"/>
      <c r="AP5" s="99"/>
    </row>
    <row r="6" spans="1:42" ht="15" customHeight="1" x14ac:dyDescent="0.45">
      <c r="B6" s="107" t="s">
        <v>183</v>
      </c>
      <c r="C6" s="108"/>
      <c r="D6" s="108">
        <v>7392511439.999999</v>
      </c>
      <c r="E6" s="109"/>
      <c r="F6" s="110"/>
      <c r="G6" s="110"/>
      <c r="H6" s="109"/>
      <c r="I6" s="110"/>
      <c r="J6" s="108">
        <v>788329920</v>
      </c>
      <c r="K6" s="109"/>
      <c r="L6" s="110"/>
      <c r="M6" s="110"/>
      <c r="N6" s="109"/>
      <c r="O6" s="110"/>
      <c r="P6" s="108">
        <v>5264094240</v>
      </c>
      <c r="Q6" s="109"/>
      <c r="R6" s="110"/>
      <c r="S6" s="110"/>
      <c r="T6" s="109"/>
      <c r="U6" s="110"/>
      <c r="V6" s="108">
        <v>2435061000</v>
      </c>
      <c r="W6" s="109"/>
      <c r="X6" s="110"/>
      <c r="Y6" s="110"/>
      <c r="Z6" s="109"/>
      <c r="AA6" s="110"/>
      <c r="AB6" s="111">
        <v>15879996600</v>
      </c>
      <c r="AC6" s="112"/>
      <c r="AD6" s="112"/>
      <c r="AF6" s="113"/>
    </row>
    <row r="7" spans="1:42" ht="15" customHeight="1" x14ac:dyDescent="0.45">
      <c r="B7" s="107" t="s">
        <v>55</v>
      </c>
      <c r="C7" s="108"/>
      <c r="D7" s="108">
        <v>4155218400</v>
      </c>
      <c r="E7" s="108"/>
      <c r="F7" s="110"/>
      <c r="G7" s="114"/>
      <c r="H7" s="108">
        <v>486092849.3165018</v>
      </c>
      <c r="I7" s="108"/>
      <c r="J7" s="108">
        <v>302237520</v>
      </c>
      <c r="K7" s="108"/>
      <c r="L7" s="110"/>
      <c r="M7" s="114"/>
      <c r="N7" s="108">
        <v>35356865.301509351</v>
      </c>
      <c r="O7" s="108"/>
      <c r="P7" s="108">
        <v>2495741519.9999995</v>
      </c>
      <c r="Q7" s="108"/>
      <c r="R7" s="110"/>
      <c r="S7" s="114"/>
      <c r="T7" s="108">
        <v>291961093.21577346</v>
      </c>
      <c r="U7" s="108"/>
      <c r="V7" s="108">
        <v>1344511080</v>
      </c>
      <c r="W7" s="108"/>
      <c r="X7" s="110"/>
      <c r="Y7" s="114"/>
      <c r="Z7" s="108">
        <v>157285889.42877397</v>
      </c>
      <c r="AA7" s="108"/>
      <c r="AB7" s="111">
        <v>8297708519.999999</v>
      </c>
      <c r="AC7" s="111"/>
      <c r="AD7" s="111">
        <f>H7+N7+T7+Z7</f>
        <v>970696697.26255858</v>
      </c>
    </row>
    <row r="8" spans="1:42" ht="15" customHeight="1" x14ac:dyDescent="0.45">
      <c r="B8" s="107" t="s">
        <v>344</v>
      </c>
      <c r="C8" s="108"/>
      <c r="D8" s="108">
        <v>2094288240</v>
      </c>
      <c r="E8" s="109"/>
      <c r="F8" s="110"/>
      <c r="G8" s="114"/>
      <c r="H8" s="109"/>
      <c r="I8" s="110"/>
      <c r="J8" s="108">
        <v>223222320</v>
      </c>
      <c r="K8" s="109"/>
      <c r="L8" s="110"/>
      <c r="M8" s="110"/>
      <c r="N8" s="109"/>
      <c r="O8" s="110"/>
      <c r="P8" s="108">
        <v>1319641440</v>
      </c>
      <c r="Q8" s="109"/>
      <c r="R8" s="110"/>
      <c r="S8" s="110"/>
      <c r="T8" s="109"/>
      <c r="U8" s="110"/>
      <c r="V8" s="108">
        <v>603625320.00000012</v>
      </c>
      <c r="W8" s="109"/>
      <c r="X8" s="110"/>
      <c r="Y8" s="110"/>
      <c r="Z8" s="109"/>
      <c r="AA8" s="110"/>
      <c r="AB8" s="111">
        <v>4240777320.0000005</v>
      </c>
      <c r="AC8" s="112"/>
      <c r="AD8" s="112"/>
      <c r="AF8" s="113"/>
    </row>
    <row r="9" spans="1:42" ht="15" customHeight="1" x14ac:dyDescent="0.45">
      <c r="B9" s="107" t="s">
        <v>345</v>
      </c>
      <c r="C9" s="108"/>
      <c r="D9" s="108">
        <v>1535689319.9999998</v>
      </c>
      <c r="E9" s="108"/>
      <c r="F9" s="110"/>
      <c r="G9" s="114"/>
      <c r="H9" s="108">
        <v>209357148.80049214</v>
      </c>
      <c r="I9" s="108"/>
      <c r="J9" s="108">
        <v>157680000</v>
      </c>
      <c r="K9" s="108"/>
      <c r="L9" s="110"/>
      <c r="M9" s="114"/>
      <c r="N9" s="108">
        <v>21496167.742354035</v>
      </c>
      <c r="O9" s="108"/>
      <c r="P9" s="108">
        <v>1187864760</v>
      </c>
      <c r="Q9" s="108"/>
      <c r="R9" s="110"/>
      <c r="S9" s="114"/>
      <c r="T9" s="108">
        <v>161938991.22394162</v>
      </c>
      <c r="U9" s="108"/>
      <c r="V9" s="108">
        <v>605745240</v>
      </c>
      <c r="W9" s="108"/>
      <c r="X9" s="110"/>
      <c r="Y9" s="114"/>
      <c r="Z9" s="108">
        <v>82579916.845335513</v>
      </c>
      <c r="AA9" s="108"/>
      <c r="AB9" s="111">
        <v>3486979320.0000005</v>
      </c>
      <c r="AC9" s="111"/>
      <c r="AD9" s="111">
        <f t="shared" ref="AD9:AD13" si="0">H9+N9+T9+Z9</f>
        <v>475372224.61212325</v>
      </c>
    </row>
    <row r="10" spans="1:42" ht="15" customHeight="1" x14ac:dyDescent="0.45">
      <c r="B10" s="107" t="s">
        <v>346</v>
      </c>
      <c r="C10" s="108"/>
      <c r="D10" s="108">
        <v>1276244400</v>
      </c>
      <c r="E10" s="108"/>
      <c r="F10" s="110"/>
      <c r="G10" s="114"/>
      <c r="H10" s="108">
        <v>169248377.5139668</v>
      </c>
      <c r="I10" s="108"/>
      <c r="J10" s="108">
        <v>108807959.99999999</v>
      </c>
      <c r="K10" s="108"/>
      <c r="L10" s="110"/>
      <c r="M10" s="114"/>
      <c r="N10" s="108">
        <v>14429501.66175428</v>
      </c>
      <c r="O10" s="108"/>
      <c r="P10" s="108">
        <v>977913840</v>
      </c>
      <c r="Q10" s="108"/>
      <c r="R10" s="110"/>
      <c r="S10" s="114"/>
      <c r="T10" s="108">
        <v>129685451.13181528</v>
      </c>
      <c r="U10" s="108"/>
      <c r="V10" s="108">
        <v>451832040</v>
      </c>
      <c r="W10" s="108"/>
      <c r="X10" s="110"/>
      <c r="Y10" s="114"/>
      <c r="Z10" s="108">
        <v>59919432.10785155</v>
      </c>
      <c r="AA10" s="108"/>
      <c r="AB10" s="111">
        <v>2814798239.9999995</v>
      </c>
      <c r="AC10" s="111"/>
      <c r="AD10" s="111">
        <f t="shared" si="0"/>
        <v>373282762.41538793</v>
      </c>
    </row>
    <row r="11" spans="1:42" ht="15" customHeight="1" x14ac:dyDescent="0.45">
      <c r="B11" s="107" t="s">
        <v>347</v>
      </c>
      <c r="C11" s="108"/>
      <c r="D11" s="108">
        <v>352633800.00000006</v>
      </c>
      <c r="E11" s="108"/>
      <c r="F11" s="115"/>
      <c r="G11" s="114"/>
      <c r="H11" s="108">
        <v>41252408.924475662</v>
      </c>
      <c r="I11" s="108"/>
      <c r="J11" s="108">
        <v>89133000</v>
      </c>
      <c r="K11" s="108"/>
      <c r="L11" s="110"/>
      <c r="M11" s="114"/>
      <c r="N11" s="108">
        <v>10427108.702187052</v>
      </c>
      <c r="O11" s="108"/>
      <c r="P11" s="108">
        <v>1032847800</v>
      </c>
      <c r="Q11" s="108"/>
      <c r="R11" s="110"/>
      <c r="S11" s="114"/>
      <c r="T11" s="108">
        <v>120826363.78686625</v>
      </c>
      <c r="U11" s="108"/>
      <c r="V11" s="108">
        <v>268642920.00000006</v>
      </c>
      <c r="W11" s="108"/>
      <c r="X11" s="110"/>
      <c r="Y11" s="114"/>
      <c r="Z11" s="108">
        <v>31426844.478621166</v>
      </c>
      <c r="AA11" s="108"/>
      <c r="AB11" s="111">
        <v>1743257520.0000002</v>
      </c>
      <c r="AC11" s="111"/>
      <c r="AD11" s="111">
        <f t="shared" si="0"/>
        <v>203932725.89215013</v>
      </c>
    </row>
    <row r="12" spans="1:42" ht="15" customHeight="1" x14ac:dyDescent="0.45">
      <c r="B12" s="107" t="s">
        <v>57</v>
      </c>
      <c r="C12" s="108"/>
      <c r="D12" s="108">
        <v>668020080</v>
      </c>
      <c r="E12" s="108"/>
      <c r="F12" s="115"/>
      <c r="G12" s="114"/>
      <c r="H12" s="108">
        <v>47524430.031736165</v>
      </c>
      <c r="I12" s="108"/>
      <c r="J12" s="108">
        <v>38780520</v>
      </c>
      <c r="K12" s="108"/>
      <c r="L12" s="110"/>
      <c r="M12" s="114"/>
      <c r="N12" s="108">
        <v>2758932.2005625116</v>
      </c>
      <c r="O12" s="108"/>
      <c r="P12" s="108">
        <v>433339680</v>
      </c>
      <c r="Q12" s="108"/>
      <c r="R12" s="110"/>
      <c r="S12" s="114"/>
      <c r="T12" s="108">
        <v>30828745.899576761</v>
      </c>
      <c r="U12" s="108"/>
      <c r="V12" s="108">
        <v>192868920</v>
      </c>
      <c r="W12" s="108"/>
      <c r="X12" s="110"/>
      <c r="Y12" s="114"/>
      <c r="Z12" s="108">
        <v>13721122.715108385</v>
      </c>
      <c r="AA12" s="108"/>
      <c r="AB12" s="111">
        <v>1333009200.0000002</v>
      </c>
      <c r="AC12" s="111"/>
      <c r="AD12" s="111">
        <f t="shared" si="0"/>
        <v>94833230.84698382</v>
      </c>
    </row>
    <row r="13" spans="1:42" ht="15" customHeight="1" x14ac:dyDescent="0.45">
      <c r="B13" s="107" t="s">
        <v>59</v>
      </c>
      <c r="C13" s="108"/>
      <c r="D13" s="108">
        <v>753193559.99999988</v>
      </c>
      <c r="E13" s="108"/>
      <c r="F13" s="115"/>
      <c r="G13" s="114"/>
      <c r="H13" s="108">
        <v>53583860.297394462</v>
      </c>
      <c r="I13" s="108"/>
      <c r="J13" s="108">
        <v>61206119.999999993</v>
      </c>
      <c r="K13" s="108"/>
      <c r="L13" s="110"/>
      <c r="M13" s="114"/>
      <c r="N13" s="108">
        <v>4354339.1202462772</v>
      </c>
      <c r="O13" s="108"/>
      <c r="P13" s="108">
        <v>330111839.99999994</v>
      </c>
      <c r="Q13" s="108"/>
      <c r="R13" s="110"/>
      <c r="S13" s="114"/>
      <c r="T13" s="108">
        <v>23484888.422407426</v>
      </c>
      <c r="U13" s="108"/>
      <c r="V13" s="108">
        <v>184117680</v>
      </c>
      <c r="W13" s="108"/>
      <c r="X13" s="110"/>
      <c r="Y13" s="114"/>
      <c r="Z13" s="108">
        <v>13098540.092934916</v>
      </c>
      <c r="AA13" s="108"/>
      <c r="AB13" s="111">
        <v>1328629200</v>
      </c>
      <c r="AC13" s="111"/>
      <c r="AD13" s="111">
        <f t="shared" si="0"/>
        <v>94521627.932983086</v>
      </c>
    </row>
    <row r="14" spans="1:42" ht="15" customHeight="1" x14ac:dyDescent="0.45">
      <c r="B14" s="107" t="s">
        <v>348</v>
      </c>
      <c r="C14" s="108"/>
      <c r="D14" s="108">
        <v>386666400</v>
      </c>
      <c r="E14" s="109"/>
      <c r="F14" s="115"/>
      <c r="G14" s="114"/>
      <c r="H14" s="109"/>
      <c r="I14" s="110"/>
      <c r="J14" s="108">
        <v>44115359.999999993</v>
      </c>
      <c r="K14" s="109"/>
      <c r="L14" s="110"/>
      <c r="M14" s="110"/>
      <c r="N14" s="109"/>
      <c r="O14" s="110"/>
      <c r="P14" s="108">
        <v>332503320</v>
      </c>
      <c r="Q14" s="109"/>
      <c r="R14" s="110"/>
      <c r="S14" s="110"/>
      <c r="T14" s="109"/>
      <c r="U14" s="110"/>
      <c r="V14" s="108">
        <v>178239720</v>
      </c>
      <c r="W14" s="109"/>
      <c r="X14" s="110"/>
      <c r="Y14" s="110"/>
      <c r="Z14" s="109"/>
      <c r="AA14" s="110"/>
      <c r="AB14" s="111">
        <v>941524800.00000012</v>
      </c>
      <c r="AC14" s="112"/>
      <c r="AD14" s="112"/>
      <c r="AF14" s="113"/>
    </row>
    <row r="15" spans="1:42" ht="15" customHeight="1" x14ac:dyDescent="0.45">
      <c r="B15" s="107" t="s">
        <v>119</v>
      </c>
      <c r="C15" s="108"/>
      <c r="D15" s="108">
        <v>396460080</v>
      </c>
      <c r="E15" s="108"/>
      <c r="F15" s="115"/>
      <c r="G15" s="114"/>
      <c r="H15" s="108">
        <v>32570420.02079685</v>
      </c>
      <c r="I15" s="108"/>
      <c r="J15" s="108">
        <v>30826440.000000004</v>
      </c>
      <c r="K15" s="108"/>
      <c r="L15" s="110"/>
      <c r="M15" s="114"/>
      <c r="N15" s="108">
        <v>2532487.2520479057</v>
      </c>
      <c r="O15" s="108"/>
      <c r="P15" s="108">
        <v>320475840</v>
      </c>
      <c r="Q15" s="108"/>
      <c r="R15" s="110"/>
      <c r="S15" s="114"/>
      <c r="T15" s="108">
        <v>26328080.030952141</v>
      </c>
      <c r="U15" s="108"/>
      <c r="V15" s="108">
        <v>182873760</v>
      </c>
      <c r="W15" s="108"/>
      <c r="X15" s="110"/>
      <c r="Y15" s="114"/>
      <c r="Z15" s="108">
        <v>15023644.181231052</v>
      </c>
      <c r="AA15" s="108"/>
      <c r="AB15" s="111">
        <v>930636120</v>
      </c>
      <c r="AC15" s="111"/>
      <c r="AD15" s="111">
        <f t="shared" ref="AD15:AD17" si="1">H15+N15+T15+Z15</f>
        <v>76454631.485027939</v>
      </c>
    </row>
    <row r="16" spans="1:42" ht="15" customHeight="1" x14ac:dyDescent="0.45">
      <c r="B16" s="107" t="s">
        <v>349</v>
      </c>
      <c r="C16" s="108"/>
      <c r="D16" s="108">
        <v>609328080.00000012</v>
      </c>
      <c r="E16" s="108"/>
      <c r="F16" s="115"/>
      <c r="G16" s="114"/>
      <c r="H16" s="108">
        <v>30554329.557284784</v>
      </c>
      <c r="I16" s="108"/>
      <c r="J16" s="108">
        <v>41329680</v>
      </c>
      <c r="K16" s="108"/>
      <c r="L16" s="110"/>
      <c r="M16" s="114"/>
      <c r="N16" s="108">
        <v>2072447.839950395</v>
      </c>
      <c r="O16" s="108"/>
      <c r="P16" s="108">
        <v>157548600</v>
      </c>
      <c r="Q16" s="108"/>
      <c r="R16" s="110"/>
      <c r="S16" s="114"/>
      <c r="T16" s="108">
        <v>7900164.1376659293</v>
      </c>
      <c r="U16" s="108"/>
      <c r="V16" s="108">
        <v>99723840</v>
      </c>
      <c r="W16" s="108"/>
      <c r="X16" s="110"/>
      <c r="Y16" s="114"/>
      <c r="Z16" s="108">
        <v>5000582.070791712</v>
      </c>
      <c r="AA16" s="108"/>
      <c r="AB16" s="111">
        <v>907930200.00000024</v>
      </c>
      <c r="AC16" s="111"/>
      <c r="AD16" s="111">
        <f t="shared" si="1"/>
        <v>45527523.605692819</v>
      </c>
    </row>
    <row r="17" spans="2:32" ht="15" customHeight="1" x14ac:dyDescent="0.45">
      <c r="B17" s="107" t="s">
        <v>350</v>
      </c>
      <c r="C17" s="108"/>
      <c r="D17" s="108">
        <v>572133120</v>
      </c>
      <c r="E17" s="108"/>
      <c r="F17" s="115"/>
      <c r="G17" s="114"/>
      <c r="H17" s="108">
        <v>47002502.814934023</v>
      </c>
      <c r="I17" s="108"/>
      <c r="J17" s="108">
        <v>29275920</v>
      </c>
      <c r="K17" s="108"/>
      <c r="L17" s="110"/>
      <c r="M17" s="114"/>
      <c r="N17" s="108">
        <v>2405107.2453379086</v>
      </c>
      <c r="O17" s="108"/>
      <c r="P17" s="108">
        <v>189645240.00000003</v>
      </c>
      <c r="Q17" s="108"/>
      <c r="R17" s="110"/>
      <c r="S17" s="114"/>
      <c r="T17" s="108">
        <v>15579942.176636862</v>
      </c>
      <c r="U17" s="108"/>
      <c r="V17" s="108">
        <v>88949040</v>
      </c>
      <c r="W17" s="108"/>
      <c r="X17" s="110"/>
      <c r="Y17" s="114"/>
      <c r="Z17" s="108">
        <v>7307438.3510356452</v>
      </c>
      <c r="AA17" s="108"/>
      <c r="AB17" s="111">
        <v>880003320</v>
      </c>
      <c r="AC17" s="111"/>
      <c r="AD17" s="111">
        <f t="shared" si="1"/>
        <v>72294990.587944433</v>
      </c>
    </row>
    <row r="18" spans="2:32" ht="15" customHeight="1" x14ac:dyDescent="0.45">
      <c r="B18" s="107" t="s">
        <v>351</v>
      </c>
      <c r="C18" s="108"/>
      <c r="D18" s="108">
        <v>384397560</v>
      </c>
      <c r="E18" s="109"/>
      <c r="F18" s="115"/>
      <c r="G18" s="114"/>
      <c r="H18" s="109"/>
      <c r="I18" s="110"/>
      <c r="J18" s="108">
        <v>41960400</v>
      </c>
      <c r="K18" s="109"/>
      <c r="L18" s="110"/>
      <c r="M18" s="110"/>
      <c r="N18" s="109"/>
      <c r="O18" s="110"/>
      <c r="P18" s="108">
        <v>252077760</v>
      </c>
      <c r="Q18" s="109"/>
      <c r="R18" s="110"/>
      <c r="S18" s="110"/>
      <c r="T18" s="109"/>
      <c r="U18" s="110"/>
      <c r="V18" s="108">
        <v>152134919.99999997</v>
      </c>
      <c r="W18" s="109"/>
      <c r="X18" s="110"/>
      <c r="Y18" s="110"/>
      <c r="Z18" s="109"/>
      <c r="AA18" s="110"/>
      <c r="AB18" s="111">
        <v>830570640</v>
      </c>
      <c r="AC18" s="112"/>
      <c r="AD18" s="112"/>
      <c r="AF18" s="113"/>
    </row>
    <row r="19" spans="2:32" ht="15" customHeight="1" x14ac:dyDescent="0.45">
      <c r="B19" s="107" t="s">
        <v>60</v>
      </c>
      <c r="C19" s="108"/>
      <c r="D19" s="108">
        <v>413209199.99999994</v>
      </c>
      <c r="E19" s="108"/>
      <c r="F19" s="115"/>
      <c r="G19" s="114"/>
      <c r="H19" s="108">
        <v>29396618.906829379</v>
      </c>
      <c r="I19" s="108"/>
      <c r="J19" s="108">
        <v>33682200</v>
      </c>
      <c r="K19" s="108"/>
      <c r="L19" s="110"/>
      <c r="M19" s="114"/>
      <c r="N19" s="108">
        <v>2396226.4086656561</v>
      </c>
      <c r="O19" s="108"/>
      <c r="P19" s="108">
        <v>220804560</v>
      </c>
      <c r="Q19" s="108"/>
      <c r="R19" s="110"/>
      <c r="S19" s="114"/>
      <c r="T19" s="108">
        <v>15708526.100605074</v>
      </c>
      <c r="U19" s="108"/>
      <c r="V19" s="108">
        <v>105636840</v>
      </c>
      <c r="W19" s="108"/>
      <c r="X19" s="110"/>
      <c r="Y19" s="114"/>
      <c r="Z19" s="108">
        <v>7515239.0798697378</v>
      </c>
      <c r="AA19" s="108"/>
      <c r="AB19" s="111">
        <v>773332800</v>
      </c>
      <c r="AC19" s="111"/>
      <c r="AD19" s="111">
        <f t="shared" ref="AD19:AD23" si="2">H19+N19+T19+Z19</f>
        <v>55016610.495969854</v>
      </c>
    </row>
    <row r="20" spans="2:32" ht="15" customHeight="1" x14ac:dyDescent="0.45">
      <c r="B20" s="107" t="s">
        <v>352</v>
      </c>
      <c r="C20" s="108"/>
      <c r="D20" s="108">
        <v>344776079.99999994</v>
      </c>
      <c r="E20" s="108"/>
      <c r="F20" s="115"/>
      <c r="G20" s="114"/>
      <c r="H20" s="108">
        <v>17288554.914109293</v>
      </c>
      <c r="I20" s="108"/>
      <c r="J20" s="108">
        <v>16924320</v>
      </c>
      <c r="K20" s="108"/>
      <c r="L20" s="110"/>
      <c r="M20" s="114"/>
      <c r="N20" s="108">
        <v>848658.16591440514</v>
      </c>
      <c r="O20" s="108"/>
      <c r="P20" s="108">
        <v>259707720</v>
      </c>
      <c r="Q20" s="108"/>
      <c r="R20" s="110"/>
      <c r="S20" s="114"/>
      <c r="T20" s="108">
        <v>13022861.61742462</v>
      </c>
      <c r="U20" s="108"/>
      <c r="V20" s="108">
        <v>102702239.99999999</v>
      </c>
      <c r="W20" s="108"/>
      <c r="X20" s="110"/>
      <c r="Y20" s="114"/>
      <c r="Z20" s="108">
        <v>5149931.8515426936</v>
      </c>
      <c r="AA20" s="108"/>
      <c r="AB20" s="111">
        <v>724110360</v>
      </c>
      <c r="AC20" s="111"/>
      <c r="AD20" s="111">
        <f t="shared" si="2"/>
        <v>36310006.548991017</v>
      </c>
    </row>
    <row r="21" spans="2:32" ht="15" customHeight="1" x14ac:dyDescent="0.45">
      <c r="B21" s="107" t="s">
        <v>353</v>
      </c>
      <c r="C21" s="108"/>
      <c r="D21" s="108">
        <v>430492680</v>
      </c>
      <c r="E21" s="108"/>
      <c r="F21" s="115"/>
      <c r="G21" s="114"/>
      <c r="H21" s="108">
        <v>35366303.218923055</v>
      </c>
      <c r="I21" s="108"/>
      <c r="J21" s="108">
        <v>30782640</v>
      </c>
      <c r="K21" s="108"/>
      <c r="L21" s="110"/>
      <c r="M21" s="114"/>
      <c r="N21" s="108">
        <v>2528888.9467736119</v>
      </c>
      <c r="O21" s="108"/>
      <c r="P21" s="108">
        <v>184590719.99999997</v>
      </c>
      <c r="Q21" s="108"/>
      <c r="R21" s="110"/>
      <c r="S21" s="114"/>
      <c r="T21" s="108">
        <v>15164697.747983363</v>
      </c>
      <c r="U21" s="108"/>
      <c r="V21" s="108">
        <v>73724160</v>
      </c>
      <c r="W21" s="108"/>
      <c r="X21" s="110"/>
      <c r="Y21" s="114"/>
      <c r="Z21" s="108">
        <v>6056667.4376911549</v>
      </c>
      <c r="AA21" s="108"/>
      <c r="AB21" s="111">
        <v>719590200</v>
      </c>
      <c r="AC21" s="111"/>
      <c r="AD21" s="111">
        <f t="shared" si="2"/>
        <v>59116557.351371184</v>
      </c>
    </row>
    <row r="22" spans="2:32" ht="15" customHeight="1" x14ac:dyDescent="0.45">
      <c r="B22" s="107" t="s">
        <v>354</v>
      </c>
      <c r="C22" s="108"/>
      <c r="D22" s="108">
        <v>152064840.00000003</v>
      </c>
      <c r="E22" s="108"/>
      <c r="F22" s="115"/>
      <c r="G22" s="114"/>
      <c r="H22" s="108">
        <v>7439889.3947610036</v>
      </c>
      <c r="I22" s="108"/>
      <c r="J22" s="108">
        <v>16302360</v>
      </c>
      <c r="K22" s="108"/>
      <c r="L22" s="110"/>
      <c r="M22" s="114"/>
      <c r="N22" s="108">
        <v>797605.51665707829</v>
      </c>
      <c r="O22" s="108"/>
      <c r="P22" s="108">
        <v>482132879.99999994</v>
      </c>
      <c r="Q22" s="108"/>
      <c r="R22" s="110"/>
      <c r="S22" s="114"/>
      <c r="T22" s="108">
        <v>23588722.421156514</v>
      </c>
      <c r="U22" s="108"/>
      <c r="V22" s="108">
        <v>67276800</v>
      </c>
      <c r="W22" s="108"/>
      <c r="X22" s="110"/>
      <c r="Y22" s="114"/>
      <c r="Z22" s="108">
        <v>3291569.2466020212</v>
      </c>
      <c r="AA22" s="108"/>
      <c r="AB22" s="111">
        <v>717776879.99999988</v>
      </c>
      <c r="AC22" s="111"/>
      <c r="AD22" s="111">
        <f t="shared" si="2"/>
        <v>35117786.57917662</v>
      </c>
    </row>
    <row r="23" spans="2:32" ht="15" customHeight="1" x14ac:dyDescent="0.45">
      <c r="B23" s="107" t="s">
        <v>85</v>
      </c>
      <c r="C23" s="108"/>
      <c r="D23" s="108">
        <v>478138320</v>
      </c>
      <c r="E23" s="108"/>
      <c r="F23" s="115"/>
      <c r="G23" s="114"/>
      <c r="H23" s="108">
        <v>23393285.497139525</v>
      </c>
      <c r="I23" s="108"/>
      <c r="J23" s="108">
        <v>26498999.999999996</v>
      </c>
      <c r="K23" s="108"/>
      <c r="L23" s="110"/>
      <c r="M23" s="114"/>
      <c r="N23" s="108">
        <v>1296483.9805951973</v>
      </c>
      <c r="O23" s="108"/>
      <c r="P23" s="108">
        <v>113223000.00000001</v>
      </c>
      <c r="Q23" s="108"/>
      <c r="R23" s="110"/>
      <c r="S23" s="114"/>
      <c r="T23" s="108">
        <v>5539522.462543116</v>
      </c>
      <c r="U23" s="108"/>
      <c r="V23" s="108">
        <v>78559680</v>
      </c>
      <c r="W23" s="108"/>
      <c r="X23" s="110"/>
      <c r="Y23" s="114"/>
      <c r="Z23" s="108">
        <v>3843592.8390009026</v>
      </c>
      <c r="AA23" s="108"/>
      <c r="AB23" s="111">
        <v>696420000</v>
      </c>
      <c r="AC23" s="111"/>
      <c r="AD23" s="111">
        <f t="shared" si="2"/>
        <v>34072884.77927874</v>
      </c>
    </row>
    <row r="24" spans="2:32" ht="15" customHeight="1" x14ac:dyDescent="0.45">
      <c r="B24" s="107" t="s">
        <v>355</v>
      </c>
      <c r="C24" s="108"/>
      <c r="D24" s="108">
        <v>379894920</v>
      </c>
      <c r="E24" s="109"/>
      <c r="F24" s="115"/>
      <c r="G24" s="114"/>
      <c r="H24" s="109"/>
      <c r="I24" s="110"/>
      <c r="J24" s="108">
        <v>45797280</v>
      </c>
      <c r="K24" s="109"/>
      <c r="L24" s="110"/>
      <c r="M24" s="110"/>
      <c r="N24" s="109"/>
      <c r="O24" s="110"/>
      <c r="P24" s="108">
        <v>149541960.00000003</v>
      </c>
      <c r="Q24" s="109"/>
      <c r="R24" s="110"/>
      <c r="S24" s="110"/>
      <c r="T24" s="109"/>
      <c r="U24" s="110"/>
      <c r="V24" s="108">
        <v>102255480</v>
      </c>
      <c r="W24" s="109"/>
      <c r="X24" s="110"/>
      <c r="Y24" s="110"/>
      <c r="Z24" s="109"/>
      <c r="AA24" s="110"/>
      <c r="AB24" s="111">
        <v>677489640</v>
      </c>
      <c r="AC24" s="112"/>
      <c r="AD24" s="112"/>
      <c r="AF24" s="113"/>
    </row>
    <row r="25" spans="2:32" ht="15" customHeight="1" x14ac:dyDescent="0.45">
      <c r="B25" s="107" t="s">
        <v>56</v>
      </c>
      <c r="C25" s="108"/>
      <c r="D25" s="108">
        <v>314159880</v>
      </c>
      <c r="E25" s="108"/>
      <c r="F25" s="115"/>
      <c r="G25" s="114"/>
      <c r="H25" s="108">
        <v>36751587.163295746</v>
      </c>
      <c r="I25" s="108"/>
      <c r="J25" s="108">
        <v>27234840</v>
      </c>
      <c r="K25" s="108"/>
      <c r="L25" s="110"/>
      <c r="M25" s="114"/>
      <c r="N25" s="108">
        <v>3186032.5262997095</v>
      </c>
      <c r="O25" s="108"/>
      <c r="P25" s="108">
        <v>184117680</v>
      </c>
      <c r="Q25" s="108"/>
      <c r="R25" s="110"/>
      <c r="S25" s="114"/>
      <c r="T25" s="108">
        <v>21538768.619416948</v>
      </c>
      <c r="U25" s="108"/>
      <c r="V25" s="108">
        <v>119687880.00000001</v>
      </c>
      <c r="W25" s="108"/>
      <c r="X25" s="110"/>
      <c r="Y25" s="114"/>
      <c r="Z25" s="108">
        <v>14001531.813069455</v>
      </c>
      <c r="AA25" s="108"/>
      <c r="AB25" s="111">
        <v>645200280</v>
      </c>
      <c r="AC25" s="111"/>
      <c r="AD25" s="111">
        <f t="shared" ref="AD25:AD44" si="3">H25+N25+T25+Z25</f>
        <v>75477920.122081846</v>
      </c>
    </row>
    <row r="26" spans="2:32" ht="15" customHeight="1" x14ac:dyDescent="0.45">
      <c r="B26" s="107" t="s">
        <v>356</v>
      </c>
      <c r="C26" s="108"/>
      <c r="D26" s="108">
        <v>42170640</v>
      </c>
      <c r="E26" s="108"/>
      <c r="F26" s="115"/>
      <c r="G26" s="114"/>
      <c r="H26" s="108">
        <v>0</v>
      </c>
      <c r="I26" s="108"/>
      <c r="J26" s="108">
        <v>8541000</v>
      </c>
      <c r="K26" s="108"/>
      <c r="L26" s="110"/>
      <c r="M26" s="114"/>
      <c r="N26" s="108">
        <v>0</v>
      </c>
      <c r="O26" s="108"/>
      <c r="P26" s="108">
        <v>458699880</v>
      </c>
      <c r="Q26" s="108"/>
      <c r="R26" s="110"/>
      <c r="S26" s="114"/>
      <c r="T26" s="108">
        <v>0</v>
      </c>
      <c r="U26" s="108"/>
      <c r="V26" s="108">
        <v>133362239.99999999</v>
      </c>
      <c r="W26" s="108"/>
      <c r="X26" s="110"/>
      <c r="Y26" s="114"/>
      <c r="Z26" s="108">
        <v>0</v>
      </c>
      <c r="AA26" s="108"/>
      <c r="AB26" s="111">
        <v>642773760</v>
      </c>
      <c r="AC26" s="111"/>
      <c r="AD26" s="111">
        <f t="shared" si="3"/>
        <v>0</v>
      </c>
    </row>
    <row r="27" spans="2:32" ht="15" customHeight="1" x14ac:dyDescent="0.45">
      <c r="B27" s="107" t="s">
        <v>357</v>
      </c>
      <c r="C27" s="108"/>
      <c r="D27" s="108">
        <v>422170680.00000006</v>
      </c>
      <c r="E27" s="108"/>
      <c r="F27" s="115"/>
      <c r="G27" s="114"/>
      <c r="H27" s="108">
        <v>21169452.893329676</v>
      </c>
      <c r="I27" s="108"/>
      <c r="J27" s="108">
        <v>20875080</v>
      </c>
      <c r="K27" s="108"/>
      <c r="L27" s="110"/>
      <c r="M27" s="114"/>
      <c r="N27" s="108">
        <v>1046766.2574399727</v>
      </c>
      <c r="O27" s="108"/>
      <c r="P27" s="108">
        <v>110542440</v>
      </c>
      <c r="Q27" s="108"/>
      <c r="R27" s="110"/>
      <c r="S27" s="114"/>
      <c r="T27" s="108">
        <v>5543073.186166604</v>
      </c>
      <c r="U27" s="108"/>
      <c r="V27" s="108">
        <v>80197799.999999985</v>
      </c>
      <c r="W27" s="108"/>
      <c r="X27" s="110"/>
      <c r="Y27" s="114"/>
      <c r="Z27" s="108">
        <v>4021462.4787507136</v>
      </c>
      <c r="AA27" s="108"/>
      <c r="AB27" s="111">
        <v>633786000</v>
      </c>
      <c r="AC27" s="111"/>
      <c r="AD27" s="111">
        <f t="shared" si="3"/>
        <v>31780754.815686963</v>
      </c>
    </row>
    <row r="28" spans="2:32" ht="15" customHeight="1" x14ac:dyDescent="0.45">
      <c r="B28" s="107" t="s">
        <v>358</v>
      </c>
      <c r="C28" s="108"/>
      <c r="D28" s="108">
        <v>20875080</v>
      </c>
      <c r="E28" s="108"/>
      <c r="F28" s="115"/>
      <c r="G28" s="114"/>
      <c r="H28" s="108">
        <v>2448275.1596407755</v>
      </c>
      <c r="I28" s="108"/>
      <c r="J28" s="108">
        <v>3635399.9999999995</v>
      </c>
      <c r="K28" s="108"/>
      <c r="L28" s="110"/>
      <c r="M28" s="114"/>
      <c r="N28" s="108">
        <v>426367.68411704636</v>
      </c>
      <c r="O28" s="108"/>
      <c r="P28" s="108">
        <v>396854279.99999994</v>
      </c>
      <c r="Q28" s="108"/>
      <c r="R28" s="110"/>
      <c r="S28" s="114"/>
      <c r="T28" s="108">
        <v>46543940.225432664</v>
      </c>
      <c r="U28" s="108"/>
      <c r="V28" s="108">
        <v>184240320</v>
      </c>
      <c r="W28" s="108"/>
      <c r="X28" s="110"/>
      <c r="Y28" s="114"/>
      <c r="Z28" s="108">
        <v>21608108.752649933</v>
      </c>
      <c r="AA28" s="108"/>
      <c r="AB28" s="111">
        <v>605605080</v>
      </c>
      <c r="AC28" s="111"/>
      <c r="AD28" s="111">
        <f t="shared" si="3"/>
        <v>71026691.82184042</v>
      </c>
    </row>
    <row r="29" spans="2:32" ht="15" customHeight="1" x14ac:dyDescent="0.45">
      <c r="B29" s="107" t="s">
        <v>359</v>
      </c>
      <c r="C29" s="108"/>
      <c r="D29" s="108">
        <v>206797320</v>
      </c>
      <c r="E29" s="108"/>
      <c r="F29" s="115"/>
      <c r="G29" s="114"/>
      <c r="H29" s="108">
        <v>24253643.178195465</v>
      </c>
      <c r="I29" s="108"/>
      <c r="J29" s="108">
        <v>17914200</v>
      </c>
      <c r="K29" s="108"/>
      <c r="L29" s="110"/>
      <c r="M29" s="114"/>
      <c r="N29" s="108">
        <v>2101016.6602876149</v>
      </c>
      <c r="O29" s="108"/>
      <c r="P29" s="108">
        <v>274731120</v>
      </c>
      <c r="Q29" s="108"/>
      <c r="R29" s="110"/>
      <c r="S29" s="114"/>
      <c r="T29" s="108">
        <v>32221068.21512967</v>
      </c>
      <c r="U29" s="108"/>
      <c r="V29" s="108">
        <v>78997680.000000015</v>
      </c>
      <c r="W29" s="108"/>
      <c r="X29" s="110"/>
      <c r="Y29" s="114"/>
      <c r="Z29" s="108">
        <v>9265021.1454639193</v>
      </c>
      <c r="AA29" s="108"/>
      <c r="AB29" s="111">
        <v>578440320.00000012</v>
      </c>
      <c r="AC29" s="111"/>
      <c r="AD29" s="111">
        <f t="shared" si="3"/>
        <v>67840749.199076667</v>
      </c>
    </row>
    <row r="30" spans="2:32" ht="15" customHeight="1" x14ac:dyDescent="0.45">
      <c r="B30" s="107" t="s">
        <v>360</v>
      </c>
      <c r="C30" s="108"/>
      <c r="D30" s="108">
        <v>313353960</v>
      </c>
      <c r="E30" s="108"/>
      <c r="F30" s="115"/>
      <c r="G30" s="114"/>
      <c r="H30" s="108">
        <v>42718856.461763665</v>
      </c>
      <c r="I30" s="108"/>
      <c r="J30" s="108">
        <v>21041520</v>
      </c>
      <c r="K30" s="108"/>
      <c r="L30" s="110"/>
      <c r="M30" s="114"/>
      <c r="N30" s="108">
        <v>2868544.1620630217</v>
      </c>
      <c r="O30" s="108"/>
      <c r="P30" s="108">
        <v>171494520.00000003</v>
      </c>
      <c r="Q30" s="108"/>
      <c r="R30" s="110"/>
      <c r="S30" s="114"/>
      <c r="T30" s="108">
        <v>23379470.882892501</v>
      </c>
      <c r="U30" s="108"/>
      <c r="V30" s="108">
        <v>55039080</v>
      </c>
      <c r="W30" s="108"/>
      <c r="X30" s="110"/>
      <c r="Y30" s="114"/>
      <c r="Z30" s="108">
        <v>7503356.7736227997</v>
      </c>
      <c r="AA30" s="108"/>
      <c r="AB30" s="111">
        <v>560929080</v>
      </c>
      <c r="AC30" s="111"/>
      <c r="AD30" s="111">
        <f t="shared" si="3"/>
        <v>76470228.280341983</v>
      </c>
    </row>
    <row r="31" spans="2:32" ht="15" customHeight="1" x14ac:dyDescent="0.45">
      <c r="B31" s="107" t="s">
        <v>361</v>
      </c>
      <c r="C31" s="108"/>
      <c r="D31" s="108">
        <v>233007240</v>
      </c>
      <c r="E31" s="108"/>
      <c r="F31" s="115"/>
      <c r="G31" s="114"/>
      <c r="H31" s="108">
        <v>27258050.552282397</v>
      </c>
      <c r="I31" s="108"/>
      <c r="J31" s="108">
        <v>20218079.999999996</v>
      </c>
      <c r="K31" s="108"/>
      <c r="L31" s="110"/>
      <c r="M31" s="114"/>
      <c r="N31" s="108">
        <v>2365185.9346091114</v>
      </c>
      <c r="O31" s="108"/>
      <c r="P31" s="108">
        <v>191151960.00000003</v>
      </c>
      <c r="Q31" s="108"/>
      <c r="R31" s="110"/>
      <c r="S31" s="114"/>
      <c r="T31" s="108">
        <v>22361664.765643604</v>
      </c>
      <c r="U31" s="108"/>
      <c r="V31" s="108">
        <v>87801480</v>
      </c>
      <c r="W31" s="108"/>
      <c r="X31" s="110"/>
      <c r="Y31" s="114"/>
      <c r="Z31" s="108">
        <v>10271342.557446765</v>
      </c>
      <c r="AA31" s="108"/>
      <c r="AB31" s="111">
        <v>532178760</v>
      </c>
      <c r="AC31" s="111"/>
      <c r="AD31" s="111">
        <f t="shared" si="3"/>
        <v>62256243.809981875</v>
      </c>
    </row>
    <row r="32" spans="2:32" ht="15" customHeight="1" x14ac:dyDescent="0.45">
      <c r="B32" s="107" t="s">
        <v>362</v>
      </c>
      <c r="C32" s="108"/>
      <c r="D32" s="108">
        <v>271332240</v>
      </c>
      <c r="E32" s="108"/>
      <c r="F32" s="115"/>
      <c r="G32" s="114"/>
      <c r="H32" s="108">
        <v>13605765.026414484</v>
      </c>
      <c r="I32" s="108"/>
      <c r="J32" s="108">
        <v>20498399.999999996</v>
      </c>
      <c r="K32" s="108"/>
      <c r="L32" s="110"/>
      <c r="M32" s="114"/>
      <c r="N32" s="108">
        <v>1027877.9028155837</v>
      </c>
      <c r="O32" s="108"/>
      <c r="P32" s="108">
        <v>81634440</v>
      </c>
      <c r="Q32" s="108"/>
      <c r="R32" s="110"/>
      <c r="S32" s="114"/>
      <c r="T32" s="108">
        <v>4093501.7847600109</v>
      </c>
      <c r="U32" s="108"/>
      <c r="V32" s="108">
        <v>69598200</v>
      </c>
      <c r="W32" s="108"/>
      <c r="X32" s="110"/>
      <c r="Y32" s="114"/>
      <c r="Z32" s="108">
        <v>3489952.9649016294</v>
      </c>
      <c r="AA32" s="108"/>
      <c r="AB32" s="111">
        <v>443063280</v>
      </c>
      <c r="AC32" s="111"/>
      <c r="AD32" s="111">
        <f t="shared" si="3"/>
        <v>22217097.678891707</v>
      </c>
    </row>
    <row r="33" spans="2:38" ht="15" customHeight="1" x14ac:dyDescent="0.45">
      <c r="B33" s="107" t="s">
        <v>363</v>
      </c>
      <c r="C33" s="108"/>
      <c r="D33" s="108">
        <v>273128040</v>
      </c>
      <c r="E33" s="108"/>
      <c r="F33" s="115"/>
      <c r="G33" s="114"/>
      <c r="H33" s="108">
        <v>13362999.679662034</v>
      </c>
      <c r="I33" s="108"/>
      <c r="J33" s="108">
        <v>7200719.9999999991</v>
      </c>
      <c r="K33" s="108"/>
      <c r="L33" s="110"/>
      <c r="M33" s="114"/>
      <c r="N33" s="108">
        <v>352300.77092537261</v>
      </c>
      <c r="O33" s="108"/>
      <c r="P33" s="108">
        <v>97358640</v>
      </c>
      <c r="Q33" s="108"/>
      <c r="R33" s="110"/>
      <c r="S33" s="114"/>
      <c r="T33" s="108">
        <v>4763346.4331686022</v>
      </c>
      <c r="U33" s="108"/>
      <c r="V33" s="108">
        <v>58087560.000000007</v>
      </c>
      <c r="W33" s="108"/>
      <c r="X33" s="110"/>
      <c r="Y33" s="114"/>
      <c r="Z33" s="108">
        <v>2841978.603413803</v>
      </c>
      <c r="AA33" s="108"/>
      <c r="AB33" s="111">
        <v>435774960</v>
      </c>
      <c r="AC33" s="111"/>
      <c r="AD33" s="111">
        <f t="shared" si="3"/>
        <v>21320625.48716981</v>
      </c>
    </row>
    <row r="34" spans="2:38" ht="15" customHeight="1" x14ac:dyDescent="0.45">
      <c r="B34" s="107" t="s">
        <v>364</v>
      </c>
      <c r="C34" s="108"/>
      <c r="D34" s="108">
        <v>334877279.99999994</v>
      </c>
      <c r="E34" s="108"/>
      <c r="F34" s="115"/>
      <c r="G34" s="114"/>
      <c r="H34" s="108">
        <v>16792186.525142793</v>
      </c>
      <c r="I34" s="108"/>
      <c r="J34" s="108">
        <v>19088039.999999996</v>
      </c>
      <c r="K34" s="108"/>
      <c r="L34" s="110"/>
      <c r="M34" s="114"/>
      <c r="N34" s="108">
        <v>957156.38898938324</v>
      </c>
      <c r="O34" s="108"/>
      <c r="P34" s="108">
        <v>44071560</v>
      </c>
      <c r="Q34" s="108"/>
      <c r="R34" s="110"/>
      <c r="S34" s="114"/>
      <c r="T34" s="108">
        <v>2209937.4910535053</v>
      </c>
      <c r="U34" s="108"/>
      <c r="V34" s="108">
        <v>32911320</v>
      </c>
      <c r="W34" s="108"/>
      <c r="X34" s="110"/>
      <c r="Y34" s="114"/>
      <c r="Z34" s="108">
        <v>1650315.0772983541</v>
      </c>
      <c r="AA34" s="108"/>
      <c r="AB34" s="111">
        <v>430948200</v>
      </c>
      <c r="AC34" s="111"/>
      <c r="AD34" s="111">
        <f t="shared" si="3"/>
        <v>21609595.482484035</v>
      </c>
    </row>
    <row r="35" spans="2:38" ht="15" customHeight="1" x14ac:dyDescent="0.45">
      <c r="B35" s="107" t="s">
        <v>178</v>
      </c>
      <c r="C35" s="108"/>
      <c r="D35" s="108">
        <v>296745000</v>
      </c>
      <c r="E35" s="108"/>
      <c r="F35" s="115"/>
      <c r="G35" s="114"/>
      <c r="H35" s="108">
        <v>14518477.633937953</v>
      </c>
      <c r="I35" s="108"/>
      <c r="J35" s="108">
        <v>12991080</v>
      </c>
      <c r="K35" s="108"/>
      <c r="L35" s="110"/>
      <c r="M35" s="114"/>
      <c r="N35" s="108">
        <v>635598.59280088521</v>
      </c>
      <c r="O35" s="108"/>
      <c r="P35" s="108">
        <v>73566480</v>
      </c>
      <c r="Q35" s="108"/>
      <c r="R35" s="110"/>
      <c r="S35" s="114"/>
      <c r="T35" s="108">
        <v>3599296.6839796589</v>
      </c>
      <c r="U35" s="108"/>
      <c r="V35" s="108">
        <v>38009640.000000007</v>
      </c>
      <c r="W35" s="108"/>
      <c r="X35" s="110"/>
      <c r="Y35" s="114"/>
      <c r="Z35" s="108">
        <v>1859650.9063810124</v>
      </c>
      <c r="AA35" s="108"/>
      <c r="AB35" s="111">
        <v>421312200</v>
      </c>
      <c r="AC35" s="111"/>
      <c r="AD35" s="111">
        <f t="shared" si="3"/>
        <v>20613023.817099508</v>
      </c>
    </row>
    <row r="36" spans="2:38" ht="15" customHeight="1" x14ac:dyDescent="0.45">
      <c r="B36" s="107" t="s">
        <v>365</v>
      </c>
      <c r="C36" s="108"/>
      <c r="D36" s="108">
        <v>240908760</v>
      </c>
      <c r="E36" s="108"/>
      <c r="F36" s="115"/>
      <c r="G36" s="114"/>
      <c r="H36" s="108">
        <v>11786646.595156536</v>
      </c>
      <c r="I36" s="108"/>
      <c r="J36" s="108">
        <v>15592800</v>
      </c>
      <c r="K36" s="108"/>
      <c r="L36" s="110"/>
      <c r="M36" s="114"/>
      <c r="N36" s="108">
        <v>762889.74725932267</v>
      </c>
      <c r="O36" s="108"/>
      <c r="P36" s="108">
        <v>91568280</v>
      </c>
      <c r="Q36" s="108"/>
      <c r="R36" s="110"/>
      <c r="S36" s="114"/>
      <c r="T36" s="108">
        <v>4480048.6112930905</v>
      </c>
      <c r="U36" s="108"/>
      <c r="V36" s="108">
        <v>49213680</v>
      </c>
      <c r="W36" s="108"/>
      <c r="X36" s="110"/>
      <c r="Y36" s="114"/>
      <c r="Z36" s="108">
        <v>2407817.1910690311</v>
      </c>
      <c r="AA36" s="108"/>
      <c r="AB36" s="111">
        <v>397283520</v>
      </c>
      <c r="AC36" s="111"/>
      <c r="AD36" s="111">
        <f t="shared" si="3"/>
        <v>19437402.144777976</v>
      </c>
    </row>
    <row r="37" spans="2:38" ht="15" customHeight="1" x14ac:dyDescent="0.45">
      <c r="B37" s="107" t="s">
        <v>83</v>
      </c>
      <c r="C37" s="108"/>
      <c r="D37" s="108">
        <v>228399479.99999997</v>
      </c>
      <c r="E37" s="108"/>
      <c r="F37" s="115"/>
      <c r="G37" s="114"/>
      <c r="H37" s="108">
        <v>11174620.438366473</v>
      </c>
      <c r="I37" s="108"/>
      <c r="J37" s="108">
        <v>13867080</v>
      </c>
      <c r="K37" s="108"/>
      <c r="L37" s="110"/>
      <c r="M37" s="114"/>
      <c r="N37" s="108">
        <v>678457.56736601563</v>
      </c>
      <c r="O37" s="108"/>
      <c r="P37" s="108">
        <v>82081200</v>
      </c>
      <c r="Q37" s="108"/>
      <c r="R37" s="110"/>
      <c r="S37" s="114"/>
      <c r="T37" s="108">
        <v>4015885.9167527268</v>
      </c>
      <c r="U37" s="108"/>
      <c r="V37" s="108">
        <v>50186040</v>
      </c>
      <c r="W37" s="108"/>
      <c r="X37" s="110"/>
      <c r="Y37" s="114"/>
      <c r="Z37" s="108">
        <v>2455390.6528363256</v>
      </c>
      <c r="AA37" s="108"/>
      <c r="AB37" s="111">
        <v>374533800</v>
      </c>
      <c r="AC37" s="111"/>
      <c r="AD37" s="111">
        <f t="shared" si="3"/>
        <v>18324354.57532154</v>
      </c>
    </row>
    <row r="38" spans="2:38" ht="15" customHeight="1" x14ac:dyDescent="0.45">
      <c r="B38" s="107" t="s">
        <v>366</v>
      </c>
      <c r="C38" s="108"/>
      <c r="D38" s="108">
        <v>170627280.00000003</v>
      </c>
      <c r="E38" s="108"/>
      <c r="F38" s="115"/>
      <c r="G38" s="114"/>
      <c r="H38" s="108">
        <v>14017558.026538536</v>
      </c>
      <c r="I38" s="108"/>
      <c r="J38" s="108">
        <v>12045000</v>
      </c>
      <c r="K38" s="108"/>
      <c r="L38" s="110"/>
      <c r="M38" s="114"/>
      <c r="N38" s="108">
        <v>989533.95043076738</v>
      </c>
      <c r="O38" s="108"/>
      <c r="P38" s="108">
        <v>135044160</v>
      </c>
      <c r="Q38" s="108"/>
      <c r="R38" s="110"/>
      <c r="S38" s="114"/>
      <c r="T38" s="108">
        <v>11094294.821702333</v>
      </c>
      <c r="U38" s="108"/>
      <c r="V38" s="108">
        <v>42047999.999999993</v>
      </c>
      <c r="W38" s="108"/>
      <c r="X38" s="110"/>
      <c r="Y38" s="114"/>
      <c r="Z38" s="108">
        <v>3454373.0633219508</v>
      </c>
      <c r="AA38" s="108"/>
      <c r="AB38" s="111">
        <v>359764440</v>
      </c>
      <c r="AC38" s="111"/>
      <c r="AD38" s="111">
        <f t="shared" si="3"/>
        <v>29555759.861993589</v>
      </c>
    </row>
    <row r="39" spans="2:38" ht="15" customHeight="1" x14ac:dyDescent="0.45">
      <c r="B39" s="107" t="s">
        <v>367</v>
      </c>
      <c r="C39" s="108"/>
      <c r="D39" s="108">
        <v>6736440</v>
      </c>
      <c r="E39" s="108"/>
      <c r="F39" s="115"/>
      <c r="G39" s="114"/>
      <c r="H39" s="108">
        <v>0</v>
      </c>
      <c r="I39" s="108"/>
      <c r="J39" s="108">
        <v>1384080</v>
      </c>
      <c r="K39" s="108"/>
      <c r="L39" s="110"/>
      <c r="M39" s="114"/>
      <c r="N39" s="108">
        <v>0</v>
      </c>
      <c r="O39" s="108"/>
      <c r="P39" s="108">
        <v>248819040</v>
      </c>
      <c r="Q39" s="108"/>
      <c r="R39" s="110"/>
      <c r="S39" s="114"/>
      <c r="T39" s="108">
        <v>0</v>
      </c>
      <c r="U39" s="108"/>
      <c r="V39" s="108">
        <v>99171960</v>
      </c>
      <c r="W39" s="108"/>
      <c r="X39" s="110"/>
      <c r="Y39" s="114"/>
      <c r="Z39" s="108">
        <v>0</v>
      </c>
      <c r="AA39" s="108"/>
      <c r="AB39" s="111">
        <v>356111520</v>
      </c>
      <c r="AC39" s="111"/>
      <c r="AD39" s="111">
        <f t="shared" si="3"/>
        <v>0</v>
      </c>
    </row>
    <row r="40" spans="2:38" ht="15" customHeight="1" x14ac:dyDescent="0.45">
      <c r="B40" s="107" t="s">
        <v>368</v>
      </c>
      <c r="C40" s="108"/>
      <c r="D40" s="108">
        <v>201059520.00000003</v>
      </c>
      <c r="E40" s="108"/>
      <c r="F40" s="115"/>
      <c r="G40" s="114"/>
      <c r="H40" s="108">
        <v>9836991.8421887513</v>
      </c>
      <c r="I40" s="108"/>
      <c r="J40" s="108">
        <v>7743840</v>
      </c>
      <c r="K40" s="108"/>
      <c r="L40" s="110"/>
      <c r="M40" s="114"/>
      <c r="N40" s="108">
        <v>378873.33515575359</v>
      </c>
      <c r="O40" s="108"/>
      <c r="P40" s="108">
        <v>102991320</v>
      </c>
      <c r="Q40" s="108"/>
      <c r="R40" s="110"/>
      <c r="S40" s="114"/>
      <c r="T40" s="108">
        <v>5038929.6396223921</v>
      </c>
      <c r="U40" s="108"/>
      <c r="V40" s="108">
        <v>39665280</v>
      </c>
      <c r="W40" s="108"/>
      <c r="X40" s="110"/>
      <c r="Y40" s="114"/>
      <c r="Z40" s="108">
        <v>1940654.3683091085</v>
      </c>
      <c r="AA40" s="108"/>
      <c r="AB40" s="111">
        <v>351459960</v>
      </c>
      <c r="AC40" s="111"/>
      <c r="AD40" s="111">
        <f t="shared" si="3"/>
        <v>17195449.185276005</v>
      </c>
    </row>
    <row r="41" spans="2:38" ht="15" customHeight="1" x14ac:dyDescent="0.45">
      <c r="B41" s="107" t="s">
        <v>369</v>
      </c>
      <c r="C41" s="108"/>
      <c r="D41" s="108">
        <v>245525280</v>
      </c>
      <c r="E41" s="108"/>
      <c r="F41" s="115"/>
      <c r="G41" s="114"/>
      <c r="H41" s="108">
        <v>12012513.391114773</v>
      </c>
      <c r="I41" s="108"/>
      <c r="J41" s="108">
        <v>8698680</v>
      </c>
      <c r="K41" s="108"/>
      <c r="L41" s="110"/>
      <c r="M41" s="114"/>
      <c r="N41" s="108">
        <v>425589.61743174575</v>
      </c>
      <c r="O41" s="108"/>
      <c r="P41" s="108">
        <v>54163080</v>
      </c>
      <c r="Q41" s="108"/>
      <c r="R41" s="110"/>
      <c r="S41" s="114"/>
      <c r="T41" s="108">
        <v>2649970.3973620185</v>
      </c>
      <c r="U41" s="108"/>
      <c r="V41" s="108">
        <v>29827800</v>
      </c>
      <c r="W41" s="108"/>
      <c r="X41" s="110"/>
      <c r="Y41" s="114"/>
      <c r="Z41" s="108">
        <v>1459348.0839426934</v>
      </c>
      <c r="AA41" s="108"/>
      <c r="AB41" s="111">
        <v>338214839.99999994</v>
      </c>
      <c r="AC41" s="111"/>
      <c r="AD41" s="111">
        <f t="shared" si="3"/>
        <v>16547421.489851229</v>
      </c>
      <c r="AG41" s="101"/>
      <c r="AL41" s="101"/>
    </row>
    <row r="42" spans="2:38" ht="15" customHeight="1" x14ac:dyDescent="0.45">
      <c r="B42" s="107" t="s">
        <v>370</v>
      </c>
      <c r="C42" s="108"/>
      <c r="D42" s="108">
        <v>21654720</v>
      </c>
      <c r="E42" s="108"/>
      <c r="F42" s="115"/>
      <c r="G42" s="114"/>
      <c r="H42" s="108">
        <v>1085860.7588718475</v>
      </c>
      <c r="I42" s="108"/>
      <c r="J42" s="108">
        <v>2373960</v>
      </c>
      <c r="K42" s="108"/>
      <c r="L42" s="110"/>
      <c r="M42" s="114"/>
      <c r="N42" s="108">
        <v>119040.56053975351</v>
      </c>
      <c r="O42" s="108"/>
      <c r="P42" s="108">
        <v>215583600</v>
      </c>
      <c r="Q42" s="108"/>
      <c r="R42" s="110"/>
      <c r="S42" s="114"/>
      <c r="T42" s="108">
        <v>10810288.542004922</v>
      </c>
      <c r="U42" s="108"/>
      <c r="V42" s="108">
        <v>94616760</v>
      </c>
      <c r="W42" s="108"/>
      <c r="X42" s="110"/>
      <c r="Y42" s="114"/>
      <c r="Z42" s="108">
        <v>4744491.1232098807</v>
      </c>
      <c r="AA42" s="108"/>
      <c r="AB42" s="111">
        <v>334229040</v>
      </c>
      <c r="AC42" s="111"/>
      <c r="AD42" s="111">
        <f t="shared" si="3"/>
        <v>16759680.984626403</v>
      </c>
    </row>
    <row r="43" spans="2:38" ht="15" customHeight="1" x14ac:dyDescent="0.45">
      <c r="B43" s="107" t="s">
        <v>371</v>
      </c>
      <c r="C43" s="108"/>
      <c r="D43" s="108">
        <v>14427720</v>
      </c>
      <c r="E43" s="108"/>
      <c r="F43" s="115"/>
      <c r="G43" s="114"/>
      <c r="H43" s="108">
        <v>1692114.6403392181</v>
      </c>
      <c r="I43" s="108"/>
      <c r="J43" s="108">
        <v>1716960.0000000002</v>
      </c>
      <c r="K43" s="108"/>
      <c r="L43" s="110"/>
      <c r="M43" s="114"/>
      <c r="N43" s="108">
        <v>201368.83394443645</v>
      </c>
      <c r="O43" s="108"/>
      <c r="P43" s="108">
        <v>205518360</v>
      </c>
      <c r="Q43" s="108"/>
      <c r="R43" s="110"/>
      <c r="S43" s="114"/>
      <c r="T43" s="108">
        <v>24103643.944747057</v>
      </c>
      <c r="U43" s="108"/>
      <c r="V43" s="108">
        <v>99504840</v>
      </c>
      <c r="W43" s="108"/>
      <c r="X43" s="110"/>
      <c r="Y43" s="114"/>
      <c r="Z43" s="108">
        <v>11670145.840688027</v>
      </c>
      <c r="AA43" s="108"/>
      <c r="AB43" s="111">
        <v>321167879.99999994</v>
      </c>
      <c r="AC43" s="111"/>
      <c r="AD43" s="111">
        <f t="shared" si="3"/>
        <v>37667273.259718738</v>
      </c>
    </row>
    <row r="44" spans="2:38" ht="15" customHeight="1" x14ac:dyDescent="0.45">
      <c r="B44" s="107" t="s">
        <v>372</v>
      </c>
      <c r="C44" s="108"/>
      <c r="D44" s="108">
        <v>153168600</v>
      </c>
      <c r="E44" s="108"/>
      <c r="F44" s="115"/>
      <c r="G44" s="114"/>
      <c r="H44" s="108">
        <v>10896753.902605718</v>
      </c>
      <c r="I44" s="108"/>
      <c r="J44" s="108">
        <v>15137280</v>
      </c>
      <c r="K44" s="108"/>
      <c r="L44" s="110"/>
      <c r="M44" s="114"/>
      <c r="N44" s="108">
        <v>1076899.6707865417</v>
      </c>
      <c r="O44" s="108"/>
      <c r="P44" s="108">
        <v>74687760</v>
      </c>
      <c r="Q44" s="108"/>
      <c r="R44" s="110"/>
      <c r="S44" s="114"/>
      <c r="T44" s="108">
        <v>5313452.889540541</v>
      </c>
      <c r="U44" s="108"/>
      <c r="V44" s="108">
        <v>73443840</v>
      </c>
      <c r="W44" s="108"/>
      <c r="X44" s="110"/>
      <c r="Y44" s="114"/>
      <c r="Z44" s="108">
        <v>5224957.6619643318</v>
      </c>
      <c r="AA44" s="108"/>
      <c r="AB44" s="111">
        <v>316437480.00000006</v>
      </c>
      <c r="AC44" s="111"/>
      <c r="AD44" s="111">
        <f t="shared" si="3"/>
        <v>22512064.12489713</v>
      </c>
    </row>
    <row r="45" spans="2:38" ht="15" customHeight="1" x14ac:dyDescent="0.45">
      <c r="B45" s="107" t="s">
        <v>373</v>
      </c>
      <c r="C45" s="108"/>
      <c r="D45" s="108">
        <v>163628039.99999997</v>
      </c>
      <c r="E45" s="109"/>
      <c r="F45" s="115"/>
      <c r="G45" s="114"/>
      <c r="H45" s="109"/>
      <c r="I45" s="110"/>
      <c r="J45" s="108">
        <v>25675559.999999996</v>
      </c>
      <c r="K45" s="109"/>
      <c r="L45" s="110"/>
      <c r="M45" s="110"/>
      <c r="N45" s="109"/>
      <c r="O45" s="110"/>
      <c r="P45" s="108">
        <v>74214719.999999985</v>
      </c>
      <c r="Q45" s="109"/>
      <c r="R45" s="110"/>
      <c r="S45" s="110"/>
      <c r="T45" s="109"/>
      <c r="U45" s="110"/>
      <c r="V45" s="108">
        <v>33752280.000000007</v>
      </c>
      <c r="W45" s="109"/>
      <c r="X45" s="110"/>
      <c r="Y45" s="110"/>
      <c r="Z45" s="109"/>
      <c r="AA45" s="110"/>
      <c r="AB45" s="111">
        <v>297270600.00000006</v>
      </c>
      <c r="AC45" s="112"/>
      <c r="AD45" s="112"/>
      <c r="AF45" s="113"/>
    </row>
    <row r="46" spans="2:38" ht="15" customHeight="1" x14ac:dyDescent="0.45">
      <c r="B46" s="107" t="s">
        <v>374</v>
      </c>
      <c r="C46" s="108"/>
      <c r="D46" s="108">
        <v>22434360</v>
      </c>
      <c r="E46" s="108"/>
      <c r="F46" s="115"/>
      <c r="G46" s="114"/>
      <c r="H46" s="108">
        <v>1097618.3386129919</v>
      </c>
      <c r="I46" s="108"/>
      <c r="J46" s="108">
        <v>674520</v>
      </c>
      <c r="K46" s="108"/>
      <c r="L46" s="110"/>
      <c r="M46" s="114"/>
      <c r="N46" s="108">
        <v>33001.41041515048</v>
      </c>
      <c r="O46" s="108"/>
      <c r="P46" s="108">
        <v>188366280</v>
      </c>
      <c r="Q46" s="108"/>
      <c r="R46" s="110"/>
      <c r="S46" s="114"/>
      <c r="T46" s="108">
        <v>9215965.3007400092</v>
      </c>
      <c r="U46" s="108"/>
      <c r="V46" s="108">
        <v>77569800</v>
      </c>
      <c r="W46" s="108"/>
      <c r="X46" s="110"/>
      <c r="Y46" s="114"/>
      <c r="Z46" s="108">
        <v>3795162.1977423048</v>
      </c>
      <c r="AA46" s="108"/>
      <c r="AB46" s="111">
        <v>289044959.99999994</v>
      </c>
      <c r="AC46" s="111"/>
      <c r="AD46" s="111">
        <f t="shared" ref="AD46:AD109" si="4">H46+N46+T46+Z46</f>
        <v>14141747.247510456</v>
      </c>
    </row>
    <row r="47" spans="2:38" ht="15" customHeight="1" x14ac:dyDescent="0.45">
      <c r="B47" s="107" t="s">
        <v>375</v>
      </c>
      <c r="C47" s="108"/>
      <c r="D47" s="108">
        <v>138626999.99999997</v>
      </c>
      <c r="E47" s="108"/>
      <c r="F47" s="115"/>
      <c r="G47" s="114"/>
      <c r="H47" s="108">
        <v>9862232.2281232737</v>
      </c>
      <c r="I47" s="108"/>
      <c r="J47" s="108">
        <v>9031560</v>
      </c>
      <c r="K47" s="108"/>
      <c r="L47" s="110"/>
      <c r="M47" s="114"/>
      <c r="N47" s="108">
        <v>642525.20866951637</v>
      </c>
      <c r="O47" s="108"/>
      <c r="P47" s="108">
        <v>77517240</v>
      </c>
      <c r="Q47" s="108"/>
      <c r="R47" s="110"/>
      <c r="S47" s="114"/>
      <c r="T47" s="108">
        <v>5514748.3719850164</v>
      </c>
      <c r="U47" s="108"/>
      <c r="V47" s="108">
        <v>55161719.999999993</v>
      </c>
      <c r="W47" s="108"/>
      <c r="X47" s="110"/>
      <c r="Y47" s="114"/>
      <c r="Z47" s="108">
        <v>3924327.0989252618</v>
      </c>
      <c r="AA47" s="108"/>
      <c r="AB47" s="111">
        <v>280337519.99999994</v>
      </c>
      <c r="AC47" s="111"/>
      <c r="AD47" s="111">
        <f t="shared" si="4"/>
        <v>19943832.907703068</v>
      </c>
    </row>
    <row r="48" spans="2:38" ht="15" customHeight="1" x14ac:dyDescent="0.45">
      <c r="B48" s="107" t="s">
        <v>376</v>
      </c>
      <c r="C48" s="108"/>
      <c r="D48" s="108">
        <v>98725200.000000015</v>
      </c>
      <c r="E48" s="108"/>
      <c r="F48" s="115"/>
      <c r="G48" s="114"/>
      <c r="H48" s="108">
        <v>8110580.0882580001</v>
      </c>
      <c r="I48" s="108"/>
      <c r="J48" s="108">
        <v>12097560</v>
      </c>
      <c r="K48" s="108"/>
      <c r="L48" s="110"/>
      <c r="M48" s="114"/>
      <c r="N48" s="108">
        <v>993851.91675991984</v>
      </c>
      <c r="O48" s="108"/>
      <c r="P48" s="108">
        <v>108492600</v>
      </c>
      <c r="Q48" s="108"/>
      <c r="R48" s="110"/>
      <c r="S48" s="114"/>
      <c r="T48" s="108">
        <v>8913002.1644254941</v>
      </c>
      <c r="U48" s="108"/>
      <c r="V48" s="108">
        <v>53567399.999999993</v>
      </c>
      <c r="W48" s="108"/>
      <c r="X48" s="110"/>
      <c r="Y48" s="114"/>
      <c r="Z48" s="108">
        <v>4400727.3504611943</v>
      </c>
      <c r="AA48" s="108"/>
      <c r="AB48" s="111">
        <v>272882760</v>
      </c>
      <c r="AC48" s="111"/>
      <c r="AD48" s="111">
        <f t="shared" si="4"/>
        <v>22418161.519904606</v>
      </c>
    </row>
    <row r="49" spans="2:30" ht="15" customHeight="1" x14ac:dyDescent="0.45">
      <c r="B49" s="107" t="s">
        <v>87</v>
      </c>
      <c r="C49" s="108"/>
      <c r="D49" s="108">
        <v>12036240</v>
      </c>
      <c r="E49" s="108"/>
      <c r="F49" s="115"/>
      <c r="G49" s="114"/>
      <c r="H49" s="108">
        <v>588882.31052489288</v>
      </c>
      <c r="I49" s="108"/>
      <c r="J49" s="108">
        <v>1953480</v>
      </c>
      <c r="K49" s="108"/>
      <c r="L49" s="110"/>
      <c r="M49" s="114"/>
      <c r="N49" s="108">
        <v>95575.513280240993</v>
      </c>
      <c r="O49" s="108"/>
      <c r="P49" s="108">
        <v>177714120</v>
      </c>
      <c r="Q49" s="108"/>
      <c r="R49" s="110"/>
      <c r="S49" s="114"/>
      <c r="T49" s="108">
        <v>8694800.1700280234</v>
      </c>
      <c r="U49" s="108"/>
      <c r="V49" s="108">
        <v>78734879.999999985</v>
      </c>
      <c r="W49" s="108"/>
      <c r="X49" s="110"/>
      <c r="Y49" s="114"/>
      <c r="Z49" s="108">
        <v>3852164.6339139282</v>
      </c>
      <c r="AA49" s="108"/>
      <c r="AB49" s="111">
        <v>270438720</v>
      </c>
      <c r="AC49" s="111"/>
      <c r="AD49" s="111">
        <f t="shared" si="4"/>
        <v>13231422.627747087</v>
      </c>
    </row>
    <row r="50" spans="2:30" ht="15" customHeight="1" x14ac:dyDescent="0.45">
      <c r="B50" s="107" t="s">
        <v>64</v>
      </c>
      <c r="C50" s="108"/>
      <c r="D50" s="108">
        <v>5895480.0000000009</v>
      </c>
      <c r="E50" s="108"/>
      <c r="F50" s="115"/>
      <c r="G50" s="114"/>
      <c r="H50" s="108">
        <v>295624.71307473845</v>
      </c>
      <c r="I50" s="108"/>
      <c r="J50" s="108">
        <v>954840</v>
      </c>
      <c r="K50" s="108"/>
      <c r="L50" s="110"/>
      <c r="M50" s="114"/>
      <c r="N50" s="108">
        <v>47879.782652520786</v>
      </c>
      <c r="O50" s="108"/>
      <c r="P50" s="108">
        <v>206210400.00000003</v>
      </c>
      <c r="Q50" s="108"/>
      <c r="R50" s="110"/>
      <c r="S50" s="114"/>
      <c r="T50" s="108">
        <v>10340275.996700361</v>
      </c>
      <c r="U50" s="108"/>
      <c r="V50" s="108">
        <v>56221680</v>
      </c>
      <c r="W50" s="108"/>
      <c r="X50" s="110"/>
      <c r="Y50" s="114"/>
      <c r="Z50" s="108">
        <v>2819196.7437053062</v>
      </c>
      <c r="AA50" s="108"/>
      <c r="AB50" s="111">
        <v>269282400</v>
      </c>
      <c r="AC50" s="111"/>
      <c r="AD50" s="111">
        <f t="shared" si="4"/>
        <v>13502977.236132927</v>
      </c>
    </row>
    <row r="51" spans="2:30" ht="15" customHeight="1" x14ac:dyDescent="0.45">
      <c r="B51" s="107" t="s">
        <v>377</v>
      </c>
      <c r="C51" s="108"/>
      <c r="D51" s="108">
        <v>166588920</v>
      </c>
      <c r="E51" s="108"/>
      <c r="F51" s="115"/>
      <c r="G51" s="114"/>
      <c r="H51" s="108">
        <v>8150491.1930508651</v>
      </c>
      <c r="I51" s="108"/>
      <c r="J51" s="108">
        <v>4747920</v>
      </c>
      <c r="K51" s="108"/>
      <c r="L51" s="110"/>
      <c r="M51" s="114"/>
      <c r="N51" s="108">
        <v>232295.64214300725</v>
      </c>
      <c r="O51" s="108"/>
      <c r="P51" s="108">
        <v>60260040</v>
      </c>
      <c r="Q51" s="108"/>
      <c r="R51" s="110"/>
      <c r="S51" s="114"/>
      <c r="T51" s="108">
        <v>2948268.8603353268</v>
      </c>
      <c r="U51" s="108"/>
      <c r="V51" s="108">
        <v>26788079.999999996</v>
      </c>
      <c r="W51" s="108"/>
      <c r="X51" s="110"/>
      <c r="Y51" s="114"/>
      <c r="Z51" s="108">
        <v>1310627.4422016903</v>
      </c>
      <c r="AA51" s="108"/>
      <c r="AB51" s="111">
        <v>258384960</v>
      </c>
      <c r="AC51" s="111"/>
      <c r="AD51" s="111">
        <f t="shared" si="4"/>
        <v>12641683.137730891</v>
      </c>
    </row>
    <row r="52" spans="2:30" ht="15" customHeight="1" x14ac:dyDescent="0.45">
      <c r="B52" s="107" t="s">
        <v>378</v>
      </c>
      <c r="C52" s="108"/>
      <c r="D52" s="108">
        <v>5334840</v>
      </c>
      <c r="E52" s="108"/>
      <c r="F52" s="115"/>
      <c r="G52" s="114"/>
      <c r="H52" s="108">
        <v>261011.15510164469</v>
      </c>
      <c r="I52" s="108"/>
      <c r="J52" s="108">
        <v>1016160.0000000001</v>
      </c>
      <c r="K52" s="108"/>
      <c r="L52" s="110"/>
      <c r="M52" s="114"/>
      <c r="N52" s="108">
        <v>49716.410495551369</v>
      </c>
      <c r="O52" s="108"/>
      <c r="P52" s="108">
        <v>177354960</v>
      </c>
      <c r="Q52" s="108"/>
      <c r="R52" s="110"/>
      <c r="S52" s="114"/>
      <c r="T52" s="108">
        <v>8677227.9904563185</v>
      </c>
      <c r="U52" s="108"/>
      <c r="V52" s="108">
        <v>65603640</v>
      </c>
      <c r="W52" s="108"/>
      <c r="X52" s="110"/>
      <c r="Y52" s="114"/>
      <c r="Z52" s="108">
        <v>3209708.6051826221</v>
      </c>
      <c r="AA52" s="108"/>
      <c r="AB52" s="111">
        <v>249309599.99999997</v>
      </c>
      <c r="AC52" s="111"/>
      <c r="AD52" s="111">
        <f t="shared" si="4"/>
        <v>12197664.161236135</v>
      </c>
    </row>
    <row r="53" spans="2:30" ht="15" customHeight="1" x14ac:dyDescent="0.45">
      <c r="B53" s="107" t="s">
        <v>379</v>
      </c>
      <c r="C53" s="108"/>
      <c r="D53" s="108">
        <v>179150760</v>
      </c>
      <c r="E53" s="108"/>
      <c r="F53" s="115"/>
      <c r="G53" s="114"/>
      <c r="H53" s="108">
        <v>8765088.8883148357</v>
      </c>
      <c r="I53" s="108"/>
      <c r="J53" s="108">
        <v>6937920.0000000009</v>
      </c>
      <c r="K53" s="108"/>
      <c r="L53" s="110"/>
      <c r="M53" s="114"/>
      <c r="N53" s="108">
        <v>339443.07855583349</v>
      </c>
      <c r="O53" s="108"/>
      <c r="P53" s="108">
        <v>27541440.000000004</v>
      </c>
      <c r="Q53" s="108"/>
      <c r="R53" s="110"/>
      <c r="S53" s="114"/>
      <c r="T53" s="108">
        <v>1347486.1603277028</v>
      </c>
      <c r="U53" s="108"/>
      <c r="V53" s="108">
        <v>31886400</v>
      </c>
      <c r="W53" s="108"/>
      <c r="X53" s="110"/>
      <c r="Y53" s="114"/>
      <c r="Z53" s="108">
        <v>1560066.67417075</v>
      </c>
      <c r="AA53" s="108"/>
      <c r="AB53" s="111">
        <v>245516520.00000003</v>
      </c>
      <c r="AC53" s="111"/>
      <c r="AD53" s="111">
        <f t="shared" si="4"/>
        <v>12012084.801369121</v>
      </c>
    </row>
    <row r="54" spans="2:30" ht="15" customHeight="1" x14ac:dyDescent="0.45">
      <c r="B54" s="107" t="s">
        <v>380</v>
      </c>
      <c r="C54" s="108"/>
      <c r="D54" s="108">
        <v>168095640</v>
      </c>
      <c r="E54" s="108"/>
      <c r="F54" s="115"/>
      <c r="G54" s="114"/>
      <c r="H54" s="108">
        <v>8224208.62930289</v>
      </c>
      <c r="I54" s="108"/>
      <c r="J54" s="108">
        <v>10074000</v>
      </c>
      <c r="K54" s="108"/>
      <c r="L54" s="110"/>
      <c r="M54" s="114"/>
      <c r="N54" s="108">
        <v>492878.20749900065</v>
      </c>
      <c r="O54" s="108"/>
      <c r="P54" s="108">
        <v>35145119.999999993</v>
      </c>
      <c r="Q54" s="108"/>
      <c r="R54" s="110"/>
      <c r="S54" s="114"/>
      <c r="T54" s="108">
        <v>1719502.0595530346</v>
      </c>
      <c r="U54" s="108"/>
      <c r="V54" s="108">
        <v>26490239.999999996</v>
      </c>
      <c r="W54" s="108"/>
      <c r="X54" s="110"/>
      <c r="Y54" s="114"/>
      <c r="Z54" s="108">
        <v>1296055.3908495458</v>
      </c>
      <c r="AA54" s="108"/>
      <c r="AB54" s="111">
        <v>239805000</v>
      </c>
      <c r="AC54" s="111"/>
      <c r="AD54" s="111">
        <f t="shared" si="4"/>
        <v>11732644.28720447</v>
      </c>
    </row>
    <row r="55" spans="2:30" ht="15" customHeight="1" x14ac:dyDescent="0.45">
      <c r="B55" s="107" t="s">
        <v>381</v>
      </c>
      <c r="C55" s="108"/>
      <c r="D55" s="108">
        <v>154097160</v>
      </c>
      <c r="E55" s="108"/>
      <c r="F55" s="115"/>
      <c r="G55" s="114"/>
      <c r="H55" s="108">
        <v>7539322.2157521052</v>
      </c>
      <c r="I55" s="108"/>
      <c r="J55" s="108">
        <v>13394039.999999998</v>
      </c>
      <c r="K55" s="108"/>
      <c r="L55" s="110"/>
      <c r="M55" s="114"/>
      <c r="N55" s="108">
        <v>655313.72110084514</v>
      </c>
      <c r="O55" s="108"/>
      <c r="P55" s="108">
        <v>40663920.000000007</v>
      </c>
      <c r="Q55" s="108"/>
      <c r="R55" s="110"/>
      <c r="S55" s="114"/>
      <c r="T55" s="108">
        <v>1989513.5993133578</v>
      </c>
      <c r="U55" s="108"/>
      <c r="V55" s="108">
        <v>25535400</v>
      </c>
      <c r="W55" s="108"/>
      <c r="X55" s="110"/>
      <c r="Y55" s="114"/>
      <c r="Z55" s="108">
        <v>1249339.1085735539</v>
      </c>
      <c r="AA55" s="108"/>
      <c r="AB55" s="111">
        <v>233690520.00000003</v>
      </c>
      <c r="AC55" s="111"/>
      <c r="AD55" s="111">
        <f t="shared" si="4"/>
        <v>11433488.644739863</v>
      </c>
    </row>
    <row r="56" spans="2:30" ht="15" customHeight="1" x14ac:dyDescent="0.45">
      <c r="B56" s="107" t="s">
        <v>382</v>
      </c>
      <c r="C56" s="108"/>
      <c r="D56" s="108">
        <v>113687280</v>
      </c>
      <c r="E56" s="108"/>
      <c r="F56" s="115"/>
      <c r="G56" s="114"/>
      <c r="H56" s="108">
        <v>5562237.7190626347</v>
      </c>
      <c r="I56" s="108"/>
      <c r="J56" s="108">
        <v>11475600</v>
      </c>
      <c r="K56" s="108"/>
      <c r="L56" s="110"/>
      <c r="M56" s="114"/>
      <c r="N56" s="108">
        <v>561452.56680320948</v>
      </c>
      <c r="O56" s="108"/>
      <c r="P56" s="108">
        <v>73102200.000000015</v>
      </c>
      <c r="Q56" s="108"/>
      <c r="R56" s="110"/>
      <c r="S56" s="114"/>
      <c r="T56" s="108">
        <v>3576581.4274601396</v>
      </c>
      <c r="U56" s="108"/>
      <c r="V56" s="108">
        <v>30660000</v>
      </c>
      <c r="W56" s="108"/>
      <c r="X56" s="110"/>
      <c r="Y56" s="114"/>
      <c r="Z56" s="108">
        <v>1500064.109779567</v>
      </c>
      <c r="AA56" s="108"/>
      <c r="AB56" s="111">
        <v>228925080.00000003</v>
      </c>
      <c r="AC56" s="111"/>
      <c r="AD56" s="111">
        <f t="shared" si="4"/>
        <v>11200335.823105551</v>
      </c>
    </row>
    <row r="57" spans="2:30" ht="15" customHeight="1" x14ac:dyDescent="0.45">
      <c r="B57" s="107" t="s">
        <v>383</v>
      </c>
      <c r="C57" s="108"/>
      <c r="D57" s="108">
        <v>6394800</v>
      </c>
      <c r="E57" s="108"/>
      <c r="F57" s="115"/>
      <c r="G57" s="114"/>
      <c r="H57" s="108">
        <v>320662.76455357956</v>
      </c>
      <c r="I57" s="108"/>
      <c r="J57" s="108">
        <v>1620600</v>
      </c>
      <c r="K57" s="108"/>
      <c r="L57" s="110"/>
      <c r="M57" s="114"/>
      <c r="N57" s="108">
        <v>81263.851290975639</v>
      </c>
      <c r="O57" s="108"/>
      <c r="P57" s="108">
        <v>125049000.00000001</v>
      </c>
      <c r="Q57" s="108"/>
      <c r="R57" s="110"/>
      <c r="S57" s="114"/>
      <c r="T57" s="108">
        <v>6270494.4712360948</v>
      </c>
      <c r="U57" s="108"/>
      <c r="V57" s="108">
        <v>77105519.999999985</v>
      </c>
      <c r="W57" s="108"/>
      <c r="X57" s="110"/>
      <c r="Y57" s="114"/>
      <c r="Z57" s="108">
        <v>3866402.2652063109</v>
      </c>
      <c r="AA57" s="108"/>
      <c r="AB57" s="111">
        <v>210169919.99999997</v>
      </c>
      <c r="AC57" s="111"/>
      <c r="AD57" s="111">
        <f t="shared" si="4"/>
        <v>10538823.352286961</v>
      </c>
    </row>
    <row r="58" spans="2:30" ht="15" customHeight="1" x14ac:dyDescent="0.45">
      <c r="B58" s="107" t="s">
        <v>384</v>
      </c>
      <c r="C58" s="108"/>
      <c r="D58" s="108">
        <v>43800</v>
      </c>
      <c r="E58" s="108"/>
      <c r="F58" s="115"/>
      <c r="G58" s="114"/>
      <c r="H58" s="108">
        <v>2142.9487282565246</v>
      </c>
      <c r="I58" s="108"/>
      <c r="J58" s="108">
        <v>0</v>
      </c>
      <c r="K58" s="108"/>
      <c r="L58" s="110"/>
      <c r="M58" s="114"/>
      <c r="N58" s="108">
        <v>0</v>
      </c>
      <c r="O58" s="108"/>
      <c r="P58" s="108">
        <v>145074360</v>
      </c>
      <c r="Q58" s="108"/>
      <c r="R58" s="110"/>
      <c r="S58" s="114"/>
      <c r="T58" s="108">
        <v>7097874.7777312603</v>
      </c>
      <c r="U58" s="108"/>
      <c r="V58" s="108">
        <v>59462880.000000007</v>
      </c>
      <c r="W58" s="108"/>
      <c r="X58" s="110"/>
      <c r="Y58" s="114"/>
      <c r="Z58" s="108">
        <v>2909267.1934810583</v>
      </c>
      <c r="AA58" s="108"/>
      <c r="AB58" s="111">
        <v>204581039.99999997</v>
      </c>
      <c r="AC58" s="111"/>
      <c r="AD58" s="111">
        <f t="shared" si="4"/>
        <v>10009284.919940576</v>
      </c>
    </row>
    <row r="59" spans="2:30" ht="15" customHeight="1" x14ac:dyDescent="0.45">
      <c r="B59" s="107" t="s">
        <v>385</v>
      </c>
      <c r="C59" s="108"/>
      <c r="D59" s="108">
        <v>139941000</v>
      </c>
      <c r="E59" s="108"/>
      <c r="F59" s="115"/>
      <c r="G59" s="114"/>
      <c r="H59" s="108">
        <v>7017243.3749910044</v>
      </c>
      <c r="I59" s="108"/>
      <c r="J59" s="108">
        <v>7551120</v>
      </c>
      <c r="K59" s="108"/>
      <c r="L59" s="110"/>
      <c r="M59" s="114"/>
      <c r="N59" s="108">
        <v>378645.62060984335</v>
      </c>
      <c r="O59" s="108"/>
      <c r="P59" s="108">
        <v>31877640</v>
      </c>
      <c r="Q59" s="108"/>
      <c r="R59" s="110"/>
      <c r="S59" s="114"/>
      <c r="T59" s="108">
        <v>1598481.9180965428</v>
      </c>
      <c r="U59" s="108"/>
      <c r="V59" s="108">
        <v>18974160</v>
      </c>
      <c r="W59" s="108"/>
      <c r="X59" s="110"/>
      <c r="Y59" s="114"/>
      <c r="Z59" s="108">
        <v>951445.95619596355</v>
      </c>
      <c r="AA59" s="108"/>
      <c r="AB59" s="111">
        <v>198343920</v>
      </c>
      <c r="AC59" s="111"/>
      <c r="AD59" s="111">
        <f t="shared" si="4"/>
        <v>9945816.8698933534</v>
      </c>
    </row>
    <row r="60" spans="2:30" ht="15" customHeight="1" x14ac:dyDescent="0.45">
      <c r="B60" s="107" t="s">
        <v>386</v>
      </c>
      <c r="C60" s="108"/>
      <c r="D60" s="108">
        <v>11230320</v>
      </c>
      <c r="E60" s="108"/>
      <c r="F60" s="115"/>
      <c r="G60" s="114"/>
      <c r="H60" s="108">
        <v>1317116.5567182016</v>
      </c>
      <c r="I60" s="108"/>
      <c r="J60" s="108">
        <v>770880</v>
      </c>
      <c r="K60" s="108"/>
      <c r="L60" s="110"/>
      <c r="M60" s="114"/>
      <c r="N60" s="108">
        <v>90410.496873012278</v>
      </c>
      <c r="O60" s="108"/>
      <c r="P60" s="108">
        <v>169330800</v>
      </c>
      <c r="Q60" s="108"/>
      <c r="R60" s="110"/>
      <c r="S60" s="114"/>
      <c r="T60" s="108">
        <v>19859487.551765084</v>
      </c>
      <c r="U60" s="108"/>
      <c r="V60" s="108">
        <v>4423800</v>
      </c>
      <c r="W60" s="108"/>
      <c r="X60" s="110"/>
      <c r="Y60" s="114"/>
      <c r="Z60" s="108">
        <v>518832.96500989993</v>
      </c>
      <c r="AA60" s="108"/>
      <c r="AB60" s="111">
        <v>185755800</v>
      </c>
      <c r="AC60" s="111"/>
      <c r="AD60" s="111">
        <f t="shared" si="4"/>
        <v>21785847.5703662</v>
      </c>
    </row>
    <row r="61" spans="2:30" ht="15" customHeight="1" x14ac:dyDescent="0.45">
      <c r="B61" s="116" t="s">
        <v>387</v>
      </c>
      <c r="C61" s="108"/>
      <c r="D61" s="108">
        <v>122964120.00000001</v>
      </c>
      <c r="E61" s="108"/>
      <c r="F61" s="115"/>
      <c r="G61" s="114"/>
      <c r="H61" s="108">
        <v>6016114.259707368</v>
      </c>
      <c r="I61" s="108"/>
      <c r="J61" s="108">
        <v>4248600</v>
      </c>
      <c r="K61" s="108"/>
      <c r="L61" s="110"/>
      <c r="M61" s="114"/>
      <c r="N61" s="108">
        <v>207866.02664088289</v>
      </c>
      <c r="O61" s="108"/>
      <c r="P61" s="108">
        <v>39998160</v>
      </c>
      <c r="Q61" s="108"/>
      <c r="R61" s="110"/>
      <c r="S61" s="114"/>
      <c r="T61" s="108">
        <v>1956940.7786438582</v>
      </c>
      <c r="U61" s="108"/>
      <c r="V61" s="108">
        <v>15864359.999999998</v>
      </c>
      <c r="W61" s="108"/>
      <c r="X61" s="110"/>
      <c r="Y61" s="114"/>
      <c r="Z61" s="108">
        <v>776176.02937451319</v>
      </c>
      <c r="AA61" s="108"/>
      <c r="AB61" s="111">
        <v>183075240.00000003</v>
      </c>
      <c r="AC61" s="111"/>
      <c r="AD61" s="111">
        <f t="shared" si="4"/>
        <v>8957097.0943666231</v>
      </c>
    </row>
    <row r="62" spans="2:30" ht="15" customHeight="1" x14ac:dyDescent="0.45">
      <c r="B62" s="116" t="s">
        <v>388</v>
      </c>
      <c r="C62" s="108"/>
      <c r="D62" s="108">
        <v>146178120.00000003</v>
      </c>
      <c r="E62" s="108"/>
      <c r="F62" s="115"/>
      <c r="G62" s="114"/>
      <c r="H62" s="108">
        <v>12008984.022427794</v>
      </c>
      <c r="I62" s="108"/>
      <c r="J62" s="108">
        <v>2277600</v>
      </c>
      <c r="K62" s="108"/>
      <c r="L62" s="110"/>
      <c r="M62" s="114"/>
      <c r="N62" s="108">
        <v>187111.87426327239</v>
      </c>
      <c r="O62" s="108"/>
      <c r="P62" s="108">
        <v>21917519.999999996</v>
      </c>
      <c r="Q62" s="108"/>
      <c r="R62" s="110"/>
      <c r="S62" s="114"/>
      <c r="T62" s="108">
        <v>1800591.9592565671</v>
      </c>
      <c r="U62" s="108"/>
      <c r="V62" s="108">
        <v>11475600</v>
      </c>
      <c r="W62" s="108"/>
      <c r="X62" s="110"/>
      <c r="Y62" s="114"/>
      <c r="Z62" s="108">
        <v>942755.98186494934</v>
      </c>
      <c r="AA62" s="108"/>
      <c r="AB62" s="111">
        <v>181848840</v>
      </c>
      <c r="AC62" s="111"/>
      <c r="AD62" s="111">
        <f t="shared" si="4"/>
        <v>14939443.837812582</v>
      </c>
    </row>
    <row r="63" spans="2:30" ht="15" customHeight="1" x14ac:dyDescent="0.45">
      <c r="B63" s="116" t="s">
        <v>389</v>
      </c>
      <c r="C63" s="108"/>
      <c r="D63" s="108">
        <v>135350760</v>
      </c>
      <c r="E63" s="108"/>
      <c r="F63" s="115"/>
      <c r="G63" s="114"/>
      <c r="H63" s="108">
        <v>6622140.160058313</v>
      </c>
      <c r="I63" s="108"/>
      <c r="J63" s="108">
        <v>10468200</v>
      </c>
      <c r="K63" s="108"/>
      <c r="L63" s="110"/>
      <c r="M63" s="114"/>
      <c r="N63" s="108">
        <v>512164.74605330935</v>
      </c>
      <c r="O63" s="108"/>
      <c r="P63" s="108">
        <v>27348719.999999996</v>
      </c>
      <c r="Q63" s="108"/>
      <c r="R63" s="110"/>
      <c r="S63" s="114"/>
      <c r="T63" s="108">
        <v>1338057.1859233738</v>
      </c>
      <c r="U63" s="108"/>
      <c r="V63" s="108">
        <v>7472280.0000000009</v>
      </c>
      <c r="W63" s="108"/>
      <c r="X63" s="110"/>
      <c r="Y63" s="114"/>
      <c r="Z63" s="108">
        <v>365587.05304056313</v>
      </c>
      <c r="AA63" s="108"/>
      <c r="AB63" s="111">
        <v>180639960.00000003</v>
      </c>
      <c r="AC63" s="111"/>
      <c r="AD63" s="111">
        <f t="shared" si="4"/>
        <v>8837949.1450755596</v>
      </c>
    </row>
    <row r="64" spans="2:30" ht="15" customHeight="1" x14ac:dyDescent="0.45">
      <c r="B64" s="116" t="s">
        <v>390</v>
      </c>
      <c r="C64" s="108"/>
      <c r="D64" s="108">
        <v>111146880</v>
      </c>
      <c r="E64" s="108"/>
      <c r="F64" s="115"/>
      <c r="G64" s="114"/>
      <c r="H64" s="108">
        <v>5437946.6928237565</v>
      </c>
      <c r="I64" s="108"/>
      <c r="J64" s="108">
        <v>5755320.0000000009</v>
      </c>
      <c r="K64" s="108"/>
      <c r="L64" s="110"/>
      <c r="M64" s="114"/>
      <c r="N64" s="108">
        <v>281583.46289290738</v>
      </c>
      <c r="O64" s="108"/>
      <c r="P64" s="108">
        <v>36792000.000000007</v>
      </c>
      <c r="Q64" s="108"/>
      <c r="R64" s="110"/>
      <c r="S64" s="114"/>
      <c r="T64" s="108">
        <v>1800076.9317354811</v>
      </c>
      <c r="U64" s="108"/>
      <c r="V64" s="108">
        <v>15846839.999999998</v>
      </c>
      <c r="W64" s="108"/>
      <c r="X64" s="110"/>
      <c r="Y64" s="114"/>
      <c r="Z64" s="108">
        <v>775318.8498832105</v>
      </c>
      <c r="AA64" s="108"/>
      <c r="AB64" s="111">
        <v>169541040.00000003</v>
      </c>
      <c r="AC64" s="111"/>
      <c r="AD64" s="111">
        <f t="shared" si="4"/>
        <v>8294925.9373353561</v>
      </c>
    </row>
    <row r="65" spans="2:30" ht="15" customHeight="1" x14ac:dyDescent="0.45">
      <c r="B65" s="116" t="s">
        <v>391</v>
      </c>
      <c r="C65" s="108"/>
      <c r="D65" s="108">
        <v>50860560</v>
      </c>
      <c r="E65" s="108"/>
      <c r="F65" s="115"/>
      <c r="G65" s="114"/>
      <c r="H65" s="108">
        <v>4178352.0845098435</v>
      </c>
      <c r="I65" s="108"/>
      <c r="J65" s="108">
        <v>9671040</v>
      </c>
      <c r="K65" s="108"/>
      <c r="L65" s="110"/>
      <c r="M65" s="114"/>
      <c r="N65" s="108">
        <v>794505.80456404889</v>
      </c>
      <c r="O65" s="108"/>
      <c r="P65" s="108">
        <v>85015800</v>
      </c>
      <c r="Q65" s="108"/>
      <c r="R65" s="110"/>
      <c r="S65" s="114"/>
      <c r="T65" s="108">
        <v>6984310.5374040706</v>
      </c>
      <c r="U65" s="108"/>
      <c r="V65" s="108">
        <v>18396000.000000004</v>
      </c>
      <c r="W65" s="108"/>
      <c r="X65" s="110"/>
      <c r="Y65" s="114"/>
      <c r="Z65" s="108">
        <v>1511288.2152033541</v>
      </c>
      <c r="AA65" s="108"/>
      <c r="AB65" s="111">
        <v>163943400.00000003</v>
      </c>
      <c r="AC65" s="111"/>
      <c r="AD65" s="111">
        <f t="shared" si="4"/>
        <v>13468456.641681317</v>
      </c>
    </row>
    <row r="66" spans="2:30" ht="15" customHeight="1" x14ac:dyDescent="0.45">
      <c r="B66" s="116" t="s">
        <v>392</v>
      </c>
      <c r="C66" s="108"/>
      <c r="D66" s="108">
        <v>6421080</v>
      </c>
      <c r="E66" s="108"/>
      <c r="F66" s="115"/>
      <c r="G66" s="114"/>
      <c r="H66" s="108">
        <v>314156.28356240649</v>
      </c>
      <c r="I66" s="108"/>
      <c r="J66" s="108">
        <v>96360</v>
      </c>
      <c r="K66" s="108"/>
      <c r="L66" s="110"/>
      <c r="M66" s="114"/>
      <c r="N66" s="108">
        <v>4714.4872021643541</v>
      </c>
      <c r="O66" s="108"/>
      <c r="P66" s="108">
        <v>127659480.00000001</v>
      </c>
      <c r="Q66" s="108"/>
      <c r="R66" s="110"/>
      <c r="S66" s="114"/>
      <c r="T66" s="108">
        <v>6245838.3633764675</v>
      </c>
      <c r="U66" s="108"/>
      <c r="V66" s="108">
        <v>24764520</v>
      </c>
      <c r="W66" s="108"/>
      <c r="X66" s="110"/>
      <c r="Y66" s="114"/>
      <c r="Z66" s="108">
        <v>1211623.2109562389</v>
      </c>
      <c r="AA66" s="108"/>
      <c r="AB66" s="111">
        <v>158941439.99999997</v>
      </c>
      <c r="AC66" s="111"/>
      <c r="AD66" s="111">
        <f t="shared" si="4"/>
        <v>7776332.3450972773</v>
      </c>
    </row>
    <row r="67" spans="2:30" ht="15" customHeight="1" x14ac:dyDescent="0.45">
      <c r="B67" s="116" t="s">
        <v>393</v>
      </c>
      <c r="C67" s="108"/>
      <c r="D67" s="108">
        <v>69282840</v>
      </c>
      <c r="E67" s="108"/>
      <c r="F67" s="115"/>
      <c r="G67" s="114"/>
      <c r="H67" s="108">
        <v>3389716.2983561703</v>
      </c>
      <c r="I67" s="108"/>
      <c r="J67" s="108">
        <v>10328039.999999998</v>
      </c>
      <c r="K67" s="108"/>
      <c r="L67" s="110"/>
      <c r="M67" s="114"/>
      <c r="N67" s="108">
        <v>505307.31012288836</v>
      </c>
      <c r="O67" s="108"/>
      <c r="P67" s="108">
        <v>44246760</v>
      </c>
      <c r="Q67" s="108"/>
      <c r="R67" s="110"/>
      <c r="S67" s="114"/>
      <c r="T67" s="108">
        <v>2164806.8052847409</v>
      </c>
      <c r="U67" s="108"/>
      <c r="V67" s="108">
        <v>26534040</v>
      </c>
      <c r="W67" s="108"/>
      <c r="X67" s="110"/>
      <c r="Y67" s="114"/>
      <c r="Z67" s="108">
        <v>1298198.3395778025</v>
      </c>
      <c r="AA67" s="108"/>
      <c r="AB67" s="111">
        <v>150391680</v>
      </c>
      <c r="AC67" s="111"/>
      <c r="AD67" s="111">
        <f t="shared" si="4"/>
        <v>7358028.7533416022</v>
      </c>
    </row>
    <row r="68" spans="2:30" ht="15" customHeight="1" x14ac:dyDescent="0.45">
      <c r="B68" s="116" t="s">
        <v>394</v>
      </c>
      <c r="C68" s="108"/>
      <c r="D68" s="108">
        <v>111050519.99999999</v>
      </c>
      <c r="E68" s="108"/>
      <c r="F68" s="115"/>
      <c r="G68" s="114"/>
      <c r="H68" s="108">
        <v>5433232.2056215918</v>
      </c>
      <c r="I68" s="108"/>
      <c r="J68" s="108">
        <v>5772840</v>
      </c>
      <c r="K68" s="108"/>
      <c r="L68" s="110"/>
      <c r="M68" s="114"/>
      <c r="N68" s="108">
        <v>282440.6423842099</v>
      </c>
      <c r="O68" s="108"/>
      <c r="P68" s="108">
        <v>18650040</v>
      </c>
      <c r="Q68" s="108"/>
      <c r="R68" s="110"/>
      <c r="S68" s="114"/>
      <c r="T68" s="108">
        <v>912467.56849162816</v>
      </c>
      <c r="U68" s="108"/>
      <c r="V68" s="108">
        <v>11782200</v>
      </c>
      <c r="W68" s="108"/>
      <c r="X68" s="110"/>
      <c r="Y68" s="114"/>
      <c r="Z68" s="108">
        <v>576453.20790100505</v>
      </c>
      <c r="AA68" s="108"/>
      <c r="AB68" s="111">
        <v>147255599.99999997</v>
      </c>
      <c r="AC68" s="111"/>
      <c r="AD68" s="111">
        <f t="shared" si="4"/>
        <v>7204593.6243984345</v>
      </c>
    </row>
    <row r="69" spans="2:30" ht="15" customHeight="1" x14ac:dyDescent="0.45">
      <c r="B69" s="116" t="s">
        <v>136</v>
      </c>
      <c r="C69" s="108"/>
      <c r="D69" s="108">
        <v>6184559.9999999991</v>
      </c>
      <c r="E69" s="108"/>
      <c r="F69" s="115"/>
      <c r="G69" s="114"/>
      <c r="H69" s="108">
        <v>302584.36042982124</v>
      </c>
      <c r="I69" s="108"/>
      <c r="J69" s="108">
        <v>1375320</v>
      </c>
      <c r="K69" s="108"/>
      <c r="L69" s="110"/>
      <c r="M69" s="114"/>
      <c r="N69" s="108">
        <v>67288.590067254874</v>
      </c>
      <c r="O69" s="108"/>
      <c r="P69" s="108">
        <v>97533840</v>
      </c>
      <c r="Q69" s="108"/>
      <c r="R69" s="110"/>
      <c r="S69" s="114"/>
      <c r="T69" s="108">
        <v>4771918.2280816287</v>
      </c>
      <c r="U69" s="108"/>
      <c r="V69" s="108">
        <v>40707720</v>
      </c>
      <c r="W69" s="108"/>
      <c r="X69" s="110"/>
      <c r="Y69" s="114"/>
      <c r="Z69" s="108">
        <v>1991656.548041614</v>
      </c>
      <c r="AA69" s="108"/>
      <c r="AB69" s="111">
        <v>145801439.99999997</v>
      </c>
      <c r="AC69" s="111"/>
      <c r="AD69" s="111">
        <f t="shared" si="4"/>
        <v>7133447.7266203184</v>
      </c>
    </row>
    <row r="70" spans="2:30" ht="15" customHeight="1" x14ac:dyDescent="0.45">
      <c r="B70" s="116" t="s">
        <v>395</v>
      </c>
      <c r="C70" s="108"/>
      <c r="D70" s="108">
        <v>43125480</v>
      </c>
      <c r="E70" s="108"/>
      <c r="F70" s="115"/>
      <c r="G70" s="114"/>
      <c r="H70" s="108">
        <v>3068042.2912512408</v>
      </c>
      <c r="I70" s="108"/>
      <c r="J70" s="108">
        <v>15347520</v>
      </c>
      <c r="K70" s="108"/>
      <c r="L70" s="110"/>
      <c r="M70" s="114"/>
      <c r="N70" s="108">
        <v>1091856.6106585769</v>
      </c>
      <c r="O70" s="108"/>
      <c r="P70" s="108">
        <v>48013559.999999993</v>
      </c>
      <c r="Q70" s="108"/>
      <c r="R70" s="110"/>
      <c r="S70" s="114"/>
      <c r="T70" s="108">
        <v>3415791.1432760614</v>
      </c>
      <c r="U70" s="108"/>
      <c r="V70" s="108">
        <v>22241640.000000004</v>
      </c>
      <c r="W70" s="108"/>
      <c r="X70" s="110"/>
      <c r="Y70" s="114"/>
      <c r="Z70" s="108">
        <v>1582319.5972957348</v>
      </c>
      <c r="AA70" s="108"/>
      <c r="AB70" s="111">
        <v>128728199.99999999</v>
      </c>
      <c r="AC70" s="111"/>
      <c r="AD70" s="111">
        <f t="shared" si="4"/>
        <v>9158009.6424816139</v>
      </c>
    </row>
    <row r="71" spans="2:30" ht="15" customHeight="1" x14ac:dyDescent="0.45">
      <c r="B71" s="116" t="s">
        <v>396</v>
      </c>
      <c r="C71" s="108"/>
      <c r="D71" s="108">
        <v>78200519.999999985</v>
      </c>
      <c r="E71" s="108"/>
      <c r="F71" s="115"/>
      <c r="G71" s="114"/>
      <c r="H71" s="108">
        <v>3826020.6594291986</v>
      </c>
      <c r="I71" s="108"/>
      <c r="J71" s="108">
        <v>5369880</v>
      </c>
      <c r="K71" s="108"/>
      <c r="L71" s="110"/>
      <c r="M71" s="114"/>
      <c r="N71" s="108">
        <v>262725.51408424991</v>
      </c>
      <c r="O71" s="108"/>
      <c r="P71" s="108">
        <v>27900600</v>
      </c>
      <c r="Q71" s="108"/>
      <c r="R71" s="110"/>
      <c r="S71" s="114"/>
      <c r="T71" s="108">
        <v>1365058.3398994061</v>
      </c>
      <c r="U71" s="108"/>
      <c r="V71" s="108">
        <v>16915560</v>
      </c>
      <c r="W71" s="108"/>
      <c r="X71" s="110"/>
      <c r="Y71" s="114"/>
      <c r="Z71" s="108">
        <v>827606.79885266977</v>
      </c>
      <c r="AA71" s="108"/>
      <c r="AB71" s="111">
        <v>128386559.99999999</v>
      </c>
      <c r="AC71" s="111"/>
      <c r="AD71" s="111">
        <f t="shared" si="4"/>
        <v>6281411.3122655246</v>
      </c>
    </row>
    <row r="72" spans="2:30" ht="15" customHeight="1" x14ac:dyDescent="0.45">
      <c r="B72" s="116" t="s">
        <v>397</v>
      </c>
      <c r="C72" s="108"/>
      <c r="D72" s="108">
        <v>22425600</v>
      </c>
      <c r="E72" s="108"/>
      <c r="F72" s="115"/>
      <c r="G72" s="114"/>
      <c r="H72" s="108">
        <v>1097189.7488673406</v>
      </c>
      <c r="I72" s="108"/>
      <c r="J72" s="108">
        <v>254040.00000000003</v>
      </c>
      <c r="K72" s="108"/>
      <c r="L72" s="110"/>
      <c r="M72" s="114"/>
      <c r="N72" s="108">
        <v>12429.102623887842</v>
      </c>
      <c r="O72" s="108"/>
      <c r="P72" s="108">
        <v>81205200</v>
      </c>
      <c r="Q72" s="108"/>
      <c r="R72" s="110"/>
      <c r="S72" s="114"/>
      <c r="T72" s="108">
        <v>3973026.9421875961</v>
      </c>
      <c r="U72" s="108"/>
      <c r="V72" s="108">
        <v>24300239.999999996</v>
      </c>
      <c r="W72" s="108"/>
      <c r="X72" s="110"/>
      <c r="Y72" s="114"/>
      <c r="Z72" s="108">
        <v>1188907.9544367194</v>
      </c>
      <c r="AA72" s="108"/>
      <c r="AB72" s="111">
        <v>128185080</v>
      </c>
      <c r="AC72" s="111"/>
      <c r="AD72" s="111">
        <f t="shared" si="4"/>
        <v>6271553.7481155442</v>
      </c>
    </row>
    <row r="73" spans="2:30" ht="15" customHeight="1" x14ac:dyDescent="0.45">
      <c r="B73" s="116" t="s">
        <v>398</v>
      </c>
      <c r="C73" s="108"/>
      <c r="D73" s="108">
        <v>51692759.999999993</v>
      </c>
      <c r="E73" s="108"/>
      <c r="F73" s="115"/>
      <c r="G73" s="114"/>
      <c r="H73" s="108">
        <v>2529108.0890883501</v>
      </c>
      <c r="I73" s="108"/>
      <c r="J73" s="108">
        <v>10196640</v>
      </c>
      <c r="K73" s="108"/>
      <c r="L73" s="110"/>
      <c r="M73" s="114"/>
      <c r="N73" s="108">
        <v>498878.46393811889</v>
      </c>
      <c r="O73" s="108"/>
      <c r="P73" s="108">
        <v>40585080</v>
      </c>
      <c r="Q73" s="108"/>
      <c r="R73" s="110"/>
      <c r="S73" s="114"/>
      <c r="T73" s="108">
        <v>1985656.2916024956</v>
      </c>
      <c r="U73" s="108"/>
      <c r="V73" s="108">
        <v>21207960</v>
      </c>
      <c r="W73" s="108"/>
      <c r="X73" s="110"/>
      <c r="Y73" s="114"/>
      <c r="Z73" s="108">
        <v>1037615.7742218091</v>
      </c>
      <c r="AA73" s="108"/>
      <c r="AB73" s="111">
        <v>123682440</v>
      </c>
      <c r="AC73" s="111"/>
      <c r="AD73" s="111">
        <f t="shared" si="4"/>
        <v>6051258.6188507732</v>
      </c>
    </row>
    <row r="74" spans="2:30" ht="15" customHeight="1" x14ac:dyDescent="0.45">
      <c r="B74" s="116" t="s">
        <v>399</v>
      </c>
      <c r="C74" s="108"/>
      <c r="D74" s="108">
        <v>4695360.0000000009</v>
      </c>
      <c r="E74" s="108"/>
      <c r="F74" s="115"/>
      <c r="G74" s="114"/>
      <c r="H74" s="108">
        <v>235445.53671331328</v>
      </c>
      <c r="I74" s="108"/>
      <c r="J74" s="108">
        <v>508080.00000000006</v>
      </c>
      <c r="K74" s="108"/>
      <c r="L74" s="110"/>
      <c r="M74" s="114"/>
      <c r="N74" s="108">
        <v>25477.315539873449</v>
      </c>
      <c r="O74" s="108"/>
      <c r="P74" s="108">
        <v>95650440.000000015</v>
      </c>
      <c r="Q74" s="108"/>
      <c r="R74" s="110"/>
      <c r="S74" s="114"/>
      <c r="T74" s="108">
        <v>4796324.2824116927</v>
      </c>
      <c r="U74" s="108"/>
      <c r="V74" s="108">
        <v>15356279.999999998</v>
      </c>
      <c r="W74" s="108"/>
      <c r="X74" s="110"/>
      <c r="Y74" s="114"/>
      <c r="Z74" s="108">
        <v>770029.89898962318</v>
      </c>
      <c r="AA74" s="108"/>
      <c r="AB74" s="111">
        <v>116210160</v>
      </c>
      <c r="AC74" s="111"/>
      <c r="AD74" s="111">
        <f t="shared" si="4"/>
        <v>5827277.0336545026</v>
      </c>
    </row>
    <row r="75" spans="2:30" ht="15" customHeight="1" x14ac:dyDescent="0.45">
      <c r="B75" s="116" t="s">
        <v>400</v>
      </c>
      <c r="C75" s="108"/>
      <c r="D75" s="108">
        <v>8917680</v>
      </c>
      <c r="E75" s="108"/>
      <c r="F75" s="115"/>
      <c r="G75" s="114"/>
      <c r="H75" s="108">
        <v>732614.95384619723</v>
      </c>
      <c r="I75" s="108"/>
      <c r="J75" s="108">
        <v>8707440</v>
      </c>
      <c r="K75" s="108"/>
      <c r="L75" s="110"/>
      <c r="M75" s="114"/>
      <c r="N75" s="108">
        <v>715343.08852958737</v>
      </c>
      <c r="O75" s="108"/>
      <c r="P75" s="108">
        <v>76553640.000000015</v>
      </c>
      <c r="Q75" s="108"/>
      <c r="R75" s="110"/>
      <c r="S75" s="114"/>
      <c r="T75" s="108">
        <v>6289117.9584105285</v>
      </c>
      <c r="U75" s="108"/>
      <c r="V75" s="108">
        <v>7393440.0000000009</v>
      </c>
      <c r="W75" s="108"/>
      <c r="X75" s="110"/>
      <c r="Y75" s="114"/>
      <c r="Z75" s="108">
        <v>607393.9303007765</v>
      </c>
      <c r="AA75" s="108"/>
      <c r="AB75" s="111">
        <v>101572200.00000001</v>
      </c>
      <c r="AC75" s="111"/>
      <c r="AD75" s="111">
        <f t="shared" si="4"/>
        <v>8344469.9310870897</v>
      </c>
    </row>
    <row r="76" spans="2:30" ht="15" customHeight="1" x14ac:dyDescent="0.45">
      <c r="B76" s="116" t="s">
        <v>401</v>
      </c>
      <c r="C76" s="108"/>
      <c r="D76" s="108">
        <v>6079440</v>
      </c>
      <c r="E76" s="108"/>
      <c r="F76" s="115"/>
      <c r="G76" s="114"/>
      <c r="H76" s="108">
        <v>297441.28348200559</v>
      </c>
      <c r="I76" s="108"/>
      <c r="J76" s="108">
        <v>61320</v>
      </c>
      <c r="K76" s="108"/>
      <c r="L76" s="110"/>
      <c r="M76" s="114"/>
      <c r="N76" s="108">
        <v>3000.1282195591343</v>
      </c>
      <c r="O76" s="108"/>
      <c r="P76" s="108">
        <v>50825520</v>
      </c>
      <c r="Q76" s="108"/>
      <c r="R76" s="110"/>
      <c r="S76" s="114"/>
      <c r="T76" s="108">
        <v>2486677.7042688709</v>
      </c>
      <c r="U76" s="108"/>
      <c r="V76" s="108">
        <v>43694880.000000007</v>
      </c>
      <c r="W76" s="108"/>
      <c r="X76" s="110"/>
      <c r="Y76" s="114"/>
      <c r="Z76" s="108">
        <v>2137805.6513087088</v>
      </c>
      <c r="AA76" s="108"/>
      <c r="AB76" s="111">
        <v>100661160</v>
      </c>
      <c r="AC76" s="111"/>
      <c r="AD76" s="111">
        <f t="shared" si="4"/>
        <v>4924924.7672791444</v>
      </c>
    </row>
    <row r="77" spans="2:30" ht="15" customHeight="1" x14ac:dyDescent="0.45">
      <c r="B77" s="116" t="s">
        <v>402</v>
      </c>
      <c r="C77" s="108"/>
      <c r="D77" s="108">
        <v>51876719.999999993</v>
      </c>
      <c r="E77" s="108"/>
      <c r="F77" s="115"/>
      <c r="G77" s="114"/>
      <c r="H77" s="108">
        <v>2538108.4737470276</v>
      </c>
      <c r="I77" s="108"/>
      <c r="J77" s="108">
        <v>8567280</v>
      </c>
      <c r="K77" s="108"/>
      <c r="L77" s="110"/>
      <c r="M77" s="114"/>
      <c r="N77" s="108">
        <v>419160.77124697616</v>
      </c>
      <c r="O77" s="108"/>
      <c r="P77" s="108">
        <v>24615600</v>
      </c>
      <c r="Q77" s="108"/>
      <c r="R77" s="110"/>
      <c r="S77" s="114"/>
      <c r="T77" s="108">
        <v>1204337.1852801668</v>
      </c>
      <c r="U77" s="108"/>
      <c r="V77" s="108">
        <v>12097560</v>
      </c>
      <c r="W77" s="108"/>
      <c r="X77" s="110"/>
      <c r="Y77" s="114"/>
      <c r="Z77" s="108">
        <v>591882.43874445208</v>
      </c>
      <c r="AA77" s="108"/>
      <c r="AB77" s="111">
        <v>97157159.999999985</v>
      </c>
      <c r="AC77" s="111"/>
      <c r="AD77" s="111">
        <f t="shared" si="4"/>
        <v>4753488.8690186227</v>
      </c>
    </row>
    <row r="78" spans="2:30" ht="15" customHeight="1" x14ac:dyDescent="0.45">
      <c r="B78" s="116" t="s">
        <v>403</v>
      </c>
      <c r="C78" s="108"/>
      <c r="D78" s="108">
        <v>17344800</v>
      </c>
      <c r="E78" s="108"/>
      <c r="F78" s="115"/>
      <c r="G78" s="114"/>
      <c r="H78" s="108">
        <v>2029058.9906958588</v>
      </c>
      <c r="I78" s="108"/>
      <c r="J78" s="108">
        <v>4809240.0000000009</v>
      </c>
      <c r="K78" s="108"/>
      <c r="L78" s="110"/>
      <c r="M78" s="114"/>
      <c r="N78" s="108">
        <v>562602.72014748817</v>
      </c>
      <c r="O78" s="108"/>
      <c r="P78" s="108">
        <v>62012039.999999993</v>
      </c>
      <c r="Q78" s="108"/>
      <c r="R78" s="110"/>
      <c r="S78" s="114"/>
      <c r="T78" s="108">
        <v>7254398.2803717079</v>
      </c>
      <c r="U78" s="108"/>
      <c r="V78" s="108">
        <v>11361720</v>
      </c>
      <c r="W78" s="108"/>
      <c r="X78" s="110"/>
      <c r="Y78" s="114"/>
      <c r="Z78" s="108">
        <v>1329136.1166325903</v>
      </c>
      <c r="AA78" s="108"/>
      <c r="AB78" s="111">
        <v>95527800</v>
      </c>
      <c r="AC78" s="111"/>
      <c r="AD78" s="111">
        <f t="shared" si="4"/>
        <v>11175196.107847644</v>
      </c>
    </row>
    <row r="79" spans="2:30" ht="15" customHeight="1" x14ac:dyDescent="0.45">
      <c r="B79" s="116" t="s">
        <v>404</v>
      </c>
      <c r="C79" s="108"/>
      <c r="D79" s="108">
        <v>63378600.000000007</v>
      </c>
      <c r="E79" s="108"/>
      <c r="F79" s="115"/>
      <c r="G79" s="114"/>
      <c r="H79" s="108">
        <v>3100846.8097871915</v>
      </c>
      <c r="I79" s="108"/>
      <c r="J79" s="108">
        <v>4038360</v>
      </c>
      <c r="K79" s="108"/>
      <c r="L79" s="110"/>
      <c r="M79" s="114"/>
      <c r="N79" s="108">
        <v>197579.8727452516</v>
      </c>
      <c r="O79" s="108"/>
      <c r="P79" s="108">
        <v>19333320</v>
      </c>
      <c r="Q79" s="108"/>
      <c r="R79" s="110"/>
      <c r="S79" s="114"/>
      <c r="T79" s="108">
        <v>945897.56865242997</v>
      </c>
      <c r="U79" s="108"/>
      <c r="V79" s="108">
        <v>2321400</v>
      </c>
      <c r="W79" s="108"/>
      <c r="X79" s="110"/>
      <c r="Y79" s="114"/>
      <c r="Z79" s="108">
        <v>113576.2825975958</v>
      </c>
      <c r="AA79" s="108"/>
      <c r="AB79" s="111">
        <v>89071680.000000015</v>
      </c>
      <c r="AC79" s="111"/>
      <c r="AD79" s="111">
        <f t="shared" si="4"/>
        <v>4357900.5337824691</v>
      </c>
    </row>
    <row r="80" spans="2:30" ht="15" customHeight="1" x14ac:dyDescent="0.45">
      <c r="B80" s="116" t="s">
        <v>405</v>
      </c>
      <c r="C80" s="108"/>
      <c r="D80" s="108">
        <v>40252200</v>
      </c>
      <c r="E80" s="108"/>
      <c r="F80" s="115"/>
      <c r="G80" s="114"/>
      <c r="H80" s="108">
        <v>1969369.8812677457</v>
      </c>
      <c r="I80" s="108"/>
      <c r="J80" s="108">
        <v>5168400</v>
      </c>
      <c r="K80" s="108"/>
      <c r="L80" s="110"/>
      <c r="M80" s="114"/>
      <c r="N80" s="108">
        <v>252867.94993426991</v>
      </c>
      <c r="O80" s="108"/>
      <c r="P80" s="108">
        <v>34023840</v>
      </c>
      <c r="Q80" s="108"/>
      <c r="R80" s="110"/>
      <c r="S80" s="114"/>
      <c r="T80" s="108">
        <v>1664642.5721096683</v>
      </c>
      <c r="U80" s="108"/>
      <c r="V80" s="108">
        <v>7848960</v>
      </c>
      <c r="W80" s="108"/>
      <c r="X80" s="110"/>
      <c r="Y80" s="114"/>
      <c r="Z80" s="108">
        <v>384016.41210356919</v>
      </c>
      <c r="AA80" s="108"/>
      <c r="AB80" s="111">
        <v>87293400</v>
      </c>
      <c r="AC80" s="111"/>
      <c r="AD80" s="111">
        <f t="shared" si="4"/>
        <v>4270896.8154152529</v>
      </c>
    </row>
    <row r="81" spans="2:30" ht="15" customHeight="1" x14ac:dyDescent="0.45">
      <c r="B81" s="116" t="s">
        <v>406</v>
      </c>
      <c r="C81" s="108"/>
      <c r="D81" s="108">
        <v>1971000.0000000002</v>
      </c>
      <c r="E81" s="108"/>
      <c r="F81" s="115"/>
      <c r="G81" s="114"/>
      <c r="H81" s="108">
        <v>231163.20223213371</v>
      </c>
      <c r="I81" s="108"/>
      <c r="J81" s="108">
        <v>586920.00000000012</v>
      </c>
      <c r="K81" s="108"/>
      <c r="L81" s="110"/>
      <c r="M81" s="114"/>
      <c r="N81" s="108">
        <v>68835.264664679824</v>
      </c>
      <c r="O81" s="108"/>
      <c r="P81" s="108">
        <v>54583559.999999993</v>
      </c>
      <c r="Q81" s="108"/>
      <c r="R81" s="110"/>
      <c r="S81" s="114"/>
      <c r="T81" s="108">
        <v>6401679.6138152201</v>
      </c>
      <c r="U81" s="108"/>
      <c r="V81" s="108">
        <v>29582520</v>
      </c>
      <c r="W81" s="108"/>
      <c r="X81" s="110"/>
      <c r="Y81" s="114"/>
      <c r="Z81" s="108">
        <v>3469502.8175018458</v>
      </c>
      <c r="AA81" s="108"/>
      <c r="AB81" s="111">
        <v>86723999.999999985</v>
      </c>
      <c r="AC81" s="111"/>
      <c r="AD81" s="111">
        <f t="shared" si="4"/>
        <v>10171180.898213878</v>
      </c>
    </row>
    <row r="82" spans="2:30" ht="15" customHeight="1" x14ac:dyDescent="0.45">
      <c r="B82" s="116" t="s">
        <v>407</v>
      </c>
      <c r="C82" s="108"/>
      <c r="D82" s="108">
        <v>3425160.0000000005</v>
      </c>
      <c r="E82" s="108"/>
      <c r="F82" s="115"/>
      <c r="G82" s="114"/>
      <c r="H82" s="108">
        <v>167578.59054966024</v>
      </c>
      <c r="I82" s="108"/>
      <c r="J82" s="108">
        <v>1033679.9999999999</v>
      </c>
      <c r="K82" s="108"/>
      <c r="L82" s="110"/>
      <c r="M82" s="114"/>
      <c r="N82" s="108">
        <v>50573.589986853971</v>
      </c>
      <c r="O82" s="108"/>
      <c r="P82" s="108">
        <v>55783680</v>
      </c>
      <c r="Q82" s="108"/>
      <c r="R82" s="110"/>
      <c r="S82" s="114"/>
      <c r="T82" s="108">
        <v>2729259.5003075097</v>
      </c>
      <c r="U82" s="108"/>
      <c r="V82" s="108">
        <v>24799560</v>
      </c>
      <c r="W82" s="108"/>
      <c r="X82" s="110"/>
      <c r="Y82" s="114"/>
      <c r="Z82" s="108">
        <v>1213337.5699388443</v>
      </c>
      <c r="AA82" s="108"/>
      <c r="AB82" s="111">
        <v>85042080</v>
      </c>
      <c r="AC82" s="111"/>
      <c r="AD82" s="111">
        <f t="shared" si="4"/>
        <v>4160749.2507828679</v>
      </c>
    </row>
    <row r="83" spans="2:30" ht="15" customHeight="1" x14ac:dyDescent="0.45">
      <c r="B83" s="116" t="s">
        <v>408</v>
      </c>
      <c r="C83" s="108"/>
      <c r="D83" s="108">
        <v>1384080</v>
      </c>
      <c r="E83" s="108"/>
      <c r="F83" s="115"/>
      <c r="G83" s="114"/>
      <c r="H83" s="108">
        <v>98466.520824232386</v>
      </c>
      <c r="I83" s="108"/>
      <c r="J83" s="108">
        <v>140160</v>
      </c>
      <c r="K83" s="108"/>
      <c r="L83" s="110"/>
      <c r="M83" s="114"/>
      <c r="N83" s="108">
        <v>9971.2932480235359</v>
      </c>
      <c r="O83" s="108"/>
      <c r="P83" s="108">
        <v>78866280</v>
      </c>
      <c r="Q83" s="108"/>
      <c r="R83" s="110"/>
      <c r="S83" s="114"/>
      <c r="T83" s="108">
        <v>5610722.0694972416</v>
      </c>
      <c r="U83" s="108"/>
      <c r="V83" s="108">
        <v>525600</v>
      </c>
      <c r="W83" s="108"/>
      <c r="X83" s="110"/>
      <c r="Y83" s="114"/>
      <c r="Z83" s="108">
        <v>37392.349680088249</v>
      </c>
      <c r="AA83" s="108"/>
      <c r="AB83" s="111">
        <v>80916120</v>
      </c>
      <c r="AC83" s="111"/>
      <c r="AD83" s="111">
        <f t="shared" si="4"/>
        <v>5756552.2332495861</v>
      </c>
    </row>
    <row r="84" spans="2:30" ht="15" customHeight="1" x14ac:dyDescent="0.45">
      <c r="B84" s="116" t="s">
        <v>409</v>
      </c>
      <c r="C84" s="108"/>
      <c r="D84" s="108">
        <v>7454760</v>
      </c>
      <c r="E84" s="108"/>
      <c r="F84" s="115"/>
      <c r="G84" s="114"/>
      <c r="H84" s="108">
        <v>364729.87354926049</v>
      </c>
      <c r="I84" s="108"/>
      <c r="J84" s="108">
        <v>376680</v>
      </c>
      <c r="K84" s="108"/>
      <c r="L84" s="110"/>
      <c r="M84" s="114"/>
      <c r="N84" s="108">
        <v>18429.359063006112</v>
      </c>
      <c r="O84" s="108"/>
      <c r="P84" s="108">
        <v>59830800</v>
      </c>
      <c r="Q84" s="108"/>
      <c r="R84" s="110"/>
      <c r="S84" s="114"/>
      <c r="T84" s="108">
        <v>2927267.9627984129</v>
      </c>
      <c r="U84" s="108"/>
      <c r="V84" s="108">
        <v>12894720.000000002</v>
      </c>
      <c r="W84" s="108"/>
      <c r="X84" s="110"/>
      <c r="Y84" s="114"/>
      <c r="Z84" s="108">
        <v>630884.10559872095</v>
      </c>
      <c r="AA84" s="108"/>
      <c r="AB84" s="111">
        <v>80556960</v>
      </c>
      <c r="AC84" s="111"/>
      <c r="AD84" s="111">
        <f t="shared" si="4"/>
        <v>3941311.3010094007</v>
      </c>
    </row>
    <row r="85" spans="2:30" ht="15" customHeight="1" x14ac:dyDescent="0.45">
      <c r="B85" s="116" t="s">
        <v>410</v>
      </c>
      <c r="C85" s="108"/>
      <c r="D85" s="108">
        <v>5396160</v>
      </c>
      <c r="E85" s="108"/>
      <c r="F85" s="115"/>
      <c r="G85" s="114"/>
      <c r="H85" s="108">
        <v>264011.28332120384</v>
      </c>
      <c r="I85" s="108"/>
      <c r="J85" s="108">
        <v>61320</v>
      </c>
      <c r="K85" s="108"/>
      <c r="L85" s="110"/>
      <c r="M85" s="114"/>
      <c r="N85" s="108">
        <v>3000.1282195591343</v>
      </c>
      <c r="O85" s="108"/>
      <c r="P85" s="108">
        <v>38430119.999999993</v>
      </c>
      <c r="Q85" s="108"/>
      <c r="R85" s="110"/>
      <c r="S85" s="114"/>
      <c r="T85" s="108">
        <v>1880223.2141722743</v>
      </c>
      <c r="U85" s="108"/>
      <c r="V85" s="108">
        <v>36432840.000000007</v>
      </c>
      <c r="W85" s="108"/>
      <c r="X85" s="110"/>
      <c r="Y85" s="114"/>
      <c r="Z85" s="108">
        <v>1782504.7521637776</v>
      </c>
      <c r="AA85" s="108"/>
      <c r="AB85" s="111">
        <v>80320440</v>
      </c>
      <c r="AC85" s="111"/>
      <c r="AD85" s="111">
        <f t="shared" si="4"/>
        <v>3929739.3778768149</v>
      </c>
    </row>
    <row r="86" spans="2:30" ht="15" customHeight="1" x14ac:dyDescent="0.45">
      <c r="B86" s="116" t="s">
        <v>411</v>
      </c>
      <c r="C86" s="108"/>
      <c r="D86" s="108">
        <v>17520</v>
      </c>
      <c r="E86" s="108"/>
      <c r="F86" s="115"/>
      <c r="G86" s="114"/>
      <c r="H86" s="108">
        <v>857.1794913026099</v>
      </c>
      <c r="I86" s="108"/>
      <c r="J86" s="108">
        <v>262800</v>
      </c>
      <c r="K86" s="108"/>
      <c r="L86" s="110"/>
      <c r="M86" s="114"/>
      <c r="N86" s="108">
        <v>12857.692369539145</v>
      </c>
      <c r="O86" s="108"/>
      <c r="P86" s="108">
        <v>51596399.999999993</v>
      </c>
      <c r="Q86" s="108"/>
      <c r="R86" s="110"/>
      <c r="S86" s="114"/>
      <c r="T86" s="108">
        <v>2524393.6018861854</v>
      </c>
      <c r="U86" s="108"/>
      <c r="V86" s="108">
        <v>27865559.999999996</v>
      </c>
      <c r="W86" s="108"/>
      <c r="X86" s="110"/>
      <c r="Y86" s="114"/>
      <c r="Z86" s="108">
        <v>1363343.9809168007</v>
      </c>
      <c r="AA86" s="108"/>
      <c r="AB86" s="111">
        <v>79742280</v>
      </c>
      <c r="AC86" s="111"/>
      <c r="AD86" s="111">
        <f t="shared" si="4"/>
        <v>3901452.454663828</v>
      </c>
    </row>
    <row r="87" spans="2:30" ht="15" customHeight="1" x14ac:dyDescent="0.45">
      <c r="B87" s="116" t="s">
        <v>412</v>
      </c>
      <c r="C87" s="108"/>
      <c r="D87" s="108">
        <v>5413680</v>
      </c>
      <c r="E87" s="108"/>
      <c r="F87" s="115"/>
      <c r="G87" s="114"/>
      <c r="H87" s="108">
        <v>264868.46281250642</v>
      </c>
      <c r="I87" s="108"/>
      <c r="J87" s="108">
        <v>516839.99999999994</v>
      </c>
      <c r="K87" s="108"/>
      <c r="L87" s="110"/>
      <c r="M87" s="114"/>
      <c r="N87" s="108">
        <v>25286.794993426985</v>
      </c>
      <c r="O87" s="108"/>
      <c r="P87" s="108">
        <v>48004800</v>
      </c>
      <c r="Q87" s="108"/>
      <c r="R87" s="110"/>
      <c r="S87" s="114"/>
      <c r="T87" s="108">
        <v>2348671.8061691509</v>
      </c>
      <c r="U87" s="108"/>
      <c r="V87" s="108">
        <v>25789440.000000004</v>
      </c>
      <c r="W87" s="108"/>
      <c r="X87" s="110"/>
      <c r="Y87" s="114"/>
      <c r="Z87" s="108">
        <v>1261768.2111974419</v>
      </c>
      <c r="AA87" s="108"/>
      <c r="AB87" s="111">
        <v>79724760</v>
      </c>
      <c r="AC87" s="111"/>
      <c r="AD87" s="111">
        <f t="shared" si="4"/>
        <v>3900595.275172526</v>
      </c>
    </row>
    <row r="88" spans="2:30" ht="15" customHeight="1" x14ac:dyDescent="0.45">
      <c r="B88" s="116" t="s">
        <v>413</v>
      </c>
      <c r="C88" s="108"/>
      <c r="D88" s="108">
        <v>40401120</v>
      </c>
      <c r="E88" s="108"/>
      <c r="F88" s="115"/>
      <c r="G88" s="114"/>
      <c r="H88" s="108">
        <v>1976655.9069438183</v>
      </c>
      <c r="I88" s="108"/>
      <c r="J88" s="108">
        <v>2496600</v>
      </c>
      <c r="K88" s="108"/>
      <c r="L88" s="110"/>
      <c r="M88" s="114"/>
      <c r="N88" s="108">
        <v>122148.07751062189</v>
      </c>
      <c r="O88" s="108"/>
      <c r="P88" s="108">
        <v>21873719.999999996</v>
      </c>
      <c r="Q88" s="108"/>
      <c r="R88" s="110"/>
      <c r="S88" s="114"/>
      <c r="T88" s="108">
        <v>1070188.5948913083</v>
      </c>
      <c r="U88" s="108"/>
      <c r="V88" s="108">
        <v>10932480</v>
      </c>
      <c r="W88" s="108"/>
      <c r="X88" s="110"/>
      <c r="Y88" s="114"/>
      <c r="Z88" s="108">
        <v>534880.00257282855</v>
      </c>
      <c r="AA88" s="108"/>
      <c r="AB88" s="111">
        <v>75703920</v>
      </c>
      <c r="AC88" s="111"/>
      <c r="AD88" s="111">
        <f t="shared" si="4"/>
        <v>3703872.5819185772</v>
      </c>
    </row>
    <row r="89" spans="2:30" ht="15" customHeight="1" x14ac:dyDescent="0.45">
      <c r="B89" s="116" t="s">
        <v>414</v>
      </c>
      <c r="C89" s="108"/>
      <c r="D89" s="108">
        <v>1935960</v>
      </c>
      <c r="E89" s="108"/>
      <c r="F89" s="115"/>
      <c r="G89" s="114"/>
      <c r="H89" s="108">
        <v>227053.63419245131</v>
      </c>
      <c r="I89" s="108"/>
      <c r="J89" s="108">
        <v>455520</v>
      </c>
      <c r="K89" s="108"/>
      <c r="L89" s="110"/>
      <c r="M89" s="114"/>
      <c r="N89" s="108">
        <v>53424.384515870886</v>
      </c>
      <c r="O89" s="108"/>
      <c r="P89" s="108">
        <v>35583120</v>
      </c>
      <c r="Q89" s="108"/>
      <c r="R89" s="110"/>
      <c r="S89" s="114"/>
      <c r="T89" s="108">
        <v>4173266.3442974533</v>
      </c>
      <c r="U89" s="108"/>
      <c r="V89" s="108">
        <v>37107359.999999993</v>
      </c>
      <c r="W89" s="108"/>
      <c r="X89" s="110"/>
      <c r="Y89" s="114"/>
      <c r="Z89" s="108">
        <v>4352032.5540236356</v>
      </c>
      <c r="AA89" s="108"/>
      <c r="AB89" s="111">
        <v>75081960</v>
      </c>
      <c r="AC89" s="111"/>
      <c r="AD89" s="111">
        <f t="shared" si="4"/>
        <v>8805776.9170294106</v>
      </c>
    </row>
    <row r="90" spans="2:30" ht="15" customHeight="1" x14ac:dyDescent="0.45">
      <c r="B90" s="116" t="s">
        <v>415</v>
      </c>
      <c r="C90" s="108"/>
      <c r="D90" s="108">
        <v>2566680</v>
      </c>
      <c r="E90" s="108"/>
      <c r="F90" s="115"/>
      <c r="G90" s="114"/>
      <c r="H90" s="108">
        <v>125576.79547583233</v>
      </c>
      <c r="I90" s="108"/>
      <c r="J90" s="108">
        <v>148920.00000000003</v>
      </c>
      <c r="K90" s="108"/>
      <c r="L90" s="110"/>
      <c r="M90" s="114"/>
      <c r="N90" s="108">
        <v>7286.025676072185</v>
      </c>
      <c r="O90" s="108"/>
      <c r="P90" s="108">
        <v>58683240.000000007</v>
      </c>
      <c r="Q90" s="108"/>
      <c r="R90" s="110"/>
      <c r="S90" s="114"/>
      <c r="T90" s="108">
        <v>2871122.7061180919</v>
      </c>
      <c r="U90" s="108"/>
      <c r="V90" s="108">
        <v>13551720</v>
      </c>
      <c r="W90" s="108"/>
      <c r="X90" s="110"/>
      <c r="Y90" s="114"/>
      <c r="Z90" s="108">
        <v>663028.33652256872</v>
      </c>
      <c r="AA90" s="108"/>
      <c r="AB90" s="111">
        <v>74950560</v>
      </c>
      <c r="AC90" s="111"/>
      <c r="AD90" s="111">
        <f t="shared" si="4"/>
        <v>3667013.8637925657</v>
      </c>
    </row>
    <row r="91" spans="2:30" ht="15" customHeight="1" x14ac:dyDescent="0.45">
      <c r="B91" s="116" t="s">
        <v>416</v>
      </c>
      <c r="C91" s="108"/>
      <c r="D91" s="108">
        <v>13367760</v>
      </c>
      <c r="E91" s="108"/>
      <c r="F91" s="115"/>
      <c r="G91" s="114"/>
      <c r="H91" s="108">
        <v>654027.95186389133</v>
      </c>
      <c r="I91" s="108"/>
      <c r="J91" s="108">
        <v>2409000</v>
      </c>
      <c r="K91" s="108"/>
      <c r="L91" s="110"/>
      <c r="M91" s="114"/>
      <c r="N91" s="108">
        <v>117862.18005410886</v>
      </c>
      <c r="O91" s="108"/>
      <c r="P91" s="108">
        <v>51079560.000000007</v>
      </c>
      <c r="Q91" s="108"/>
      <c r="R91" s="110"/>
      <c r="S91" s="114"/>
      <c r="T91" s="108">
        <v>2499106.8068927592</v>
      </c>
      <c r="U91" s="108"/>
      <c r="V91" s="108">
        <v>7034280.0000000009</v>
      </c>
      <c r="W91" s="108"/>
      <c r="X91" s="110"/>
      <c r="Y91" s="114"/>
      <c r="Z91" s="108">
        <v>344157.56575799786</v>
      </c>
      <c r="AA91" s="108"/>
      <c r="AB91" s="111">
        <v>73890600</v>
      </c>
      <c r="AC91" s="111"/>
      <c r="AD91" s="111">
        <f t="shared" si="4"/>
        <v>3615154.504568757</v>
      </c>
    </row>
    <row r="92" spans="2:30" ht="15" customHeight="1" x14ac:dyDescent="0.45">
      <c r="B92" s="116" t="s">
        <v>417</v>
      </c>
      <c r="C92" s="108"/>
      <c r="D92" s="108">
        <v>6202079.9999999991</v>
      </c>
      <c r="E92" s="108"/>
      <c r="F92" s="115"/>
      <c r="G92" s="114"/>
      <c r="H92" s="108">
        <v>303441.53992112383</v>
      </c>
      <c r="I92" s="108"/>
      <c r="J92" s="108">
        <v>236520</v>
      </c>
      <c r="K92" s="108"/>
      <c r="L92" s="110"/>
      <c r="M92" s="114"/>
      <c r="N92" s="108">
        <v>11571.923132585232</v>
      </c>
      <c r="O92" s="108"/>
      <c r="P92" s="108">
        <v>52621320</v>
      </c>
      <c r="Q92" s="108"/>
      <c r="R92" s="110"/>
      <c r="S92" s="114"/>
      <c r="T92" s="108">
        <v>2574538.6021273886</v>
      </c>
      <c r="U92" s="108"/>
      <c r="V92" s="108">
        <v>14094840</v>
      </c>
      <c r="W92" s="108"/>
      <c r="X92" s="110"/>
      <c r="Y92" s="114"/>
      <c r="Z92" s="108">
        <v>689600.90075294964</v>
      </c>
      <c r="AA92" s="108"/>
      <c r="AB92" s="111">
        <v>73154760</v>
      </c>
      <c r="AC92" s="111"/>
      <c r="AD92" s="111">
        <f t="shared" si="4"/>
        <v>3579152.965934047</v>
      </c>
    </row>
    <row r="93" spans="2:30" ht="15" customHeight="1" x14ac:dyDescent="0.45">
      <c r="B93" s="116" t="s">
        <v>418</v>
      </c>
      <c r="C93" s="108"/>
      <c r="D93" s="108">
        <v>6972960</v>
      </c>
      <c r="E93" s="108"/>
      <c r="F93" s="115"/>
      <c r="G93" s="114"/>
      <c r="H93" s="108">
        <v>341157.43753843871</v>
      </c>
      <c r="I93" s="108"/>
      <c r="J93" s="108">
        <v>210240.00000000003</v>
      </c>
      <c r="K93" s="108"/>
      <c r="L93" s="110"/>
      <c r="M93" s="114"/>
      <c r="N93" s="108">
        <v>10286.15389563132</v>
      </c>
      <c r="O93" s="108"/>
      <c r="P93" s="108">
        <v>43966440</v>
      </c>
      <c r="Q93" s="108"/>
      <c r="R93" s="110"/>
      <c r="S93" s="114"/>
      <c r="T93" s="108">
        <v>2151091.9334238991</v>
      </c>
      <c r="U93" s="108"/>
      <c r="V93" s="108">
        <v>16661519.999999996</v>
      </c>
      <c r="W93" s="108"/>
      <c r="X93" s="110"/>
      <c r="Y93" s="114"/>
      <c r="Z93" s="108">
        <v>815177.69622878172</v>
      </c>
      <c r="AA93" s="108"/>
      <c r="AB93" s="111">
        <v>67811160</v>
      </c>
      <c r="AC93" s="111"/>
      <c r="AD93" s="111">
        <f t="shared" si="4"/>
        <v>3317713.2210867507</v>
      </c>
    </row>
    <row r="94" spans="2:30" ht="15" customHeight="1" x14ac:dyDescent="0.45">
      <c r="B94" s="116" t="s">
        <v>419</v>
      </c>
      <c r="C94" s="108"/>
      <c r="D94" s="108">
        <v>37011000</v>
      </c>
      <c r="E94" s="108"/>
      <c r="F94" s="115"/>
      <c r="G94" s="114"/>
      <c r="H94" s="108">
        <v>1810791.6753767633</v>
      </c>
      <c r="I94" s="108"/>
      <c r="J94" s="108">
        <v>1462920</v>
      </c>
      <c r="K94" s="108"/>
      <c r="L94" s="110"/>
      <c r="M94" s="114"/>
      <c r="N94" s="108">
        <v>71574.487523767923</v>
      </c>
      <c r="O94" s="108"/>
      <c r="P94" s="108">
        <v>14366400</v>
      </c>
      <c r="Q94" s="108"/>
      <c r="R94" s="110"/>
      <c r="S94" s="114"/>
      <c r="T94" s="108">
        <v>702887.18286813993</v>
      </c>
      <c r="U94" s="108"/>
      <c r="V94" s="108">
        <v>13148760</v>
      </c>
      <c r="W94" s="108"/>
      <c r="X94" s="110"/>
      <c r="Y94" s="114"/>
      <c r="Z94" s="108">
        <v>643313.20822260866</v>
      </c>
      <c r="AA94" s="108"/>
      <c r="AB94" s="111">
        <v>65989079.999999985</v>
      </c>
      <c r="AC94" s="111"/>
      <c r="AD94" s="111">
        <f t="shared" si="4"/>
        <v>3228566.5539912796</v>
      </c>
    </row>
    <row r="95" spans="2:30" ht="15" customHeight="1" x14ac:dyDescent="0.45">
      <c r="B95" s="116" t="s">
        <v>420</v>
      </c>
      <c r="C95" s="108"/>
      <c r="D95" s="108">
        <v>87600</v>
      </c>
      <c r="E95" s="108"/>
      <c r="F95" s="115"/>
      <c r="G95" s="114"/>
      <c r="H95" s="108">
        <v>4285.8974565130493</v>
      </c>
      <c r="I95" s="108"/>
      <c r="J95" s="108">
        <v>289080.00000000006</v>
      </c>
      <c r="K95" s="108"/>
      <c r="L95" s="110"/>
      <c r="M95" s="114"/>
      <c r="N95" s="108">
        <v>14143.461606493067</v>
      </c>
      <c r="O95" s="108"/>
      <c r="P95" s="108">
        <v>31711199.999999996</v>
      </c>
      <c r="Q95" s="108"/>
      <c r="R95" s="110"/>
      <c r="S95" s="114"/>
      <c r="T95" s="108">
        <v>1551494.8792577237</v>
      </c>
      <c r="U95" s="108"/>
      <c r="V95" s="108">
        <v>28785360</v>
      </c>
      <c r="W95" s="108"/>
      <c r="X95" s="110"/>
      <c r="Y95" s="114"/>
      <c r="Z95" s="108">
        <v>1408345.904210188</v>
      </c>
      <c r="AA95" s="108"/>
      <c r="AB95" s="111">
        <v>60873240.000000007</v>
      </c>
      <c r="AC95" s="111"/>
      <c r="AD95" s="111">
        <f t="shared" si="4"/>
        <v>2978270.1425309177</v>
      </c>
    </row>
    <row r="96" spans="2:30" ht="15" customHeight="1" x14ac:dyDescent="0.45">
      <c r="B96" s="116" t="s">
        <v>421</v>
      </c>
      <c r="C96" s="108"/>
      <c r="D96" s="108">
        <v>411720</v>
      </c>
      <c r="E96" s="108"/>
      <c r="F96" s="115"/>
      <c r="G96" s="114"/>
      <c r="H96" s="108">
        <v>20143.718045611331</v>
      </c>
      <c r="I96" s="108"/>
      <c r="J96" s="108">
        <v>727080</v>
      </c>
      <c r="K96" s="108"/>
      <c r="L96" s="110"/>
      <c r="M96" s="114"/>
      <c r="N96" s="108">
        <v>35572.948889058309</v>
      </c>
      <c r="O96" s="108"/>
      <c r="P96" s="108">
        <v>39367439.999999993</v>
      </c>
      <c r="Q96" s="108"/>
      <c r="R96" s="110"/>
      <c r="S96" s="114"/>
      <c r="T96" s="108">
        <v>1926082.3169569641</v>
      </c>
      <c r="U96" s="108"/>
      <c r="V96" s="108">
        <v>16950600</v>
      </c>
      <c r="W96" s="108"/>
      <c r="X96" s="110"/>
      <c r="Y96" s="114"/>
      <c r="Z96" s="108">
        <v>829321.15783527505</v>
      </c>
      <c r="AA96" s="108"/>
      <c r="AB96" s="111">
        <v>57456840</v>
      </c>
      <c r="AC96" s="111"/>
      <c r="AD96" s="111">
        <f t="shared" si="4"/>
        <v>2811120.1417269087</v>
      </c>
    </row>
    <row r="97" spans="2:30" ht="15" customHeight="1" x14ac:dyDescent="0.45">
      <c r="B97" s="116" t="s">
        <v>422</v>
      </c>
      <c r="C97" s="108"/>
      <c r="D97" s="108">
        <v>87600</v>
      </c>
      <c r="E97" s="108"/>
      <c r="F97" s="115"/>
      <c r="G97" s="114"/>
      <c r="H97" s="108">
        <v>10273.92009920594</v>
      </c>
      <c r="I97" s="108"/>
      <c r="J97" s="108">
        <v>87600</v>
      </c>
      <c r="K97" s="108"/>
      <c r="L97" s="110"/>
      <c r="M97" s="114"/>
      <c r="N97" s="108">
        <v>10273.92009920594</v>
      </c>
      <c r="O97" s="108"/>
      <c r="P97" s="108">
        <v>43983960</v>
      </c>
      <c r="Q97" s="108"/>
      <c r="R97" s="110"/>
      <c r="S97" s="114"/>
      <c r="T97" s="108">
        <v>5158535.2818113025</v>
      </c>
      <c r="U97" s="108"/>
      <c r="V97" s="108">
        <v>11957400</v>
      </c>
      <c r="W97" s="108"/>
      <c r="X97" s="110"/>
      <c r="Y97" s="114"/>
      <c r="Z97" s="108">
        <v>1402390.093541611</v>
      </c>
      <c r="AA97" s="108"/>
      <c r="AB97" s="111">
        <v>56116560</v>
      </c>
      <c r="AC97" s="111"/>
      <c r="AD97" s="111">
        <f t="shared" si="4"/>
        <v>6581473.2155513251</v>
      </c>
    </row>
    <row r="98" spans="2:30" ht="15" customHeight="1" x14ac:dyDescent="0.45">
      <c r="B98" s="116" t="s">
        <v>423</v>
      </c>
      <c r="C98" s="108"/>
      <c r="D98" s="108">
        <v>8103000.0000000009</v>
      </c>
      <c r="E98" s="108"/>
      <c r="F98" s="115"/>
      <c r="G98" s="114"/>
      <c r="H98" s="108">
        <v>396445.51472745708</v>
      </c>
      <c r="I98" s="108"/>
      <c r="J98" s="108">
        <v>11493119.999999998</v>
      </c>
      <c r="K98" s="108"/>
      <c r="L98" s="110"/>
      <c r="M98" s="114"/>
      <c r="N98" s="108">
        <v>562309.74629451195</v>
      </c>
      <c r="O98" s="108"/>
      <c r="P98" s="108">
        <v>17484960</v>
      </c>
      <c r="Q98" s="108"/>
      <c r="R98" s="110"/>
      <c r="S98" s="114"/>
      <c r="T98" s="108">
        <v>855465.13232000463</v>
      </c>
      <c r="U98" s="108"/>
      <c r="V98" s="108">
        <v>18562440.000000004</v>
      </c>
      <c r="W98" s="108"/>
      <c r="X98" s="110"/>
      <c r="Y98" s="114"/>
      <c r="Z98" s="108">
        <v>908181.67103511526</v>
      </c>
      <c r="AA98" s="108"/>
      <c r="AB98" s="111">
        <v>55643520.000000007</v>
      </c>
      <c r="AC98" s="111"/>
      <c r="AD98" s="111">
        <f t="shared" si="4"/>
        <v>2722402.064377089</v>
      </c>
    </row>
    <row r="99" spans="2:30" ht="15" customHeight="1" x14ac:dyDescent="0.45">
      <c r="B99" s="116" t="s">
        <v>424</v>
      </c>
      <c r="C99" s="108"/>
      <c r="D99" s="108">
        <v>3574080</v>
      </c>
      <c r="E99" s="108"/>
      <c r="F99" s="115"/>
      <c r="G99" s="114"/>
      <c r="H99" s="108">
        <v>174864.6162257324</v>
      </c>
      <c r="I99" s="108"/>
      <c r="J99" s="108">
        <v>113880</v>
      </c>
      <c r="K99" s="108"/>
      <c r="L99" s="110"/>
      <c r="M99" s="114"/>
      <c r="N99" s="108">
        <v>5571.6666934669638</v>
      </c>
      <c r="O99" s="108"/>
      <c r="P99" s="108">
        <v>41058120</v>
      </c>
      <c r="Q99" s="108"/>
      <c r="R99" s="110"/>
      <c r="S99" s="114"/>
      <c r="T99" s="108">
        <v>2008800.1378676658</v>
      </c>
      <c r="U99" s="108"/>
      <c r="V99" s="108">
        <v>9548400.0000000019</v>
      </c>
      <c r="W99" s="108"/>
      <c r="X99" s="110"/>
      <c r="Y99" s="114"/>
      <c r="Z99" s="108">
        <v>467162.82275992236</v>
      </c>
      <c r="AA99" s="108"/>
      <c r="AB99" s="111">
        <v>54294480</v>
      </c>
      <c r="AC99" s="111"/>
      <c r="AD99" s="111">
        <f t="shared" si="4"/>
        <v>2656399.2435467876</v>
      </c>
    </row>
    <row r="100" spans="2:30" ht="15" customHeight="1" x14ac:dyDescent="0.45">
      <c r="B100" s="116" t="s">
        <v>425</v>
      </c>
      <c r="C100" s="108"/>
      <c r="D100" s="108">
        <v>87600</v>
      </c>
      <c r="E100" s="108"/>
      <c r="F100" s="115"/>
      <c r="G100" s="114"/>
      <c r="H100" s="108">
        <v>10273.92009920594</v>
      </c>
      <c r="I100" s="108"/>
      <c r="J100" s="108">
        <v>26280.000000000004</v>
      </c>
      <c r="K100" s="108"/>
      <c r="L100" s="110"/>
      <c r="M100" s="114"/>
      <c r="N100" s="108">
        <v>3082.1760297617825</v>
      </c>
      <c r="O100" s="108"/>
      <c r="P100" s="108">
        <v>53190720</v>
      </c>
      <c r="Q100" s="108"/>
      <c r="R100" s="110"/>
      <c r="S100" s="114"/>
      <c r="T100" s="108">
        <v>6238324.2842378467</v>
      </c>
      <c r="U100" s="108"/>
      <c r="V100" s="108">
        <v>709560</v>
      </c>
      <c r="W100" s="108"/>
      <c r="X100" s="110"/>
      <c r="Y100" s="114"/>
      <c r="Z100" s="108">
        <v>83218.752803568117</v>
      </c>
      <c r="AA100" s="108"/>
      <c r="AB100" s="111">
        <v>54014160</v>
      </c>
      <c r="AC100" s="111"/>
      <c r="AD100" s="111">
        <f t="shared" si="4"/>
        <v>6334899.1331703821</v>
      </c>
    </row>
    <row r="101" spans="2:30" ht="15" customHeight="1" x14ac:dyDescent="0.45">
      <c r="B101" s="116" t="s">
        <v>426</v>
      </c>
      <c r="C101" s="108"/>
      <c r="D101" s="108">
        <v>35933520.000000007</v>
      </c>
      <c r="E101" s="108"/>
      <c r="F101" s="115"/>
      <c r="G101" s="114"/>
      <c r="H101" s="108">
        <v>1758075.1366616532</v>
      </c>
      <c r="I101" s="108"/>
      <c r="J101" s="108">
        <v>867240.00000000012</v>
      </c>
      <c r="K101" s="108"/>
      <c r="L101" s="110"/>
      <c r="M101" s="114"/>
      <c r="N101" s="108">
        <v>42430.384819479186</v>
      </c>
      <c r="O101" s="108"/>
      <c r="P101" s="108">
        <v>13201320</v>
      </c>
      <c r="Q101" s="108"/>
      <c r="R101" s="110"/>
      <c r="S101" s="114"/>
      <c r="T101" s="108">
        <v>645884.74669651652</v>
      </c>
      <c r="U101" s="108"/>
      <c r="V101" s="108">
        <v>3871920</v>
      </c>
      <c r="W101" s="108"/>
      <c r="X101" s="110"/>
      <c r="Y101" s="114"/>
      <c r="Z101" s="108">
        <v>189436.6675778768</v>
      </c>
      <c r="AA101" s="108"/>
      <c r="AB101" s="111">
        <v>53874000.000000007</v>
      </c>
      <c r="AC101" s="111"/>
      <c r="AD101" s="111">
        <f t="shared" si="4"/>
        <v>2635826.9357555257</v>
      </c>
    </row>
    <row r="102" spans="2:30" ht="15" customHeight="1" x14ac:dyDescent="0.45">
      <c r="B102" s="116" t="s">
        <v>427</v>
      </c>
      <c r="C102" s="108"/>
      <c r="D102" s="108">
        <v>35040</v>
      </c>
      <c r="E102" s="108"/>
      <c r="F102" s="115"/>
      <c r="G102" s="114"/>
      <c r="H102" s="108">
        <v>1714.3589826052198</v>
      </c>
      <c r="I102" s="108"/>
      <c r="J102" s="108">
        <v>175200</v>
      </c>
      <c r="K102" s="108"/>
      <c r="L102" s="110"/>
      <c r="M102" s="114"/>
      <c r="N102" s="108">
        <v>8571.7949130260986</v>
      </c>
      <c r="O102" s="108"/>
      <c r="P102" s="108">
        <v>28662719.999999996</v>
      </c>
      <c r="Q102" s="108"/>
      <c r="R102" s="110"/>
      <c r="S102" s="114"/>
      <c r="T102" s="108">
        <v>1402345.6477710695</v>
      </c>
      <c r="U102" s="108"/>
      <c r="V102" s="108">
        <v>22811040</v>
      </c>
      <c r="W102" s="108"/>
      <c r="X102" s="110"/>
      <c r="Y102" s="114"/>
      <c r="Z102" s="108">
        <v>1116047.6976759979</v>
      </c>
      <c r="AA102" s="108"/>
      <c r="AB102" s="111">
        <v>51684000.000000007</v>
      </c>
      <c r="AC102" s="111"/>
      <c r="AD102" s="111">
        <f t="shared" si="4"/>
        <v>2528679.4993426986</v>
      </c>
    </row>
    <row r="103" spans="2:30" ht="15" customHeight="1" x14ac:dyDescent="0.45">
      <c r="B103" s="116" t="s">
        <v>86</v>
      </c>
      <c r="C103" s="108"/>
      <c r="D103" s="108">
        <v>1909680</v>
      </c>
      <c r="E103" s="108"/>
      <c r="F103" s="115"/>
      <c r="G103" s="114"/>
      <c r="H103" s="108">
        <v>93432.564551984469</v>
      </c>
      <c r="I103" s="108"/>
      <c r="J103" s="108">
        <v>735840</v>
      </c>
      <c r="K103" s="108"/>
      <c r="L103" s="110"/>
      <c r="M103" s="114"/>
      <c r="N103" s="108">
        <v>36001.538634709606</v>
      </c>
      <c r="O103" s="108"/>
      <c r="P103" s="108">
        <v>37685520</v>
      </c>
      <c r="Q103" s="108"/>
      <c r="R103" s="110"/>
      <c r="S103" s="114"/>
      <c r="T103" s="108">
        <v>1843793.085791914</v>
      </c>
      <c r="U103" s="108"/>
      <c r="V103" s="108">
        <v>11221560</v>
      </c>
      <c r="W103" s="108"/>
      <c r="X103" s="110"/>
      <c r="Y103" s="114"/>
      <c r="Z103" s="108">
        <v>549023.46417932154</v>
      </c>
      <c r="AA103" s="108"/>
      <c r="AB103" s="111">
        <v>51552599.999999993</v>
      </c>
      <c r="AC103" s="111"/>
      <c r="AD103" s="111">
        <f t="shared" si="4"/>
        <v>2522250.6531579294</v>
      </c>
    </row>
    <row r="104" spans="2:30" ht="15" customHeight="1" x14ac:dyDescent="0.45">
      <c r="B104" s="116" t="s">
        <v>428</v>
      </c>
      <c r="C104" s="108"/>
      <c r="D104" s="108">
        <v>5291040</v>
      </c>
      <c r="E104" s="108"/>
      <c r="F104" s="115"/>
      <c r="G104" s="114"/>
      <c r="H104" s="108">
        <v>258868.20637338818</v>
      </c>
      <c r="I104" s="108"/>
      <c r="J104" s="108">
        <v>350400</v>
      </c>
      <c r="K104" s="108"/>
      <c r="L104" s="110"/>
      <c r="M104" s="114"/>
      <c r="N104" s="108">
        <v>17143.589826052197</v>
      </c>
      <c r="O104" s="108"/>
      <c r="P104" s="108">
        <v>28303559.999999996</v>
      </c>
      <c r="Q104" s="108"/>
      <c r="R104" s="110"/>
      <c r="S104" s="114"/>
      <c r="T104" s="108">
        <v>1384773.468199366</v>
      </c>
      <c r="U104" s="108"/>
      <c r="V104" s="108">
        <v>16153440</v>
      </c>
      <c r="W104" s="108"/>
      <c r="X104" s="110"/>
      <c r="Y104" s="114"/>
      <c r="Z104" s="108">
        <v>790319.49098100641</v>
      </c>
      <c r="AA104" s="108"/>
      <c r="AB104" s="111">
        <v>50098440</v>
      </c>
      <c r="AC104" s="111"/>
      <c r="AD104" s="111">
        <f t="shared" si="4"/>
        <v>2451104.7553798128</v>
      </c>
    </row>
    <row r="105" spans="2:30" ht="15" customHeight="1" x14ac:dyDescent="0.45">
      <c r="B105" s="116" t="s">
        <v>429</v>
      </c>
      <c r="C105" s="108"/>
      <c r="D105" s="108">
        <v>87600</v>
      </c>
      <c r="E105" s="108"/>
      <c r="F105" s="115"/>
      <c r="G105" s="114"/>
      <c r="H105" s="108">
        <v>4285.8974565130493</v>
      </c>
      <c r="I105" s="108"/>
      <c r="J105" s="108">
        <v>280320</v>
      </c>
      <c r="K105" s="108"/>
      <c r="L105" s="110"/>
      <c r="M105" s="114"/>
      <c r="N105" s="108">
        <v>13714.871860841758</v>
      </c>
      <c r="O105" s="108"/>
      <c r="P105" s="108">
        <v>18492360</v>
      </c>
      <c r="Q105" s="108"/>
      <c r="R105" s="110"/>
      <c r="S105" s="114"/>
      <c r="T105" s="108">
        <v>904752.95306990459</v>
      </c>
      <c r="U105" s="108"/>
      <c r="V105" s="108">
        <v>30878999.999999996</v>
      </c>
      <c r="W105" s="108"/>
      <c r="X105" s="110"/>
      <c r="Y105" s="114"/>
      <c r="Z105" s="108">
        <v>1510778.8534208494</v>
      </c>
      <c r="AA105" s="108"/>
      <c r="AB105" s="111">
        <v>49739280</v>
      </c>
      <c r="AC105" s="111"/>
      <c r="AD105" s="111">
        <f t="shared" si="4"/>
        <v>2433532.5758081088</v>
      </c>
    </row>
    <row r="106" spans="2:30" ht="15" customHeight="1" x14ac:dyDescent="0.45">
      <c r="B106" s="116" t="s">
        <v>430</v>
      </c>
      <c r="C106" s="108"/>
      <c r="D106" s="108">
        <v>22688399.999999996</v>
      </c>
      <c r="E106" s="108"/>
      <c r="F106" s="115"/>
      <c r="G106" s="114"/>
      <c r="H106" s="108">
        <v>1110047.4412368794</v>
      </c>
      <c r="I106" s="108"/>
      <c r="J106" s="108">
        <v>2251320</v>
      </c>
      <c r="K106" s="108"/>
      <c r="L106" s="110"/>
      <c r="M106" s="114"/>
      <c r="N106" s="108">
        <v>110147.56463238536</v>
      </c>
      <c r="O106" s="108"/>
      <c r="P106" s="108">
        <v>17984280</v>
      </c>
      <c r="Q106" s="108"/>
      <c r="R106" s="110"/>
      <c r="S106" s="114"/>
      <c r="T106" s="108">
        <v>879894.74782212905</v>
      </c>
      <c r="U106" s="108"/>
      <c r="V106" s="108">
        <v>5676480</v>
      </c>
      <c r="W106" s="108"/>
      <c r="X106" s="110"/>
      <c r="Y106" s="114"/>
      <c r="Z106" s="108">
        <v>277726.15518204554</v>
      </c>
      <c r="AA106" s="108"/>
      <c r="AB106" s="111">
        <v>48600479.999999993</v>
      </c>
      <c r="AC106" s="111"/>
      <c r="AD106" s="111">
        <f t="shared" si="4"/>
        <v>2377815.9088734393</v>
      </c>
    </row>
    <row r="107" spans="2:30" ht="15" customHeight="1" x14ac:dyDescent="0.45">
      <c r="B107" s="116" t="s">
        <v>92</v>
      </c>
      <c r="C107" s="108"/>
      <c r="D107" s="108">
        <v>14094840</v>
      </c>
      <c r="E107" s="108"/>
      <c r="F107" s="115"/>
      <c r="G107" s="114"/>
      <c r="H107" s="108">
        <v>1157934.6372677125</v>
      </c>
      <c r="I107" s="108"/>
      <c r="J107" s="108">
        <v>7752600</v>
      </c>
      <c r="K107" s="108"/>
      <c r="L107" s="110"/>
      <c r="M107" s="114"/>
      <c r="N107" s="108">
        <v>636900.03354998468</v>
      </c>
      <c r="O107" s="108"/>
      <c r="P107" s="108">
        <v>23143920.000000004</v>
      </c>
      <c r="Q107" s="108"/>
      <c r="R107" s="110"/>
      <c r="S107" s="114"/>
      <c r="T107" s="108">
        <v>1901344.5069367909</v>
      </c>
      <c r="U107" s="108"/>
      <c r="V107" s="108">
        <v>1541760</v>
      </c>
      <c r="W107" s="108"/>
      <c r="X107" s="110"/>
      <c r="Y107" s="114"/>
      <c r="Z107" s="108">
        <v>126660.34565513823</v>
      </c>
      <c r="AA107" s="108"/>
      <c r="AB107" s="111">
        <v>46533119.999999993</v>
      </c>
      <c r="AC107" s="111"/>
      <c r="AD107" s="111">
        <f t="shared" si="4"/>
        <v>3822839.523409626</v>
      </c>
    </row>
    <row r="108" spans="2:30" ht="15" customHeight="1" x14ac:dyDescent="0.45">
      <c r="B108" s="116" t="s">
        <v>431</v>
      </c>
      <c r="C108" s="108"/>
      <c r="D108" s="108">
        <v>5212200</v>
      </c>
      <c r="E108" s="108"/>
      <c r="F108" s="115"/>
      <c r="G108" s="114"/>
      <c r="H108" s="108">
        <v>255010.89866252642</v>
      </c>
      <c r="I108" s="108"/>
      <c r="J108" s="108">
        <v>96360</v>
      </c>
      <c r="K108" s="108"/>
      <c r="L108" s="110"/>
      <c r="M108" s="114"/>
      <c r="N108" s="108">
        <v>4714.4872021643541</v>
      </c>
      <c r="O108" s="108"/>
      <c r="P108" s="108">
        <v>26113559.999999996</v>
      </c>
      <c r="Q108" s="108"/>
      <c r="R108" s="110"/>
      <c r="S108" s="114"/>
      <c r="T108" s="108">
        <v>1277626.0317865398</v>
      </c>
      <c r="U108" s="108"/>
      <c r="V108" s="108">
        <v>14786880.000000002</v>
      </c>
      <c r="W108" s="108"/>
      <c r="X108" s="110"/>
      <c r="Y108" s="114"/>
      <c r="Z108" s="108">
        <v>723459.4906594028</v>
      </c>
      <c r="AA108" s="108"/>
      <c r="AB108" s="111">
        <v>46209000</v>
      </c>
      <c r="AC108" s="111"/>
      <c r="AD108" s="111">
        <f t="shared" si="4"/>
        <v>2260810.9083106336</v>
      </c>
    </row>
    <row r="109" spans="2:30" ht="15" customHeight="1" x14ac:dyDescent="0.45">
      <c r="B109" s="116" t="s">
        <v>432</v>
      </c>
      <c r="C109" s="108"/>
      <c r="D109" s="108">
        <v>4450080</v>
      </c>
      <c r="E109" s="108"/>
      <c r="F109" s="115"/>
      <c r="G109" s="114"/>
      <c r="H109" s="108">
        <v>217723.59079086289</v>
      </c>
      <c r="I109" s="108"/>
      <c r="J109" s="108">
        <v>70080</v>
      </c>
      <c r="K109" s="108"/>
      <c r="L109" s="110"/>
      <c r="M109" s="114"/>
      <c r="N109" s="108">
        <v>3428.7179652104396</v>
      </c>
      <c r="O109" s="108"/>
      <c r="P109" s="108">
        <v>31001640.000000004</v>
      </c>
      <c r="Q109" s="108"/>
      <c r="R109" s="110"/>
      <c r="S109" s="114"/>
      <c r="T109" s="108">
        <v>1516779.1098599681</v>
      </c>
      <c r="U109" s="108"/>
      <c r="V109" s="108">
        <v>9381960.0000000019</v>
      </c>
      <c r="W109" s="108"/>
      <c r="X109" s="110"/>
      <c r="Y109" s="114"/>
      <c r="Z109" s="108">
        <v>459019.61759254767</v>
      </c>
      <c r="AA109" s="108"/>
      <c r="AB109" s="111">
        <v>44903759.999999993</v>
      </c>
      <c r="AC109" s="111"/>
      <c r="AD109" s="111">
        <f t="shared" si="4"/>
        <v>2196951.0362085891</v>
      </c>
    </row>
    <row r="110" spans="2:30" ht="15" customHeight="1" x14ac:dyDescent="0.45">
      <c r="B110" s="116" t="s">
        <v>433</v>
      </c>
      <c r="C110" s="108"/>
      <c r="D110" s="108">
        <v>2356440</v>
      </c>
      <c r="E110" s="108"/>
      <c r="F110" s="115"/>
      <c r="G110" s="114"/>
      <c r="H110" s="108">
        <v>115290.64158020103</v>
      </c>
      <c r="I110" s="108"/>
      <c r="J110" s="108">
        <v>227760</v>
      </c>
      <c r="K110" s="108"/>
      <c r="L110" s="110"/>
      <c r="M110" s="114"/>
      <c r="N110" s="108">
        <v>11143.333386933928</v>
      </c>
      <c r="O110" s="108"/>
      <c r="P110" s="108">
        <v>28198440</v>
      </c>
      <c r="Q110" s="108"/>
      <c r="R110" s="110"/>
      <c r="S110" s="114"/>
      <c r="T110" s="108">
        <v>1379630.3912515503</v>
      </c>
      <c r="U110" s="108"/>
      <c r="V110" s="108">
        <v>10731000</v>
      </c>
      <c r="W110" s="108"/>
      <c r="X110" s="110"/>
      <c r="Y110" s="114"/>
      <c r="Z110" s="108">
        <v>525022.43842284847</v>
      </c>
      <c r="AA110" s="108"/>
      <c r="AB110" s="111">
        <v>41513640</v>
      </c>
      <c r="AC110" s="111"/>
      <c r="AD110" s="111">
        <f t="shared" ref="AD110:AD173" si="5">H110+N110+T110+Z110</f>
        <v>2031086.8046415336</v>
      </c>
    </row>
    <row r="111" spans="2:30" ht="15" customHeight="1" x14ac:dyDescent="0.45">
      <c r="B111" s="116" t="s">
        <v>434</v>
      </c>
      <c r="C111" s="108"/>
      <c r="D111" s="108">
        <v>1156320.0000000002</v>
      </c>
      <c r="E111" s="108"/>
      <c r="F111" s="115"/>
      <c r="G111" s="114"/>
      <c r="H111" s="108">
        <v>56573.846425972268</v>
      </c>
      <c r="I111" s="108"/>
      <c r="J111" s="108">
        <v>324119.99999999994</v>
      </c>
      <c r="K111" s="108"/>
      <c r="L111" s="110"/>
      <c r="M111" s="114"/>
      <c r="N111" s="108">
        <v>15857.820589098277</v>
      </c>
      <c r="O111" s="108"/>
      <c r="P111" s="108">
        <v>28084560</v>
      </c>
      <c r="Q111" s="108"/>
      <c r="R111" s="110"/>
      <c r="S111" s="114"/>
      <c r="T111" s="108">
        <v>1374058.7245580833</v>
      </c>
      <c r="U111" s="108"/>
      <c r="V111" s="108">
        <v>11536919.999999998</v>
      </c>
      <c r="W111" s="108"/>
      <c r="X111" s="110"/>
      <c r="Y111" s="114"/>
      <c r="Z111" s="108">
        <v>564452.69502276846</v>
      </c>
      <c r="AA111" s="108"/>
      <c r="AB111" s="111">
        <v>41101920</v>
      </c>
      <c r="AC111" s="111"/>
      <c r="AD111" s="111">
        <f t="shared" si="5"/>
        <v>2010943.0865959222</v>
      </c>
    </row>
    <row r="112" spans="2:30" ht="15" customHeight="1" x14ac:dyDescent="0.45">
      <c r="B112" s="116" t="s">
        <v>435</v>
      </c>
      <c r="C112" s="108"/>
      <c r="D112" s="108">
        <v>11204039.999999998</v>
      </c>
      <c r="E112" s="108"/>
      <c r="F112" s="115"/>
      <c r="G112" s="114"/>
      <c r="H112" s="108">
        <v>548166.28468801884</v>
      </c>
      <c r="I112" s="108"/>
      <c r="J112" s="108">
        <v>4003320</v>
      </c>
      <c r="K112" s="108"/>
      <c r="L112" s="110"/>
      <c r="M112" s="114"/>
      <c r="N112" s="108">
        <v>195865.51376264635</v>
      </c>
      <c r="O112" s="108"/>
      <c r="P112" s="108">
        <v>17940480</v>
      </c>
      <c r="Q112" s="108"/>
      <c r="R112" s="110"/>
      <c r="S112" s="114"/>
      <c r="T112" s="108">
        <v>877751.79909387254</v>
      </c>
      <c r="U112" s="108"/>
      <c r="V112" s="108">
        <v>7787639.9999999991</v>
      </c>
      <c r="W112" s="108"/>
      <c r="X112" s="110"/>
      <c r="Y112" s="114"/>
      <c r="Z112" s="108">
        <v>381016.28388401004</v>
      </c>
      <c r="AA112" s="108"/>
      <c r="AB112" s="111">
        <v>40935480</v>
      </c>
      <c r="AC112" s="111"/>
      <c r="AD112" s="111">
        <f t="shared" si="5"/>
        <v>2002799.8814285479</v>
      </c>
    </row>
    <row r="113" spans="2:30" ht="15" customHeight="1" x14ac:dyDescent="0.45">
      <c r="B113" s="116" t="s">
        <v>436</v>
      </c>
      <c r="C113" s="108"/>
      <c r="D113" s="108">
        <v>0</v>
      </c>
      <c r="E113" s="108"/>
      <c r="F113" s="115"/>
      <c r="G113" s="114"/>
      <c r="H113" s="108">
        <v>0</v>
      </c>
      <c r="I113" s="108"/>
      <c r="J113" s="108">
        <v>17520</v>
      </c>
      <c r="K113" s="108"/>
      <c r="L113" s="110"/>
      <c r="M113" s="114"/>
      <c r="N113" s="108">
        <v>857.1794913026099</v>
      </c>
      <c r="O113" s="108"/>
      <c r="P113" s="108">
        <v>25088639.999999996</v>
      </c>
      <c r="Q113" s="108"/>
      <c r="R113" s="110"/>
      <c r="S113" s="114"/>
      <c r="T113" s="108">
        <v>1227481.0315453371</v>
      </c>
      <c r="U113" s="108"/>
      <c r="V113" s="108">
        <v>13525439.999999998</v>
      </c>
      <c r="W113" s="108"/>
      <c r="X113" s="110"/>
      <c r="Y113" s="114"/>
      <c r="Z113" s="108">
        <v>661742.56728561467</v>
      </c>
      <c r="AA113" s="108"/>
      <c r="AB113" s="111">
        <v>38631600</v>
      </c>
      <c r="AC113" s="111"/>
      <c r="AD113" s="111">
        <f t="shared" si="5"/>
        <v>1890080.7783222543</v>
      </c>
    </row>
    <row r="114" spans="2:30" ht="15" customHeight="1" x14ac:dyDescent="0.45">
      <c r="B114" s="116" t="s">
        <v>437</v>
      </c>
      <c r="C114" s="108"/>
      <c r="D114" s="108">
        <v>192720</v>
      </c>
      <c r="E114" s="108"/>
      <c r="F114" s="115"/>
      <c r="G114" s="114"/>
      <c r="H114" s="108">
        <v>9663.8093427106178</v>
      </c>
      <c r="I114" s="108"/>
      <c r="J114" s="108">
        <v>192720</v>
      </c>
      <c r="K114" s="108"/>
      <c r="L114" s="110"/>
      <c r="M114" s="114"/>
      <c r="N114" s="108">
        <v>9663.8093427106178</v>
      </c>
      <c r="O114" s="108"/>
      <c r="P114" s="108">
        <v>25176239.999999996</v>
      </c>
      <c r="Q114" s="108"/>
      <c r="R114" s="110"/>
      <c r="S114" s="114"/>
      <c r="T114" s="108">
        <v>1262444.9114068323</v>
      </c>
      <c r="U114" s="108"/>
      <c r="V114" s="108">
        <v>10617120</v>
      </c>
      <c r="W114" s="108"/>
      <c r="X114" s="110"/>
      <c r="Y114" s="114"/>
      <c r="Z114" s="108">
        <v>532388.04197114857</v>
      </c>
      <c r="AA114" s="108"/>
      <c r="AB114" s="111">
        <v>36178800</v>
      </c>
      <c r="AC114" s="111"/>
      <c r="AD114" s="111">
        <f t="shared" si="5"/>
        <v>1814160.5720634023</v>
      </c>
    </row>
    <row r="115" spans="2:30" ht="15" customHeight="1" x14ac:dyDescent="0.45">
      <c r="B115" s="116" t="s">
        <v>438</v>
      </c>
      <c r="C115" s="108"/>
      <c r="D115" s="108">
        <v>131400</v>
      </c>
      <c r="E115" s="108"/>
      <c r="F115" s="115"/>
      <c r="G115" s="114"/>
      <c r="H115" s="108">
        <v>6428.8461847695726</v>
      </c>
      <c r="I115" s="108"/>
      <c r="J115" s="108">
        <v>43800</v>
      </c>
      <c r="K115" s="108"/>
      <c r="L115" s="110"/>
      <c r="M115" s="114"/>
      <c r="N115" s="108">
        <v>2142.9487282565246</v>
      </c>
      <c r="O115" s="108"/>
      <c r="P115" s="108">
        <v>27138480.000000004</v>
      </c>
      <c r="Q115" s="108"/>
      <c r="R115" s="110"/>
      <c r="S115" s="114"/>
      <c r="T115" s="108">
        <v>1327771.0320277428</v>
      </c>
      <c r="U115" s="108"/>
      <c r="V115" s="108">
        <v>7848960</v>
      </c>
      <c r="W115" s="108"/>
      <c r="X115" s="110"/>
      <c r="Y115" s="114"/>
      <c r="Z115" s="108">
        <v>384016.41210356919</v>
      </c>
      <c r="AA115" s="108"/>
      <c r="AB115" s="111">
        <v>35162640.000000007</v>
      </c>
      <c r="AC115" s="111"/>
      <c r="AD115" s="111">
        <f t="shared" si="5"/>
        <v>1720359.239044338</v>
      </c>
    </row>
    <row r="116" spans="2:30" ht="15" customHeight="1" x14ac:dyDescent="0.45">
      <c r="B116" s="116" t="s">
        <v>439</v>
      </c>
      <c r="C116" s="108"/>
      <c r="D116" s="108">
        <v>11519400</v>
      </c>
      <c r="E116" s="108"/>
      <c r="F116" s="115"/>
      <c r="G116" s="114"/>
      <c r="H116" s="108">
        <v>563595.51553146588</v>
      </c>
      <c r="I116" s="108"/>
      <c r="J116" s="108">
        <v>613200</v>
      </c>
      <c r="K116" s="108"/>
      <c r="L116" s="110"/>
      <c r="M116" s="114"/>
      <c r="N116" s="108">
        <v>30001.282195591346</v>
      </c>
      <c r="O116" s="108"/>
      <c r="P116" s="108">
        <v>22670880</v>
      </c>
      <c r="Q116" s="108"/>
      <c r="R116" s="110"/>
      <c r="S116" s="114"/>
      <c r="T116" s="108">
        <v>1109190.2617455772</v>
      </c>
      <c r="U116" s="108"/>
      <c r="V116" s="108">
        <v>262800</v>
      </c>
      <c r="W116" s="108"/>
      <c r="X116" s="110"/>
      <c r="Y116" s="114"/>
      <c r="Z116" s="108">
        <v>12857.692369539145</v>
      </c>
      <c r="AA116" s="108"/>
      <c r="AB116" s="111">
        <v>35066280</v>
      </c>
      <c r="AC116" s="111"/>
      <c r="AD116" s="111">
        <f t="shared" si="5"/>
        <v>1715644.7518421735</v>
      </c>
    </row>
    <row r="117" spans="2:30" ht="15" customHeight="1" x14ac:dyDescent="0.45">
      <c r="B117" s="116" t="s">
        <v>440</v>
      </c>
      <c r="C117" s="108"/>
      <c r="D117" s="108">
        <v>1156320.0000000002</v>
      </c>
      <c r="E117" s="108"/>
      <c r="F117" s="115"/>
      <c r="G117" s="114"/>
      <c r="H117" s="108">
        <v>56573.846425972268</v>
      </c>
      <c r="I117" s="108"/>
      <c r="J117" s="108">
        <v>43800</v>
      </c>
      <c r="K117" s="108"/>
      <c r="L117" s="110"/>
      <c r="M117" s="114"/>
      <c r="N117" s="108">
        <v>2142.9487282565246</v>
      </c>
      <c r="O117" s="108"/>
      <c r="P117" s="108">
        <v>27611519.999999996</v>
      </c>
      <c r="Q117" s="108"/>
      <c r="R117" s="110"/>
      <c r="S117" s="114"/>
      <c r="T117" s="108">
        <v>1350914.8782929129</v>
      </c>
      <c r="U117" s="108"/>
      <c r="V117" s="108">
        <v>4563960</v>
      </c>
      <c r="W117" s="108"/>
      <c r="X117" s="110"/>
      <c r="Y117" s="114"/>
      <c r="Z117" s="108">
        <v>223295.25748432984</v>
      </c>
      <c r="AA117" s="108"/>
      <c r="AB117" s="111">
        <v>33375600</v>
      </c>
      <c r="AC117" s="111"/>
      <c r="AD117" s="111">
        <f t="shared" si="5"/>
        <v>1632926.9309314715</v>
      </c>
    </row>
    <row r="118" spans="2:30" ht="15" customHeight="1" x14ac:dyDescent="0.45">
      <c r="B118" s="116" t="s">
        <v>441</v>
      </c>
      <c r="C118" s="108"/>
      <c r="D118" s="108">
        <v>96360</v>
      </c>
      <c r="E118" s="108"/>
      <c r="F118" s="115"/>
      <c r="G118" s="114"/>
      <c r="H118" s="108">
        <v>4714.4872021643541</v>
      </c>
      <c r="I118" s="108"/>
      <c r="J118" s="108">
        <v>4818000</v>
      </c>
      <c r="K118" s="108"/>
      <c r="L118" s="110"/>
      <c r="M118" s="114"/>
      <c r="N118" s="108">
        <v>235724.36010821772</v>
      </c>
      <c r="O118" s="108"/>
      <c r="P118" s="108">
        <v>18904080</v>
      </c>
      <c r="Q118" s="108"/>
      <c r="R118" s="110"/>
      <c r="S118" s="114"/>
      <c r="T118" s="108">
        <v>924896.67111551599</v>
      </c>
      <c r="U118" s="108"/>
      <c r="V118" s="108">
        <v>8400840</v>
      </c>
      <c r="W118" s="108"/>
      <c r="X118" s="110"/>
      <c r="Y118" s="114"/>
      <c r="Z118" s="108">
        <v>411017.56607960141</v>
      </c>
      <c r="AA118" s="108"/>
      <c r="AB118" s="111">
        <v>32219279.999999996</v>
      </c>
      <c r="AC118" s="111"/>
      <c r="AD118" s="111">
        <f t="shared" si="5"/>
        <v>1576353.0845054996</v>
      </c>
    </row>
    <row r="119" spans="2:30" ht="15" customHeight="1" x14ac:dyDescent="0.45">
      <c r="B119" s="116" t="s">
        <v>442</v>
      </c>
      <c r="C119" s="108"/>
      <c r="D119" s="108">
        <v>183960</v>
      </c>
      <c r="E119" s="108"/>
      <c r="F119" s="115"/>
      <c r="G119" s="114"/>
      <c r="H119" s="108">
        <v>13087.322388030887</v>
      </c>
      <c r="I119" s="108"/>
      <c r="J119" s="108">
        <v>4231080</v>
      </c>
      <c r="K119" s="108"/>
      <c r="L119" s="110"/>
      <c r="M119" s="114"/>
      <c r="N119" s="108">
        <v>301008.41492471041</v>
      </c>
      <c r="O119" s="108"/>
      <c r="P119" s="108">
        <v>18851520</v>
      </c>
      <c r="Q119" s="108"/>
      <c r="R119" s="110"/>
      <c r="S119" s="114"/>
      <c r="T119" s="108">
        <v>1341138.9418591654</v>
      </c>
      <c r="U119" s="108"/>
      <c r="V119" s="108">
        <v>8094240.0000000009</v>
      </c>
      <c r="W119" s="108"/>
      <c r="X119" s="110"/>
      <c r="Y119" s="114"/>
      <c r="Z119" s="108">
        <v>575842.18507335917</v>
      </c>
      <c r="AA119" s="108"/>
      <c r="AB119" s="111">
        <v>31360800</v>
      </c>
      <c r="AC119" s="111"/>
      <c r="AD119" s="111">
        <f t="shared" si="5"/>
        <v>2231076.8642452657</v>
      </c>
    </row>
    <row r="120" spans="2:30" ht="15" customHeight="1" x14ac:dyDescent="0.45">
      <c r="B120" s="116" t="s">
        <v>443</v>
      </c>
      <c r="C120" s="108"/>
      <c r="D120" s="108">
        <v>2084880</v>
      </c>
      <c r="E120" s="108"/>
      <c r="F120" s="115"/>
      <c r="G120" s="114"/>
      <c r="H120" s="108">
        <v>102004.35946501057</v>
      </c>
      <c r="I120" s="108"/>
      <c r="J120" s="108">
        <v>122640</v>
      </c>
      <c r="K120" s="108"/>
      <c r="L120" s="110"/>
      <c r="M120" s="114"/>
      <c r="N120" s="108">
        <v>6000.2564391182686</v>
      </c>
      <c r="O120" s="108"/>
      <c r="P120" s="108">
        <v>16959360</v>
      </c>
      <c r="Q120" s="108"/>
      <c r="R120" s="110"/>
      <c r="S120" s="114"/>
      <c r="T120" s="108">
        <v>829749.74758092628</v>
      </c>
      <c r="U120" s="108"/>
      <c r="V120" s="108">
        <v>12158880</v>
      </c>
      <c r="W120" s="108"/>
      <c r="X120" s="110"/>
      <c r="Y120" s="114"/>
      <c r="Z120" s="108">
        <v>594882.56696401117</v>
      </c>
      <c r="AA120" s="108"/>
      <c r="AB120" s="111">
        <v>31325759.999999996</v>
      </c>
      <c r="AC120" s="111"/>
      <c r="AD120" s="111">
        <f t="shared" si="5"/>
        <v>1532636.9304490662</v>
      </c>
    </row>
    <row r="121" spans="2:30" ht="15" customHeight="1" x14ac:dyDescent="0.45">
      <c r="B121" s="116" t="s">
        <v>444</v>
      </c>
      <c r="C121" s="108"/>
      <c r="D121" s="108">
        <v>315359.99999999994</v>
      </c>
      <c r="E121" s="108"/>
      <c r="F121" s="115"/>
      <c r="G121" s="114"/>
      <c r="H121" s="108">
        <v>15429.230843446974</v>
      </c>
      <c r="I121" s="108"/>
      <c r="J121" s="108">
        <v>3863160</v>
      </c>
      <c r="K121" s="108"/>
      <c r="L121" s="110"/>
      <c r="M121" s="114"/>
      <c r="N121" s="108">
        <v>189008.07783222548</v>
      </c>
      <c r="O121" s="108"/>
      <c r="P121" s="108">
        <v>25053600</v>
      </c>
      <c r="Q121" s="108"/>
      <c r="R121" s="110"/>
      <c r="S121" s="114"/>
      <c r="T121" s="108">
        <v>1225766.6725627321</v>
      </c>
      <c r="U121" s="108"/>
      <c r="V121" s="108">
        <v>201480.00000000003</v>
      </c>
      <c r="W121" s="108"/>
      <c r="X121" s="110"/>
      <c r="Y121" s="114"/>
      <c r="Z121" s="108">
        <v>9857.5641499800149</v>
      </c>
      <c r="AA121" s="108"/>
      <c r="AB121" s="111">
        <v>29433600</v>
      </c>
      <c r="AC121" s="111"/>
      <c r="AD121" s="111">
        <f t="shared" si="5"/>
        <v>1440061.5453883845</v>
      </c>
    </row>
    <row r="122" spans="2:30" ht="15" customHeight="1" x14ac:dyDescent="0.45">
      <c r="B122" s="116" t="s">
        <v>445</v>
      </c>
      <c r="C122" s="108"/>
      <c r="D122" s="108">
        <v>3486480</v>
      </c>
      <c r="E122" s="108"/>
      <c r="F122" s="115"/>
      <c r="G122" s="114"/>
      <c r="H122" s="108">
        <v>170578.71876921935</v>
      </c>
      <c r="I122" s="108"/>
      <c r="J122" s="108">
        <v>2268840</v>
      </c>
      <c r="K122" s="108"/>
      <c r="L122" s="110"/>
      <c r="M122" s="114"/>
      <c r="N122" s="108">
        <v>111004.74412368795</v>
      </c>
      <c r="O122" s="108"/>
      <c r="P122" s="108">
        <v>16941840</v>
      </c>
      <c r="Q122" s="108"/>
      <c r="R122" s="110"/>
      <c r="S122" s="114"/>
      <c r="T122" s="108">
        <v>828892.5680896237</v>
      </c>
      <c r="U122" s="108"/>
      <c r="V122" s="108">
        <v>5159639.9999999991</v>
      </c>
      <c r="W122" s="108"/>
      <c r="X122" s="110"/>
      <c r="Y122" s="114"/>
      <c r="Z122" s="108">
        <v>252439.36018861856</v>
      </c>
      <c r="AA122" s="108"/>
      <c r="AB122" s="111">
        <v>27856800.000000004</v>
      </c>
      <c r="AC122" s="111"/>
      <c r="AD122" s="111">
        <f t="shared" si="5"/>
        <v>1362915.3911711497</v>
      </c>
    </row>
    <row r="123" spans="2:30" ht="15" customHeight="1" x14ac:dyDescent="0.45">
      <c r="B123" s="116" t="s">
        <v>446</v>
      </c>
      <c r="C123" s="108"/>
      <c r="D123" s="108">
        <v>140160</v>
      </c>
      <c r="E123" s="108"/>
      <c r="F123" s="115"/>
      <c r="G123" s="114"/>
      <c r="H123" s="108">
        <v>6857.4359304208792</v>
      </c>
      <c r="I123" s="108"/>
      <c r="J123" s="108">
        <v>70080</v>
      </c>
      <c r="K123" s="108"/>
      <c r="L123" s="110"/>
      <c r="M123" s="114"/>
      <c r="N123" s="108">
        <v>3428.7179652104396</v>
      </c>
      <c r="O123" s="108"/>
      <c r="P123" s="108">
        <v>23476800.000000004</v>
      </c>
      <c r="Q123" s="108"/>
      <c r="R123" s="110"/>
      <c r="S123" s="114"/>
      <c r="T123" s="108">
        <v>1148620.5183454973</v>
      </c>
      <c r="U123" s="108"/>
      <c r="V123" s="108">
        <v>4073400</v>
      </c>
      <c r="W123" s="108"/>
      <c r="X123" s="110"/>
      <c r="Y123" s="114"/>
      <c r="Z123" s="108">
        <v>199294.23172785676</v>
      </c>
      <c r="AA123" s="108"/>
      <c r="AB123" s="111">
        <v>27760440</v>
      </c>
      <c r="AC123" s="111"/>
      <c r="AD123" s="111">
        <f t="shared" si="5"/>
        <v>1358200.9039689854</v>
      </c>
    </row>
    <row r="124" spans="2:30" ht="15" customHeight="1" x14ac:dyDescent="0.45">
      <c r="B124" s="116" t="s">
        <v>447</v>
      </c>
      <c r="C124" s="108"/>
      <c r="D124" s="108">
        <v>3048480</v>
      </c>
      <c r="E124" s="108"/>
      <c r="F124" s="115"/>
      <c r="G124" s="114"/>
      <c r="H124" s="108">
        <v>149149.23148665411</v>
      </c>
      <c r="I124" s="108"/>
      <c r="J124" s="108">
        <v>113880</v>
      </c>
      <c r="K124" s="108"/>
      <c r="L124" s="110"/>
      <c r="M124" s="114"/>
      <c r="N124" s="108">
        <v>5571.6666934669638</v>
      </c>
      <c r="O124" s="108"/>
      <c r="P124" s="108">
        <v>12658200</v>
      </c>
      <c r="Q124" s="108"/>
      <c r="R124" s="110"/>
      <c r="S124" s="114"/>
      <c r="T124" s="108">
        <v>619312.18246613559</v>
      </c>
      <c r="U124" s="108"/>
      <c r="V124" s="108">
        <v>11931120</v>
      </c>
      <c r="W124" s="108"/>
      <c r="X124" s="110"/>
      <c r="Y124" s="114"/>
      <c r="Z124" s="108">
        <v>583739.23357707728</v>
      </c>
      <c r="AA124" s="108"/>
      <c r="AB124" s="111">
        <v>27751680.000000004</v>
      </c>
      <c r="AC124" s="111"/>
      <c r="AD124" s="111">
        <f t="shared" si="5"/>
        <v>1357772.314223334</v>
      </c>
    </row>
    <row r="125" spans="2:30" ht="15" customHeight="1" x14ac:dyDescent="0.45">
      <c r="B125" s="116" t="s">
        <v>448</v>
      </c>
      <c r="C125" s="108"/>
      <c r="D125" s="108">
        <v>131400</v>
      </c>
      <c r="E125" s="108"/>
      <c r="F125" s="115"/>
      <c r="G125" s="114"/>
      <c r="H125" s="108">
        <v>6428.8461847695726</v>
      </c>
      <c r="I125" s="108"/>
      <c r="J125" s="108">
        <v>43800</v>
      </c>
      <c r="K125" s="108"/>
      <c r="L125" s="110"/>
      <c r="M125" s="114"/>
      <c r="N125" s="108">
        <v>2142.9487282565246</v>
      </c>
      <c r="O125" s="108"/>
      <c r="P125" s="108">
        <v>26534040</v>
      </c>
      <c r="Q125" s="108"/>
      <c r="R125" s="110"/>
      <c r="S125" s="114"/>
      <c r="T125" s="108">
        <v>1298198.3395778025</v>
      </c>
      <c r="U125" s="108"/>
      <c r="V125" s="108">
        <v>61320</v>
      </c>
      <c r="W125" s="108"/>
      <c r="X125" s="110"/>
      <c r="Y125" s="114"/>
      <c r="Z125" s="108">
        <v>3000.1282195591343</v>
      </c>
      <c r="AA125" s="108"/>
      <c r="AB125" s="111">
        <v>26770559.999999996</v>
      </c>
      <c r="AC125" s="111"/>
      <c r="AD125" s="111">
        <f t="shared" si="5"/>
        <v>1309770.2627103876</v>
      </c>
    </row>
    <row r="126" spans="2:30" ht="15" customHeight="1" x14ac:dyDescent="0.45">
      <c r="B126" s="116" t="s">
        <v>449</v>
      </c>
      <c r="C126" s="108"/>
      <c r="D126" s="108">
        <v>35040</v>
      </c>
      <c r="E126" s="108"/>
      <c r="F126" s="115"/>
      <c r="G126" s="114"/>
      <c r="H126" s="108">
        <v>1714.3589826052198</v>
      </c>
      <c r="I126" s="108"/>
      <c r="J126" s="108">
        <v>122640</v>
      </c>
      <c r="K126" s="108"/>
      <c r="L126" s="110"/>
      <c r="M126" s="114"/>
      <c r="N126" s="108">
        <v>6000.2564391182686</v>
      </c>
      <c r="O126" s="108"/>
      <c r="P126" s="108">
        <v>13560480</v>
      </c>
      <c r="Q126" s="108"/>
      <c r="R126" s="110"/>
      <c r="S126" s="114"/>
      <c r="T126" s="108">
        <v>663456.92626821995</v>
      </c>
      <c r="U126" s="108"/>
      <c r="V126" s="108">
        <v>12430439.999999998</v>
      </c>
      <c r="W126" s="108"/>
      <c r="X126" s="110"/>
      <c r="Y126" s="114"/>
      <c r="Z126" s="108">
        <v>608168.84907920158</v>
      </c>
      <c r="AA126" s="108"/>
      <c r="AB126" s="111">
        <v>26148600.000000007</v>
      </c>
      <c r="AC126" s="111"/>
      <c r="AD126" s="111">
        <f t="shared" si="5"/>
        <v>1279340.390769145</v>
      </c>
    </row>
    <row r="127" spans="2:30" ht="15" customHeight="1" x14ac:dyDescent="0.45">
      <c r="B127" s="116" t="s">
        <v>450</v>
      </c>
      <c r="C127" s="108"/>
      <c r="D127" s="108">
        <v>166440</v>
      </c>
      <c r="E127" s="108"/>
      <c r="F127" s="115"/>
      <c r="G127" s="114"/>
      <c r="H127" s="108">
        <v>8143.2051673747928</v>
      </c>
      <c r="I127" s="108"/>
      <c r="J127" s="108">
        <v>0</v>
      </c>
      <c r="K127" s="108"/>
      <c r="L127" s="110"/>
      <c r="M127" s="114"/>
      <c r="N127" s="108">
        <v>0</v>
      </c>
      <c r="O127" s="108"/>
      <c r="P127" s="108">
        <v>21120360</v>
      </c>
      <c r="Q127" s="108"/>
      <c r="R127" s="110"/>
      <c r="S127" s="114"/>
      <c r="T127" s="108">
        <v>1033329.8767652962</v>
      </c>
      <c r="U127" s="108"/>
      <c r="V127" s="108">
        <v>4397520</v>
      </c>
      <c r="W127" s="108"/>
      <c r="X127" s="110"/>
      <c r="Y127" s="114"/>
      <c r="Z127" s="108">
        <v>215152.05231695503</v>
      </c>
      <c r="AA127" s="108"/>
      <c r="AB127" s="111">
        <v>25684320.000000004</v>
      </c>
      <c r="AC127" s="111"/>
      <c r="AD127" s="111">
        <f t="shared" si="5"/>
        <v>1256625.134249626</v>
      </c>
    </row>
    <row r="128" spans="2:30" ht="15" customHeight="1" x14ac:dyDescent="0.45">
      <c r="B128" s="116" t="s">
        <v>451</v>
      </c>
      <c r="C128" s="108"/>
      <c r="D128" s="108">
        <v>490560</v>
      </c>
      <c r="E128" s="108"/>
      <c r="F128" s="115"/>
      <c r="G128" s="114"/>
      <c r="H128" s="108">
        <v>24001.025756473075</v>
      </c>
      <c r="I128" s="108"/>
      <c r="J128" s="108">
        <v>26280.000000000004</v>
      </c>
      <c r="K128" s="108"/>
      <c r="L128" s="110"/>
      <c r="M128" s="114"/>
      <c r="N128" s="108">
        <v>1285.769236953915</v>
      </c>
      <c r="O128" s="108"/>
      <c r="P128" s="108">
        <v>18588719.999999996</v>
      </c>
      <c r="Q128" s="108"/>
      <c r="R128" s="110"/>
      <c r="S128" s="114"/>
      <c r="T128" s="108">
        <v>909467.44027206884</v>
      </c>
      <c r="U128" s="108"/>
      <c r="V128" s="108">
        <v>5790360.0000000009</v>
      </c>
      <c r="W128" s="108"/>
      <c r="X128" s="110"/>
      <c r="Y128" s="114"/>
      <c r="Z128" s="108">
        <v>283297.8218755126</v>
      </c>
      <c r="AA128" s="108"/>
      <c r="AB128" s="111">
        <v>24895920</v>
      </c>
      <c r="AC128" s="111"/>
      <c r="AD128" s="111">
        <f t="shared" si="5"/>
        <v>1218052.0571410083</v>
      </c>
    </row>
    <row r="129" spans="2:30" ht="15" customHeight="1" x14ac:dyDescent="0.45">
      <c r="B129" s="116" t="s">
        <v>452</v>
      </c>
      <c r="C129" s="108"/>
      <c r="D129" s="108">
        <v>61320</v>
      </c>
      <c r="E129" s="108"/>
      <c r="F129" s="115"/>
      <c r="G129" s="114"/>
      <c r="H129" s="108">
        <v>3000.1282195591343</v>
      </c>
      <c r="I129" s="108"/>
      <c r="J129" s="108">
        <v>35040</v>
      </c>
      <c r="K129" s="108"/>
      <c r="L129" s="110"/>
      <c r="M129" s="114"/>
      <c r="N129" s="108">
        <v>1714.3589826052198</v>
      </c>
      <c r="O129" s="108"/>
      <c r="P129" s="108">
        <v>16013280</v>
      </c>
      <c r="Q129" s="108"/>
      <c r="R129" s="110"/>
      <c r="S129" s="114"/>
      <c r="T129" s="108">
        <v>783462.05505058542</v>
      </c>
      <c r="U129" s="108"/>
      <c r="V129" s="108">
        <v>8698680</v>
      </c>
      <c r="W129" s="108"/>
      <c r="X129" s="110"/>
      <c r="Y129" s="114"/>
      <c r="Z129" s="108">
        <v>425589.61743174575</v>
      </c>
      <c r="AA129" s="108"/>
      <c r="AB129" s="111">
        <v>24808319.999999996</v>
      </c>
      <c r="AC129" s="111"/>
      <c r="AD129" s="111">
        <f t="shared" si="5"/>
        <v>1213766.1596844955</v>
      </c>
    </row>
    <row r="130" spans="2:30" ht="15" customHeight="1" x14ac:dyDescent="0.45">
      <c r="B130" s="116" t="s">
        <v>453</v>
      </c>
      <c r="C130" s="108"/>
      <c r="D130" s="108">
        <v>11536919.999999998</v>
      </c>
      <c r="E130" s="108"/>
      <c r="F130" s="115"/>
      <c r="G130" s="114"/>
      <c r="H130" s="108">
        <v>1349631.6619931541</v>
      </c>
      <c r="I130" s="108"/>
      <c r="J130" s="108">
        <v>1252679.9999999998</v>
      </c>
      <c r="K130" s="108"/>
      <c r="L130" s="110"/>
      <c r="M130" s="114"/>
      <c r="N130" s="108">
        <v>146543.1493280342</v>
      </c>
      <c r="O130" s="108"/>
      <c r="P130" s="108">
        <v>7752600</v>
      </c>
      <c r="Q130" s="108"/>
      <c r="R130" s="110"/>
      <c r="S130" s="114"/>
      <c r="T130" s="108">
        <v>906927.88220496709</v>
      </c>
      <c r="U130" s="108"/>
      <c r="V130" s="108">
        <v>4108440.0000000005</v>
      </c>
      <c r="W130" s="108"/>
      <c r="X130" s="110"/>
      <c r="Y130" s="114"/>
      <c r="Z130" s="108">
        <v>480620.53870523133</v>
      </c>
      <c r="AA130" s="108"/>
      <c r="AB130" s="111">
        <v>24650639.999999996</v>
      </c>
      <c r="AC130" s="111"/>
      <c r="AD130" s="111">
        <f t="shared" si="5"/>
        <v>2883723.2322313865</v>
      </c>
    </row>
    <row r="131" spans="2:30" ht="15" customHeight="1" x14ac:dyDescent="0.45">
      <c r="B131" s="116" t="s">
        <v>454</v>
      </c>
      <c r="C131" s="108"/>
      <c r="D131" s="108">
        <v>26280.000000000004</v>
      </c>
      <c r="E131" s="108"/>
      <c r="F131" s="115"/>
      <c r="G131" s="114"/>
      <c r="H131" s="108">
        <v>1285.769236953915</v>
      </c>
      <c r="I131" s="108"/>
      <c r="J131" s="108">
        <v>744600</v>
      </c>
      <c r="K131" s="108"/>
      <c r="L131" s="110"/>
      <c r="M131" s="114"/>
      <c r="N131" s="108">
        <v>36430.128380360919</v>
      </c>
      <c r="O131" s="108"/>
      <c r="P131" s="108">
        <v>14673000.000000002</v>
      </c>
      <c r="Q131" s="108"/>
      <c r="R131" s="110"/>
      <c r="S131" s="114"/>
      <c r="T131" s="108">
        <v>717887.82396593585</v>
      </c>
      <c r="U131" s="108"/>
      <c r="V131" s="108">
        <v>8821320</v>
      </c>
      <c r="W131" s="108"/>
      <c r="X131" s="110"/>
      <c r="Y131" s="114"/>
      <c r="Z131" s="108">
        <v>431589.87387086404</v>
      </c>
      <c r="AA131" s="108"/>
      <c r="AB131" s="111">
        <v>24265200</v>
      </c>
      <c r="AC131" s="111"/>
      <c r="AD131" s="111">
        <f t="shared" si="5"/>
        <v>1187193.5954541147</v>
      </c>
    </row>
    <row r="132" spans="2:30" ht="15" customHeight="1" x14ac:dyDescent="0.45">
      <c r="B132" s="116" t="s">
        <v>455</v>
      </c>
      <c r="C132" s="108"/>
      <c r="D132" s="108">
        <v>315359.99999999994</v>
      </c>
      <c r="E132" s="108"/>
      <c r="F132" s="115"/>
      <c r="G132" s="114"/>
      <c r="H132" s="108">
        <v>15429.230843446974</v>
      </c>
      <c r="I132" s="108"/>
      <c r="J132" s="108">
        <v>70080</v>
      </c>
      <c r="K132" s="108"/>
      <c r="L132" s="110"/>
      <c r="M132" s="114"/>
      <c r="N132" s="108">
        <v>3428.7179652104396</v>
      </c>
      <c r="O132" s="108"/>
      <c r="P132" s="108">
        <v>16118400.000000002</v>
      </c>
      <c r="Q132" s="108"/>
      <c r="R132" s="110"/>
      <c r="S132" s="114"/>
      <c r="T132" s="108">
        <v>788605.13199840114</v>
      </c>
      <c r="U132" s="108"/>
      <c r="V132" s="108">
        <v>7735080</v>
      </c>
      <c r="W132" s="108"/>
      <c r="X132" s="110"/>
      <c r="Y132" s="114"/>
      <c r="Z132" s="108">
        <v>378444.74541010224</v>
      </c>
      <c r="AA132" s="108"/>
      <c r="AB132" s="111">
        <v>24238920.000000004</v>
      </c>
      <c r="AC132" s="111"/>
      <c r="AD132" s="111">
        <f t="shared" si="5"/>
        <v>1185907.8262171608</v>
      </c>
    </row>
    <row r="133" spans="2:30" ht="15" customHeight="1" x14ac:dyDescent="0.45">
      <c r="B133" s="116" t="s">
        <v>456</v>
      </c>
      <c r="C133" s="108"/>
      <c r="D133" s="108">
        <v>131400</v>
      </c>
      <c r="E133" s="108"/>
      <c r="F133" s="115"/>
      <c r="G133" s="114"/>
      <c r="H133" s="108">
        <v>6428.8461847695726</v>
      </c>
      <c r="I133" s="108"/>
      <c r="J133" s="108">
        <v>3372600</v>
      </c>
      <c r="K133" s="108"/>
      <c r="L133" s="110"/>
      <c r="M133" s="114"/>
      <c r="N133" s="108">
        <v>165007.05207575238</v>
      </c>
      <c r="O133" s="108"/>
      <c r="P133" s="108">
        <v>19280760</v>
      </c>
      <c r="Q133" s="108"/>
      <c r="R133" s="110"/>
      <c r="S133" s="114"/>
      <c r="T133" s="108">
        <v>943326.03017852211</v>
      </c>
      <c r="U133" s="108"/>
      <c r="V133" s="108">
        <v>315359.99999999994</v>
      </c>
      <c r="W133" s="108"/>
      <c r="X133" s="110"/>
      <c r="Y133" s="114"/>
      <c r="Z133" s="108">
        <v>15429.230843446974</v>
      </c>
      <c r="AA133" s="108"/>
      <c r="AB133" s="111">
        <v>23100120</v>
      </c>
      <c r="AC133" s="111"/>
      <c r="AD133" s="111">
        <f t="shared" si="5"/>
        <v>1130191.1592824908</v>
      </c>
    </row>
    <row r="134" spans="2:30" ht="15" customHeight="1" x14ac:dyDescent="0.45">
      <c r="B134" s="116" t="s">
        <v>457</v>
      </c>
      <c r="C134" s="108"/>
      <c r="D134" s="108">
        <v>762120</v>
      </c>
      <c r="E134" s="108"/>
      <c r="F134" s="115"/>
      <c r="G134" s="114"/>
      <c r="H134" s="108">
        <v>37287.307871663528</v>
      </c>
      <c r="I134" s="108"/>
      <c r="J134" s="108">
        <v>1349040</v>
      </c>
      <c r="K134" s="108"/>
      <c r="L134" s="110"/>
      <c r="M134" s="114"/>
      <c r="N134" s="108">
        <v>66002.82083030096</v>
      </c>
      <c r="O134" s="108"/>
      <c r="P134" s="108">
        <v>19990320</v>
      </c>
      <c r="Q134" s="108"/>
      <c r="R134" s="110"/>
      <c r="S134" s="114"/>
      <c r="T134" s="108">
        <v>978041.79957627773</v>
      </c>
      <c r="U134" s="108"/>
      <c r="V134" s="108">
        <v>297840.00000000006</v>
      </c>
      <c r="W134" s="108"/>
      <c r="X134" s="110"/>
      <c r="Y134" s="114"/>
      <c r="Z134" s="108">
        <v>14572.05135214437</v>
      </c>
      <c r="AA134" s="108"/>
      <c r="AB134" s="111">
        <v>22399320</v>
      </c>
      <c r="AC134" s="111"/>
      <c r="AD134" s="111">
        <f t="shared" si="5"/>
        <v>1095903.9796303867</v>
      </c>
    </row>
    <row r="135" spans="2:30" ht="15" customHeight="1" x14ac:dyDescent="0.45">
      <c r="B135" s="116" t="s">
        <v>458</v>
      </c>
      <c r="C135" s="108"/>
      <c r="D135" s="108">
        <v>376680</v>
      </c>
      <c r="E135" s="108"/>
      <c r="F135" s="115"/>
      <c r="G135" s="114"/>
      <c r="H135" s="108">
        <v>18429.359063006112</v>
      </c>
      <c r="I135" s="108"/>
      <c r="J135" s="108">
        <v>595680.00000000012</v>
      </c>
      <c r="K135" s="108"/>
      <c r="L135" s="110"/>
      <c r="M135" s="114"/>
      <c r="N135" s="108">
        <v>29144.10270428874</v>
      </c>
      <c r="O135" s="108"/>
      <c r="P135" s="108">
        <v>18544920</v>
      </c>
      <c r="Q135" s="108"/>
      <c r="R135" s="110"/>
      <c r="S135" s="114"/>
      <c r="T135" s="108">
        <v>907324.49154381244</v>
      </c>
      <c r="U135" s="108"/>
      <c r="V135" s="108">
        <v>438000.00000000006</v>
      </c>
      <c r="W135" s="108"/>
      <c r="X135" s="110"/>
      <c r="Y135" s="114"/>
      <c r="Z135" s="108">
        <v>21429.487282565249</v>
      </c>
      <c r="AA135" s="108"/>
      <c r="AB135" s="111">
        <v>19955280</v>
      </c>
      <c r="AC135" s="111"/>
      <c r="AD135" s="111">
        <f t="shared" si="5"/>
        <v>976327.44059367257</v>
      </c>
    </row>
    <row r="136" spans="2:30" ht="15" customHeight="1" x14ac:dyDescent="0.45">
      <c r="B136" s="116" t="s">
        <v>459</v>
      </c>
      <c r="C136" s="108"/>
      <c r="D136" s="108">
        <v>0</v>
      </c>
      <c r="E136" s="108"/>
      <c r="F136" s="115"/>
      <c r="G136" s="114"/>
      <c r="H136" s="108">
        <v>0</v>
      </c>
      <c r="I136" s="108"/>
      <c r="J136" s="108">
        <v>0</v>
      </c>
      <c r="K136" s="108"/>
      <c r="L136" s="110"/>
      <c r="M136" s="114"/>
      <c r="N136" s="108">
        <v>0</v>
      </c>
      <c r="O136" s="108"/>
      <c r="P136" s="108">
        <v>19219440</v>
      </c>
      <c r="Q136" s="108"/>
      <c r="R136" s="110"/>
      <c r="S136" s="114"/>
      <c r="T136" s="108">
        <v>940325.90195896302</v>
      </c>
      <c r="U136" s="108"/>
      <c r="V136" s="108">
        <v>210240.00000000003</v>
      </c>
      <c r="W136" s="108"/>
      <c r="X136" s="110"/>
      <c r="Y136" s="114"/>
      <c r="Z136" s="108">
        <v>10286.15389563132</v>
      </c>
      <c r="AA136" s="108"/>
      <c r="AB136" s="111">
        <v>19429680</v>
      </c>
      <c r="AC136" s="111"/>
      <c r="AD136" s="111">
        <f t="shared" si="5"/>
        <v>950612.05585459433</v>
      </c>
    </row>
    <row r="137" spans="2:30" ht="15" customHeight="1" x14ac:dyDescent="0.45">
      <c r="B137" s="116" t="s">
        <v>460</v>
      </c>
      <c r="C137" s="108"/>
      <c r="D137" s="108">
        <v>8760</v>
      </c>
      <c r="E137" s="108"/>
      <c r="F137" s="115"/>
      <c r="G137" s="114"/>
      <c r="H137" s="108">
        <v>428.58974565130495</v>
      </c>
      <c r="I137" s="108"/>
      <c r="J137" s="108">
        <v>61320</v>
      </c>
      <c r="K137" s="108"/>
      <c r="L137" s="110"/>
      <c r="M137" s="114"/>
      <c r="N137" s="108">
        <v>3000.1282195591343</v>
      </c>
      <c r="O137" s="108"/>
      <c r="P137" s="108">
        <v>11440560.000000002</v>
      </c>
      <c r="Q137" s="108"/>
      <c r="R137" s="110"/>
      <c r="S137" s="114"/>
      <c r="T137" s="108">
        <v>559738.20782060432</v>
      </c>
      <c r="U137" s="108"/>
      <c r="V137" s="108">
        <v>5475000</v>
      </c>
      <c r="W137" s="108"/>
      <c r="X137" s="110"/>
      <c r="Y137" s="114"/>
      <c r="Z137" s="108">
        <v>267868.59103206557</v>
      </c>
      <c r="AA137" s="108"/>
      <c r="AB137" s="111">
        <v>16985640</v>
      </c>
      <c r="AC137" s="111"/>
      <c r="AD137" s="111">
        <f t="shared" si="5"/>
        <v>831035.51681788033</v>
      </c>
    </row>
    <row r="138" spans="2:30" ht="15" customHeight="1" x14ac:dyDescent="0.45">
      <c r="B138" s="116" t="s">
        <v>461</v>
      </c>
      <c r="C138" s="108"/>
      <c r="D138" s="108">
        <v>87600</v>
      </c>
      <c r="E138" s="108"/>
      <c r="F138" s="115"/>
      <c r="G138" s="114"/>
      <c r="H138" s="108">
        <v>4285.8974565130493</v>
      </c>
      <c r="I138" s="108"/>
      <c r="J138" s="108">
        <v>43800</v>
      </c>
      <c r="K138" s="108"/>
      <c r="L138" s="110"/>
      <c r="M138" s="114"/>
      <c r="N138" s="108">
        <v>2142.9487282565246</v>
      </c>
      <c r="O138" s="108"/>
      <c r="P138" s="108">
        <v>11528160.000000002</v>
      </c>
      <c r="Q138" s="108"/>
      <c r="R138" s="110"/>
      <c r="S138" s="114"/>
      <c r="T138" s="108">
        <v>564024.10527711746</v>
      </c>
      <c r="U138" s="108"/>
      <c r="V138" s="108">
        <v>4923120.0000000009</v>
      </c>
      <c r="W138" s="108"/>
      <c r="X138" s="110"/>
      <c r="Y138" s="114"/>
      <c r="Z138" s="108">
        <v>240867.43705603341</v>
      </c>
      <c r="AA138" s="108"/>
      <c r="AB138" s="111">
        <v>16582680</v>
      </c>
      <c r="AC138" s="111"/>
      <c r="AD138" s="111">
        <f t="shared" si="5"/>
        <v>811320.38851792039</v>
      </c>
    </row>
    <row r="139" spans="2:30" ht="15" customHeight="1" x14ac:dyDescent="0.45">
      <c r="B139" s="116" t="s">
        <v>462</v>
      </c>
      <c r="C139" s="108"/>
      <c r="D139" s="108">
        <v>656999.99999999988</v>
      </c>
      <c r="E139" s="108"/>
      <c r="F139" s="115"/>
      <c r="G139" s="114"/>
      <c r="H139" s="108">
        <v>32144.230923847863</v>
      </c>
      <c r="I139" s="108"/>
      <c r="J139" s="108">
        <v>87600</v>
      </c>
      <c r="K139" s="108"/>
      <c r="L139" s="110"/>
      <c r="M139" s="114"/>
      <c r="N139" s="108">
        <v>4285.8974565130493</v>
      </c>
      <c r="O139" s="108"/>
      <c r="P139" s="108">
        <v>10003919.999999998</v>
      </c>
      <c r="Q139" s="108"/>
      <c r="R139" s="110"/>
      <c r="S139" s="114"/>
      <c r="T139" s="108">
        <v>489449.48953379015</v>
      </c>
      <c r="U139" s="108"/>
      <c r="V139" s="108">
        <v>5650200</v>
      </c>
      <c r="W139" s="108"/>
      <c r="X139" s="110"/>
      <c r="Y139" s="114"/>
      <c r="Z139" s="108">
        <v>276440.38594509161</v>
      </c>
      <c r="AA139" s="108"/>
      <c r="AB139" s="111">
        <v>16398719.999999998</v>
      </c>
      <c r="AC139" s="111"/>
      <c r="AD139" s="111">
        <f t="shared" si="5"/>
        <v>802320.00385924266</v>
      </c>
    </row>
    <row r="140" spans="2:30" ht="15" customHeight="1" x14ac:dyDescent="0.45">
      <c r="B140" s="116" t="s">
        <v>463</v>
      </c>
      <c r="C140" s="108"/>
      <c r="D140" s="108">
        <v>6210839.9999999991</v>
      </c>
      <c r="E140" s="108"/>
      <c r="F140" s="115"/>
      <c r="G140" s="114"/>
      <c r="H140" s="108">
        <v>303870.12966677512</v>
      </c>
      <c r="I140" s="108"/>
      <c r="J140" s="108">
        <v>26280.000000000004</v>
      </c>
      <c r="K140" s="108"/>
      <c r="L140" s="110"/>
      <c r="M140" s="114"/>
      <c r="N140" s="108">
        <v>1285.769236953915</v>
      </c>
      <c r="O140" s="108"/>
      <c r="P140" s="108">
        <v>6964200.0000000009</v>
      </c>
      <c r="Q140" s="108"/>
      <c r="R140" s="110"/>
      <c r="S140" s="114"/>
      <c r="T140" s="108">
        <v>340728.84779278742</v>
      </c>
      <c r="U140" s="108"/>
      <c r="V140" s="108">
        <v>2776920</v>
      </c>
      <c r="W140" s="108"/>
      <c r="X140" s="110"/>
      <c r="Y140" s="114"/>
      <c r="Z140" s="108">
        <v>135862.94937146365</v>
      </c>
      <c r="AA140" s="108"/>
      <c r="AB140" s="111">
        <v>15978240.000000002</v>
      </c>
      <c r="AC140" s="111"/>
      <c r="AD140" s="111">
        <f t="shared" si="5"/>
        <v>781747.69606798002</v>
      </c>
    </row>
    <row r="141" spans="2:30" ht="15" customHeight="1" x14ac:dyDescent="0.45">
      <c r="B141" s="116" t="s">
        <v>464</v>
      </c>
      <c r="C141" s="108"/>
      <c r="D141" s="108">
        <v>157679.99999999997</v>
      </c>
      <c r="E141" s="108"/>
      <c r="F141" s="115"/>
      <c r="G141" s="114"/>
      <c r="H141" s="108">
        <v>7714.6154217234871</v>
      </c>
      <c r="I141" s="108"/>
      <c r="J141" s="108">
        <v>1497960</v>
      </c>
      <c r="K141" s="108"/>
      <c r="L141" s="110"/>
      <c r="M141" s="114"/>
      <c r="N141" s="108">
        <v>73288.846506373142</v>
      </c>
      <c r="O141" s="108"/>
      <c r="P141" s="108">
        <v>14164920</v>
      </c>
      <c r="Q141" s="108"/>
      <c r="R141" s="110"/>
      <c r="S141" s="114"/>
      <c r="T141" s="108">
        <v>693029.61871816008</v>
      </c>
      <c r="U141" s="108"/>
      <c r="V141" s="108">
        <v>78839.999999999985</v>
      </c>
      <c r="W141" s="108"/>
      <c r="X141" s="110"/>
      <c r="Y141" s="114"/>
      <c r="Z141" s="108">
        <v>3857.3077108617435</v>
      </c>
      <c r="AA141" s="108"/>
      <c r="AB141" s="111">
        <v>15899400.000000002</v>
      </c>
      <c r="AC141" s="111"/>
      <c r="AD141" s="111">
        <f t="shared" si="5"/>
        <v>777890.38835711847</v>
      </c>
    </row>
    <row r="142" spans="2:30" ht="15" customHeight="1" x14ac:dyDescent="0.45">
      <c r="B142" s="116" t="s">
        <v>465</v>
      </c>
      <c r="C142" s="108"/>
      <c r="D142" s="108">
        <v>8760</v>
      </c>
      <c r="E142" s="108"/>
      <c r="F142" s="115"/>
      <c r="G142" s="114"/>
      <c r="H142" s="108">
        <v>428.58974565130495</v>
      </c>
      <c r="I142" s="108"/>
      <c r="J142" s="108">
        <v>0</v>
      </c>
      <c r="K142" s="108"/>
      <c r="L142" s="110"/>
      <c r="M142" s="114"/>
      <c r="N142" s="108">
        <v>0</v>
      </c>
      <c r="O142" s="108"/>
      <c r="P142" s="108">
        <v>7279559.9999999991</v>
      </c>
      <c r="Q142" s="108"/>
      <c r="R142" s="110"/>
      <c r="S142" s="114"/>
      <c r="T142" s="108">
        <v>356158.07863623428</v>
      </c>
      <c r="U142" s="108"/>
      <c r="V142" s="108">
        <v>8541000</v>
      </c>
      <c r="W142" s="108"/>
      <c r="X142" s="110"/>
      <c r="Y142" s="114"/>
      <c r="Z142" s="108">
        <v>417875.00201002235</v>
      </c>
      <c r="AA142" s="108"/>
      <c r="AB142" s="111">
        <v>15829319.999999998</v>
      </c>
      <c r="AC142" s="111"/>
      <c r="AD142" s="111">
        <f t="shared" si="5"/>
        <v>774461.67039190792</v>
      </c>
    </row>
    <row r="143" spans="2:30" ht="15" customHeight="1" x14ac:dyDescent="0.45">
      <c r="B143" s="116" t="s">
        <v>466</v>
      </c>
      <c r="C143" s="108"/>
      <c r="D143" s="108">
        <v>105120.00000000001</v>
      </c>
      <c r="E143" s="108"/>
      <c r="F143" s="115"/>
      <c r="G143" s="114"/>
      <c r="H143" s="108">
        <v>5143.0769478156599</v>
      </c>
      <c r="I143" s="108"/>
      <c r="J143" s="108">
        <v>70080</v>
      </c>
      <c r="K143" s="108"/>
      <c r="L143" s="110"/>
      <c r="M143" s="114"/>
      <c r="N143" s="108">
        <v>3428.7179652104396</v>
      </c>
      <c r="O143" s="108"/>
      <c r="P143" s="108">
        <v>9127920</v>
      </c>
      <c r="Q143" s="108"/>
      <c r="R143" s="110"/>
      <c r="S143" s="114"/>
      <c r="T143" s="108">
        <v>446590.51496865967</v>
      </c>
      <c r="U143" s="108"/>
      <c r="V143" s="108">
        <v>6491160</v>
      </c>
      <c r="W143" s="108"/>
      <c r="X143" s="110"/>
      <c r="Y143" s="114"/>
      <c r="Z143" s="108">
        <v>317585.00152761693</v>
      </c>
      <c r="AA143" s="108"/>
      <c r="AB143" s="111">
        <v>15794279.999999998</v>
      </c>
      <c r="AC143" s="111"/>
      <c r="AD143" s="111">
        <f t="shared" si="5"/>
        <v>772747.31140930275</v>
      </c>
    </row>
    <row r="144" spans="2:30" ht="15" customHeight="1" x14ac:dyDescent="0.45">
      <c r="B144" s="116" t="s">
        <v>467</v>
      </c>
      <c r="C144" s="108"/>
      <c r="D144" s="108">
        <v>8760</v>
      </c>
      <c r="E144" s="108"/>
      <c r="F144" s="115"/>
      <c r="G144" s="114"/>
      <c r="H144" s="108">
        <v>428.58974565130495</v>
      </c>
      <c r="I144" s="108"/>
      <c r="J144" s="108">
        <v>0</v>
      </c>
      <c r="K144" s="108"/>
      <c r="L144" s="110"/>
      <c r="M144" s="114"/>
      <c r="N144" s="108">
        <v>0</v>
      </c>
      <c r="O144" s="108"/>
      <c r="P144" s="108">
        <v>15207360</v>
      </c>
      <c r="Q144" s="108"/>
      <c r="R144" s="110"/>
      <c r="S144" s="114"/>
      <c r="T144" s="108">
        <v>744031.79845066532</v>
      </c>
      <c r="U144" s="108"/>
      <c r="V144" s="108">
        <v>52560.000000000007</v>
      </c>
      <c r="W144" s="108"/>
      <c r="X144" s="110"/>
      <c r="Y144" s="114"/>
      <c r="Z144" s="108">
        <v>2571.5384739078299</v>
      </c>
      <c r="AA144" s="108"/>
      <c r="AB144" s="111">
        <v>15268679.999999998</v>
      </c>
      <c r="AC144" s="111"/>
      <c r="AD144" s="111">
        <f t="shared" si="5"/>
        <v>747031.92667022452</v>
      </c>
    </row>
    <row r="145" spans="2:30" ht="15" customHeight="1" x14ac:dyDescent="0.45">
      <c r="B145" s="116" t="s">
        <v>468</v>
      </c>
      <c r="C145" s="108"/>
      <c r="D145" s="108">
        <v>8760</v>
      </c>
      <c r="E145" s="108"/>
      <c r="F145" s="115"/>
      <c r="G145" s="114"/>
      <c r="H145" s="108">
        <v>428.58974565130495</v>
      </c>
      <c r="I145" s="108"/>
      <c r="J145" s="108">
        <v>35040</v>
      </c>
      <c r="K145" s="108"/>
      <c r="L145" s="110"/>
      <c r="M145" s="114"/>
      <c r="N145" s="108">
        <v>1714.3589826052198</v>
      </c>
      <c r="O145" s="108"/>
      <c r="P145" s="108">
        <v>11265360</v>
      </c>
      <c r="Q145" s="108"/>
      <c r="R145" s="110"/>
      <c r="S145" s="114"/>
      <c r="T145" s="108">
        <v>551166.41290757817</v>
      </c>
      <c r="U145" s="108"/>
      <c r="V145" s="108">
        <v>3232440</v>
      </c>
      <c r="W145" s="108"/>
      <c r="X145" s="110"/>
      <c r="Y145" s="114"/>
      <c r="Z145" s="108">
        <v>158149.6161453315</v>
      </c>
      <c r="AA145" s="108"/>
      <c r="AB145" s="111">
        <v>14541599.999999998</v>
      </c>
      <c r="AC145" s="111"/>
      <c r="AD145" s="111">
        <f t="shared" si="5"/>
        <v>711458.97778116621</v>
      </c>
    </row>
    <row r="146" spans="2:30" ht="15" customHeight="1" x14ac:dyDescent="0.45">
      <c r="B146" s="116" t="s">
        <v>469</v>
      </c>
      <c r="C146" s="108"/>
      <c r="D146" s="108">
        <v>17520</v>
      </c>
      <c r="E146" s="108"/>
      <c r="F146" s="115"/>
      <c r="G146" s="114"/>
      <c r="H146" s="108">
        <v>2054.7840198411882</v>
      </c>
      <c r="I146" s="108"/>
      <c r="J146" s="108">
        <v>8760</v>
      </c>
      <c r="K146" s="108"/>
      <c r="L146" s="110"/>
      <c r="M146" s="114"/>
      <c r="N146" s="108">
        <v>1027.3920099205941</v>
      </c>
      <c r="O146" s="108"/>
      <c r="P146" s="108">
        <v>14173680</v>
      </c>
      <c r="Q146" s="108"/>
      <c r="R146" s="110"/>
      <c r="S146" s="114"/>
      <c r="T146" s="108">
        <v>1662320.2720515211</v>
      </c>
      <c r="U146" s="108"/>
      <c r="V146" s="108">
        <v>52560.000000000007</v>
      </c>
      <c r="W146" s="108"/>
      <c r="X146" s="110"/>
      <c r="Y146" s="114"/>
      <c r="Z146" s="108">
        <v>6164.352059523565</v>
      </c>
      <c r="AA146" s="108"/>
      <c r="AB146" s="111">
        <v>14252520</v>
      </c>
      <c r="AC146" s="111"/>
      <c r="AD146" s="111">
        <f t="shared" si="5"/>
        <v>1671566.8001408065</v>
      </c>
    </row>
    <row r="147" spans="2:30" ht="15" customHeight="1" x14ac:dyDescent="0.45">
      <c r="B147" s="116" t="s">
        <v>470</v>
      </c>
      <c r="C147" s="108"/>
      <c r="D147" s="108">
        <v>718319.99999999988</v>
      </c>
      <c r="E147" s="108"/>
      <c r="F147" s="115"/>
      <c r="G147" s="114"/>
      <c r="H147" s="108">
        <v>84246.144813488689</v>
      </c>
      <c r="I147" s="108"/>
      <c r="J147" s="108">
        <v>87600</v>
      </c>
      <c r="K147" s="108"/>
      <c r="L147" s="110"/>
      <c r="M147" s="114"/>
      <c r="N147" s="108">
        <v>10273.92009920594</v>
      </c>
      <c r="O147" s="108"/>
      <c r="P147" s="108">
        <v>12167640</v>
      </c>
      <c r="Q147" s="108"/>
      <c r="R147" s="110"/>
      <c r="S147" s="114"/>
      <c r="T147" s="108">
        <v>1427047.5017797051</v>
      </c>
      <c r="U147" s="108"/>
      <c r="V147" s="108">
        <v>70080</v>
      </c>
      <c r="W147" s="108"/>
      <c r="X147" s="110"/>
      <c r="Y147" s="114"/>
      <c r="Z147" s="108">
        <v>8219.1360793647527</v>
      </c>
      <c r="AA147" s="108"/>
      <c r="AB147" s="111">
        <v>13043640.000000002</v>
      </c>
      <c r="AC147" s="111"/>
      <c r="AD147" s="111">
        <f t="shared" si="5"/>
        <v>1529786.7027717645</v>
      </c>
    </row>
    <row r="148" spans="2:30" ht="15" customHeight="1" x14ac:dyDescent="0.45">
      <c r="B148" s="116" t="s">
        <v>471</v>
      </c>
      <c r="C148" s="108"/>
      <c r="D148" s="108">
        <v>183960</v>
      </c>
      <c r="E148" s="108"/>
      <c r="F148" s="115"/>
      <c r="G148" s="114"/>
      <c r="H148" s="108">
        <v>21575.232208332473</v>
      </c>
      <c r="I148" s="108"/>
      <c r="J148" s="108">
        <v>35040</v>
      </c>
      <c r="K148" s="108"/>
      <c r="L148" s="110"/>
      <c r="M148" s="114"/>
      <c r="N148" s="108">
        <v>4109.5680396823764</v>
      </c>
      <c r="O148" s="108"/>
      <c r="P148" s="108">
        <v>9819960</v>
      </c>
      <c r="Q148" s="108"/>
      <c r="R148" s="110"/>
      <c r="S148" s="114"/>
      <c r="T148" s="108">
        <v>1151706.443120986</v>
      </c>
      <c r="U148" s="108"/>
      <c r="V148" s="108">
        <v>2811960</v>
      </c>
      <c r="W148" s="108"/>
      <c r="X148" s="110"/>
      <c r="Y148" s="114"/>
      <c r="Z148" s="108">
        <v>329792.83518451074</v>
      </c>
      <c r="AA148" s="108"/>
      <c r="AB148" s="111">
        <v>12850920</v>
      </c>
      <c r="AC148" s="111"/>
      <c r="AD148" s="111">
        <f t="shared" si="5"/>
        <v>1507184.0785535115</v>
      </c>
    </row>
    <row r="149" spans="2:30" ht="15" customHeight="1" x14ac:dyDescent="0.45">
      <c r="B149" s="116" t="s">
        <v>472</v>
      </c>
      <c r="C149" s="108"/>
      <c r="D149" s="108">
        <v>175200</v>
      </c>
      <c r="E149" s="108"/>
      <c r="F149" s="115"/>
      <c r="G149" s="114"/>
      <c r="H149" s="108">
        <v>8785.2812206460148</v>
      </c>
      <c r="I149" s="108"/>
      <c r="J149" s="108">
        <v>26280.000000000004</v>
      </c>
      <c r="K149" s="108"/>
      <c r="L149" s="110"/>
      <c r="M149" s="114"/>
      <c r="N149" s="108">
        <v>1317.7921830969026</v>
      </c>
      <c r="O149" s="108"/>
      <c r="P149" s="108">
        <v>6605040</v>
      </c>
      <c r="Q149" s="108"/>
      <c r="R149" s="110"/>
      <c r="S149" s="114"/>
      <c r="T149" s="108">
        <v>331205.10201835481</v>
      </c>
      <c r="U149" s="108"/>
      <c r="V149" s="108">
        <v>5956800</v>
      </c>
      <c r="W149" s="108"/>
      <c r="X149" s="110"/>
      <c r="Y149" s="114"/>
      <c r="Z149" s="108">
        <v>298699.56150196458</v>
      </c>
      <c r="AA149" s="108"/>
      <c r="AB149" s="111">
        <v>12763320.000000002</v>
      </c>
      <c r="AC149" s="111"/>
      <c r="AD149" s="111">
        <f t="shared" si="5"/>
        <v>640007.73692406225</v>
      </c>
    </row>
    <row r="150" spans="2:30" ht="15" customHeight="1" x14ac:dyDescent="0.45">
      <c r="B150" s="116" t="s">
        <v>473</v>
      </c>
      <c r="C150" s="108"/>
      <c r="D150" s="108">
        <v>17520</v>
      </c>
      <c r="E150" s="108"/>
      <c r="F150" s="115"/>
      <c r="G150" s="114"/>
      <c r="H150" s="108">
        <v>857.1794913026099</v>
      </c>
      <c r="I150" s="108"/>
      <c r="J150" s="108">
        <v>2969640.0000000005</v>
      </c>
      <c r="K150" s="108"/>
      <c r="L150" s="110"/>
      <c r="M150" s="114"/>
      <c r="N150" s="108">
        <v>145291.92377579238</v>
      </c>
      <c r="O150" s="108"/>
      <c r="P150" s="108">
        <v>8584800</v>
      </c>
      <c r="Q150" s="108"/>
      <c r="R150" s="110"/>
      <c r="S150" s="114"/>
      <c r="T150" s="108">
        <v>420017.9507382788</v>
      </c>
      <c r="U150" s="108"/>
      <c r="V150" s="108">
        <v>96360</v>
      </c>
      <c r="W150" s="108"/>
      <c r="X150" s="110"/>
      <c r="Y150" s="114"/>
      <c r="Z150" s="108">
        <v>4714.4872021643541</v>
      </c>
      <c r="AA150" s="108"/>
      <c r="AB150" s="111">
        <v>11668319.999999998</v>
      </c>
      <c r="AC150" s="111"/>
      <c r="AD150" s="111">
        <f t="shared" si="5"/>
        <v>570881.5412075381</v>
      </c>
    </row>
    <row r="151" spans="2:30" ht="15" customHeight="1" x14ac:dyDescent="0.45">
      <c r="B151" s="116" t="s">
        <v>474</v>
      </c>
      <c r="C151" s="108"/>
      <c r="D151" s="108">
        <v>5291040</v>
      </c>
      <c r="E151" s="108"/>
      <c r="F151" s="115"/>
      <c r="G151" s="114"/>
      <c r="H151" s="108">
        <v>376416.32011288847</v>
      </c>
      <c r="I151" s="108"/>
      <c r="J151" s="108">
        <v>35040</v>
      </c>
      <c r="K151" s="108"/>
      <c r="L151" s="110"/>
      <c r="M151" s="114"/>
      <c r="N151" s="108">
        <v>2492.823312005884</v>
      </c>
      <c r="O151" s="108"/>
      <c r="P151" s="108">
        <v>4274880</v>
      </c>
      <c r="Q151" s="108"/>
      <c r="R151" s="110"/>
      <c r="S151" s="114"/>
      <c r="T151" s="108">
        <v>304124.4440647178</v>
      </c>
      <c r="U151" s="108"/>
      <c r="V151" s="108">
        <v>1506720</v>
      </c>
      <c r="W151" s="108"/>
      <c r="X151" s="110"/>
      <c r="Y151" s="114"/>
      <c r="Z151" s="108">
        <v>107191.402416253</v>
      </c>
      <c r="AA151" s="108"/>
      <c r="AB151" s="111">
        <v>11107680</v>
      </c>
      <c r="AC151" s="111"/>
      <c r="AD151" s="111">
        <f t="shared" si="5"/>
        <v>790224.98990586516</v>
      </c>
    </row>
    <row r="152" spans="2:30" ht="15" customHeight="1" x14ac:dyDescent="0.45">
      <c r="B152" s="116" t="s">
        <v>475</v>
      </c>
      <c r="C152" s="108"/>
      <c r="D152" s="108">
        <v>8760</v>
      </c>
      <c r="E152" s="108"/>
      <c r="F152" s="115"/>
      <c r="G152" s="114"/>
      <c r="H152" s="108">
        <v>428.58974565130495</v>
      </c>
      <c r="I152" s="108"/>
      <c r="J152" s="108">
        <v>35040</v>
      </c>
      <c r="K152" s="108"/>
      <c r="L152" s="110"/>
      <c r="M152" s="114"/>
      <c r="N152" s="108">
        <v>1714.3589826052198</v>
      </c>
      <c r="O152" s="108"/>
      <c r="P152" s="108">
        <v>10695960.000000002</v>
      </c>
      <c r="Q152" s="108"/>
      <c r="R152" s="110"/>
      <c r="S152" s="114"/>
      <c r="T152" s="108">
        <v>523308.07944024337</v>
      </c>
      <c r="U152" s="108"/>
      <c r="V152" s="108">
        <v>35040</v>
      </c>
      <c r="W152" s="108"/>
      <c r="X152" s="110"/>
      <c r="Y152" s="114"/>
      <c r="Z152" s="108">
        <v>1714.3589826052198</v>
      </c>
      <c r="AA152" s="108"/>
      <c r="AB152" s="111">
        <v>10774800</v>
      </c>
      <c r="AC152" s="111"/>
      <c r="AD152" s="111">
        <f t="shared" si="5"/>
        <v>527165.38715110521</v>
      </c>
    </row>
    <row r="153" spans="2:30" ht="15" customHeight="1" x14ac:dyDescent="0.45">
      <c r="B153" s="116" t="s">
        <v>476</v>
      </c>
      <c r="C153" s="108"/>
      <c r="D153" s="108">
        <v>315359.99999999994</v>
      </c>
      <c r="E153" s="108"/>
      <c r="F153" s="115"/>
      <c r="G153" s="114"/>
      <c r="H153" s="108">
        <v>15429.230843446974</v>
      </c>
      <c r="I153" s="108"/>
      <c r="J153" s="108">
        <v>35040</v>
      </c>
      <c r="K153" s="108"/>
      <c r="L153" s="110"/>
      <c r="M153" s="114"/>
      <c r="N153" s="108">
        <v>1714.3589826052198</v>
      </c>
      <c r="O153" s="108"/>
      <c r="P153" s="108">
        <v>9644760</v>
      </c>
      <c r="Q153" s="108"/>
      <c r="R153" s="110"/>
      <c r="S153" s="114"/>
      <c r="T153" s="108">
        <v>471877.30996208667</v>
      </c>
      <c r="U153" s="108"/>
      <c r="V153" s="108">
        <v>359159.99999999994</v>
      </c>
      <c r="W153" s="108"/>
      <c r="X153" s="110"/>
      <c r="Y153" s="114"/>
      <c r="Z153" s="108">
        <v>17572.179571703498</v>
      </c>
      <c r="AA153" s="108"/>
      <c r="AB153" s="111">
        <v>10354320</v>
      </c>
      <c r="AC153" s="111"/>
      <c r="AD153" s="111">
        <f t="shared" si="5"/>
        <v>506593.07935984235</v>
      </c>
    </row>
    <row r="154" spans="2:30" ht="15" customHeight="1" x14ac:dyDescent="0.45">
      <c r="B154" s="116" t="s">
        <v>477</v>
      </c>
      <c r="C154" s="108"/>
      <c r="D154" s="108">
        <v>0</v>
      </c>
      <c r="E154" s="108"/>
      <c r="F154" s="115"/>
      <c r="G154" s="114"/>
      <c r="H154" s="108">
        <v>0</v>
      </c>
      <c r="I154" s="108"/>
      <c r="J154" s="108">
        <v>0</v>
      </c>
      <c r="K154" s="108"/>
      <c r="L154" s="110"/>
      <c r="M154" s="114"/>
      <c r="N154" s="108">
        <v>0</v>
      </c>
      <c r="O154" s="108"/>
      <c r="P154" s="108">
        <v>5089559.9999999991</v>
      </c>
      <c r="Q154" s="108"/>
      <c r="R154" s="110"/>
      <c r="S154" s="114"/>
      <c r="T154" s="108">
        <v>249010.6422234081</v>
      </c>
      <c r="U154" s="108"/>
      <c r="V154" s="108">
        <v>5238480.0000000009</v>
      </c>
      <c r="W154" s="108"/>
      <c r="X154" s="110"/>
      <c r="Y154" s="114"/>
      <c r="Z154" s="108">
        <v>256296.66789948038</v>
      </c>
      <c r="AA154" s="108"/>
      <c r="AB154" s="111">
        <v>10328039.999999998</v>
      </c>
      <c r="AC154" s="111"/>
      <c r="AD154" s="111">
        <f t="shared" si="5"/>
        <v>505307.31012288848</v>
      </c>
    </row>
    <row r="155" spans="2:30" ht="15" customHeight="1" x14ac:dyDescent="0.45">
      <c r="B155" s="116" t="s">
        <v>478</v>
      </c>
      <c r="C155" s="108"/>
      <c r="D155" s="108">
        <v>70080</v>
      </c>
      <c r="E155" s="108"/>
      <c r="F155" s="115"/>
      <c r="G155" s="114"/>
      <c r="H155" s="108">
        <v>3428.7179652104396</v>
      </c>
      <c r="I155" s="108"/>
      <c r="J155" s="108">
        <v>8760</v>
      </c>
      <c r="K155" s="108"/>
      <c r="L155" s="110"/>
      <c r="M155" s="114"/>
      <c r="N155" s="108">
        <v>428.58974565130495</v>
      </c>
      <c r="O155" s="108"/>
      <c r="P155" s="108">
        <v>9688560.0000000019</v>
      </c>
      <c r="Q155" s="108"/>
      <c r="R155" s="110"/>
      <c r="S155" s="114"/>
      <c r="T155" s="108">
        <v>474020.25869034335</v>
      </c>
      <c r="U155" s="108"/>
      <c r="V155" s="108">
        <v>96360</v>
      </c>
      <c r="W155" s="108"/>
      <c r="X155" s="110"/>
      <c r="Y155" s="114"/>
      <c r="Z155" s="108">
        <v>4714.4872021643541</v>
      </c>
      <c r="AA155" s="108"/>
      <c r="AB155" s="111">
        <v>9863759.9999999981</v>
      </c>
      <c r="AC155" s="111"/>
      <c r="AD155" s="111">
        <f t="shared" si="5"/>
        <v>482592.05360336945</v>
      </c>
    </row>
    <row r="156" spans="2:30" ht="15" customHeight="1" x14ac:dyDescent="0.45">
      <c r="B156" s="116" t="s">
        <v>479</v>
      </c>
      <c r="C156" s="108"/>
      <c r="D156" s="108">
        <v>683280</v>
      </c>
      <c r="E156" s="108"/>
      <c r="F156" s="115"/>
      <c r="G156" s="114"/>
      <c r="H156" s="108">
        <v>33430.000160801785</v>
      </c>
      <c r="I156" s="108"/>
      <c r="J156" s="108">
        <v>0</v>
      </c>
      <c r="K156" s="108"/>
      <c r="L156" s="110"/>
      <c r="M156" s="114"/>
      <c r="N156" s="108">
        <v>0</v>
      </c>
      <c r="O156" s="108"/>
      <c r="P156" s="108">
        <v>8427120</v>
      </c>
      <c r="Q156" s="108"/>
      <c r="R156" s="110"/>
      <c r="S156" s="114"/>
      <c r="T156" s="108">
        <v>412303.33531655528</v>
      </c>
      <c r="U156" s="108"/>
      <c r="V156" s="108">
        <v>280320</v>
      </c>
      <c r="W156" s="108"/>
      <c r="X156" s="110"/>
      <c r="Y156" s="114"/>
      <c r="Z156" s="108">
        <v>13714.871860841758</v>
      </c>
      <c r="AA156" s="108"/>
      <c r="AB156" s="111">
        <v>9390720.0000000019</v>
      </c>
      <c r="AC156" s="111"/>
      <c r="AD156" s="111">
        <f t="shared" si="5"/>
        <v>459448.20733819884</v>
      </c>
    </row>
    <row r="157" spans="2:30" ht="15" customHeight="1" x14ac:dyDescent="0.45">
      <c r="B157" s="116" t="s">
        <v>480</v>
      </c>
      <c r="C157" s="108"/>
      <c r="D157" s="108">
        <v>43800</v>
      </c>
      <c r="E157" s="108"/>
      <c r="F157" s="115"/>
      <c r="G157" s="114"/>
      <c r="H157" s="108">
        <v>3116.0291400073543</v>
      </c>
      <c r="I157" s="108"/>
      <c r="J157" s="108">
        <v>26280.000000000004</v>
      </c>
      <c r="K157" s="108"/>
      <c r="L157" s="110"/>
      <c r="M157" s="114"/>
      <c r="N157" s="108">
        <v>1869.6174840044127</v>
      </c>
      <c r="O157" s="108"/>
      <c r="P157" s="108">
        <v>9162960</v>
      </c>
      <c r="Q157" s="108"/>
      <c r="R157" s="110"/>
      <c r="S157" s="114"/>
      <c r="T157" s="108">
        <v>651873.29608953861</v>
      </c>
      <c r="U157" s="108"/>
      <c r="V157" s="108">
        <v>17520</v>
      </c>
      <c r="W157" s="108"/>
      <c r="X157" s="110"/>
      <c r="Y157" s="114"/>
      <c r="Z157" s="108">
        <v>1246.411656002942</v>
      </c>
      <c r="AA157" s="108"/>
      <c r="AB157" s="111">
        <v>9250560.0000000019</v>
      </c>
      <c r="AC157" s="111"/>
      <c r="AD157" s="111">
        <f t="shared" si="5"/>
        <v>658105.35436955339</v>
      </c>
    </row>
    <row r="158" spans="2:30" ht="15" customHeight="1" x14ac:dyDescent="0.45">
      <c r="B158" s="116" t="s">
        <v>481</v>
      </c>
      <c r="C158" s="108"/>
      <c r="D158" s="108">
        <v>245280</v>
      </c>
      <c r="E158" s="108"/>
      <c r="F158" s="115"/>
      <c r="G158" s="114"/>
      <c r="H158" s="108">
        <v>12000.512878236537</v>
      </c>
      <c r="I158" s="108"/>
      <c r="J158" s="108">
        <v>332880</v>
      </c>
      <c r="K158" s="108"/>
      <c r="L158" s="110"/>
      <c r="M158" s="114"/>
      <c r="N158" s="108">
        <v>16286.410334749586</v>
      </c>
      <c r="O158" s="108"/>
      <c r="P158" s="108">
        <v>8103000.0000000009</v>
      </c>
      <c r="Q158" s="108"/>
      <c r="R158" s="110"/>
      <c r="S158" s="114"/>
      <c r="T158" s="108">
        <v>396445.51472745708</v>
      </c>
      <c r="U158" s="108"/>
      <c r="V158" s="108">
        <v>280320</v>
      </c>
      <c r="W158" s="108"/>
      <c r="X158" s="110"/>
      <c r="Y158" s="114"/>
      <c r="Z158" s="108">
        <v>13714.871860841758</v>
      </c>
      <c r="AA158" s="108"/>
      <c r="AB158" s="111">
        <v>8961480.0000000019</v>
      </c>
      <c r="AC158" s="111"/>
      <c r="AD158" s="111">
        <f t="shared" si="5"/>
        <v>438447.30980128498</v>
      </c>
    </row>
    <row r="159" spans="2:30" ht="15" customHeight="1" x14ac:dyDescent="0.45">
      <c r="B159" s="116" t="s">
        <v>482</v>
      </c>
      <c r="C159" s="108"/>
      <c r="D159" s="108">
        <v>26280.000000000004</v>
      </c>
      <c r="E159" s="108"/>
      <c r="F159" s="115"/>
      <c r="G159" s="114"/>
      <c r="H159" s="108">
        <v>1285.769236953915</v>
      </c>
      <c r="I159" s="108"/>
      <c r="J159" s="108">
        <v>35040</v>
      </c>
      <c r="K159" s="108"/>
      <c r="L159" s="110"/>
      <c r="M159" s="114"/>
      <c r="N159" s="108">
        <v>1714.3589826052198</v>
      </c>
      <c r="O159" s="108"/>
      <c r="P159" s="108">
        <v>8663640</v>
      </c>
      <c r="Q159" s="108"/>
      <c r="R159" s="110"/>
      <c r="S159" s="114"/>
      <c r="T159" s="108">
        <v>423875.25844914053</v>
      </c>
      <c r="U159" s="108"/>
      <c r="V159" s="108">
        <v>43800</v>
      </c>
      <c r="W159" s="108"/>
      <c r="X159" s="110"/>
      <c r="Y159" s="114"/>
      <c r="Z159" s="108">
        <v>2142.9487282565246</v>
      </c>
      <c r="AA159" s="108"/>
      <c r="AB159" s="111">
        <v>8768759.9999999981</v>
      </c>
      <c r="AC159" s="111"/>
      <c r="AD159" s="111">
        <f t="shared" si="5"/>
        <v>429018.33539695619</v>
      </c>
    </row>
    <row r="160" spans="2:30" ht="15" customHeight="1" x14ac:dyDescent="0.45">
      <c r="B160" s="116" t="s">
        <v>483</v>
      </c>
      <c r="C160" s="108"/>
      <c r="D160" s="108">
        <v>0</v>
      </c>
      <c r="E160" s="108"/>
      <c r="F160" s="115"/>
      <c r="G160" s="114"/>
      <c r="H160" s="108">
        <v>0</v>
      </c>
      <c r="I160" s="108"/>
      <c r="J160" s="108">
        <v>0</v>
      </c>
      <c r="K160" s="108"/>
      <c r="L160" s="110"/>
      <c r="M160" s="114"/>
      <c r="N160" s="108">
        <v>0</v>
      </c>
      <c r="O160" s="108"/>
      <c r="P160" s="108">
        <v>8628600</v>
      </c>
      <c r="Q160" s="108"/>
      <c r="R160" s="110"/>
      <c r="S160" s="114"/>
      <c r="T160" s="108">
        <v>422160.89946653531</v>
      </c>
      <c r="U160" s="108"/>
      <c r="V160" s="108">
        <v>43800</v>
      </c>
      <c r="W160" s="108"/>
      <c r="X160" s="110"/>
      <c r="Y160" s="114"/>
      <c r="Z160" s="108">
        <v>2142.9487282565246</v>
      </c>
      <c r="AA160" s="108"/>
      <c r="AB160" s="111">
        <v>8672400</v>
      </c>
      <c r="AC160" s="111"/>
      <c r="AD160" s="111">
        <f t="shared" si="5"/>
        <v>424303.84819479182</v>
      </c>
    </row>
    <row r="161" spans="2:30" ht="15" customHeight="1" x14ac:dyDescent="0.45">
      <c r="B161" s="116" t="s">
        <v>484</v>
      </c>
      <c r="C161" s="108"/>
      <c r="D161" s="108">
        <v>0</v>
      </c>
      <c r="E161" s="108"/>
      <c r="F161" s="115"/>
      <c r="G161" s="114"/>
      <c r="H161" s="108">
        <v>0</v>
      </c>
      <c r="I161" s="108"/>
      <c r="J161" s="108">
        <v>17520</v>
      </c>
      <c r="K161" s="108"/>
      <c r="L161" s="110"/>
      <c r="M161" s="114"/>
      <c r="N161" s="108">
        <v>857.1794913026099</v>
      </c>
      <c r="O161" s="108"/>
      <c r="P161" s="108">
        <v>5010719.9999999991</v>
      </c>
      <c r="Q161" s="108"/>
      <c r="R161" s="110"/>
      <c r="S161" s="114"/>
      <c r="T161" s="108">
        <v>245153.33451254634</v>
      </c>
      <c r="U161" s="108"/>
      <c r="V161" s="108">
        <v>3433920.0000000005</v>
      </c>
      <c r="W161" s="108"/>
      <c r="X161" s="110"/>
      <c r="Y161" s="114"/>
      <c r="Z161" s="108">
        <v>168007.18029531155</v>
      </c>
      <c r="AA161" s="108"/>
      <c r="AB161" s="111">
        <v>8462160</v>
      </c>
      <c r="AC161" s="111"/>
      <c r="AD161" s="111">
        <f t="shared" si="5"/>
        <v>414017.6942991605</v>
      </c>
    </row>
    <row r="162" spans="2:30" ht="15" customHeight="1" x14ac:dyDescent="0.45">
      <c r="B162" s="116" t="s">
        <v>485</v>
      </c>
      <c r="C162" s="108"/>
      <c r="D162" s="108">
        <v>6324719.9999999991</v>
      </c>
      <c r="E162" s="108"/>
      <c r="F162" s="115"/>
      <c r="G162" s="114"/>
      <c r="H162" s="108">
        <v>309441.79636024206</v>
      </c>
      <c r="I162" s="108"/>
      <c r="J162" s="108">
        <v>157679.99999999997</v>
      </c>
      <c r="K162" s="108"/>
      <c r="L162" s="110"/>
      <c r="M162" s="114"/>
      <c r="N162" s="108">
        <v>7714.6154217234871</v>
      </c>
      <c r="O162" s="108"/>
      <c r="P162" s="108">
        <v>87600</v>
      </c>
      <c r="Q162" s="108"/>
      <c r="R162" s="110"/>
      <c r="S162" s="114"/>
      <c r="T162" s="108">
        <v>4285.8974565130493</v>
      </c>
      <c r="U162" s="108"/>
      <c r="V162" s="108">
        <v>43800</v>
      </c>
      <c r="W162" s="108"/>
      <c r="X162" s="110"/>
      <c r="Y162" s="114"/>
      <c r="Z162" s="108">
        <v>2142.9487282565246</v>
      </c>
      <c r="AA162" s="108"/>
      <c r="AB162" s="111">
        <v>6613800</v>
      </c>
      <c r="AC162" s="111"/>
      <c r="AD162" s="111">
        <f t="shared" si="5"/>
        <v>323585.25796673511</v>
      </c>
    </row>
    <row r="163" spans="2:30" ht="15" customHeight="1" x14ac:dyDescent="0.45">
      <c r="B163" s="116" t="s">
        <v>486</v>
      </c>
      <c r="C163" s="108"/>
      <c r="D163" s="108">
        <v>183960</v>
      </c>
      <c r="E163" s="108"/>
      <c r="F163" s="115"/>
      <c r="G163" s="114"/>
      <c r="H163" s="108">
        <v>9000.3846586774016</v>
      </c>
      <c r="I163" s="108"/>
      <c r="J163" s="108">
        <v>332880</v>
      </c>
      <c r="K163" s="108"/>
      <c r="L163" s="110"/>
      <c r="M163" s="114"/>
      <c r="N163" s="108">
        <v>16286.410334749586</v>
      </c>
      <c r="O163" s="108"/>
      <c r="P163" s="108">
        <v>3547800</v>
      </c>
      <c r="Q163" s="108"/>
      <c r="R163" s="110"/>
      <c r="S163" s="114"/>
      <c r="T163" s="108">
        <v>173578.84698877847</v>
      </c>
      <c r="U163" s="108"/>
      <c r="V163" s="108">
        <v>2540399.9999999995</v>
      </c>
      <c r="W163" s="108"/>
      <c r="X163" s="110"/>
      <c r="Y163" s="114"/>
      <c r="Z163" s="108">
        <v>124291.02623887839</v>
      </c>
      <c r="AA163" s="108"/>
      <c r="AB163" s="111">
        <v>6605040</v>
      </c>
      <c r="AC163" s="111"/>
      <c r="AD163" s="111">
        <f t="shared" si="5"/>
        <v>323156.66822108382</v>
      </c>
    </row>
    <row r="164" spans="2:30" ht="15" customHeight="1" x14ac:dyDescent="0.45">
      <c r="B164" s="116" t="s">
        <v>487</v>
      </c>
      <c r="C164" s="108"/>
      <c r="D164" s="108">
        <v>2838240</v>
      </c>
      <c r="E164" s="108"/>
      <c r="F164" s="115"/>
      <c r="G164" s="114"/>
      <c r="H164" s="108">
        <v>138863.07759102277</v>
      </c>
      <c r="I164" s="108"/>
      <c r="J164" s="108">
        <v>937320</v>
      </c>
      <c r="K164" s="108"/>
      <c r="L164" s="110"/>
      <c r="M164" s="114"/>
      <c r="N164" s="108">
        <v>45859.102784689625</v>
      </c>
      <c r="O164" s="108"/>
      <c r="P164" s="108">
        <v>2566680</v>
      </c>
      <c r="Q164" s="108"/>
      <c r="R164" s="110"/>
      <c r="S164" s="114"/>
      <c r="T164" s="108">
        <v>125576.79547583233</v>
      </c>
      <c r="U164" s="108"/>
      <c r="V164" s="108">
        <v>201480.00000000003</v>
      </c>
      <c r="W164" s="108"/>
      <c r="X164" s="110"/>
      <c r="Y164" s="114"/>
      <c r="Z164" s="108">
        <v>9857.5641499800149</v>
      </c>
      <c r="AA164" s="108"/>
      <c r="AB164" s="111">
        <v>6543720</v>
      </c>
      <c r="AC164" s="111"/>
      <c r="AD164" s="111">
        <f t="shared" si="5"/>
        <v>320156.54000152479</v>
      </c>
    </row>
    <row r="165" spans="2:30" ht="15" customHeight="1" x14ac:dyDescent="0.45">
      <c r="B165" s="116" t="s">
        <v>488</v>
      </c>
      <c r="C165" s="108"/>
      <c r="D165" s="108">
        <v>26280.000000000004</v>
      </c>
      <c r="E165" s="108"/>
      <c r="F165" s="115"/>
      <c r="G165" s="114"/>
      <c r="H165" s="108">
        <v>1285.769236953915</v>
      </c>
      <c r="I165" s="108"/>
      <c r="J165" s="108">
        <v>0</v>
      </c>
      <c r="K165" s="108"/>
      <c r="L165" s="110"/>
      <c r="M165" s="114"/>
      <c r="N165" s="108">
        <v>0</v>
      </c>
      <c r="O165" s="108"/>
      <c r="P165" s="108">
        <v>6438600</v>
      </c>
      <c r="Q165" s="108"/>
      <c r="R165" s="110"/>
      <c r="S165" s="114"/>
      <c r="T165" s="108">
        <v>315013.46305370907</v>
      </c>
      <c r="U165" s="108"/>
      <c r="V165" s="108">
        <v>35040</v>
      </c>
      <c r="W165" s="108"/>
      <c r="X165" s="110"/>
      <c r="Y165" s="114"/>
      <c r="Z165" s="108">
        <v>1714.3589826052198</v>
      </c>
      <c r="AA165" s="108"/>
      <c r="AB165" s="111">
        <v>6499920</v>
      </c>
      <c r="AC165" s="111"/>
      <c r="AD165" s="111">
        <f t="shared" si="5"/>
        <v>318013.59127326822</v>
      </c>
    </row>
    <row r="166" spans="2:30" ht="15" customHeight="1" x14ac:dyDescent="0.45">
      <c r="B166" s="116" t="s">
        <v>489</v>
      </c>
      <c r="C166" s="108"/>
      <c r="D166" s="108">
        <v>35040</v>
      </c>
      <c r="E166" s="108"/>
      <c r="F166" s="115"/>
      <c r="G166" s="114"/>
      <c r="H166" s="108">
        <v>1714.3589826052198</v>
      </c>
      <c r="I166" s="108"/>
      <c r="J166" s="108">
        <v>26280.000000000004</v>
      </c>
      <c r="K166" s="108"/>
      <c r="L166" s="110"/>
      <c r="M166" s="114"/>
      <c r="N166" s="108">
        <v>1285.769236953915</v>
      </c>
      <c r="O166" s="108"/>
      <c r="P166" s="108">
        <v>3959520.0000000005</v>
      </c>
      <c r="Q166" s="108"/>
      <c r="R166" s="110"/>
      <c r="S166" s="114"/>
      <c r="T166" s="108">
        <v>193722.56503438985</v>
      </c>
      <c r="U166" s="108"/>
      <c r="V166" s="108">
        <v>1909680</v>
      </c>
      <c r="W166" s="108"/>
      <c r="X166" s="110"/>
      <c r="Y166" s="114"/>
      <c r="Z166" s="108">
        <v>93432.564551984469</v>
      </c>
      <c r="AA166" s="108"/>
      <c r="AB166" s="111">
        <v>5930520</v>
      </c>
      <c r="AC166" s="111"/>
      <c r="AD166" s="111">
        <f t="shared" si="5"/>
        <v>290155.25780593348</v>
      </c>
    </row>
    <row r="167" spans="2:30" ht="15" customHeight="1" x14ac:dyDescent="0.45">
      <c r="B167" s="116" t="s">
        <v>490</v>
      </c>
      <c r="C167" s="108"/>
      <c r="D167" s="108">
        <v>1655639.9999999998</v>
      </c>
      <c r="E167" s="108"/>
      <c r="F167" s="115"/>
      <c r="G167" s="114"/>
      <c r="H167" s="108">
        <v>81003.461928096614</v>
      </c>
      <c r="I167" s="108"/>
      <c r="J167" s="108">
        <v>473040</v>
      </c>
      <c r="K167" s="108"/>
      <c r="L167" s="110"/>
      <c r="M167" s="114"/>
      <c r="N167" s="108">
        <v>23143.846265170465</v>
      </c>
      <c r="O167" s="108"/>
      <c r="P167" s="108">
        <v>1638120</v>
      </c>
      <c r="Q167" s="108"/>
      <c r="R167" s="110"/>
      <c r="S167" s="114"/>
      <c r="T167" s="108">
        <v>80146.282436794005</v>
      </c>
      <c r="U167" s="108"/>
      <c r="V167" s="108">
        <v>1673159.9999999998</v>
      </c>
      <c r="W167" s="108"/>
      <c r="X167" s="110"/>
      <c r="Y167" s="114"/>
      <c r="Z167" s="108">
        <v>81860.641419399224</v>
      </c>
      <c r="AA167" s="108"/>
      <c r="AB167" s="111">
        <v>5439960</v>
      </c>
      <c r="AC167" s="111"/>
      <c r="AD167" s="111">
        <f t="shared" si="5"/>
        <v>266154.23204946029</v>
      </c>
    </row>
    <row r="168" spans="2:30" ht="15" customHeight="1" x14ac:dyDescent="0.45">
      <c r="B168" s="116" t="s">
        <v>491</v>
      </c>
      <c r="C168" s="108"/>
      <c r="D168" s="108">
        <v>1173840.0000000002</v>
      </c>
      <c r="E168" s="108"/>
      <c r="F168" s="115"/>
      <c r="G168" s="114"/>
      <c r="H168" s="108">
        <v>57431.02591727487</v>
      </c>
      <c r="I168" s="108"/>
      <c r="J168" s="108">
        <v>219000.00000000003</v>
      </c>
      <c r="K168" s="108"/>
      <c r="L168" s="110"/>
      <c r="M168" s="114"/>
      <c r="N168" s="108">
        <v>10714.743641282625</v>
      </c>
      <c r="O168" s="108"/>
      <c r="P168" s="108">
        <v>1629360.0000000002</v>
      </c>
      <c r="Q168" s="108"/>
      <c r="R168" s="110"/>
      <c r="S168" s="114"/>
      <c r="T168" s="108">
        <v>79717.692691142729</v>
      </c>
      <c r="U168" s="108"/>
      <c r="V168" s="108">
        <v>210240.00000000003</v>
      </c>
      <c r="W168" s="108"/>
      <c r="X168" s="110"/>
      <c r="Y168" s="114"/>
      <c r="Z168" s="108">
        <v>10286.15389563132</v>
      </c>
      <c r="AA168" s="108"/>
      <c r="AB168" s="111">
        <v>3232440</v>
      </c>
      <c r="AC168" s="111"/>
      <c r="AD168" s="111">
        <f t="shared" si="5"/>
        <v>158149.61614533153</v>
      </c>
    </row>
    <row r="169" spans="2:30" ht="15" customHeight="1" x14ac:dyDescent="0.45">
      <c r="B169" s="116" t="s">
        <v>492</v>
      </c>
      <c r="C169" s="108"/>
      <c r="D169" s="108">
        <v>52560.000000000007</v>
      </c>
      <c r="E169" s="108"/>
      <c r="F169" s="115"/>
      <c r="G169" s="114"/>
      <c r="H169" s="108">
        <v>2571.5384739078299</v>
      </c>
      <c r="I169" s="108"/>
      <c r="J169" s="108">
        <v>788400.00000000012</v>
      </c>
      <c r="K169" s="108"/>
      <c r="L169" s="110"/>
      <c r="M169" s="114"/>
      <c r="N169" s="108">
        <v>38573.07710861745</v>
      </c>
      <c r="O169" s="108"/>
      <c r="P169" s="108">
        <v>1629360.0000000002</v>
      </c>
      <c r="Q169" s="108"/>
      <c r="R169" s="110"/>
      <c r="S169" s="114"/>
      <c r="T169" s="108">
        <v>79717.692691142729</v>
      </c>
      <c r="U169" s="108"/>
      <c r="V169" s="108">
        <v>43800</v>
      </c>
      <c r="W169" s="108"/>
      <c r="X169" s="110"/>
      <c r="Y169" s="114"/>
      <c r="Z169" s="108">
        <v>2142.9487282565246</v>
      </c>
      <c r="AA169" s="108"/>
      <c r="AB169" s="111">
        <v>2514120.0000000005</v>
      </c>
      <c r="AC169" s="111"/>
      <c r="AD169" s="111">
        <f t="shared" si="5"/>
        <v>123005.25700192453</v>
      </c>
    </row>
    <row r="170" spans="2:30" ht="15" customHeight="1" x14ac:dyDescent="0.45">
      <c r="B170" s="116" t="s">
        <v>493</v>
      </c>
      <c r="C170" s="108"/>
      <c r="D170" s="108">
        <v>8760</v>
      </c>
      <c r="E170" s="108"/>
      <c r="F170" s="115"/>
      <c r="G170" s="114"/>
      <c r="H170" s="108">
        <v>428.58974565130495</v>
      </c>
      <c r="I170" s="108"/>
      <c r="J170" s="108">
        <v>0</v>
      </c>
      <c r="K170" s="108"/>
      <c r="L170" s="110"/>
      <c r="M170" s="114"/>
      <c r="N170" s="108">
        <v>0</v>
      </c>
      <c r="O170" s="108"/>
      <c r="P170" s="108">
        <v>2347680.0000000005</v>
      </c>
      <c r="Q170" s="108"/>
      <c r="R170" s="110"/>
      <c r="S170" s="114"/>
      <c r="T170" s="108">
        <v>114862.05183454974</v>
      </c>
      <c r="U170" s="108"/>
      <c r="V170" s="108">
        <v>8760</v>
      </c>
      <c r="W170" s="108"/>
      <c r="X170" s="110"/>
      <c r="Y170" s="114"/>
      <c r="Z170" s="108">
        <v>428.58974565130495</v>
      </c>
      <c r="AA170" s="108"/>
      <c r="AB170" s="111">
        <v>2365200.0000000005</v>
      </c>
      <c r="AC170" s="111"/>
      <c r="AD170" s="111">
        <f t="shared" si="5"/>
        <v>115719.23132585235</v>
      </c>
    </row>
    <row r="171" spans="2:30" ht="15" customHeight="1" x14ac:dyDescent="0.45">
      <c r="B171" s="116" t="s">
        <v>494</v>
      </c>
      <c r="C171" s="108"/>
      <c r="D171" s="108">
        <v>245280</v>
      </c>
      <c r="E171" s="108"/>
      <c r="F171" s="115"/>
      <c r="G171" s="114"/>
      <c r="H171" s="108">
        <v>12000.512878236537</v>
      </c>
      <c r="I171" s="108"/>
      <c r="J171" s="108">
        <v>0</v>
      </c>
      <c r="K171" s="108"/>
      <c r="L171" s="110"/>
      <c r="M171" s="114"/>
      <c r="N171" s="108">
        <v>0</v>
      </c>
      <c r="O171" s="108"/>
      <c r="P171" s="108">
        <v>928560.00000000012</v>
      </c>
      <c r="Q171" s="108"/>
      <c r="R171" s="110"/>
      <c r="S171" s="114"/>
      <c r="T171" s="108">
        <v>45430.513039038327</v>
      </c>
      <c r="U171" s="108"/>
      <c r="V171" s="108">
        <v>709560</v>
      </c>
      <c r="W171" s="108"/>
      <c r="X171" s="110"/>
      <c r="Y171" s="114"/>
      <c r="Z171" s="108">
        <v>34715.769397755692</v>
      </c>
      <c r="AA171" s="108"/>
      <c r="AB171" s="111">
        <v>1883400</v>
      </c>
      <c r="AC171" s="111"/>
      <c r="AD171" s="111">
        <f t="shared" si="5"/>
        <v>92146.795315030555</v>
      </c>
    </row>
    <row r="172" spans="2:30" ht="15" customHeight="1" x14ac:dyDescent="0.45">
      <c r="B172" s="116" t="s">
        <v>495</v>
      </c>
      <c r="C172" s="108"/>
      <c r="D172" s="108">
        <v>0</v>
      </c>
      <c r="E172" s="108"/>
      <c r="F172" s="115"/>
      <c r="G172" s="114"/>
      <c r="H172" s="108">
        <v>0</v>
      </c>
      <c r="I172" s="108"/>
      <c r="J172" s="108">
        <v>157679.99999999997</v>
      </c>
      <c r="K172" s="108"/>
      <c r="L172" s="110"/>
      <c r="M172" s="114"/>
      <c r="N172" s="108">
        <v>7714.6154217234871</v>
      </c>
      <c r="O172" s="108"/>
      <c r="P172" s="108">
        <v>1673159.9999999998</v>
      </c>
      <c r="Q172" s="108"/>
      <c r="R172" s="110"/>
      <c r="S172" s="114"/>
      <c r="T172" s="108">
        <v>81860.641419399224</v>
      </c>
      <c r="U172" s="108"/>
      <c r="V172" s="108">
        <v>8760</v>
      </c>
      <c r="W172" s="108"/>
      <c r="X172" s="110"/>
      <c r="Y172" s="114"/>
      <c r="Z172" s="108">
        <v>428.58974565130495</v>
      </c>
      <c r="AA172" s="108"/>
      <c r="AB172" s="111">
        <v>1839600</v>
      </c>
      <c r="AC172" s="111"/>
      <c r="AD172" s="111">
        <f t="shared" si="5"/>
        <v>90003.846586774016</v>
      </c>
    </row>
    <row r="173" spans="2:30" ht="15" customHeight="1" x14ac:dyDescent="0.45">
      <c r="B173" s="116" t="s">
        <v>496</v>
      </c>
      <c r="C173" s="108"/>
      <c r="D173" s="108">
        <v>17520</v>
      </c>
      <c r="E173" s="108"/>
      <c r="F173" s="115"/>
      <c r="G173" s="114"/>
      <c r="H173" s="108">
        <v>857.1794913026099</v>
      </c>
      <c r="I173" s="108"/>
      <c r="J173" s="108">
        <v>210240.00000000003</v>
      </c>
      <c r="K173" s="108"/>
      <c r="L173" s="110"/>
      <c r="M173" s="114"/>
      <c r="N173" s="108">
        <v>10286.15389563132</v>
      </c>
      <c r="O173" s="108"/>
      <c r="P173" s="108">
        <v>630719.99999999988</v>
      </c>
      <c r="Q173" s="108"/>
      <c r="R173" s="110"/>
      <c r="S173" s="114"/>
      <c r="T173" s="108">
        <v>30858.461686893948</v>
      </c>
      <c r="U173" s="108"/>
      <c r="V173" s="108">
        <v>52560.000000000007</v>
      </c>
      <c r="W173" s="108"/>
      <c r="X173" s="110"/>
      <c r="Y173" s="114"/>
      <c r="Z173" s="108">
        <v>2571.5384739078299</v>
      </c>
      <c r="AA173" s="108"/>
      <c r="AB173" s="111">
        <v>911040.00000000023</v>
      </c>
      <c r="AC173" s="111"/>
      <c r="AD173" s="111">
        <f t="shared" si="5"/>
        <v>44573.333547735703</v>
      </c>
    </row>
    <row r="174" spans="2:30" ht="15" customHeight="1" x14ac:dyDescent="0.45">
      <c r="B174" s="116" t="s">
        <v>497</v>
      </c>
      <c r="C174" s="108"/>
      <c r="D174" s="108">
        <v>17520</v>
      </c>
      <c r="E174" s="108"/>
      <c r="F174" s="115"/>
      <c r="G174" s="114"/>
      <c r="H174" s="108">
        <v>857.1794913026099</v>
      </c>
      <c r="I174" s="108"/>
      <c r="J174" s="108">
        <v>0</v>
      </c>
      <c r="K174" s="108"/>
      <c r="L174" s="110"/>
      <c r="M174" s="114"/>
      <c r="N174" s="108">
        <v>0</v>
      </c>
      <c r="O174" s="108"/>
      <c r="P174" s="108">
        <v>858480.00000000012</v>
      </c>
      <c r="Q174" s="108"/>
      <c r="R174" s="110"/>
      <c r="S174" s="114"/>
      <c r="T174" s="108">
        <v>42001.795073827889</v>
      </c>
      <c r="U174" s="108"/>
      <c r="V174" s="108">
        <v>8760</v>
      </c>
      <c r="W174" s="108"/>
      <c r="X174" s="110"/>
      <c r="Y174" s="114"/>
      <c r="Z174" s="108">
        <v>428.58974565130495</v>
      </c>
      <c r="AA174" s="108"/>
      <c r="AB174" s="111">
        <v>884760.00000000012</v>
      </c>
      <c r="AC174" s="111"/>
      <c r="AD174" s="111">
        <f t="shared" ref="AD174:AD237" si="6">H174+N174+T174+Z174</f>
        <v>43287.564310781803</v>
      </c>
    </row>
    <row r="175" spans="2:30" ht="15" customHeight="1" x14ac:dyDescent="0.45">
      <c r="B175" s="116" t="s">
        <v>498</v>
      </c>
      <c r="C175" s="108"/>
      <c r="D175" s="108">
        <v>0</v>
      </c>
      <c r="E175" s="108"/>
      <c r="F175" s="115"/>
      <c r="G175" s="114"/>
      <c r="H175" s="108">
        <v>0</v>
      </c>
      <c r="I175" s="108"/>
      <c r="J175" s="108">
        <v>0</v>
      </c>
      <c r="K175" s="108"/>
      <c r="L175" s="110"/>
      <c r="M175" s="114"/>
      <c r="N175" s="108">
        <v>0</v>
      </c>
      <c r="O175" s="108"/>
      <c r="P175" s="108">
        <v>438000.00000000006</v>
      </c>
      <c r="Q175" s="108"/>
      <c r="R175" s="110"/>
      <c r="S175" s="114"/>
      <c r="T175" s="108">
        <v>21429.487282565249</v>
      </c>
      <c r="U175" s="108"/>
      <c r="V175" s="108">
        <v>0</v>
      </c>
      <c r="W175" s="108"/>
      <c r="X175" s="110"/>
      <c r="Y175" s="114"/>
      <c r="Z175" s="108">
        <v>0</v>
      </c>
      <c r="AA175" s="108"/>
      <c r="AB175" s="111">
        <v>438000.00000000006</v>
      </c>
      <c r="AC175" s="111"/>
      <c r="AD175" s="111">
        <f t="shared" si="6"/>
        <v>21429.487282565249</v>
      </c>
    </row>
    <row r="176" spans="2:30" ht="15" customHeight="1" x14ac:dyDescent="0.45">
      <c r="B176" s="116" t="s">
        <v>499</v>
      </c>
      <c r="C176" s="108"/>
      <c r="D176" s="108">
        <v>0</v>
      </c>
      <c r="E176" s="108"/>
      <c r="F176" s="115"/>
      <c r="G176" s="114"/>
      <c r="H176" s="108">
        <v>0</v>
      </c>
      <c r="I176" s="108"/>
      <c r="J176" s="108">
        <v>0</v>
      </c>
      <c r="K176" s="108"/>
      <c r="L176" s="110"/>
      <c r="M176" s="114"/>
      <c r="N176" s="108">
        <v>0</v>
      </c>
      <c r="O176" s="108"/>
      <c r="P176" s="108">
        <v>411720</v>
      </c>
      <c r="Q176" s="108"/>
      <c r="R176" s="110"/>
      <c r="S176" s="114"/>
      <c r="T176" s="108">
        <v>20143.718045611331</v>
      </c>
      <c r="U176" s="108"/>
      <c r="V176" s="108">
        <v>0</v>
      </c>
      <c r="W176" s="108"/>
      <c r="X176" s="110"/>
      <c r="Y176" s="114"/>
      <c r="Z176" s="108">
        <v>0</v>
      </c>
      <c r="AA176" s="108"/>
      <c r="AB176" s="111">
        <v>411720</v>
      </c>
      <c r="AC176" s="111"/>
      <c r="AD176" s="111">
        <f t="shared" si="6"/>
        <v>20143.718045611331</v>
      </c>
    </row>
    <row r="177" spans="2:30" ht="15" customHeight="1" x14ac:dyDescent="0.45">
      <c r="B177" s="116" t="s">
        <v>500</v>
      </c>
      <c r="C177" s="108"/>
      <c r="D177" s="108">
        <v>0</v>
      </c>
      <c r="E177" s="108"/>
      <c r="F177" s="115"/>
      <c r="G177" s="114"/>
      <c r="H177" s="108">
        <v>0</v>
      </c>
      <c r="I177" s="108"/>
      <c r="J177" s="108">
        <v>0</v>
      </c>
      <c r="K177" s="108"/>
      <c r="L177" s="110"/>
      <c r="M177" s="114"/>
      <c r="N177" s="108">
        <v>0</v>
      </c>
      <c r="O177" s="108"/>
      <c r="P177" s="108">
        <v>385440</v>
      </c>
      <c r="Q177" s="108"/>
      <c r="R177" s="110"/>
      <c r="S177" s="114"/>
      <c r="T177" s="108">
        <v>18857.948808657417</v>
      </c>
      <c r="U177" s="108"/>
      <c r="V177" s="108">
        <v>0</v>
      </c>
      <c r="W177" s="108"/>
      <c r="X177" s="110"/>
      <c r="Y177" s="114"/>
      <c r="Z177" s="108">
        <v>0</v>
      </c>
      <c r="AA177" s="108"/>
      <c r="AB177" s="111">
        <v>385440</v>
      </c>
      <c r="AC177" s="111"/>
      <c r="AD177" s="111">
        <f t="shared" si="6"/>
        <v>18857.948808657417</v>
      </c>
    </row>
    <row r="178" spans="2:30" ht="15" customHeight="1" x14ac:dyDescent="0.45">
      <c r="B178" s="116" t="s">
        <v>501</v>
      </c>
      <c r="C178" s="108"/>
      <c r="D178" s="108">
        <v>8760</v>
      </c>
      <c r="E178" s="108"/>
      <c r="F178" s="115"/>
      <c r="G178" s="114"/>
      <c r="H178" s="108">
        <v>428.58974565130495</v>
      </c>
      <c r="I178" s="108"/>
      <c r="J178" s="108">
        <v>0</v>
      </c>
      <c r="K178" s="108"/>
      <c r="L178" s="110"/>
      <c r="M178" s="114"/>
      <c r="N178" s="108">
        <v>0</v>
      </c>
      <c r="O178" s="108"/>
      <c r="P178" s="108">
        <v>280320</v>
      </c>
      <c r="Q178" s="108"/>
      <c r="R178" s="110"/>
      <c r="S178" s="114"/>
      <c r="T178" s="108">
        <v>13714.871860841758</v>
      </c>
      <c r="U178" s="108"/>
      <c r="V178" s="108">
        <v>35040</v>
      </c>
      <c r="W178" s="108"/>
      <c r="X178" s="110"/>
      <c r="Y178" s="114"/>
      <c r="Z178" s="108">
        <v>1714.3589826052198</v>
      </c>
      <c r="AA178" s="108"/>
      <c r="AB178" s="111">
        <v>324120.00000000006</v>
      </c>
      <c r="AC178" s="111"/>
      <c r="AD178" s="111">
        <f t="shared" si="6"/>
        <v>15857.820589098283</v>
      </c>
    </row>
    <row r="179" spans="2:30" ht="15" customHeight="1" x14ac:dyDescent="0.45">
      <c r="B179" s="116" t="s">
        <v>502</v>
      </c>
      <c r="C179" s="108"/>
      <c r="D179" s="108">
        <v>0</v>
      </c>
      <c r="E179" s="108"/>
      <c r="F179" s="115"/>
      <c r="G179" s="114"/>
      <c r="H179" s="108">
        <v>0</v>
      </c>
      <c r="I179" s="108"/>
      <c r="J179" s="108">
        <v>0</v>
      </c>
      <c r="K179" s="108"/>
      <c r="L179" s="110"/>
      <c r="M179" s="114"/>
      <c r="N179" s="108">
        <v>0</v>
      </c>
      <c r="O179" s="108"/>
      <c r="P179" s="108">
        <v>78839.999999999985</v>
      </c>
      <c r="Q179" s="108"/>
      <c r="R179" s="110"/>
      <c r="S179" s="114"/>
      <c r="T179" s="108">
        <v>3857.3077108617435</v>
      </c>
      <c r="U179" s="108"/>
      <c r="V179" s="108">
        <v>43800</v>
      </c>
      <c r="W179" s="108"/>
      <c r="X179" s="110"/>
      <c r="Y179" s="114"/>
      <c r="Z179" s="108">
        <v>2142.9487282565246</v>
      </c>
      <c r="AA179" s="108"/>
      <c r="AB179" s="111">
        <v>122639.99999999999</v>
      </c>
      <c r="AC179" s="111"/>
      <c r="AD179" s="111">
        <f t="shared" si="6"/>
        <v>6000.2564391182677</v>
      </c>
    </row>
    <row r="180" spans="2:30" ht="15" customHeight="1" x14ac:dyDescent="0.45">
      <c r="B180" s="116" t="s">
        <v>503</v>
      </c>
      <c r="C180" s="108"/>
      <c r="D180" s="108">
        <v>0</v>
      </c>
      <c r="E180" s="108"/>
      <c r="F180" s="115"/>
      <c r="G180" s="114"/>
      <c r="H180" s="108">
        <v>0</v>
      </c>
      <c r="I180" s="108"/>
      <c r="J180" s="108">
        <v>0</v>
      </c>
      <c r="K180" s="108"/>
      <c r="L180" s="110"/>
      <c r="M180" s="114"/>
      <c r="N180" s="108">
        <v>0</v>
      </c>
      <c r="O180" s="108"/>
      <c r="P180" s="108">
        <v>0</v>
      </c>
      <c r="Q180" s="108"/>
      <c r="R180" s="110"/>
      <c r="S180" s="114"/>
      <c r="T180" s="108">
        <v>0</v>
      </c>
      <c r="U180" s="108"/>
      <c r="V180" s="108">
        <v>0</v>
      </c>
      <c r="W180" s="108"/>
      <c r="X180" s="110"/>
      <c r="Y180" s="114"/>
      <c r="Z180" s="108">
        <v>0</v>
      </c>
      <c r="AA180" s="108"/>
      <c r="AB180" s="111">
        <v>0</v>
      </c>
      <c r="AC180" s="111"/>
      <c r="AD180" s="111">
        <f t="shared" si="6"/>
        <v>0</v>
      </c>
    </row>
    <row r="181" spans="2:30" ht="15" customHeight="1" x14ac:dyDescent="0.45">
      <c r="B181" s="116" t="s">
        <v>504</v>
      </c>
      <c r="C181" s="108"/>
      <c r="D181" s="108">
        <v>0</v>
      </c>
      <c r="E181" s="108"/>
      <c r="F181" s="115"/>
      <c r="G181" s="114"/>
      <c r="H181" s="108">
        <v>0</v>
      </c>
      <c r="I181" s="108"/>
      <c r="J181" s="108">
        <v>0</v>
      </c>
      <c r="K181" s="108"/>
      <c r="L181" s="110"/>
      <c r="M181" s="114"/>
      <c r="N181" s="108">
        <v>0</v>
      </c>
      <c r="O181" s="108"/>
      <c r="P181" s="108">
        <v>0</v>
      </c>
      <c r="Q181" s="108"/>
      <c r="R181" s="110"/>
      <c r="S181" s="114"/>
      <c r="T181" s="108">
        <v>0</v>
      </c>
      <c r="U181" s="108"/>
      <c r="V181" s="108">
        <v>0</v>
      </c>
      <c r="W181" s="108"/>
      <c r="X181" s="110"/>
      <c r="Y181" s="114"/>
      <c r="Z181" s="108">
        <v>0</v>
      </c>
      <c r="AA181" s="108"/>
      <c r="AB181" s="111">
        <v>0</v>
      </c>
      <c r="AC181" s="111"/>
      <c r="AD181" s="111">
        <f t="shared" si="6"/>
        <v>0</v>
      </c>
    </row>
    <row r="182" spans="2:30" ht="15" customHeight="1" x14ac:dyDescent="0.45">
      <c r="B182" s="116" t="s">
        <v>505</v>
      </c>
      <c r="C182" s="108"/>
      <c r="D182" s="108">
        <v>0</v>
      </c>
      <c r="E182" s="108"/>
      <c r="F182" s="115"/>
      <c r="G182" s="114"/>
      <c r="H182" s="108">
        <v>0</v>
      </c>
      <c r="I182" s="108"/>
      <c r="J182" s="108">
        <v>0</v>
      </c>
      <c r="K182" s="108"/>
      <c r="L182" s="110"/>
      <c r="M182" s="114"/>
      <c r="N182" s="108">
        <v>0</v>
      </c>
      <c r="O182" s="108"/>
      <c r="P182" s="108">
        <v>0</v>
      </c>
      <c r="Q182" s="108"/>
      <c r="R182" s="110"/>
      <c r="S182" s="114"/>
      <c r="T182" s="108">
        <v>0</v>
      </c>
      <c r="U182" s="108"/>
      <c r="V182" s="108">
        <v>0</v>
      </c>
      <c r="W182" s="108"/>
      <c r="X182" s="110"/>
      <c r="Y182" s="114"/>
      <c r="Z182" s="108">
        <v>0</v>
      </c>
      <c r="AA182" s="108"/>
      <c r="AB182" s="111">
        <v>0</v>
      </c>
      <c r="AC182" s="111"/>
      <c r="AD182" s="111">
        <f t="shared" si="6"/>
        <v>0</v>
      </c>
    </row>
    <row r="183" spans="2:30" ht="15" customHeight="1" x14ac:dyDescent="0.45">
      <c r="B183" s="116" t="s">
        <v>506</v>
      </c>
      <c r="C183" s="108"/>
      <c r="D183" s="108">
        <v>0</v>
      </c>
      <c r="E183" s="108"/>
      <c r="F183" s="115"/>
      <c r="G183" s="114"/>
      <c r="H183" s="108">
        <v>0</v>
      </c>
      <c r="I183" s="108"/>
      <c r="J183" s="108">
        <v>0</v>
      </c>
      <c r="K183" s="108"/>
      <c r="L183" s="110"/>
      <c r="M183" s="114"/>
      <c r="N183" s="108">
        <v>0</v>
      </c>
      <c r="O183" s="108"/>
      <c r="P183" s="108">
        <v>0</v>
      </c>
      <c r="Q183" s="108"/>
      <c r="R183" s="110"/>
      <c r="S183" s="114"/>
      <c r="T183" s="108">
        <v>0</v>
      </c>
      <c r="U183" s="108"/>
      <c r="V183" s="108">
        <v>0</v>
      </c>
      <c r="W183" s="108"/>
      <c r="X183" s="110"/>
      <c r="Y183" s="114"/>
      <c r="Z183" s="108">
        <v>0</v>
      </c>
      <c r="AA183" s="108"/>
      <c r="AB183" s="111">
        <v>0</v>
      </c>
      <c r="AC183" s="111"/>
      <c r="AD183" s="111">
        <f t="shared" si="6"/>
        <v>0</v>
      </c>
    </row>
    <row r="184" spans="2:30" ht="15" customHeight="1" x14ac:dyDescent="0.45">
      <c r="B184" s="116" t="s">
        <v>507</v>
      </c>
      <c r="C184" s="108"/>
      <c r="D184" s="108">
        <v>0</v>
      </c>
      <c r="E184" s="108"/>
      <c r="F184" s="115"/>
      <c r="G184" s="114"/>
      <c r="H184" s="108">
        <v>0</v>
      </c>
      <c r="I184" s="108"/>
      <c r="J184" s="108">
        <v>0</v>
      </c>
      <c r="K184" s="108"/>
      <c r="L184" s="110"/>
      <c r="M184" s="114"/>
      <c r="N184" s="108">
        <v>0</v>
      </c>
      <c r="O184" s="108"/>
      <c r="P184" s="108">
        <v>0</v>
      </c>
      <c r="Q184" s="108"/>
      <c r="R184" s="110"/>
      <c r="S184" s="114"/>
      <c r="T184" s="108">
        <v>0</v>
      </c>
      <c r="U184" s="108"/>
      <c r="V184" s="108">
        <v>0</v>
      </c>
      <c r="W184" s="108"/>
      <c r="X184" s="110"/>
      <c r="Y184" s="114"/>
      <c r="Z184" s="108">
        <v>0</v>
      </c>
      <c r="AA184" s="108"/>
      <c r="AB184" s="111">
        <v>0</v>
      </c>
      <c r="AC184" s="111"/>
      <c r="AD184" s="111">
        <f t="shared" si="6"/>
        <v>0</v>
      </c>
    </row>
    <row r="185" spans="2:30" ht="15" customHeight="1" x14ac:dyDescent="0.45">
      <c r="B185" s="116" t="s">
        <v>508</v>
      </c>
      <c r="C185" s="108"/>
      <c r="D185" s="108">
        <v>0</v>
      </c>
      <c r="E185" s="108"/>
      <c r="F185" s="115"/>
      <c r="G185" s="114"/>
      <c r="H185" s="108">
        <v>0</v>
      </c>
      <c r="I185" s="108"/>
      <c r="J185" s="108">
        <v>0</v>
      </c>
      <c r="K185" s="108"/>
      <c r="L185" s="110"/>
      <c r="M185" s="114"/>
      <c r="N185" s="108">
        <v>0</v>
      </c>
      <c r="O185" s="108"/>
      <c r="P185" s="108">
        <v>0</v>
      </c>
      <c r="Q185" s="108"/>
      <c r="R185" s="110"/>
      <c r="S185" s="114"/>
      <c r="T185" s="108">
        <v>0</v>
      </c>
      <c r="U185" s="108"/>
      <c r="V185" s="108">
        <v>0</v>
      </c>
      <c r="W185" s="108"/>
      <c r="X185" s="110"/>
      <c r="Y185" s="114"/>
      <c r="Z185" s="108">
        <v>0</v>
      </c>
      <c r="AA185" s="108"/>
      <c r="AB185" s="111">
        <v>0</v>
      </c>
      <c r="AC185" s="111"/>
      <c r="AD185" s="111">
        <f t="shared" si="6"/>
        <v>0</v>
      </c>
    </row>
    <row r="186" spans="2:30" x14ac:dyDescent="0.45">
      <c r="B186" s="116" t="s">
        <v>509</v>
      </c>
      <c r="C186" s="108"/>
      <c r="D186" s="108">
        <v>0</v>
      </c>
      <c r="E186" s="108"/>
      <c r="F186" s="115"/>
      <c r="G186" s="114"/>
      <c r="H186" s="108">
        <v>0</v>
      </c>
      <c r="I186" s="108"/>
      <c r="J186" s="108">
        <v>0</v>
      </c>
      <c r="K186" s="108"/>
      <c r="L186" s="110"/>
      <c r="M186" s="114"/>
      <c r="N186" s="108">
        <v>0</v>
      </c>
      <c r="O186" s="108"/>
      <c r="P186" s="108">
        <v>0</v>
      </c>
      <c r="Q186" s="108"/>
      <c r="R186" s="110"/>
      <c r="S186" s="114"/>
      <c r="T186" s="108">
        <v>0</v>
      </c>
      <c r="U186" s="108"/>
      <c r="V186" s="108">
        <v>0</v>
      </c>
      <c r="W186" s="108"/>
      <c r="X186" s="110"/>
      <c r="Y186" s="114"/>
      <c r="Z186" s="108">
        <v>0</v>
      </c>
      <c r="AA186" s="108"/>
      <c r="AB186" s="111">
        <v>0</v>
      </c>
      <c r="AC186" s="111"/>
      <c r="AD186" s="111">
        <f t="shared" si="6"/>
        <v>0</v>
      </c>
    </row>
    <row r="187" spans="2:30" x14ac:dyDescent="0.45">
      <c r="B187" s="116" t="s">
        <v>510</v>
      </c>
      <c r="C187" s="108"/>
      <c r="D187" s="108">
        <v>0</v>
      </c>
      <c r="E187" s="108"/>
      <c r="F187" s="115"/>
      <c r="G187" s="114"/>
      <c r="H187" s="108">
        <v>0</v>
      </c>
      <c r="I187" s="108"/>
      <c r="J187" s="108">
        <v>0</v>
      </c>
      <c r="K187" s="108"/>
      <c r="L187" s="110"/>
      <c r="M187" s="114"/>
      <c r="N187" s="108">
        <v>0</v>
      </c>
      <c r="O187" s="108"/>
      <c r="P187" s="108">
        <v>0</v>
      </c>
      <c r="Q187" s="108"/>
      <c r="R187" s="110"/>
      <c r="S187" s="114"/>
      <c r="T187" s="108">
        <v>0</v>
      </c>
      <c r="U187" s="108"/>
      <c r="V187" s="108">
        <v>0</v>
      </c>
      <c r="W187" s="108"/>
      <c r="X187" s="110"/>
      <c r="Y187" s="114"/>
      <c r="Z187" s="108">
        <v>0</v>
      </c>
      <c r="AA187" s="108"/>
      <c r="AB187" s="111">
        <v>0</v>
      </c>
      <c r="AC187" s="111"/>
      <c r="AD187" s="111">
        <f t="shared" si="6"/>
        <v>0</v>
      </c>
    </row>
    <row r="188" spans="2:30" x14ac:dyDescent="0.45">
      <c r="B188" s="116" t="s">
        <v>511</v>
      </c>
      <c r="C188" s="108"/>
      <c r="D188" s="108">
        <v>0</v>
      </c>
      <c r="E188" s="108"/>
      <c r="F188" s="115"/>
      <c r="G188" s="114"/>
      <c r="H188" s="108">
        <v>0</v>
      </c>
      <c r="I188" s="108"/>
      <c r="J188" s="108">
        <v>0</v>
      </c>
      <c r="K188" s="108"/>
      <c r="L188" s="110"/>
      <c r="M188" s="114"/>
      <c r="N188" s="108">
        <v>0</v>
      </c>
      <c r="O188" s="108"/>
      <c r="P188" s="108">
        <v>0</v>
      </c>
      <c r="Q188" s="108"/>
      <c r="R188" s="110"/>
      <c r="S188" s="114"/>
      <c r="T188" s="108">
        <v>0</v>
      </c>
      <c r="U188" s="108"/>
      <c r="V188" s="108">
        <v>0</v>
      </c>
      <c r="W188" s="108"/>
      <c r="X188" s="110"/>
      <c r="Y188" s="114"/>
      <c r="Z188" s="108">
        <v>0</v>
      </c>
      <c r="AA188" s="108"/>
      <c r="AB188" s="111">
        <v>0</v>
      </c>
      <c r="AC188" s="111"/>
      <c r="AD188" s="111">
        <f t="shared" si="6"/>
        <v>0</v>
      </c>
    </row>
    <row r="189" spans="2:30" x14ac:dyDescent="0.45">
      <c r="B189" s="116" t="s">
        <v>512</v>
      </c>
      <c r="C189" s="108"/>
      <c r="D189" s="108">
        <v>0</v>
      </c>
      <c r="E189" s="108"/>
      <c r="F189" s="115"/>
      <c r="G189" s="114"/>
      <c r="H189" s="108">
        <v>0</v>
      </c>
      <c r="I189" s="108"/>
      <c r="J189" s="108">
        <v>0</v>
      </c>
      <c r="K189" s="108"/>
      <c r="L189" s="110"/>
      <c r="M189" s="114"/>
      <c r="N189" s="108">
        <v>0</v>
      </c>
      <c r="O189" s="108"/>
      <c r="P189" s="108">
        <v>0</v>
      </c>
      <c r="Q189" s="108"/>
      <c r="R189" s="110"/>
      <c r="S189" s="114"/>
      <c r="T189" s="108">
        <v>0</v>
      </c>
      <c r="U189" s="108"/>
      <c r="V189" s="108">
        <v>0</v>
      </c>
      <c r="W189" s="108"/>
      <c r="X189" s="110"/>
      <c r="Y189" s="114"/>
      <c r="Z189" s="108">
        <v>0</v>
      </c>
      <c r="AA189" s="108"/>
      <c r="AB189" s="111">
        <v>0</v>
      </c>
      <c r="AC189" s="111"/>
      <c r="AD189" s="111">
        <f t="shared" si="6"/>
        <v>0</v>
      </c>
    </row>
    <row r="190" spans="2:30" x14ac:dyDescent="0.45">
      <c r="B190" s="116" t="s">
        <v>513</v>
      </c>
      <c r="C190" s="108"/>
      <c r="D190" s="108">
        <v>0</v>
      </c>
      <c r="E190" s="108"/>
      <c r="F190" s="115"/>
      <c r="G190" s="114"/>
      <c r="H190" s="108">
        <v>0</v>
      </c>
      <c r="I190" s="108"/>
      <c r="J190" s="108">
        <v>0</v>
      </c>
      <c r="K190" s="108"/>
      <c r="L190" s="110"/>
      <c r="M190" s="114"/>
      <c r="N190" s="108">
        <v>0</v>
      </c>
      <c r="O190" s="108"/>
      <c r="P190" s="108">
        <v>0</v>
      </c>
      <c r="Q190" s="108"/>
      <c r="R190" s="110"/>
      <c r="S190" s="114"/>
      <c r="T190" s="108">
        <v>0</v>
      </c>
      <c r="U190" s="108"/>
      <c r="V190" s="108">
        <v>0</v>
      </c>
      <c r="W190" s="108"/>
      <c r="X190" s="110"/>
      <c r="Y190" s="114"/>
      <c r="Z190" s="108">
        <v>0</v>
      </c>
      <c r="AA190" s="108"/>
      <c r="AB190" s="111">
        <v>0</v>
      </c>
      <c r="AC190" s="111"/>
      <c r="AD190" s="111">
        <f t="shared" si="6"/>
        <v>0</v>
      </c>
    </row>
    <row r="191" spans="2:30" x14ac:dyDescent="0.45">
      <c r="B191" s="116" t="s">
        <v>514</v>
      </c>
      <c r="C191" s="108"/>
      <c r="D191" s="108">
        <v>0</v>
      </c>
      <c r="E191" s="108"/>
      <c r="F191" s="115"/>
      <c r="G191" s="114"/>
      <c r="H191" s="108">
        <v>0</v>
      </c>
      <c r="I191" s="108"/>
      <c r="J191" s="108">
        <v>0</v>
      </c>
      <c r="K191" s="108"/>
      <c r="L191" s="110"/>
      <c r="M191" s="114"/>
      <c r="N191" s="108">
        <v>0</v>
      </c>
      <c r="O191" s="108"/>
      <c r="P191" s="108">
        <v>0</v>
      </c>
      <c r="Q191" s="108"/>
      <c r="R191" s="110"/>
      <c r="S191" s="114"/>
      <c r="T191" s="108">
        <v>0</v>
      </c>
      <c r="U191" s="108"/>
      <c r="V191" s="108">
        <v>0</v>
      </c>
      <c r="W191" s="108"/>
      <c r="X191" s="110"/>
      <c r="Y191" s="114"/>
      <c r="Z191" s="108">
        <v>0</v>
      </c>
      <c r="AA191" s="108"/>
      <c r="AB191" s="111">
        <v>0</v>
      </c>
      <c r="AC191" s="111"/>
      <c r="AD191" s="111">
        <f t="shared" si="6"/>
        <v>0</v>
      </c>
    </row>
    <row r="192" spans="2:30" x14ac:dyDescent="0.45">
      <c r="B192" s="116" t="s">
        <v>515</v>
      </c>
      <c r="C192" s="108"/>
      <c r="D192" s="108">
        <v>0</v>
      </c>
      <c r="E192" s="108"/>
      <c r="F192" s="115"/>
      <c r="G192" s="114"/>
      <c r="H192" s="108">
        <v>0</v>
      </c>
      <c r="I192" s="108"/>
      <c r="J192" s="108">
        <v>0</v>
      </c>
      <c r="K192" s="108"/>
      <c r="L192" s="110"/>
      <c r="M192" s="114"/>
      <c r="N192" s="108">
        <v>0</v>
      </c>
      <c r="O192" s="108"/>
      <c r="P192" s="108">
        <v>0</v>
      </c>
      <c r="Q192" s="108"/>
      <c r="R192" s="110"/>
      <c r="S192" s="114"/>
      <c r="T192" s="108">
        <v>0</v>
      </c>
      <c r="U192" s="108"/>
      <c r="V192" s="108">
        <v>0</v>
      </c>
      <c r="W192" s="108"/>
      <c r="X192" s="110"/>
      <c r="Y192" s="114"/>
      <c r="Z192" s="108">
        <v>0</v>
      </c>
      <c r="AA192" s="108"/>
      <c r="AB192" s="111">
        <v>0</v>
      </c>
      <c r="AC192" s="111"/>
      <c r="AD192" s="111">
        <f t="shared" si="6"/>
        <v>0</v>
      </c>
    </row>
    <row r="193" spans="2:30" x14ac:dyDescent="0.45">
      <c r="B193" s="116" t="s">
        <v>516</v>
      </c>
      <c r="C193" s="108"/>
      <c r="D193" s="108">
        <v>0</v>
      </c>
      <c r="E193" s="108"/>
      <c r="F193" s="115"/>
      <c r="G193" s="114"/>
      <c r="H193" s="108">
        <v>0</v>
      </c>
      <c r="I193" s="108"/>
      <c r="J193" s="108">
        <v>0</v>
      </c>
      <c r="K193" s="108"/>
      <c r="L193" s="110"/>
      <c r="M193" s="114"/>
      <c r="N193" s="108">
        <v>0</v>
      </c>
      <c r="O193" s="108"/>
      <c r="P193" s="108">
        <v>0</v>
      </c>
      <c r="Q193" s="108"/>
      <c r="R193" s="110"/>
      <c r="S193" s="114"/>
      <c r="T193" s="108">
        <v>0</v>
      </c>
      <c r="U193" s="108"/>
      <c r="V193" s="108">
        <v>0</v>
      </c>
      <c r="W193" s="108"/>
      <c r="X193" s="110"/>
      <c r="Y193" s="114"/>
      <c r="Z193" s="108">
        <v>0</v>
      </c>
      <c r="AA193" s="108"/>
      <c r="AB193" s="111">
        <v>0</v>
      </c>
      <c r="AC193" s="111"/>
      <c r="AD193" s="111">
        <f t="shared" si="6"/>
        <v>0</v>
      </c>
    </row>
    <row r="194" spans="2:30" x14ac:dyDescent="0.45">
      <c r="B194" s="116" t="s">
        <v>517</v>
      </c>
      <c r="C194" s="108"/>
      <c r="D194" s="108">
        <v>0</v>
      </c>
      <c r="E194" s="108"/>
      <c r="F194" s="115"/>
      <c r="G194" s="114"/>
      <c r="H194" s="108">
        <v>0</v>
      </c>
      <c r="I194" s="108"/>
      <c r="J194" s="108">
        <v>0</v>
      </c>
      <c r="K194" s="108"/>
      <c r="L194" s="110"/>
      <c r="M194" s="114"/>
      <c r="N194" s="108">
        <v>0</v>
      </c>
      <c r="O194" s="108"/>
      <c r="P194" s="108">
        <v>0</v>
      </c>
      <c r="Q194" s="108"/>
      <c r="R194" s="110"/>
      <c r="S194" s="114"/>
      <c r="T194" s="108">
        <v>0</v>
      </c>
      <c r="U194" s="108"/>
      <c r="V194" s="108">
        <v>0</v>
      </c>
      <c r="W194" s="108"/>
      <c r="X194" s="110"/>
      <c r="Y194" s="114"/>
      <c r="Z194" s="108">
        <v>0</v>
      </c>
      <c r="AA194" s="108"/>
      <c r="AB194" s="111">
        <v>0</v>
      </c>
      <c r="AC194" s="111"/>
      <c r="AD194" s="111">
        <f t="shared" si="6"/>
        <v>0</v>
      </c>
    </row>
    <row r="195" spans="2:30" ht="15" customHeight="1" x14ac:dyDescent="0.45">
      <c r="B195" s="116" t="s">
        <v>518</v>
      </c>
      <c r="C195" s="108"/>
      <c r="D195" s="108">
        <v>0</v>
      </c>
      <c r="E195" s="108"/>
      <c r="F195" s="115"/>
      <c r="G195" s="114"/>
      <c r="H195" s="108">
        <v>0</v>
      </c>
      <c r="I195" s="108"/>
      <c r="J195" s="108">
        <v>0</v>
      </c>
      <c r="K195" s="108"/>
      <c r="L195" s="110"/>
      <c r="M195" s="114"/>
      <c r="N195" s="108">
        <v>0</v>
      </c>
      <c r="O195" s="108"/>
      <c r="P195" s="108">
        <v>0</v>
      </c>
      <c r="Q195" s="108"/>
      <c r="R195" s="110"/>
      <c r="S195" s="114"/>
      <c r="T195" s="108">
        <v>0</v>
      </c>
      <c r="U195" s="108"/>
      <c r="V195" s="108">
        <v>0</v>
      </c>
      <c r="W195" s="108"/>
      <c r="X195" s="110"/>
      <c r="Y195" s="114"/>
      <c r="Z195" s="108">
        <v>0</v>
      </c>
      <c r="AA195" s="108"/>
      <c r="AB195" s="111">
        <v>0</v>
      </c>
      <c r="AC195" s="111"/>
      <c r="AD195" s="111">
        <f t="shared" si="6"/>
        <v>0</v>
      </c>
    </row>
    <row r="196" spans="2:30" ht="15" customHeight="1" x14ac:dyDescent="0.45">
      <c r="B196" s="116" t="s">
        <v>519</v>
      </c>
      <c r="C196" s="108"/>
      <c r="D196" s="108">
        <v>0</v>
      </c>
      <c r="E196" s="108"/>
      <c r="F196" s="115"/>
      <c r="G196" s="114"/>
      <c r="H196" s="108">
        <v>0</v>
      </c>
      <c r="I196" s="108"/>
      <c r="J196" s="108">
        <v>0</v>
      </c>
      <c r="K196" s="108"/>
      <c r="L196" s="110"/>
      <c r="M196" s="114"/>
      <c r="N196" s="108">
        <v>0</v>
      </c>
      <c r="O196" s="108"/>
      <c r="P196" s="108">
        <v>0</v>
      </c>
      <c r="Q196" s="108"/>
      <c r="R196" s="110"/>
      <c r="S196" s="114"/>
      <c r="T196" s="108">
        <v>0</v>
      </c>
      <c r="U196" s="108"/>
      <c r="V196" s="108">
        <v>0</v>
      </c>
      <c r="W196" s="108"/>
      <c r="X196" s="110"/>
      <c r="Y196" s="114"/>
      <c r="Z196" s="108">
        <v>0</v>
      </c>
      <c r="AA196" s="108"/>
      <c r="AB196" s="111">
        <v>0</v>
      </c>
      <c r="AC196" s="111"/>
      <c r="AD196" s="111">
        <f t="shared" si="6"/>
        <v>0</v>
      </c>
    </row>
    <row r="197" spans="2:30" ht="15" customHeight="1" x14ac:dyDescent="0.45">
      <c r="B197" s="116" t="s">
        <v>520</v>
      </c>
      <c r="C197" s="108"/>
      <c r="D197" s="108">
        <v>0</v>
      </c>
      <c r="E197" s="108"/>
      <c r="F197" s="115"/>
      <c r="G197" s="114"/>
      <c r="H197" s="108">
        <v>0</v>
      </c>
      <c r="I197" s="108"/>
      <c r="J197" s="108">
        <v>0</v>
      </c>
      <c r="K197" s="108"/>
      <c r="L197" s="110"/>
      <c r="M197" s="114"/>
      <c r="N197" s="108">
        <v>0</v>
      </c>
      <c r="O197" s="108"/>
      <c r="P197" s="108">
        <v>0</v>
      </c>
      <c r="Q197" s="108"/>
      <c r="R197" s="110"/>
      <c r="S197" s="114"/>
      <c r="T197" s="108">
        <v>0</v>
      </c>
      <c r="U197" s="108"/>
      <c r="V197" s="108">
        <v>0</v>
      </c>
      <c r="W197" s="108"/>
      <c r="X197" s="110"/>
      <c r="Y197" s="114"/>
      <c r="Z197" s="108">
        <v>0</v>
      </c>
      <c r="AA197" s="108"/>
      <c r="AB197" s="111">
        <v>0</v>
      </c>
      <c r="AC197" s="111"/>
      <c r="AD197" s="111">
        <f t="shared" si="6"/>
        <v>0</v>
      </c>
    </row>
    <row r="198" spans="2:30" ht="15" customHeight="1" x14ac:dyDescent="0.45">
      <c r="B198" s="116" t="s">
        <v>521</v>
      </c>
      <c r="C198" s="108"/>
      <c r="D198" s="108">
        <v>0</v>
      </c>
      <c r="E198" s="108"/>
      <c r="F198" s="115"/>
      <c r="G198" s="114"/>
      <c r="H198" s="108">
        <v>0</v>
      </c>
      <c r="I198" s="108"/>
      <c r="J198" s="108">
        <v>0</v>
      </c>
      <c r="K198" s="108"/>
      <c r="L198" s="110"/>
      <c r="M198" s="114"/>
      <c r="N198" s="108">
        <v>0</v>
      </c>
      <c r="O198" s="108"/>
      <c r="P198" s="108">
        <v>0</v>
      </c>
      <c r="Q198" s="108"/>
      <c r="R198" s="110"/>
      <c r="S198" s="114"/>
      <c r="T198" s="108">
        <v>0</v>
      </c>
      <c r="U198" s="108"/>
      <c r="V198" s="108">
        <v>0</v>
      </c>
      <c r="W198" s="108"/>
      <c r="X198" s="110"/>
      <c r="Y198" s="114"/>
      <c r="Z198" s="108">
        <v>0</v>
      </c>
      <c r="AA198" s="108"/>
      <c r="AB198" s="111">
        <v>0</v>
      </c>
      <c r="AC198" s="111"/>
      <c r="AD198" s="111">
        <f t="shared" si="6"/>
        <v>0</v>
      </c>
    </row>
    <row r="199" spans="2:30" ht="15" customHeight="1" x14ac:dyDescent="0.45">
      <c r="B199" s="116" t="s">
        <v>522</v>
      </c>
      <c r="C199" s="108"/>
      <c r="D199" s="108">
        <v>0</v>
      </c>
      <c r="E199" s="108"/>
      <c r="F199" s="115"/>
      <c r="G199" s="114"/>
      <c r="H199" s="108">
        <v>0</v>
      </c>
      <c r="I199" s="108"/>
      <c r="J199" s="108">
        <v>0</v>
      </c>
      <c r="K199" s="108"/>
      <c r="L199" s="110"/>
      <c r="M199" s="114"/>
      <c r="N199" s="108">
        <v>0</v>
      </c>
      <c r="O199" s="108"/>
      <c r="P199" s="108">
        <v>0</v>
      </c>
      <c r="Q199" s="108"/>
      <c r="R199" s="110"/>
      <c r="S199" s="114"/>
      <c r="T199" s="108">
        <v>0</v>
      </c>
      <c r="U199" s="108"/>
      <c r="V199" s="108">
        <v>0</v>
      </c>
      <c r="W199" s="108"/>
      <c r="X199" s="110"/>
      <c r="Y199" s="114"/>
      <c r="Z199" s="108">
        <v>0</v>
      </c>
      <c r="AA199" s="108"/>
      <c r="AB199" s="111">
        <v>0</v>
      </c>
      <c r="AC199" s="111"/>
      <c r="AD199" s="111">
        <f t="shared" si="6"/>
        <v>0</v>
      </c>
    </row>
    <row r="200" spans="2:30" ht="15" customHeight="1" x14ac:dyDescent="0.45">
      <c r="B200" s="116" t="s">
        <v>523</v>
      </c>
      <c r="C200" s="108"/>
      <c r="D200" s="108">
        <v>0</v>
      </c>
      <c r="E200" s="108"/>
      <c r="F200" s="115"/>
      <c r="G200" s="114"/>
      <c r="H200" s="108">
        <v>0</v>
      </c>
      <c r="I200" s="108"/>
      <c r="J200" s="108">
        <v>0</v>
      </c>
      <c r="K200" s="108"/>
      <c r="L200" s="110"/>
      <c r="M200" s="114"/>
      <c r="N200" s="108">
        <v>0</v>
      </c>
      <c r="O200" s="108"/>
      <c r="P200" s="108">
        <v>0</v>
      </c>
      <c r="Q200" s="108"/>
      <c r="R200" s="110"/>
      <c r="S200" s="114"/>
      <c r="T200" s="108">
        <v>0</v>
      </c>
      <c r="U200" s="108"/>
      <c r="V200" s="108">
        <v>0</v>
      </c>
      <c r="W200" s="108"/>
      <c r="X200" s="110"/>
      <c r="Y200" s="114"/>
      <c r="Z200" s="108">
        <v>0</v>
      </c>
      <c r="AA200" s="108"/>
      <c r="AB200" s="111">
        <v>0</v>
      </c>
      <c r="AC200" s="111"/>
      <c r="AD200" s="111">
        <f t="shared" si="6"/>
        <v>0</v>
      </c>
    </row>
    <row r="201" spans="2:30" ht="15" customHeight="1" x14ac:dyDescent="0.45">
      <c r="B201" s="116" t="s">
        <v>524</v>
      </c>
      <c r="C201" s="108"/>
      <c r="D201" s="108">
        <v>0</v>
      </c>
      <c r="E201" s="108"/>
      <c r="F201" s="115"/>
      <c r="G201" s="114"/>
      <c r="H201" s="108">
        <v>0</v>
      </c>
      <c r="I201" s="108"/>
      <c r="J201" s="108">
        <v>0</v>
      </c>
      <c r="K201" s="108"/>
      <c r="L201" s="110"/>
      <c r="M201" s="114"/>
      <c r="N201" s="108">
        <v>0</v>
      </c>
      <c r="O201" s="108"/>
      <c r="P201" s="108">
        <v>0</v>
      </c>
      <c r="Q201" s="108"/>
      <c r="R201" s="110"/>
      <c r="S201" s="114"/>
      <c r="T201" s="108">
        <v>0</v>
      </c>
      <c r="U201" s="108"/>
      <c r="V201" s="108">
        <v>0</v>
      </c>
      <c r="W201" s="108"/>
      <c r="X201" s="110"/>
      <c r="Y201" s="114"/>
      <c r="Z201" s="108">
        <v>0</v>
      </c>
      <c r="AA201" s="108"/>
      <c r="AB201" s="111">
        <v>0</v>
      </c>
      <c r="AC201" s="111"/>
      <c r="AD201" s="111">
        <f t="shared" si="6"/>
        <v>0</v>
      </c>
    </row>
    <row r="202" spans="2:30" ht="15" customHeight="1" x14ac:dyDescent="0.45">
      <c r="B202" s="116" t="s">
        <v>525</v>
      </c>
      <c r="C202" s="108"/>
      <c r="D202" s="108">
        <v>0</v>
      </c>
      <c r="E202" s="108"/>
      <c r="F202" s="115"/>
      <c r="G202" s="114"/>
      <c r="H202" s="108">
        <v>0</v>
      </c>
      <c r="I202" s="108"/>
      <c r="J202" s="108">
        <v>0</v>
      </c>
      <c r="K202" s="108"/>
      <c r="L202" s="110"/>
      <c r="M202" s="114"/>
      <c r="N202" s="108">
        <v>0</v>
      </c>
      <c r="O202" s="108"/>
      <c r="P202" s="108">
        <v>0</v>
      </c>
      <c r="Q202" s="108"/>
      <c r="R202" s="110"/>
      <c r="S202" s="114"/>
      <c r="T202" s="108">
        <v>0</v>
      </c>
      <c r="U202" s="108"/>
      <c r="V202" s="108">
        <v>0</v>
      </c>
      <c r="W202" s="108"/>
      <c r="X202" s="110"/>
      <c r="Y202" s="114"/>
      <c r="Z202" s="108">
        <v>0</v>
      </c>
      <c r="AA202" s="108"/>
      <c r="AB202" s="111">
        <v>0</v>
      </c>
      <c r="AC202" s="111"/>
      <c r="AD202" s="111">
        <f t="shared" si="6"/>
        <v>0</v>
      </c>
    </row>
    <row r="203" spans="2:30" ht="15" customHeight="1" x14ac:dyDescent="0.45">
      <c r="B203" s="116" t="s">
        <v>526</v>
      </c>
      <c r="C203" s="108"/>
      <c r="D203" s="108">
        <v>0</v>
      </c>
      <c r="E203" s="108"/>
      <c r="F203" s="115"/>
      <c r="G203" s="114"/>
      <c r="H203" s="108">
        <v>0</v>
      </c>
      <c r="I203" s="108"/>
      <c r="J203" s="108">
        <v>0</v>
      </c>
      <c r="K203" s="108"/>
      <c r="L203" s="110"/>
      <c r="M203" s="114"/>
      <c r="N203" s="108">
        <v>0</v>
      </c>
      <c r="O203" s="108"/>
      <c r="P203" s="108">
        <v>0</v>
      </c>
      <c r="Q203" s="108"/>
      <c r="R203" s="110"/>
      <c r="S203" s="114"/>
      <c r="T203" s="108">
        <v>0</v>
      </c>
      <c r="U203" s="108"/>
      <c r="V203" s="108">
        <v>0</v>
      </c>
      <c r="W203" s="108"/>
      <c r="X203" s="110"/>
      <c r="Y203" s="114"/>
      <c r="Z203" s="108">
        <v>0</v>
      </c>
      <c r="AA203" s="108"/>
      <c r="AB203" s="111">
        <v>0</v>
      </c>
      <c r="AC203" s="111"/>
      <c r="AD203" s="111">
        <f t="shared" si="6"/>
        <v>0</v>
      </c>
    </row>
    <row r="204" spans="2:30" ht="15" customHeight="1" x14ac:dyDescent="0.45">
      <c r="B204" s="116" t="s">
        <v>527</v>
      </c>
      <c r="C204" s="108"/>
      <c r="D204" s="108">
        <v>0</v>
      </c>
      <c r="E204" s="108"/>
      <c r="F204" s="115"/>
      <c r="G204" s="114"/>
      <c r="H204" s="108">
        <v>0</v>
      </c>
      <c r="I204" s="108"/>
      <c r="J204" s="108">
        <v>0</v>
      </c>
      <c r="K204" s="108"/>
      <c r="L204" s="110"/>
      <c r="M204" s="114"/>
      <c r="N204" s="108">
        <v>0</v>
      </c>
      <c r="O204" s="108"/>
      <c r="P204" s="108">
        <v>0</v>
      </c>
      <c r="Q204" s="108"/>
      <c r="R204" s="110"/>
      <c r="S204" s="114"/>
      <c r="T204" s="108">
        <v>0</v>
      </c>
      <c r="U204" s="108"/>
      <c r="V204" s="108">
        <v>0</v>
      </c>
      <c r="W204" s="108"/>
      <c r="X204" s="110"/>
      <c r="Y204" s="114"/>
      <c r="Z204" s="108">
        <v>0</v>
      </c>
      <c r="AA204" s="108"/>
      <c r="AB204" s="111">
        <v>0</v>
      </c>
      <c r="AC204" s="111"/>
      <c r="AD204" s="111">
        <f t="shared" si="6"/>
        <v>0</v>
      </c>
    </row>
    <row r="205" spans="2:30" ht="15" customHeight="1" x14ac:dyDescent="0.45">
      <c r="B205" s="116" t="s">
        <v>528</v>
      </c>
      <c r="C205" s="108"/>
      <c r="D205" s="108">
        <v>0</v>
      </c>
      <c r="E205" s="108"/>
      <c r="F205" s="115"/>
      <c r="G205" s="114"/>
      <c r="H205" s="108">
        <v>0</v>
      </c>
      <c r="I205" s="108"/>
      <c r="J205" s="108">
        <v>0</v>
      </c>
      <c r="K205" s="108"/>
      <c r="L205" s="110"/>
      <c r="M205" s="114"/>
      <c r="N205" s="108">
        <v>0</v>
      </c>
      <c r="O205" s="108"/>
      <c r="P205" s="108">
        <v>0</v>
      </c>
      <c r="Q205" s="108"/>
      <c r="R205" s="110"/>
      <c r="S205" s="114"/>
      <c r="T205" s="108">
        <v>0</v>
      </c>
      <c r="U205" s="108"/>
      <c r="V205" s="108">
        <v>0</v>
      </c>
      <c r="W205" s="108"/>
      <c r="X205" s="110"/>
      <c r="Y205" s="114"/>
      <c r="Z205" s="108">
        <v>0</v>
      </c>
      <c r="AA205" s="108"/>
      <c r="AB205" s="111">
        <v>0</v>
      </c>
      <c r="AC205" s="111"/>
      <c r="AD205" s="111">
        <f t="shared" si="6"/>
        <v>0</v>
      </c>
    </row>
    <row r="206" spans="2:30" ht="15" customHeight="1" x14ac:dyDescent="0.45">
      <c r="B206" s="116" t="s">
        <v>529</v>
      </c>
      <c r="C206" s="108"/>
      <c r="D206" s="108">
        <v>0</v>
      </c>
      <c r="E206" s="108"/>
      <c r="F206" s="115"/>
      <c r="G206" s="114"/>
      <c r="H206" s="108">
        <v>0</v>
      </c>
      <c r="I206" s="108"/>
      <c r="J206" s="108">
        <v>0</v>
      </c>
      <c r="K206" s="108"/>
      <c r="L206" s="110"/>
      <c r="M206" s="114"/>
      <c r="N206" s="108">
        <v>0</v>
      </c>
      <c r="O206" s="108"/>
      <c r="P206" s="108">
        <v>0</v>
      </c>
      <c r="Q206" s="108"/>
      <c r="R206" s="110"/>
      <c r="S206" s="114"/>
      <c r="T206" s="108">
        <v>0</v>
      </c>
      <c r="U206" s="108"/>
      <c r="V206" s="108">
        <v>0</v>
      </c>
      <c r="W206" s="108"/>
      <c r="X206" s="110"/>
      <c r="Y206" s="114"/>
      <c r="Z206" s="108">
        <v>0</v>
      </c>
      <c r="AA206" s="108"/>
      <c r="AB206" s="111">
        <v>0</v>
      </c>
      <c r="AC206" s="111"/>
      <c r="AD206" s="111">
        <f t="shared" si="6"/>
        <v>0</v>
      </c>
    </row>
    <row r="207" spans="2:30" ht="15" customHeight="1" x14ac:dyDescent="0.45">
      <c r="B207" s="116" t="s">
        <v>530</v>
      </c>
      <c r="C207" s="108"/>
      <c r="D207" s="108">
        <v>0</v>
      </c>
      <c r="E207" s="108"/>
      <c r="F207" s="115"/>
      <c r="G207" s="114"/>
      <c r="H207" s="108">
        <v>0</v>
      </c>
      <c r="I207" s="108"/>
      <c r="J207" s="108">
        <v>0</v>
      </c>
      <c r="K207" s="108"/>
      <c r="L207" s="110"/>
      <c r="M207" s="114"/>
      <c r="N207" s="108">
        <v>0</v>
      </c>
      <c r="O207" s="108"/>
      <c r="P207" s="108">
        <v>0</v>
      </c>
      <c r="Q207" s="108"/>
      <c r="R207" s="110"/>
      <c r="S207" s="114"/>
      <c r="T207" s="108">
        <v>0</v>
      </c>
      <c r="U207" s="108"/>
      <c r="V207" s="108">
        <v>0</v>
      </c>
      <c r="W207" s="108"/>
      <c r="X207" s="110"/>
      <c r="Y207" s="114"/>
      <c r="Z207" s="108">
        <v>0</v>
      </c>
      <c r="AA207" s="108"/>
      <c r="AB207" s="111">
        <v>0</v>
      </c>
      <c r="AC207" s="111"/>
      <c r="AD207" s="111">
        <f t="shared" si="6"/>
        <v>0</v>
      </c>
    </row>
    <row r="208" spans="2:30" ht="15" customHeight="1" x14ac:dyDescent="0.45">
      <c r="B208" s="116" t="s">
        <v>531</v>
      </c>
      <c r="C208" s="108"/>
      <c r="D208" s="108">
        <v>0</v>
      </c>
      <c r="E208" s="108"/>
      <c r="F208" s="115"/>
      <c r="G208" s="114"/>
      <c r="H208" s="108">
        <v>0</v>
      </c>
      <c r="I208" s="108"/>
      <c r="J208" s="108">
        <v>0</v>
      </c>
      <c r="K208" s="108"/>
      <c r="L208" s="110"/>
      <c r="M208" s="114"/>
      <c r="N208" s="108">
        <v>0</v>
      </c>
      <c r="O208" s="108"/>
      <c r="P208" s="108">
        <v>0</v>
      </c>
      <c r="Q208" s="108"/>
      <c r="R208" s="110"/>
      <c r="S208" s="114"/>
      <c r="T208" s="108">
        <v>0</v>
      </c>
      <c r="U208" s="108"/>
      <c r="V208" s="108">
        <v>0</v>
      </c>
      <c r="W208" s="108"/>
      <c r="X208" s="110"/>
      <c r="Y208" s="114"/>
      <c r="Z208" s="108">
        <v>0</v>
      </c>
      <c r="AA208" s="108"/>
      <c r="AB208" s="111">
        <v>0</v>
      </c>
      <c r="AC208" s="111"/>
      <c r="AD208" s="111">
        <f t="shared" si="6"/>
        <v>0</v>
      </c>
    </row>
    <row r="209" spans="2:31" ht="15" customHeight="1" x14ac:dyDescent="0.45">
      <c r="B209" s="116" t="s">
        <v>532</v>
      </c>
      <c r="C209" s="108"/>
      <c r="D209" s="108">
        <v>0</v>
      </c>
      <c r="E209" s="108"/>
      <c r="F209" s="115"/>
      <c r="G209" s="114"/>
      <c r="H209" s="108">
        <v>0</v>
      </c>
      <c r="I209" s="108"/>
      <c r="J209" s="108">
        <v>0</v>
      </c>
      <c r="K209" s="108"/>
      <c r="L209" s="110"/>
      <c r="M209" s="114"/>
      <c r="N209" s="108">
        <v>0</v>
      </c>
      <c r="O209" s="108"/>
      <c r="P209" s="108">
        <v>0</v>
      </c>
      <c r="Q209" s="108"/>
      <c r="R209" s="110"/>
      <c r="S209" s="114"/>
      <c r="T209" s="108">
        <v>0</v>
      </c>
      <c r="U209" s="108"/>
      <c r="V209" s="108">
        <v>0</v>
      </c>
      <c r="W209" s="108"/>
      <c r="X209" s="110"/>
      <c r="Y209" s="114"/>
      <c r="Z209" s="108">
        <v>0</v>
      </c>
      <c r="AA209" s="108"/>
      <c r="AB209" s="111">
        <v>0</v>
      </c>
      <c r="AC209" s="111"/>
      <c r="AD209" s="111">
        <f t="shared" si="6"/>
        <v>0</v>
      </c>
    </row>
    <row r="210" spans="2:31" ht="15" customHeight="1" x14ac:dyDescent="0.45">
      <c r="B210" s="116" t="s">
        <v>533</v>
      </c>
      <c r="C210" s="108"/>
      <c r="D210" s="108">
        <v>0</v>
      </c>
      <c r="E210" s="108"/>
      <c r="F210" s="115"/>
      <c r="G210" s="114"/>
      <c r="H210" s="108">
        <v>0</v>
      </c>
      <c r="I210" s="108"/>
      <c r="J210" s="108">
        <v>0</v>
      </c>
      <c r="K210" s="108"/>
      <c r="L210" s="110"/>
      <c r="M210" s="114"/>
      <c r="N210" s="108">
        <v>0</v>
      </c>
      <c r="O210" s="108"/>
      <c r="P210" s="108">
        <v>0</v>
      </c>
      <c r="Q210" s="108"/>
      <c r="R210" s="110"/>
      <c r="S210" s="114"/>
      <c r="T210" s="108">
        <v>0</v>
      </c>
      <c r="U210" s="108"/>
      <c r="V210" s="108">
        <v>0</v>
      </c>
      <c r="W210" s="108"/>
      <c r="X210" s="110"/>
      <c r="Y210" s="114"/>
      <c r="Z210" s="108">
        <v>0</v>
      </c>
      <c r="AA210" s="108"/>
      <c r="AB210" s="111">
        <v>0</v>
      </c>
      <c r="AC210" s="111"/>
      <c r="AD210" s="111">
        <f t="shared" si="6"/>
        <v>0</v>
      </c>
    </row>
    <row r="211" spans="2:31" ht="15" customHeight="1" x14ac:dyDescent="0.45">
      <c r="B211" s="116" t="s">
        <v>534</v>
      </c>
      <c r="C211" s="108"/>
      <c r="D211" s="108">
        <v>0</v>
      </c>
      <c r="E211" s="108"/>
      <c r="F211" s="115"/>
      <c r="G211" s="114"/>
      <c r="H211" s="108">
        <v>0</v>
      </c>
      <c r="I211" s="108"/>
      <c r="J211" s="108">
        <v>0</v>
      </c>
      <c r="K211" s="108"/>
      <c r="L211" s="110"/>
      <c r="M211" s="114"/>
      <c r="N211" s="108">
        <v>0</v>
      </c>
      <c r="O211" s="108"/>
      <c r="P211" s="108">
        <v>0</v>
      </c>
      <c r="Q211" s="108"/>
      <c r="R211" s="110"/>
      <c r="S211" s="114"/>
      <c r="T211" s="108">
        <v>0</v>
      </c>
      <c r="U211" s="108"/>
      <c r="V211" s="108">
        <v>0</v>
      </c>
      <c r="W211" s="108"/>
      <c r="X211" s="110"/>
      <c r="Y211" s="114"/>
      <c r="Z211" s="108">
        <v>0</v>
      </c>
      <c r="AA211" s="108"/>
      <c r="AB211" s="111">
        <v>0</v>
      </c>
      <c r="AC211" s="111"/>
      <c r="AD211" s="111">
        <f t="shared" si="6"/>
        <v>0</v>
      </c>
    </row>
    <row r="212" spans="2:31" ht="15" customHeight="1" x14ac:dyDescent="0.45">
      <c r="B212" s="116" t="s">
        <v>535</v>
      </c>
      <c r="C212" s="108"/>
      <c r="D212" s="108">
        <v>0</v>
      </c>
      <c r="E212" s="108"/>
      <c r="F212" s="115"/>
      <c r="G212" s="114"/>
      <c r="H212" s="108">
        <v>0</v>
      </c>
      <c r="I212" s="108"/>
      <c r="J212" s="108">
        <v>0</v>
      </c>
      <c r="K212" s="108"/>
      <c r="L212" s="110"/>
      <c r="M212" s="114"/>
      <c r="N212" s="108">
        <v>0</v>
      </c>
      <c r="O212" s="108"/>
      <c r="P212" s="108">
        <v>0</v>
      </c>
      <c r="Q212" s="108"/>
      <c r="R212" s="110"/>
      <c r="S212" s="114"/>
      <c r="T212" s="108">
        <v>0</v>
      </c>
      <c r="U212" s="108"/>
      <c r="V212" s="108">
        <v>0</v>
      </c>
      <c r="W212" s="108"/>
      <c r="X212" s="110"/>
      <c r="Y212" s="114"/>
      <c r="Z212" s="108">
        <v>0</v>
      </c>
      <c r="AA212" s="108"/>
      <c r="AB212" s="111">
        <v>0</v>
      </c>
      <c r="AC212" s="111"/>
      <c r="AD212" s="111">
        <f t="shared" si="6"/>
        <v>0</v>
      </c>
    </row>
    <row r="213" spans="2:31" ht="15" customHeight="1" x14ac:dyDescent="0.45">
      <c r="B213" s="116" t="s">
        <v>536</v>
      </c>
      <c r="C213" s="108"/>
      <c r="D213" s="108">
        <v>0</v>
      </c>
      <c r="E213" s="108"/>
      <c r="F213" s="115"/>
      <c r="G213" s="114"/>
      <c r="H213" s="108">
        <v>0</v>
      </c>
      <c r="I213" s="108"/>
      <c r="J213" s="108">
        <v>0</v>
      </c>
      <c r="K213" s="108"/>
      <c r="L213" s="110"/>
      <c r="M213" s="114"/>
      <c r="N213" s="108">
        <v>0</v>
      </c>
      <c r="O213" s="108"/>
      <c r="P213" s="108">
        <v>0</v>
      </c>
      <c r="Q213" s="108"/>
      <c r="R213" s="110"/>
      <c r="S213" s="114"/>
      <c r="T213" s="108">
        <v>0</v>
      </c>
      <c r="U213" s="108"/>
      <c r="V213" s="108">
        <v>0</v>
      </c>
      <c r="W213" s="108"/>
      <c r="X213" s="110"/>
      <c r="Y213" s="114"/>
      <c r="Z213" s="108">
        <v>0</v>
      </c>
      <c r="AA213" s="108"/>
      <c r="AB213" s="111">
        <v>0</v>
      </c>
      <c r="AC213" s="111"/>
      <c r="AD213" s="111">
        <f t="shared" si="6"/>
        <v>0</v>
      </c>
    </row>
    <row r="214" spans="2:31" x14ac:dyDescent="0.45">
      <c r="B214" s="116" t="s">
        <v>537</v>
      </c>
      <c r="C214" s="108"/>
      <c r="D214" s="108">
        <v>0</v>
      </c>
      <c r="E214" s="108"/>
      <c r="F214" s="115"/>
      <c r="G214" s="114"/>
      <c r="H214" s="108">
        <v>0</v>
      </c>
      <c r="I214" s="108"/>
      <c r="J214" s="108">
        <v>0</v>
      </c>
      <c r="K214" s="108"/>
      <c r="L214" s="110"/>
      <c r="M214" s="114"/>
      <c r="N214" s="108">
        <v>0</v>
      </c>
      <c r="O214" s="108"/>
      <c r="P214" s="108">
        <v>0</v>
      </c>
      <c r="Q214" s="108"/>
      <c r="R214" s="110"/>
      <c r="S214" s="114"/>
      <c r="T214" s="108">
        <v>0</v>
      </c>
      <c r="U214" s="108"/>
      <c r="V214" s="108">
        <v>0</v>
      </c>
      <c r="W214" s="108"/>
      <c r="X214" s="110"/>
      <c r="Y214" s="114"/>
      <c r="Z214" s="108">
        <v>0</v>
      </c>
      <c r="AA214" s="108"/>
      <c r="AB214" s="111">
        <v>0</v>
      </c>
      <c r="AC214" s="111"/>
      <c r="AD214" s="111">
        <f t="shared" si="6"/>
        <v>0</v>
      </c>
      <c r="AE214" s="50"/>
    </row>
    <row r="215" spans="2:31" x14ac:dyDescent="0.45">
      <c r="B215" s="116" t="s">
        <v>538</v>
      </c>
      <c r="C215" s="108"/>
      <c r="D215" s="108">
        <v>0</v>
      </c>
      <c r="E215" s="108"/>
      <c r="F215" s="115"/>
      <c r="G215" s="114"/>
      <c r="H215" s="108">
        <v>0</v>
      </c>
      <c r="I215" s="108"/>
      <c r="J215" s="108">
        <v>0</v>
      </c>
      <c r="K215" s="108"/>
      <c r="L215" s="110"/>
      <c r="M215" s="114"/>
      <c r="N215" s="108">
        <v>0</v>
      </c>
      <c r="O215" s="108"/>
      <c r="P215" s="108">
        <v>0</v>
      </c>
      <c r="Q215" s="108"/>
      <c r="R215" s="110"/>
      <c r="S215" s="114"/>
      <c r="T215" s="108">
        <v>0</v>
      </c>
      <c r="U215" s="108"/>
      <c r="V215" s="108">
        <v>0</v>
      </c>
      <c r="W215" s="108"/>
      <c r="X215" s="110"/>
      <c r="Y215" s="114"/>
      <c r="Z215" s="108">
        <v>0</v>
      </c>
      <c r="AA215" s="108"/>
      <c r="AB215" s="111">
        <v>0</v>
      </c>
      <c r="AC215" s="111"/>
      <c r="AD215" s="111">
        <f t="shared" si="6"/>
        <v>0</v>
      </c>
    </row>
    <row r="216" spans="2:31" x14ac:dyDescent="0.45">
      <c r="B216" s="116" t="s">
        <v>539</v>
      </c>
      <c r="C216" s="108"/>
      <c r="D216" s="108">
        <v>0</v>
      </c>
      <c r="E216" s="108"/>
      <c r="F216" s="115"/>
      <c r="G216" s="114"/>
      <c r="H216" s="108">
        <v>0</v>
      </c>
      <c r="I216" s="108"/>
      <c r="J216" s="108">
        <v>0</v>
      </c>
      <c r="K216" s="108"/>
      <c r="L216" s="110"/>
      <c r="M216" s="114"/>
      <c r="N216" s="108">
        <v>0</v>
      </c>
      <c r="O216" s="108"/>
      <c r="P216" s="108">
        <v>0</v>
      </c>
      <c r="Q216" s="108"/>
      <c r="R216" s="110"/>
      <c r="S216" s="114"/>
      <c r="T216" s="108">
        <v>0</v>
      </c>
      <c r="U216" s="108"/>
      <c r="V216" s="108">
        <v>0</v>
      </c>
      <c r="W216" s="108"/>
      <c r="X216" s="110"/>
      <c r="Y216" s="114"/>
      <c r="Z216" s="108">
        <v>0</v>
      </c>
      <c r="AA216" s="108"/>
      <c r="AB216" s="111">
        <v>0</v>
      </c>
      <c r="AC216" s="111"/>
      <c r="AD216" s="111">
        <f t="shared" si="6"/>
        <v>0</v>
      </c>
    </row>
    <row r="217" spans="2:31" x14ac:dyDescent="0.45">
      <c r="B217" s="116" t="s">
        <v>540</v>
      </c>
      <c r="C217" s="108"/>
      <c r="D217" s="108">
        <v>0</v>
      </c>
      <c r="E217" s="108"/>
      <c r="F217" s="115"/>
      <c r="G217" s="114"/>
      <c r="H217" s="108">
        <v>0</v>
      </c>
      <c r="I217" s="108"/>
      <c r="J217" s="108">
        <v>0</v>
      </c>
      <c r="K217" s="108"/>
      <c r="L217" s="110"/>
      <c r="M217" s="114"/>
      <c r="N217" s="108">
        <v>0</v>
      </c>
      <c r="O217" s="108"/>
      <c r="P217" s="108">
        <v>0</v>
      </c>
      <c r="Q217" s="108"/>
      <c r="R217" s="110"/>
      <c r="S217" s="114"/>
      <c r="T217" s="108">
        <v>0</v>
      </c>
      <c r="U217" s="108"/>
      <c r="V217" s="108">
        <v>0</v>
      </c>
      <c r="W217" s="108"/>
      <c r="X217" s="110"/>
      <c r="Y217" s="114"/>
      <c r="Z217" s="108">
        <v>0</v>
      </c>
      <c r="AA217" s="108"/>
      <c r="AB217" s="111">
        <v>0</v>
      </c>
      <c r="AC217" s="111"/>
      <c r="AD217" s="111">
        <f t="shared" si="6"/>
        <v>0</v>
      </c>
    </row>
    <row r="218" spans="2:31" x14ac:dyDescent="0.45">
      <c r="B218" s="116" t="s">
        <v>541</v>
      </c>
      <c r="C218" s="108"/>
      <c r="D218" s="108">
        <v>0</v>
      </c>
      <c r="E218" s="108"/>
      <c r="F218" s="115"/>
      <c r="G218" s="114"/>
      <c r="H218" s="108">
        <v>0</v>
      </c>
      <c r="I218" s="108"/>
      <c r="J218" s="108">
        <v>0</v>
      </c>
      <c r="K218" s="108"/>
      <c r="L218" s="110"/>
      <c r="M218" s="114"/>
      <c r="N218" s="108">
        <v>0</v>
      </c>
      <c r="O218" s="108"/>
      <c r="P218" s="108">
        <v>0</v>
      </c>
      <c r="Q218" s="108"/>
      <c r="R218" s="110"/>
      <c r="S218" s="114"/>
      <c r="T218" s="108">
        <v>0</v>
      </c>
      <c r="U218" s="108"/>
      <c r="V218" s="108">
        <v>0</v>
      </c>
      <c r="W218" s="108"/>
      <c r="X218" s="110"/>
      <c r="Y218" s="114"/>
      <c r="Z218" s="108">
        <v>0</v>
      </c>
      <c r="AA218" s="108"/>
      <c r="AB218" s="111">
        <v>0</v>
      </c>
      <c r="AC218" s="111"/>
      <c r="AD218" s="111">
        <f t="shared" si="6"/>
        <v>0</v>
      </c>
    </row>
    <row r="219" spans="2:31" x14ac:dyDescent="0.45">
      <c r="B219" s="116" t="s">
        <v>542</v>
      </c>
      <c r="C219" s="108"/>
      <c r="D219" s="108">
        <v>0</v>
      </c>
      <c r="E219" s="108"/>
      <c r="F219" s="115"/>
      <c r="G219" s="114"/>
      <c r="H219" s="108">
        <v>0</v>
      </c>
      <c r="I219" s="108"/>
      <c r="J219" s="108">
        <v>0</v>
      </c>
      <c r="K219" s="108"/>
      <c r="L219" s="110"/>
      <c r="M219" s="114"/>
      <c r="N219" s="108">
        <v>0</v>
      </c>
      <c r="O219" s="108"/>
      <c r="P219" s="108">
        <v>0</v>
      </c>
      <c r="Q219" s="108"/>
      <c r="R219" s="110"/>
      <c r="S219" s="114"/>
      <c r="T219" s="108">
        <v>0</v>
      </c>
      <c r="U219" s="108"/>
      <c r="V219" s="108">
        <v>0</v>
      </c>
      <c r="W219" s="108"/>
      <c r="X219" s="110"/>
      <c r="Y219" s="114"/>
      <c r="Z219" s="108">
        <v>0</v>
      </c>
      <c r="AA219" s="108"/>
      <c r="AB219" s="111">
        <v>0</v>
      </c>
      <c r="AC219" s="111"/>
      <c r="AD219" s="111">
        <f t="shared" si="6"/>
        <v>0</v>
      </c>
    </row>
    <row r="220" spans="2:31" x14ac:dyDescent="0.45">
      <c r="B220" s="116" t="s">
        <v>543</v>
      </c>
      <c r="C220" s="108"/>
      <c r="D220" s="108">
        <v>0</v>
      </c>
      <c r="E220" s="108"/>
      <c r="F220" s="115"/>
      <c r="G220" s="114"/>
      <c r="H220" s="108">
        <v>0</v>
      </c>
      <c r="I220" s="108"/>
      <c r="J220" s="108">
        <v>0</v>
      </c>
      <c r="K220" s="108"/>
      <c r="L220" s="110"/>
      <c r="M220" s="114"/>
      <c r="N220" s="108">
        <v>0</v>
      </c>
      <c r="O220" s="108"/>
      <c r="P220" s="108">
        <v>0</v>
      </c>
      <c r="Q220" s="108"/>
      <c r="R220" s="110"/>
      <c r="S220" s="114"/>
      <c r="T220" s="108">
        <v>0</v>
      </c>
      <c r="U220" s="108"/>
      <c r="V220" s="108">
        <v>0</v>
      </c>
      <c r="W220" s="108"/>
      <c r="X220" s="110"/>
      <c r="Y220" s="114"/>
      <c r="Z220" s="108">
        <v>0</v>
      </c>
      <c r="AA220" s="108"/>
      <c r="AB220" s="111">
        <v>0</v>
      </c>
      <c r="AC220" s="111"/>
      <c r="AD220" s="111">
        <f t="shared" si="6"/>
        <v>0</v>
      </c>
    </row>
    <row r="221" spans="2:31" x14ac:dyDescent="0.45">
      <c r="B221" s="116" t="s">
        <v>544</v>
      </c>
      <c r="C221" s="108"/>
      <c r="D221" s="108">
        <v>0</v>
      </c>
      <c r="E221" s="108"/>
      <c r="F221" s="115"/>
      <c r="G221" s="114"/>
      <c r="H221" s="108">
        <v>0</v>
      </c>
      <c r="I221" s="108"/>
      <c r="J221" s="108">
        <v>0</v>
      </c>
      <c r="K221" s="108"/>
      <c r="L221" s="110"/>
      <c r="M221" s="114"/>
      <c r="N221" s="108">
        <v>0</v>
      </c>
      <c r="O221" s="108"/>
      <c r="P221" s="108">
        <v>0</v>
      </c>
      <c r="Q221" s="108"/>
      <c r="R221" s="110"/>
      <c r="S221" s="114"/>
      <c r="T221" s="108">
        <v>0</v>
      </c>
      <c r="U221" s="108"/>
      <c r="V221" s="108">
        <v>0</v>
      </c>
      <c r="W221" s="108"/>
      <c r="X221" s="110"/>
      <c r="Y221" s="114"/>
      <c r="Z221" s="108">
        <v>0</v>
      </c>
      <c r="AA221" s="108"/>
      <c r="AB221" s="111">
        <v>0</v>
      </c>
      <c r="AC221" s="111"/>
      <c r="AD221" s="111">
        <f t="shared" si="6"/>
        <v>0</v>
      </c>
    </row>
    <row r="222" spans="2:31" x14ac:dyDescent="0.45">
      <c r="B222" s="116" t="s">
        <v>545</v>
      </c>
      <c r="C222" s="108"/>
      <c r="D222" s="108">
        <v>0</v>
      </c>
      <c r="E222" s="108"/>
      <c r="F222" s="115"/>
      <c r="G222" s="114"/>
      <c r="H222" s="108">
        <v>0</v>
      </c>
      <c r="I222" s="108"/>
      <c r="J222" s="108">
        <v>0</v>
      </c>
      <c r="K222" s="108"/>
      <c r="L222" s="110"/>
      <c r="M222" s="114"/>
      <c r="N222" s="108">
        <v>0</v>
      </c>
      <c r="O222" s="108"/>
      <c r="P222" s="108">
        <v>0</v>
      </c>
      <c r="Q222" s="108"/>
      <c r="R222" s="110"/>
      <c r="S222" s="114"/>
      <c r="T222" s="108">
        <v>0</v>
      </c>
      <c r="U222" s="108"/>
      <c r="V222" s="108">
        <v>0</v>
      </c>
      <c r="W222" s="108"/>
      <c r="X222" s="110"/>
      <c r="Y222" s="114"/>
      <c r="Z222" s="108">
        <v>0</v>
      </c>
      <c r="AA222" s="108"/>
      <c r="AB222" s="111">
        <v>0</v>
      </c>
      <c r="AC222" s="111"/>
      <c r="AD222" s="111">
        <f t="shared" si="6"/>
        <v>0</v>
      </c>
    </row>
    <row r="223" spans="2:31" x14ac:dyDescent="0.45">
      <c r="B223" s="116" t="s">
        <v>546</v>
      </c>
      <c r="C223" s="108"/>
      <c r="D223" s="108">
        <v>0</v>
      </c>
      <c r="E223" s="108"/>
      <c r="F223" s="115"/>
      <c r="G223" s="114"/>
      <c r="H223" s="108">
        <v>0</v>
      </c>
      <c r="I223" s="108"/>
      <c r="J223" s="108">
        <v>0</v>
      </c>
      <c r="K223" s="108"/>
      <c r="L223" s="110"/>
      <c r="M223" s="114"/>
      <c r="N223" s="108">
        <v>0</v>
      </c>
      <c r="O223" s="108"/>
      <c r="P223" s="108">
        <v>0</v>
      </c>
      <c r="Q223" s="108"/>
      <c r="R223" s="110"/>
      <c r="S223" s="114"/>
      <c r="T223" s="108">
        <v>0</v>
      </c>
      <c r="U223" s="108"/>
      <c r="V223" s="108">
        <v>0</v>
      </c>
      <c r="W223" s="108"/>
      <c r="X223" s="110"/>
      <c r="Y223" s="114"/>
      <c r="Z223" s="108">
        <v>0</v>
      </c>
      <c r="AA223" s="108"/>
      <c r="AB223" s="111">
        <v>0</v>
      </c>
      <c r="AC223" s="111"/>
      <c r="AD223" s="111">
        <f t="shared" si="6"/>
        <v>0</v>
      </c>
    </row>
    <row r="224" spans="2:31" x14ac:dyDescent="0.45">
      <c r="B224" s="116" t="s">
        <v>547</v>
      </c>
      <c r="C224" s="108"/>
      <c r="D224" s="108">
        <v>0</v>
      </c>
      <c r="E224" s="108"/>
      <c r="F224" s="115"/>
      <c r="G224" s="114"/>
      <c r="H224" s="108">
        <v>0</v>
      </c>
      <c r="I224" s="108"/>
      <c r="J224" s="108">
        <v>0</v>
      </c>
      <c r="K224" s="108"/>
      <c r="L224" s="110"/>
      <c r="M224" s="114"/>
      <c r="N224" s="108">
        <v>0</v>
      </c>
      <c r="O224" s="108"/>
      <c r="P224" s="108">
        <v>0</v>
      </c>
      <c r="Q224" s="108"/>
      <c r="R224" s="110"/>
      <c r="S224" s="114"/>
      <c r="T224" s="108">
        <v>0</v>
      </c>
      <c r="U224" s="108"/>
      <c r="V224" s="108">
        <v>0</v>
      </c>
      <c r="W224" s="108"/>
      <c r="X224" s="110"/>
      <c r="Y224" s="114"/>
      <c r="Z224" s="108">
        <v>0</v>
      </c>
      <c r="AA224" s="108"/>
      <c r="AB224" s="111">
        <v>0</v>
      </c>
      <c r="AC224" s="111"/>
      <c r="AD224" s="111">
        <f t="shared" si="6"/>
        <v>0</v>
      </c>
    </row>
    <row r="225" spans="2:33" x14ac:dyDescent="0.45">
      <c r="B225" s="116" t="s">
        <v>548</v>
      </c>
      <c r="C225" s="108"/>
      <c r="D225" s="108">
        <v>0</v>
      </c>
      <c r="E225" s="108"/>
      <c r="F225" s="115"/>
      <c r="G225" s="114"/>
      <c r="H225" s="108">
        <v>0</v>
      </c>
      <c r="I225" s="108"/>
      <c r="J225" s="108">
        <v>0</v>
      </c>
      <c r="K225" s="108"/>
      <c r="L225" s="110"/>
      <c r="M225" s="114"/>
      <c r="N225" s="108">
        <v>0</v>
      </c>
      <c r="O225" s="108"/>
      <c r="P225" s="108">
        <v>0</v>
      </c>
      <c r="Q225" s="108"/>
      <c r="R225" s="110"/>
      <c r="S225" s="114"/>
      <c r="T225" s="108">
        <v>0</v>
      </c>
      <c r="U225" s="108"/>
      <c r="V225" s="108">
        <v>0</v>
      </c>
      <c r="W225" s="108"/>
      <c r="X225" s="110"/>
      <c r="Y225" s="114"/>
      <c r="Z225" s="108">
        <v>0</v>
      </c>
      <c r="AA225" s="108"/>
      <c r="AB225" s="111">
        <v>0</v>
      </c>
      <c r="AC225" s="111"/>
      <c r="AD225" s="111">
        <f t="shared" si="6"/>
        <v>0</v>
      </c>
    </row>
    <row r="226" spans="2:33" x14ac:dyDescent="0.45">
      <c r="B226" s="116" t="s">
        <v>549</v>
      </c>
      <c r="C226" s="108"/>
      <c r="D226" s="108">
        <v>0</v>
      </c>
      <c r="E226" s="108"/>
      <c r="F226" s="115"/>
      <c r="G226" s="114"/>
      <c r="H226" s="108">
        <v>0</v>
      </c>
      <c r="I226" s="108"/>
      <c r="J226" s="108">
        <v>0</v>
      </c>
      <c r="K226" s="108"/>
      <c r="L226" s="110"/>
      <c r="M226" s="114"/>
      <c r="N226" s="108">
        <v>0</v>
      </c>
      <c r="O226" s="108"/>
      <c r="P226" s="108">
        <v>0</v>
      </c>
      <c r="Q226" s="108"/>
      <c r="R226" s="110"/>
      <c r="S226" s="114"/>
      <c r="T226" s="108">
        <v>0</v>
      </c>
      <c r="U226" s="108"/>
      <c r="V226" s="108">
        <v>0</v>
      </c>
      <c r="W226" s="108"/>
      <c r="X226" s="110"/>
      <c r="Y226" s="114"/>
      <c r="Z226" s="108">
        <v>0</v>
      </c>
      <c r="AA226" s="108"/>
      <c r="AB226" s="111">
        <v>0</v>
      </c>
      <c r="AC226" s="111"/>
      <c r="AD226" s="111">
        <f t="shared" si="6"/>
        <v>0</v>
      </c>
    </row>
    <row r="227" spans="2:33" x14ac:dyDescent="0.45">
      <c r="B227" s="116" t="s">
        <v>550</v>
      </c>
      <c r="C227" s="108"/>
      <c r="D227" s="108">
        <v>0</v>
      </c>
      <c r="E227" s="108"/>
      <c r="F227" s="115"/>
      <c r="G227" s="114"/>
      <c r="H227" s="108">
        <v>0</v>
      </c>
      <c r="I227" s="108"/>
      <c r="J227" s="108">
        <v>0</v>
      </c>
      <c r="K227" s="108"/>
      <c r="L227" s="110"/>
      <c r="M227" s="114"/>
      <c r="N227" s="108">
        <v>0</v>
      </c>
      <c r="O227" s="108"/>
      <c r="P227" s="108">
        <v>0</v>
      </c>
      <c r="Q227" s="108"/>
      <c r="R227" s="110"/>
      <c r="S227" s="114"/>
      <c r="T227" s="108">
        <v>0</v>
      </c>
      <c r="U227" s="108"/>
      <c r="V227" s="108">
        <v>0</v>
      </c>
      <c r="W227" s="108"/>
      <c r="X227" s="110"/>
      <c r="Y227" s="114"/>
      <c r="Z227" s="108">
        <v>0</v>
      </c>
      <c r="AA227" s="108"/>
      <c r="AB227" s="111">
        <v>0</v>
      </c>
      <c r="AC227" s="111"/>
      <c r="AD227" s="111">
        <f t="shared" si="6"/>
        <v>0</v>
      </c>
    </row>
    <row r="228" spans="2:33" x14ac:dyDescent="0.45">
      <c r="B228" s="116" t="s">
        <v>551</v>
      </c>
      <c r="C228" s="108"/>
      <c r="D228" s="108">
        <v>0</v>
      </c>
      <c r="E228" s="108"/>
      <c r="F228" s="115"/>
      <c r="G228" s="114"/>
      <c r="H228" s="108">
        <v>0</v>
      </c>
      <c r="I228" s="108"/>
      <c r="J228" s="108">
        <v>0</v>
      </c>
      <c r="K228" s="108"/>
      <c r="L228" s="110"/>
      <c r="M228" s="114"/>
      <c r="N228" s="108">
        <v>0</v>
      </c>
      <c r="O228" s="108"/>
      <c r="P228" s="108">
        <v>0</v>
      </c>
      <c r="Q228" s="108"/>
      <c r="R228" s="110"/>
      <c r="S228" s="114"/>
      <c r="T228" s="108">
        <v>0</v>
      </c>
      <c r="U228" s="108"/>
      <c r="V228" s="108">
        <v>0</v>
      </c>
      <c r="W228" s="108"/>
      <c r="X228" s="110"/>
      <c r="Y228" s="114"/>
      <c r="Z228" s="108">
        <v>0</v>
      </c>
      <c r="AA228" s="108"/>
      <c r="AB228" s="111">
        <v>0</v>
      </c>
      <c r="AC228" s="111"/>
      <c r="AD228" s="111">
        <f t="shared" si="6"/>
        <v>0</v>
      </c>
    </row>
    <row r="229" spans="2:33" x14ac:dyDescent="0.45">
      <c r="B229" s="116" t="s">
        <v>552</v>
      </c>
      <c r="C229" s="108"/>
      <c r="D229" s="108">
        <v>0</v>
      </c>
      <c r="E229" s="108"/>
      <c r="F229" s="115"/>
      <c r="G229" s="114"/>
      <c r="H229" s="108">
        <v>0</v>
      </c>
      <c r="I229" s="108"/>
      <c r="J229" s="108">
        <v>0</v>
      </c>
      <c r="K229" s="108"/>
      <c r="L229" s="110"/>
      <c r="M229" s="114"/>
      <c r="N229" s="108">
        <v>0</v>
      </c>
      <c r="O229" s="108"/>
      <c r="P229" s="108">
        <v>0</v>
      </c>
      <c r="Q229" s="108"/>
      <c r="R229" s="110"/>
      <c r="S229" s="114"/>
      <c r="T229" s="108">
        <v>0</v>
      </c>
      <c r="U229" s="108"/>
      <c r="V229" s="108">
        <v>0</v>
      </c>
      <c r="W229" s="108"/>
      <c r="X229" s="110"/>
      <c r="Y229" s="114"/>
      <c r="Z229" s="108">
        <v>0</v>
      </c>
      <c r="AA229" s="108"/>
      <c r="AB229" s="111">
        <v>0</v>
      </c>
      <c r="AC229" s="111"/>
      <c r="AD229" s="111">
        <f t="shared" si="6"/>
        <v>0</v>
      </c>
    </row>
    <row r="230" spans="2:33" x14ac:dyDescent="0.45">
      <c r="B230" s="116" t="s">
        <v>553</v>
      </c>
      <c r="C230" s="108"/>
      <c r="D230" s="108">
        <v>0</v>
      </c>
      <c r="E230" s="108"/>
      <c r="F230" s="115"/>
      <c r="G230" s="114"/>
      <c r="H230" s="108">
        <v>0</v>
      </c>
      <c r="I230" s="108"/>
      <c r="J230" s="108">
        <v>0</v>
      </c>
      <c r="K230" s="108"/>
      <c r="L230" s="110"/>
      <c r="M230" s="114"/>
      <c r="N230" s="108">
        <v>0</v>
      </c>
      <c r="O230" s="108"/>
      <c r="P230" s="108">
        <v>0</v>
      </c>
      <c r="Q230" s="108"/>
      <c r="R230" s="110"/>
      <c r="S230" s="114"/>
      <c r="T230" s="108">
        <v>0</v>
      </c>
      <c r="U230" s="108"/>
      <c r="V230" s="108">
        <v>0</v>
      </c>
      <c r="W230" s="108"/>
      <c r="X230" s="110"/>
      <c r="Y230" s="114"/>
      <c r="Z230" s="108">
        <v>0</v>
      </c>
      <c r="AA230" s="108"/>
      <c r="AB230" s="111">
        <v>0</v>
      </c>
      <c r="AC230" s="111"/>
      <c r="AD230" s="111">
        <f t="shared" si="6"/>
        <v>0</v>
      </c>
    </row>
    <row r="231" spans="2:33" x14ac:dyDescent="0.45">
      <c r="B231" s="116" t="s">
        <v>554</v>
      </c>
      <c r="C231" s="108"/>
      <c r="D231" s="108">
        <v>0</v>
      </c>
      <c r="E231" s="108"/>
      <c r="F231" s="115"/>
      <c r="G231" s="114"/>
      <c r="H231" s="108">
        <v>0</v>
      </c>
      <c r="I231" s="108"/>
      <c r="J231" s="108">
        <v>0</v>
      </c>
      <c r="K231" s="108"/>
      <c r="L231" s="110"/>
      <c r="M231" s="114"/>
      <c r="N231" s="108">
        <v>0</v>
      </c>
      <c r="O231" s="108"/>
      <c r="P231" s="108">
        <v>0</v>
      </c>
      <c r="Q231" s="108"/>
      <c r="R231" s="110"/>
      <c r="S231" s="114"/>
      <c r="T231" s="108">
        <v>0</v>
      </c>
      <c r="U231" s="108"/>
      <c r="V231" s="108">
        <v>0</v>
      </c>
      <c r="W231" s="108"/>
      <c r="X231" s="110"/>
      <c r="Y231" s="114"/>
      <c r="Z231" s="108">
        <v>0</v>
      </c>
      <c r="AA231" s="108"/>
      <c r="AB231" s="111">
        <v>0</v>
      </c>
      <c r="AC231" s="111"/>
      <c r="AD231" s="111">
        <f t="shared" si="6"/>
        <v>0</v>
      </c>
    </row>
    <row r="232" spans="2:33" x14ac:dyDescent="0.45">
      <c r="B232" s="116" t="s">
        <v>555</v>
      </c>
      <c r="C232" s="108"/>
      <c r="D232" s="108">
        <v>0</v>
      </c>
      <c r="E232" s="108"/>
      <c r="F232" s="115"/>
      <c r="G232" s="114"/>
      <c r="H232" s="108">
        <v>0</v>
      </c>
      <c r="I232" s="108"/>
      <c r="J232" s="108">
        <v>0</v>
      </c>
      <c r="K232" s="108"/>
      <c r="L232" s="110"/>
      <c r="M232" s="114"/>
      <c r="N232" s="108">
        <v>0</v>
      </c>
      <c r="O232" s="108"/>
      <c r="P232" s="108">
        <v>0</v>
      </c>
      <c r="Q232" s="108"/>
      <c r="R232" s="110"/>
      <c r="S232" s="114"/>
      <c r="T232" s="108">
        <v>0</v>
      </c>
      <c r="U232" s="108"/>
      <c r="V232" s="108">
        <v>0</v>
      </c>
      <c r="W232" s="108"/>
      <c r="X232" s="110"/>
      <c r="Y232" s="114"/>
      <c r="Z232" s="108">
        <v>0</v>
      </c>
      <c r="AA232" s="108"/>
      <c r="AB232" s="111">
        <v>0</v>
      </c>
      <c r="AC232" s="111"/>
      <c r="AD232" s="111">
        <f t="shared" si="6"/>
        <v>0</v>
      </c>
    </row>
    <row r="233" spans="2:33" x14ac:dyDescent="0.45">
      <c r="B233" s="116" t="s">
        <v>556</v>
      </c>
      <c r="C233" s="108"/>
      <c r="D233" s="108">
        <v>0</v>
      </c>
      <c r="E233" s="108"/>
      <c r="F233" s="115"/>
      <c r="G233" s="114"/>
      <c r="H233" s="108">
        <v>0</v>
      </c>
      <c r="I233" s="108"/>
      <c r="J233" s="108">
        <v>0</v>
      </c>
      <c r="K233" s="108"/>
      <c r="L233" s="110"/>
      <c r="M233" s="114"/>
      <c r="N233" s="108">
        <v>0</v>
      </c>
      <c r="O233" s="108"/>
      <c r="P233" s="108">
        <v>0</v>
      </c>
      <c r="Q233" s="108"/>
      <c r="R233" s="110"/>
      <c r="S233" s="114"/>
      <c r="T233" s="108">
        <v>0</v>
      </c>
      <c r="U233" s="108"/>
      <c r="V233" s="108">
        <v>0</v>
      </c>
      <c r="W233" s="108"/>
      <c r="X233" s="110"/>
      <c r="Y233" s="114"/>
      <c r="Z233" s="108">
        <v>0</v>
      </c>
      <c r="AA233" s="108"/>
      <c r="AB233" s="111">
        <v>0</v>
      </c>
      <c r="AC233" s="111"/>
      <c r="AD233" s="111">
        <f t="shared" si="6"/>
        <v>0</v>
      </c>
    </row>
    <row r="234" spans="2:33" x14ac:dyDescent="0.45">
      <c r="B234" s="116" t="s">
        <v>557</v>
      </c>
      <c r="C234" s="108"/>
      <c r="D234" s="108">
        <v>0</v>
      </c>
      <c r="E234" s="108"/>
      <c r="F234" s="115"/>
      <c r="G234" s="114"/>
      <c r="H234" s="108">
        <v>0</v>
      </c>
      <c r="I234" s="108"/>
      <c r="J234" s="108">
        <v>0</v>
      </c>
      <c r="K234" s="108"/>
      <c r="L234" s="110"/>
      <c r="M234" s="114"/>
      <c r="N234" s="108">
        <v>0</v>
      </c>
      <c r="O234" s="108"/>
      <c r="P234" s="108">
        <v>0</v>
      </c>
      <c r="Q234" s="108"/>
      <c r="R234" s="110"/>
      <c r="S234" s="114"/>
      <c r="T234" s="108">
        <v>0</v>
      </c>
      <c r="U234" s="108"/>
      <c r="V234" s="108">
        <v>0</v>
      </c>
      <c r="W234" s="108"/>
      <c r="X234" s="110"/>
      <c r="Y234" s="114"/>
      <c r="Z234" s="108">
        <v>0</v>
      </c>
      <c r="AA234" s="108"/>
      <c r="AB234" s="111">
        <v>0</v>
      </c>
      <c r="AC234" s="111"/>
      <c r="AD234" s="111">
        <f t="shared" si="6"/>
        <v>0</v>
      </c>
    </row>
    <row r="235" spans="2:33" x14ac:dyDescent="0.45">
      <c r="B235" s="116" t="s">
        <v>558</v>
      </c>
      <c r="C235" s="108"/>
      <c r="D235" s="108">
        <v>0</v>
      </c>
      <c r="E235" s="108"/>
      <c r="F235" s="115"/>
      <c r="G235" s="114"/>
      <c r="H235" s="108">
        <v>0</v>
      </c>
      <c r="I235" s="108"/>
      <c r="J235" s="108">
        <v>0</v>
      </c>
      <c r="K235" s="108"/>
      <c r="L235" s="110"/>
      <c r="M235" s="114"/>
      <c r="N235" s="108">
        <v>0</v>
      </c>
      <c r="O235" s="108"/>
      <c r="P235" s="108">
        <v>0</v>
      </c>
      <c r="Q235" s="108"/>
      <c r="R235" s="110"/>
      <c r="S235" s="114"/>
      <c r="T235" s="108">
        <v>0</v>
      </c>
      <c r="U235" s="108"/>
      <c r="V235" s="108">
        <v>0</v>
      </c>
      <c r="W235" s="108"/>
      <c r="X235" s="110"/>
      <c r="Y235" s="114"/>
      <c r="Z235" s="108">
        <v>0</v>
      </c>
      <c r="AA235" s="108"/>
      <c r="AB235" s="111">
        <v>0</v>
      </c>
      <c r="AC235" s="111"/>
      <c r="AD235" s="111">
        <f t="shared" si="6"/>
        <v>0</v>
      </c>
    </row>
    <row r="236" spans="2:33" x14ac:dyDescent="0.45">
      <c r="B236" s="116" t="s">
        <v>559</v>
      </c>
      <c r="C236" s="108"/>
      <c r="D236" s="108">
        <v>0</v>
      </c>
      <c r="E236" s="108"/>
      <c r="F236" s="115"/>
      <c r="G236" s="114"/>
      <c r="H236" s="108">
        <v>0</v>
      </c>
      <c r="I236" s="108"/>
      <c r="J236" s="108">
        <v>0</v>
      </c>
      <c r="K236" s="108"/>
      <c r="L236" s="110"/>
      <c r="M236" s="114"/>
      <c r="N236" s="108">
        <v>0</v>
      </c>
      <c r="O236" s="108"/>
      <c r="P236" s="108">
        <v>0</v>
      </c>
      <c r="Q236" s="108"/>
      <c r="R236" s="110"/>
      <c r="S236" s="114"/>
      <c r="T236" s="108">
        <v>0</v>
      </c>
      <c r="U236" s="108"/>
      <c r="V236" s="108">
        <v>0</v>
      </c>
      <c r="W236" s="108"/>
      <c r="X236" s="110"/>
      <c r="Y236" s="114"/>
      <c r="Z236" s="108">
        <v>0</v>
      </c>
      <c r="AA236" s="108"/>
      <c r="AB236" s="111">
        <v>0</v>
      </c>
      <c r="AC236" s="111"/>
      <c r="AD236" s="111">
        <f t="shared" si="6"/>
        <v>0</v>
      </c>
    </row>
    <row r="237" spans="2:33" x14ac:dyDescent="0.45">
      <c r="B237" s="117" t="s">
        <v>560</v>
      </c>
      <c r="C237" s="118"/>
      <c r="D237" s="108">
        <v>0</v>
      </c>
      <c r="E237" s="108"/>
      <c r="F237" s="115"/>
      <c r="G237" s="114"/>
      <c r="H237" s="108">
        <v>0</v>
      </c>
      <c r="I237" s="118"/>
      <c r="J237" s="108">
        <v>0</v>
      </c>
      <c r="K237" s="108"/>
      <c r="L237" s="110"/>
      <c r="M237" s="114"/>
      <c r="N237" s="108">
        <v>0</v>
      </c>
      <c r="O237" s="118"/>
      <c r="P237" s="108">
        <v>0</v>
      </c>
      <c r="Q237" s="108"/>
      <c r="R237" s="110"/>
      <c r="S237" s="114"/>
      <c r="T237" s="108">
        <v>0</v>
      </c>
      <c r="U237" s="118"/>
      <c r="V237" s="108">
        <v>0</v>
      </c>
      <c r="W237" s="108"/>
      <c r="X237" s="110"/>
      <c r="Y237" s="114"/>
      <c r="Z237" s="108">
        <v>0</v>
      </c>
      <c r="AA237" s="118"/>
      <c r="AB237" s="111">
        <v>0</v>
      </c>
      <c r="AC237" s="111"/>
      <c r="AD237" s="111">
        <f t="shared" si="6"/>
        <v>0</v>
      </c>
    </row>
    <row r="238" spans="2:33" x14ac:dyDescent="0.45">
      <c r="B238" s="119"/>
      <c r="AG238" s="120"/>
    </row>
    <row r="239" spans="2:33" x14ac:dyDescent="0.45">
      <c r="B239" s="121" t="s">
        <v>561</v>
      </c>
      <c r="AD239" s="122"/>
    </row>
    <row r="240" spans="2:33" x14ac:dyDescent="0.45">
      <c r="B240" s="119"/>
      <c r="AD240" s="122"/>
    </row>
    <row r="241" spans="2:2" x14ac:dyDescent="0.45">
      <c r="B241" s="119"/>
    </row>
    <row r="242" spans="2:2" x14ac:dyDescent="0.45">
      <c r="B242" s="119" t="s">
        <v>402</v>
      </c>
    </row>
    <row r="243" spans="2:2" x14ac:dyDescent="0.45">
      <c r="B243" s="119" t="s">
        <v>403</v>
      </c>
    </row>
    <row r="244" spans="2:2" x14ac:dyDescent="0.45">
      <c r="B244" s="119" t="s">
        <v>404</v>
      </c>
    </row>
    <row r="245" spans="2:2" x14ac:dyDescent="0.45">
      <c r="B245" s="119" t="s">
        <v>405</v>
      </c>
    </row>
    <row r="246" spans="2:2" x14ac:dyDescent="0.45">
      <c r="B246" s="119" t="s">
        <v>406</v>
      </c>
    </row>
    <row r="247" spans="2:2" x14ac:dyDescent="0.45">
      <c r="B247" s="119" t="s">
        <v>407</v>
      </c>
    </row>
    <row r="248" spans="2:2" x14ac:dyDescent="0.45">
      <c r="B248" s="119" t="s">
        <v>408</v>
      </c>
    </row>
    <row r="249" spans="2:2" x14ac:dyDescent="0.45">
      <c r="B249" s="119" t="s">
        <v>409</v>
      </c>
    </row>
    <row r="250" spans="2:2" x14ac:dyDescent="0.45">
      <c r="B250" s="119" t="s">
        <v>410</v>
      </c>
    </row>
    <row r="251" spans="2:2" x14ac:dyDescent="0.45">
      <c r="B251" s="119" t="s">
        <v>411</v>
      </c>
    </row>
    <row r="252" spans="2:2" x14ac:dyDescent="0.45">
      <c r="B252" s="119" t="s">
        <v>412</v>
      </c>
    </row>
    <row r="253" spans="2:2" x14ac:dyDescent="0.45">
      <c r="B253" s="119" t="s">
        <v>413</v>
      </c>
    </row>
    <row r="254" spans="2:2" x14ac:dyDescent="0.45">
      <c r="B254" s="119" t="s">
        <v>414</v>
      </c>
    </row>
    <row r="255" spans="2:2" x14ac:dyDescent="0.45">
      <c r="B255" s="119" t="s">
        <v>415</v>
      </c>
    </row>
    <row r="256" spans="2:2" x14ac:dyDescent="0.45">
      <c r="B256" s="119" t="s">
        <v>416</v>
      </c>
    </row>
    <row r="257" spans="2:2" x14ac:dyDescent="0.45">
      <c r="B257" s="119" t="s">
        <v>417</v>
      </c>
    </row>
    <row r="258" spans="2:2" x14ac:dyDescent="0.45">
      <c r="B258" s="119" t="s">
        <v>418</v>
      </c>
    </row>
    <row r="259" spans="2:2" x14ac:dyDescent="0.45">
      <c r="B259" s="119" t="s">
        <v>419</v>
      </c>
    </row>
    <row r="260" spans="2:2" x14ac:dyDescent="0.45">
      <c r="B260" s="119" t="s">
        <v>420</v>
      </c>
    </row>
    <row r="261" spans="2:2" x14ac:dyDescent="0.45">
      <c r="B261" s="119" t="s">
        <v>421</v>
      </c>
    </row>
    <row r="262" spans="2:2" x14ac:dyDescent="0.45">
      <c r="B262" s="119" t="s">
        <v>422</v>
      </c>
    </row>
    <row r="263" spans="2:2" x14ac:dyDescent="0.45">
      <c r="B263" s="119" t="s">
        <v>423</v>
      </c>
    </row>
    <row r="264" spans="2:2" x14ac:dyDescent="0.45">
      <c r="B264" s="119" t="s">
        <v>424</v>
      </c>
    </row>
    <row r="265" spans="2:2" x14ac:dyDescent="0.45">
      <c r="B265" s="119" t="s">
        <v>425</v>
      </c>
    </row>
    <row r="266" spans="2:2" x14ac:dyDescent="0.45">
      <c r="B266" s="119" t="s">
        <v>426</v>
      </c>
    </row>
    <row r="267" spans="2:2" x14ac:dyDescent="0.45">
      <c r="B267" s="119" t="s">
        <v>427</v>
      </c>
    </row>
    <row r="268" spans="2:2" x14ac:dyDescent="0.45">
      <c r="B268" s="119" t="s">
        <v>86</v>
      </c>
    </row>
    <row r="269" spans="2:2" x14ac:dyDescent="0.45">
      <c r="B269" s="119" t="s">
        <v>428</v>
      </c>
    </row>
    <row r="270" spans="2:2" x14ac:dyDescent="0.45">
      <c r="B270" s="119" t="s">
        <v>429</v>
      </c>
    </row>
    <row r="271" spans="2:2" x14ac:dyDescent="0.45">
      <c r="B271" s="119" t="s">
        <v>430</v>
      </c>
    </row>
    <row r="272" spans="2:2" x14ac:dyDescent="0.45">
      <c r="B272" s="119" t="s">
        <v>92</v>
      </c>
    </row>
    <row r="273" spans="2:2" x14ac:dyDescent="0.45">
      <c r="B273" s="119" t="s">
        <v>431</v>
      </c>
    </row>
    <row r="274" spans="2:2" x14ac:dyDescent="0.45">
      <c r="B274" s="119" t="s">
        <v>434</v>
      </c>
    </row>
    <row r="275" spans="2:2" x14ac:dyDescent="0.45">
      <c r="B275" s="119" t="s">
        <v>435</v>
      </c>
    </row>
    <row r="276" spans="2:2" x14ac:dyDescent="0.45">
      <c r="B276" s="119" t="s">
        <v>562</v>
      </c>
    </row>
    <row r="277" spans="2:2" x14ac:dyDescent="0.45">
      <c r="B277" s="119" t="s">
        <v>563</v>
      </c>
    </row>
    <row r="278" spans="2:2" x14ac:dyDescent="0.45">
      <c r="B278" s="119" t="s">
        <v>439</v>
      </c>
    </row>
    <row r="279" spans="2:2" x14ac:dyDescent="0.45">
      <c r="B279" s="119" t="s">
        <v>564</v>
      </c>
    </row>
    <row r="280" spans="2:2" x14ac:dyDescent="0.45">
      <c r="B280" s="119" t="s">
        <v>565</v>
      </c>
    </row>
    <row r="281" spans="2:2" x14ac:dyDescent="0.45">
      <c r="B281" s="119" t="s">
        <v>566</v>
      </c>
    </row>
    <row r="282" spans="2:2" x14ac:dyDescent="0.45">
      <c r="B282" s="119" t="s">
        <v>567</v>
      </c>
    </row>
    <row r="283" spans="2:2" x14ac:dyDescent="0.45">
      <c r="B283" s="119" t="s">
        <v>442</v>
      </c>
    </row>
    <row r="284" spans="2:2" x14ac:dyDescent="0.45">
      <c r="B284" s="119" t="s">
        <v>443</v>
      </c>
    </row>
    <row r="285" spans="2:2" x14ac:dyDescent="0.45">
      <c r="B285" s="119" t="s">
        <v>445</v>
      </c>
    </row>
    <row r="286" spans="2:2" x14ac:dyDescent="0.45">
      <c r="B286" s="119" t="s">
        <v>568</v>
      </c>
    </row>
    <row r="287" spans="2:2" x14ac:dyDescent="0.45">
      <c r="B287" s="119" t="s">
        <v>447</v>
      </c>
    </row>
    <row r="288" spans="2:2" x14ac:dyDescent="0.45">
      <c r="B288" s="119" t="s">
        <v>448</v>
      </c>
    </row>
    <row r="289" spans="2:2" x14ac:dyDescent="0.45">
      <c r="B289" s="119" t="s">
        <v>449</v>
      </c>
    </row>
    <row r="290" spans="2:2" x14ac:dyDescent="0.45">
      <c r="B290" s="119" t="s">
        <v>569</v>
      </c>
    </row>
    <row r="291" spans="2:2" x14ac:dyDescent="0.45">
      <c r="B291" s="119" t="s">
        <v>451</v>
      </c>
    </row>
    <row r="292" spans="2:2" x14ac:dyDescent="0.45">
      <c r="B292" s="119" t="s">
        <v>452</v>
      </c>
    </row>
    <row r="293" spans="2:2" x14ac:dyDescent="0.45">
      <c r="B293" s="119" t="s">
        <v>453</v>
      </c>
    </row>
    <row r="294" spans="2:2" x14ac:dyDescent="0.45">
      <c r="B294" s="119" t="s">
        <v>454</v>
      </c>
    </row>
    <row r="295" spans="2:2" x14ac:dyDescent="0.45">
      <c r="B295" s="119" t="s">
        <v>455</v>
      </c>
    </row>
    <row r="296" spans="2:2" x14ac:dyDescent="0.45">
      <c r="B296" s="119" t="s">
        <v>456</v>
      </c>
    </row>
    <row r="297" spans="2:2" x14ac:dyDescent="0.45">
      <c r="B297" s="119" t="s">
        <v>457</v>
      </c>
    </row>
    <row r="298" spans="2:2" x14ac:dyDescent="0.45">
      <c r="B298" s="119" t="s">
        <v>458</v>
      </c>
    </row>
    <row r="299" spans="2:2" x14ac:dyDescent="0.45">
      <c r="B299" s="119" t="s">
        <v>459</v>
      </c>
    </row>
    <row r="300" spans="2:2" x14ac:dyDescent="0.45">
      <c r="B300" s="119" t="s">
        <v>570</v>
      </c>
    </row>
    <row r="301" spans="2:2" x14ac:dyDescent="0.45">
      <c r="B301" s="119" t="s">
        <v>571</v>
      </c>
    </row>
    <row r="302" spans="2:2" x14ac:dyDescent="0.45">
      <c r="B302" s="119" t="s">
        <v>460</v>
      </c>
    </row>
    <row r="303" spans="2:2" x14ac:dyDescent="0.45">
      <c r="B303" s="119" t="s">
        <v>461</v>
      </c>
    </row>
    <row r="304" spans="2:2" x14ac:dyDescent="0.45">
      <c r="B304" s="119" t="s">
        <v>462</v>
      </c>
    </row>
    <row r="305" spans="2:2" x14ac:dyDescent="0.45">
      <c r="B305" s="119" t="s">
        <v>463</v>
      </c>
    </row>
    <row r="306" spans="2:2" x14ac:dyDescent="0.45">
      <c r="B306" s="119" t="s">
        <v>464</v>
      </c>
    </row>
    <row r="307" spans="2:2" x14ac:dyDescent="0.45">
      <c r="B307" s="119" t="s">
        <v>465</v>
      </c>
    </row>
    <row r="308" spans="2:2" x14ac:dyDescent="0.45">
      <c r="B308" s="119" t="s">
        <v>466</v>
      </c>
    </row>
    <row r="309" spans="2:2" x14ac:dyDescent="0.45">
      <c r="B309" s="119" t="s">
        <v>467</v>
      </c>
    </row>
    <row r="310" spans="2:2" x14ac:dyDescent="0.45">
      <c r="B310" s="119" t="s">
        <v>468</v>
      </c>
    </row>
    <row r="311" spans="2:2" x14ac:dyDescent="0.45">
      <c r="B311" s="119" t="s">
        <v>469</v>
      </c>
    </row>
    <row r="312" spans="2:2" x14ac:dyDescent="0.45">
      <c r="B312" s="119" t="s">
        <v>470</v>
      </c>
    </row>
    <row r="313" spans="2:2" x14ac:dyDescent="0.45">
      <c r="B313" s="119" t="s">
        <v>471</v>
      </c>
    </row>
    <row r="314" spans="2:2" x14ac:dyDescent="0.45">
      <c r="B314" s="119" t="s">
        <v>472</v>
      </c>
    </row>
    <row r="315" spans="2:2" x14ac:dyDescent="0.45">
      <c r="B315" s="119" t="s">
        <v>473</v>
      </c>
    </row>
    <row r="316" spans="2:2" x14ac:dyDescent="0.45">
      <c r="B316" s="119" t="s">
        <v>474</v>
      </c>
    </row>
    <row r="317" spans="2:2" x14ac:dyDescent="0.45">
      <c r="B317" s="119" t="s">
        <v>475</v>
      </c>
    </row>
    <row r="318" spans="2:2" x14ac:dyDescent="0.45">
      <c r="B318" s="119" t="s">
        <v>476</v>
      </c>
    </row>
    <row r="319" spans="2:2" x14ac:dyDescent="0.45">
      <c r="B319" s="119" t="s">
        <v>477</v>
      </c>
    </row>
    <row r="320" spans="2:2" x14ac:dyDescent="0.45">
      <c r="B320" s="119" t="s">
        <v>478</v>
      </c>
    </row>
    <row r="321" spans="2:2" x14ac:dyDescent="0.45">
      <c r="B321" s="119" t="s">
        <v>479</v>
      </c>
    </row>
    <row r="322" spans="2:2" x14ac:dyDescent="0.45">
      <c r="B322" s="119" t="s">
        <v>480</v>
      </c>
    </row>
    <row r="323" spans="2:2" x14ac:dyDescent="0.45">
      <c r="B323" s="119" t="s">
        <v>481</v>
      </c>
    </row>
    <row r="324" spans="2:2" x14ac:dyDescent="0.45">
      <c r="B324" s="119" t="s">
        <v>482</v>
      </c>
    </row>
    <row r="325" spans="2:2" x14ac:dyDescent="0.45">
      <c r="B325" s="119" t="s">
        <v>483</v>
      </c>
    </row>
    <row r="326" spans="2:2" x14ac:dyDescent="0.45">
      <c r="B326" s="119" t="s">
        <v>484</v>
      </c>
    </row>
    <row r="327" spans="2:2" x14ac:dyDescent="0.45">
      <c r="B327" s="119" t="s">
        <v>485</v>
      </c>
    </row>
    <row r="328" spans="2:2" x14ac:dyDescent="0.45">
      <c r="B328" s="119" t="s">
        <v>486</v>
      </c>
    </row>
    <row r="329" spans="2:2" x14ac:dyDescent="0.45">
      <c r="B329" s="119" t="s">
        <v>487</v>
      </c>
    </row>
    <row r="330" spans="2:2" x14ac:dyDescent="0.45">
      <c r="B330" s="119" t="s">
        <v>488</v>
      </c>
    </row>
    <row r="331" spans="2:2" x14ac:dyDescent="0.45">
      <c r="B331" s="119" t="s">
        <v>489</v>
      </c>
    </row>
    <row r="332" spans="2:2" x14ac:dyDescent="0.45">
      <c r="B332" s="119" t="s">
        <v>490</v>
      </c>
    </row>
    <row r="333" spans="2:2" x14ac:dyDescent="0.45">
      <c r="B333" s="119" t="s">
        <v>491</v>
      </c>
    </row>
    <row r="334" spans="2:2" x14ac:dyDescent="0.45">
      <c r="B334" s="119" t="s">
        <v>492</v>
      </c>
    </row>
    <row r="335" spans="2:2" x14ac:dyDescent="0.45">
      <c r="B335" s="119" t="s">
        <v>493</v>
      </c>
    </row>
    <row r="336" spans="2:2" x14ac:dyDescent="0.45">
      <c r="B336" s="119" t="s">
        <v>494</v>
      </c>
    </row>
    <row r="337" spans="2:2" x14ac:dyDescent="0.45">
      <c r="B337" s="119" t="s">
        <v>495</v>
      </c>
    </row>
    <row r="338" spans="2:2" x14ac:dyDescent="0.45">
      <c r="B338" s="119" t="s">
        <v>496</v>
      </c>
    </row>
    <row r="339" spans="2:2" x14ac:dyDescent="0.45">
      <c r="B339" s="119" t="s">
        <v>497</v>
      </c>
    </row>
    <row r="340" spans="2:2" x14ac:dyDescent="0.45">
      <c r="B340" s="119" t="s">
        <v>498</v>
      </c>
    </row>
    <row r="341" spans="2:2" x14ac:dyDescent="0.45">
      <c r="B341" s="119" t="s">
        <v>499</v>
      </c>
    </row>
    <row r="342" spans="2:2" x14ac:dyDescent="0.45">
      <c r="B342" s="119" t="s">
        <v>500</v>
      </c>
    </row>
    <row r="343" spans="2:2" x14ac:dyDescent="0.45">
      <c r="B343" s="119" t="s">
        <v>501</v>
      </c>
    </row>
    <row r="344" spans="2:2" x14ac:dyDescent="0.45">
      <c r="B344" s="119" t="s">
        <v>502</v>
      </c>
    </row>
    <row r="345" spans="2:2" x14ac:dyDescent="0.45">
      <c r="B345" s="119" t="s">
        <v>503</v>
      </c>
    </row>
    <row r="346" spans="2:2" x14ac:dyDescent="0.45">
      <c r="B346" s="119" t="s">
        <v>504</v>
      </c>
    </row>
    <row r="347" spans="2:2" x14ac:dyDescent="0.45">
      <c r="B347" s="119" t="s">
        <v>505</v>
      </c>
    </row>
    <row r="348" spans="2:2" x14ac:dyDescent="0.45">
      <c r="B348" s="119" t="s">
        <v>506</v>
      </c>
    </row>
    <row r="349" spans="2:2" x14ac:dyDescent="0.45">
      <c r="B349" s="119" t="s">
        <v>507</v>
      </c>
    </row>
    <row r="350" spans="2:2" x14ac:dyDescent="0.45">
      <c r="B350" s="119" t="s">
        <v>508</v>
      </c>
    </row>
    <row r="351" spans="2:2" x14ac:dyDescent="0.45">
      <c r="B351" s="119" t="s">
        <v>509</v>
      </c>
    </row>
    <row r="352" spans="2:2" x14ac:dyDescent="0.45">
      <c r="B352" s="119" t="s">
        <v>510</v>
      </c>
    </row>
    <row r="353" spans="2:2" x14ac:dyDescent="0.45">
      <c r="B353" s="119" t="s">
        <v>511</v>
      </c>
    </row>
    <row r="354" spans="2:2" x14ac:dyDescent="0.45">
      <c r="B354" s="119" t="s">
        <v>512</v>
      </c>
    </row>
    <row r="355" spans="2:2" x14ac:dyDescent="0.45">
      <c r="B355" s="119" t="s">
        <v>513</v>
      </c>
    </row>
    <row r="356" spans="2:2" x14ac:dyDescent="0.45">
      <c r="B356" s="119" t="s">
        <v>514</v>
      </c>
    </row>
    <row r="357" spans="2:2" x14ac:dyDescent="0.45">
      <c r="B357" s="119" t="s">
        <v>515</v>
      </c>
    </row>
    <row r="358" spans="2:2" x14ac:dyDescent="0.45">
      <c r="B358" s="119" t="s">
        <v>516</v>
      </c>
    </row>
    <row r="359" spans="2:2" x14ac:dyDescent="0.45">
      <c r="B359" s="119" t="s">
        <v>517</v>
      </c>
    </row>
    <row r="360" spans="2:2" x14ac:dyDescent="0.45">
      <c r="B360" s="119" t="s">
        <v>518</v>
      </c>
    </row>
    <row r="361" spans="2:2" x14ac:dyDescent="0.45">
      <c r="B361" s="119" t="s">
        <v>519</v>
      </c>
    </row>
    <row r="362" spans="2:2" x14ac:dyDescent="0.45">
      <c r="B362" s="119" t="s">
        <v>520</v>
      </c>
    </row>
    <row r="363" spans="2:2" x14ac:dyDescent="0.45">
      <c r="B363" s="119" t="s">
        <v>521</v>
      </c>
    </row>
    <row r="364" spans="2:2" x14ac:dyDescent="0.45">
      <c r="B364" s="119" t="s">
        <v>522</v>
      </c>
    </row>
    <row r="365" spans="2:2" x14ac:dyDescent="0.45">
      <c r="B365" s="119" t="s">
        <v>523</v>
      </c>
    </row>
    <row r="366" spans="2:2" x14ac:dyDescent="0.45">
      <c r="B366" s="119" t="s">
        <v>524</v>
      </c>
    </row>
    <row r="367" spans="2:2" x14ac:dyDescent="0.45">
      <c r="B367" s="119" t="s">
        <v>164</v>
      </c>
    </row>
    <row r="368" spans="2:2" x14ac:dyDescent="0.45">
      <c r="B368" s="119" t="s">
        <v>525</v>
      </c>
    </row>
    <row r="369" spans="2:2" x14ac:dyDescent="0.45">
      <c r="B369" s="119" t="s">
        <v>526</v>
      </c>
    </row>
    <row r="370" spans="2:2" x14ac:dyDescent="0.45">
      <c r="B370" s="119" t="s">
        <v>527</v>
      </c>
    </row>
    <row r="371" spans="2:2" x14ac:dyDescent="0.45">
      <c r="B371" s="119" t="s">
        <v>528</v>
      </c>
    </row>
    <row r="372" spans="2:2" x14ac:dyDescent="0.45">
      <c r="B372" s="119" t="s">
        <v>529</v>
      </c>
    </row>
    <row r="373" spans="2:2" x14ac:dyDescent="0.45">
      <c r="B373" s="119" t="s">
        <v>530</v>
      </c>
    </row>
    <row r="374" spans="2:2" x14ac:dyDescent="0.45">
      <c r="B374" s="119" t="s">
        <v>531</v>
      </c>
    </row>
    <row r="375" spans="2:2" x14ac:dyDescent="0.45">
      <c r="B375" s="119" t="s">
        <v>532</v>
      </c>
    </row>
    <row r="376" spans="2:2" x14ac:dyDescent="0.45">
      <c r="B376" s="119" t="s">
        <v>533</v>
      </c>
    </row>
    <row r="377" spans="2:2" x14ac:dyDescent="0.45">
      <c r="B377" s="119" t="s">
        <v>534</v>
      </c>
    </row>
    <row r="378" spans="2:2" x14ac:dyDescent="0.45">
      <c r="B378" s="119" t="s">
        <v>535</v>
      </c>
    </row>
    <row r="379" spans="2:2" x14ac:dyDescent="0.45">
      <c r="B379" s="119" t="s">
        <v>536</v>
      </c>
    </row>
    <row r="380" spans="2:2" x14ac:dyDescent="0.45">
      <c r="B380" s="119" t="s">
        <v>537</v>
      </c>
    </row>
    <row r="381" spans="2:2" x14ac:dyDescent="0.45">
      <c r="B381" s="119" t="s">
        <v>538</v>
      </c>
    </row>
    <row r="382" spans="2:2" x14ac:dyDescent="0.45">
      <c r="B382" s="119" t="s">
        <v>539</v>
      </c>
    </row>
    <row r="383" spans="2:2" x14ac:dyDescent="0.45">
      <c r="B383" s="119" t="s">
        <v>540</v>
      </c>
    </row>
    <row r="384" spans="2:2" x14ac:dyDescent="0.45">
      <c r="B384" s="119" t="s">
        <v>541</v>
      </c>
    </row>
    <row r="385" spans="2:2" x14ac:dyDescent="0.45">
      <c r="B385" s="119" t="s">
        <v>542</v>
      </c>
    </row>
    <row r="386" spans="2:2" x14ac:dyDescent="0.45">
      <c r="B386" s="119" t="s">
        <v>543</v>
      </c>
    </row>
    <row r="387" spans="2:2" x14ac:dyDescent="0.45">
      <c r="B387" s="119" t="s">
        <v>544</v>
      </c>
    </row>
    <row r="388" spans="2:2" x14ac:dyDescent="0.45">
      <c r="B388" s="119" t="s">
        <v>545</v>
      </c>
    </row>
    <row r="389" spans="2:2" x14ac:dyDescent="0.45">
      <c r="B389" s="119" t="s">
        <v>546</v>
      </c>
    </row>
    <row r="390" spans="2:2" x14ac:dyDescent="0.45">
      <c r="B390" s="119" t="s">
        <v>547</v>
      </c>
    </row>
    <row r="391" spans="2:2" x14ac:dyDescent="0.45">
      <c r="B391" s="119" t="s">
        <v>548</v>
      </c>
    </row>
    <row r="392" spans="2:2" x14ac:dyDescent="0.45">
      <c r="B392" s="119" t="s">
        <v>572</v>
      </c>
    </row>
    <row r="393" spans="2:2" x14ac:dyDescent="0.45">
      <c r="B393" s="119" t="s">
        <v>549</v>
      </c>
    </row>
    <row r="394" spans="2:2" x14ac:dyDescent="0.45">
      <c r="B394" s="119" t="s">
        <v>550</v>
      </c>
    </row>
    <row r="395" spans="2:2" x14ac:dyDescent="0.45">
      <c r="B395" s="119" t="s">
        <v>551</v>
      </c>
    </row>
    <row r="396" spans="2:2" x14ac:dyDescent="0.45">
      <c r="B396" s="119" t="s">
        <v>552</v>
      </c>
    </row>
    <row r="397" spans="2:2" x14ac:dyDescent="0.45">
      <c r="B397" s="119" t="s">
        <v>553</v>
      </c>
    </row>
    <row r="398" spans="2:2" x14ac:dyDescent="0.45">
      <c r="B398" s="119" t="s">
        <v>554</v>
      </c>
    </row>
    <row r="399" spans="2:2" x14ac:dyDescent="0.45">
      <c r="B399" s="119" t="s">
        <v>555</v>
      </c>
    </row>
    <row r="400" spans="2:2" x14ac:dyDescent="0.45">
      <c r="B400" s="119" t="s">
        <v>556</v>
      </c>
    </row>
    <row r="401" spans="2:30" x14ac:dyDescent="0.45">
      <c r="B401" s="119" t="s">
        <v>557</v>
      </c>
    </row>
    <row r="402" spans="2:30" x14ac:dyDescent="0.45">
      <c r="B402" s="119" t="s">
        <v>558</v>
      </c>
    </row>
    <row r="403" spans="2:30" x14ac:dyDescent="0.45">
      <c r="B403" s="119" t="s">
        <v>559</v>
      </c>
    </row>
    <row r="404" spans="2:30" x14ac:dyDescent="0.45">
      <c r="B404" s="119" t="s">
        <v>560</v>
      </c>
    </row>
    <row r="406" spans="2:30" s="125" customFormat="1" x14ac:dyDescent="0.45">
      <c r="B406" s="123" t="s">
        <v>573</v>
      </c>
      <c r="C406" s="124"/>
      <c r="D406" s="124"/>
      <c r="E406" s="124"/>
      <c r="F406" s="124"/>
      <c r="G406" s="124"/>
      <c r="H406" s="124"/>
      <c r="I406" s="124"/>
      <c r="J406" s="124"/>
      <c r="K406" s="124"/>
      <c r="L406" s="124"/>
      <c r="M406" s="124"/>
      <c r="N406" s="124"/>
      <c r="O406" s="124"/>
      <c r="P406" s="124"/>
      <c r="Q406" s="124"/>
      <c r="R406" s="124"/>
      <c r="S406" s="124"/>
      <c r="T406" s="124"/>
      <c r="U406" s="124"/>
      <c r="V406" s="124"/>
      <c r="W406" s="124"/>
      <c r="X406" s="124"/>
      <c r="Y406" s="124"/>
      <c r="Z406" s="124"/>
      <c r="AA406" s="124"/>
      <c r="AB406" s="124"/>
      <c r="AC406" s="124"/>
      <c r="AD406" s="124"/>
    </row>
  </sheetData>
  <autoFilter ref="A5:AP237" xr:uid="{0C7A1F43-5688-4D34-B614-8E9B7ABB800A}"/>
  <mergeCells count="5">
    <mergeCell ref="C4:H4"/>
    <mergeCell ref="I4:N4"/>
    <mergeCell ref="O4:T4"/>
    <mergeCell ref="U4:Z4"/>
    <mergeCell ref="AA4:AD4"/>
  </mergeCells>
  <conditionalFormatting sqref="B242:B404 B77:B237 B406">
    <cfRule type="duplicateValues" dxfId="0" priority="1"/>
  </conditionalFormatting>
  <pageMargins left="0.70866141732283472" right="0.7086614173228347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EECBD-CCCE-4483-B686-F6C774B25234}">
  <sheetPr>
    <tabColor theme="7"/>
  </sheetPr>
  <dimension ref="A1:G7"/>
  <sheetViews>
    <sheetView workbookViewId="0"/>
  </sheetViews>
  <sheetFormatPr defaultRowHeight="14.25" x14ac:dyDescent="0.45"/>
  <cols>
    <col min="1" max="1" width="20.796875" bestFit="1" customWidth="1"/>
    <col min="3" max="3" width="10.06640625" bestFit="1" customWidth="1"/>
    <col min="7" max="7" width="12.59765625" customWidth="1"/>
  </cols>
  <sheetData>
    <row r="1" spans="1:7" x14ac:dyDescent="0.45">
      <c r="A1" t="s">
        <v>334</v>
      </c>
      <c r="C1" s="1" t="s">
        <v>192</v>
      </c>
    </row>
    <row r="3" spans="1:7" ht="28.5" x14ac:dyDescent="0.45">
      <c r="C3" s="3" t="s">
        <v>155</v>
      </c>
      <c r="D3" s="1" t="s">
        <v>110</v>
      </c>
      <c r="E3" s="3" t="s">
        <v>574</v>
      </c>
      <c r="F3" s="1" t="s">
        <v>153</v>
      </c>
      <c r="G3" s="3"/>
    </row>
    <row r="4" spans="1:7" x14ac:dyDescent="0.45">
      <c r="B4" t="s">
        <v>575</v>
      </c>
      <c r="C4">
        <v>0.10823164049802256</v>
      </c>
      <c r="D4">
        <v>5.1791945445972584E-2</v>
      </c>
      <c r="E4">
        <v>2.6741037477642643E-2</v>
      </c>
      <c r="F4">
        <v>0.8132353765783622</v>
      </c>
    </row>
    <row r="5" spans="1:7" x14ac:dyDescent="0.45">
      <c r="B5" t="s">
        <v>576</v>
      </c>
      <c r="C5" s="126">
        <v>6.2679959787065198E-2</v>
      </c>
      <c r="D5" s="126">
        <v>5.4220210899495254E-2</v>
      </c>
      <c r="E5" s="126">
        <v>9.3315970223051842E-3</v>
      </c>
      <c r="F5" s="126">
        <v>0.87376823229113432</v>
      </c>
    </row>
    <row r="7" spans="1:7" ht="42.75" x14ac:dyDescent="0.45">
      <c r="A7" s="135" t="s">
        <v>694</v>
      </c>
      <c r="B7" s="3" t="s">
        <v>577</v>
      </c>
      <c r="C7" s="127">
        <v>1.4822188805189917E-2</v>
      </c>
    </row>
  </sheetData>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831FD-97F6-4822-9D06-3497FD54B649}">
  <sheetPr>
    <tabColor theme="8"/>
  </sheetPr>
  <dimension ref="A1"/>
  <sheetViews>
    <sheetView workbookViewId="0"/>
  </sheetViews>
  <sheetFormatPr defaultRowHeight="14.25" x14ac:dyDescent="0.45"/>
  <sheetData/>
  <pageMargins left="0.70866141732283472" right="0.70866141732283472" top="0.74803149606299213" bottom="0.74803149606299213" header="0.31496062992125984" footer="0.31496062992125984"/>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F6B61-E274-4970-9899-A6788146486B}">
  <sheetPr>
    <tabColor theme="7"/>
  </sheetPr>
  <dimension ref="A2:M72"/>
  <sheetViews>
    <sheetView zoomScale="55" zoomScaleNormal="55" workbookViewId="0"/>
  </sheetViews>
  <sheetFormatPr defaultRowHeight="14.25" x14ac:dyDescent="0.45"/>
  <cols>
    <col min="2" max="2" width="10.73046875" bestFit="1" customWidth="1"/>
    <col min="3" max="3" width="26.06640625" bestFit="1" customWidth="1"/>
    <col min="7" max="7" width="10.73046875" bestFit="1" customWidth="1"/>
    <col min="8" max="8" width="26.06640625" bestFit="1" customWidth="1"/>
    <col min="12" max="12" width="10.73046875" bestFit="1" customWidth="1"/>
    <col min="13" max="13" width="26.06640625" bestFit="1" customWidth="1"/>
  </cols>
  <sheetData>
    <row r="2" spans="1:13" x14ac:dyDescent="0.45">
      <c r="A2" t="s">
        <v>243</v>
      </c>
      <c r="G2" s="38"/>
      <c r="H2" s="38"/>
      <c r="I2" s="38"/>
      <c r="J2" s="38"/>
      <c r="M2" s="38"/>
    </row>
    <row r="3" spans="1:13" x14ac:dyDescent="0.45">
      <c r="A3" t="s">
        <v>299</v>
      </c>
      <c r="G3" s="38"/>
      <c r="H3" s="38"/>
      <c r="I3" s="38"/>
      <c r="J3" s="38"/>
    </row>
    <row r="4" spans="1:13" x14ac:dyDescent="0.45">
      <c r="G4" s="38"/>
      <c r="H4" s="38"/>
      <c r="I4" s="38"/>
      <c r="J4" s="38"/>
    </row>
    <row r="5" spans="1:13" x14ac:dyDescent="0.45">
      <c r="A5" t="s">
        <v>122</v>
      </c>
      <c r="F5" t="s">
        <v>288</v>
      </c>
      <c r="K5" t="s">
        <v>294</v>
      </c>
    </row>
    <row r="7" spans="1:13" x14ac:dyDescent="0.45">
      <c r="A7" t="s">
        <v>121</v>
      </c>
      <c r="B7" t="s">
        <v>123</v>
      </c>
      <c r="C7" t="s">
        <v>50</v>
      </c>
      <c r="F7" t="s">
        <v>121</v>
      </c>
      <c r="G7" t="s">
        <v>123</v>
      </c>
      <c r="H7" t="s">
        <v>50</v>
      </c>
      <c r="K7" t="s">
        <v>121</v>
      </c>
      <c r="L7" t="s">
        <v>123</v>
      </c>
      <c r="M7" t="s">
        <v>50</v>
      </c>
    </row>
    <row r="8" spans="1:13" x14ac:dyDescent="0.45">
      <c r="A8">
        <v>100</v>
      </c>
      <c r="B8">
        <v>0</v>
      </c>
      <c r="C8" t="s">
        <v>124</v>
      </c>
      <c r="F8">
        <v>100</v>
      </c>
      <c r="G8">
        <v>0</v>
      </c>
      <c r="H8" t="s">
        <v>124</v>
      </c>
      <c r="K8">
        <v>100</v>
      </c>
      <c r="L8">
        <v>0</v>
      </c>
      <c r="M8" t="s">
        <v>124</v>
      </c>
    </row>
    <row r="9" spans="1:13" x14ac:dyDescent="0.45">
      <c r="A9">
        <v>101</v>
      </c>
      <c r="B9">
        <v>1</v>
      </c>
      <c r="C9" t="s">
        <v>125</v>
      </c>
      <c r="F9">
        <v>101</v>
      </c>
      <c r="G9">
        <v>1</v>
      </c>
      <c r="H9" t="s">
        <v>125</v>
      </c>
      <c r="K9">
        <v>101</v>
      </c>
      <c r="L9">
        <v>1</v>
      </c>
      <c r="M9" t="s">
        <v>125</v>
      </c>
    </row>
    <row r="10" spans="1:13" x14ac:dyDescent="0.45">
      <c r="A10">
        <v>102</v>
      </c>
      <c r="B10">
        <v>2</v>
      </c>
      <c r="C10" t="s">
        <v>90</v>
      </c>
      <c r="F10">
        <v>102</v>
      </c>
      <c r="G10">
        <v>2</v>
      </c>
      <c r="H10" t="s">
        <v>90</v>
      </c>
      <c r="K10">
        <v>102</v>
      </c>
      <c r="L10">
        <v>2</v>
      </c>
      <c r="M10" t="s">
        <v>90</v>
      </c>
    </row>
    <row r="11" spans="1:13" x14ac:dyDescent="0.45">
      <c r="A11">
        <v>103</v>
      </c>
      <c r="B11">
        <v>3</v>
      </c>
      <c r="C11" t="s">
        <v>126</v>
      </c>
      <c r="F11">
        <v>103</v>
      </c>
      <c r="G11">
        <v>3</v>
      </c>
      <c r="H11" t="s">
        <v>126</v>
      </c>
      <c r="K11">
        <v>103</v>
      </c>
      <c r="L11">
        <v>3</v>
      </c>
      <c r="M11" t="s">
        <v>126</v>
      </c>
    </row>
    <row r="12" spans="1:13" x14ac:dyDescent="0.45">
      <c r="A12">
        <v>104</v>
      </c>
      <c r="B12">
        <v>4</v>
      </c>
      <c r="C12" t="s">
        <v>118</v>
      </c>
      <c r="F12">
        <v>104</v>
      </c>
      <c r="G12">
        <v>4</v>
      </c>
      <c r="H12" t="s">
        <v>118</v>
      </c>
      <c r="K12">
        <v>104</v>
      </c>
      <c r="L12">
        <v>4</v>
      </c>
      <c r="M12" t="s">
        <v>118</v>
      </c>
    </row>
    <row r="13" spans="1:13" x14ac:dyDescent="0.45">
      <c r="A13">
        <v>105</v>
      </c>
      <c r="B13">
        <v>5</v>
      </c>
      <c r="C13" t="s">
        <v>82</v>
      </c>
      <c r="F13">
        <v>105</v>
      </c>
      <c r="G13">
        <v>5</v>
      </c>
      <c r="H13" t="s">
        <v>82</v>
      </c>
      <c r="K13">
        <v>105</v>
      </c>
      <c r="L13">
        <v>5</v>
      </c>
      <c r="M13" t="s">
        <v>82</v>
      </c>
    </row>
    <row r="14" spans="1:13" x14ac:dyDescent="0.45">
      <c r="A14">
        <v>106</v>
      </c>
      <c r="B14">
        <v>6</v>
      </c>
      <c r="C14" t="s">
        <v>119</v>
      </c>
      <c r="F14">
        <v>106</v>
      </c>
      <c r="G14">
        <v>6</v>
      </c>
      <c r="H14" t="s">
        <v>119</v>
      </c>
      <c r="K14">
        <v>106</v>
      </c>
      <c r="L14">
        <v>6</v>
      </c>
      <c r="M14" t="s">
        <v>119</v>
      </c>
    </row>
    <row r="15" spans="1:13" x14ac:dyDescent="0.45">
      <c r="A15">
        <v>107</v>
      </c>
      <c r="B15">
        <v>7</v>
      </c>
      <c r="C15" t="s">
        <v>91</v>
      </c>
      <c r="F15">
        <v>107</v>
      </c>
      <c r="G15">
        <v>7</v>
      </c>
      <c r="H15" t="s">
        <v>91</v>
      </c>
      <c r="K15">
        <v>107</v>
      </c>
      <c r="L15">
        <v>7</v>
      </c>
      <c r="M15" t="s">
        <v>91</v>
      </c>
    </row>
    <row r="16" spans="1:13" x14ac:dyDescent="0.45">
      <c r="A16">
        <v>108</v>
      </c>
      <c r="B16">
        <v>8</v>
      </c>
      <c r="C16" t="s">
        <v>127</v>
      </c>
      <c r="F16">
        <v>108</v>
      </c>
      <c r="G16">
        <v>8</v>
      </c>
      <c r="H16" t="s">
        <v>127</v>
      </c>
      <c r="K16">
        <v>108</v>
      </c>
      <c r="L16">
        <v>8</v>
      </c>
      <c r="M16" t="s">
        <v>127</v>
      </c>
    </row>
    <row r="17" spans="1:13" x14ac:dyDescent="0.45">
      <c r="A17">
        <v>109</v>
      </c>
      <c r="B17">
        <v>9</v>
      </c>
      <c r="C17" t="s">
        <v>53</v>
      </c>
      <c r="F17">
        <v>109</v>
      </c>
      <c r="G17">
        <v>9</v>
      </c>
      <c r="H17" t="s">
        <v>53</v>
      </c>
      <c r="K17">
        <v>109</v>
      </c>
      <c r="L17">
        <v>9</v>
      </c>
      <c r="M17" t="s">
        <v>53</v>
      </c>
    </row>
    <row r="18" spans="1:13" x14ac:dyDescent="0.45">
      <c r="A18">
        <v>110</v>
      </c>
      <c r="B18">
        <v>10</v>
      </c>
      <c r="C18" t="s">
        <v>54</v>
      </c>
      <c r="F18">
        <v>110</v>
      </c>
      <c r="G18">
        <v>10</v>
      </c>
      <c r="H18" t="s">
        <v>54</v>
      </c>
      <c r="K18">
        <v>110</v>
      </c>
      <c r="L18">
        <v>10</v>
      </c>
      <c r="M18" t="s">
        <v>54</v>
      </c>
    </row>
    <row r="19" spans="1:13" x14ac:dyDescent="0.45">
      <c r="A19">
        <v>111</v>
      </c>
      <c r="B19">
        <v>11</v>
      </c>
      <c r="C19" t="s">
        <v>128</v>
      </c>
      <c r="F19">
        <v>111</v>
      </c>
      <c r="G19">
        <v>11</v>
      </c>
      <c r="H19" t="s">
        <v>128</v>
      </c>
      <c r="K19">
        <v>111</v>
      </c>
      <c r="L19">
        <v>11</v>
      </c>
      <c r="M19" t="s">
        <v>128</v>
      </c>
    </row>
    <row r="20" spans="1:13" x14ac:dyDescent="0.45">
      <c r="A20">
        <v>112</v>
      </c>
      <c r="B20">
        <v>12</v>
      </c>
      <c r="C20" t="s">
        <v>129</v>
      </c>
      <c r="F20">
        <v>112</v>
      </c>
      <c r="G20">
        <v>12</v>
      </c>
      <c r="H20" t="s">
        <v>129</v>
      </c>
      <c r="K20">
        <v>112</v>
      </c>
      <c r="L20">
        <v>12</v>
      </c>
      <c r="M20" t="s">
        <v>129</v>
      </c>
    </row>
    <row r="21" spans="1:13" x14ac:dyDescent="0.45">
      <c r="A21">
        <v>113</v>
      </c>
      <c r="B21">
        <v>13</v>
      </c>
      <c r="C21" t="s">
        <v>130</v>
      </c>
      <c r="F21">
        <v>113</v>
      </c>
      <c r="G21">
        <v>13</v>
      </c>
      <c r="H21" t="s">
        <v>130</v>
      </c>
      <c r="K21">
        <v>113</v>
      </c>
      <c r="L21">
        <v>13</v>
      </c>
      <c r="M21" t="s">
        <v>130</v>
      </c>
    </row>
    <row r="22" spans="1:13" x14ac:dyDescent="0.45">
      <c r="A22">
        <v>114</v>
      </c>
      <c r="B22">
        <v>14</v>
      </c>
      <c r="C22" t="s">
        <v>56</v>
      </c>
      <c r="F22">
        <v>114</v>
      </c>
      <c r="G22">
        <v>14</v>
      </c>
      <c r="H22" t="s">
        <v>56</v>
      </c>
      <c r="K22">
        <v>114</v>
      </c>
      <c r="L22">
        <v>14</v>
      </c>
      <c r="M22" t="s">
        <v>56</v>
      </c>
    </row>
    <row r="23" spans="1:13" x14ac:dyDescent="0.45">
      <c r="A23">
        <v>115</v>
      </c>
      <c r="B23">
        <v>15</v>
      </c>
      <c r="C23" t="s">
        <v>57</v>
      </c>
      <c r="F23">
        <v>115</v>
      </c>
      <c r="G23">
        <v>15</v>
      </c>
      <c r="H23" t="s">
        <v>57</v>
      </c>
      <c r="K23">
        <v>115</v>
      </c>
      <c r="L23">
        <v>15</v>
      </c>
      <c r="M23" t="s">
        <v>57</v>
      </c>
    </row>
    <row r="24" spans="1:13" x14ac:dyDescent="0.45">
      <c r="A24">
        <v>116</v>
      </c>
      <c r="B24">
        <v>16</v>
      </c>
      <c r="C24" t="s">
        <v>58</v>
      </c>
      <c r="F24">
        <v>116</v>
      </c>
      <c r="G24">
        <v>16</v>
      </c>
      <c r="H24" t="s">
        <v>58</v>
      </c>
      <c r="K24">
        <v>116</v>
      </c>
      <c r="L24">
        <v>16</v>
      </c>
      <c r="M24" t="s">
        <v>58</v>
      </c>
    </row>
    <row r="25" spans="1:13" x14ac:dyDescent="0.45">
      <c r="A25">
        <v>117</v>
      </c>
      <c r="B25">
        <v>17</v>
      </c>
      <c r="C25" t="s">
        <v>59</v>
      </c>
      <c r="F25">
        <v>117</v>
      </c>
      <c r="G25">
        <v>17</v>
      </c>
      <c r="H25" t="s">
        <v>59</v>
      </c>
      <c r="K25">
        <v>117</v>
      </c>
      <c r="L25">
        <v>17</v>
      </c>
      <c r="M25" t="s">
        <v>59</v>
      </c>
    </row>
    <row r="26" spans="1:13" x14ac:dyDescent="0.45">
      <c r="A26">
        <v>118</v>
      </c>
      <c r="B26">
        <v>18</v>
      </c>
      <c r="C26" t="s">
        <v>60</v>
      </c>
      <c r="F26">
        <v>118</v>
      </c>
      <c r="G26">
        <v>18</v>
      </c>
      <c r="H26" t="s">
        <v>60</v>
      </c>
      <c r="K26">
        <v>118</v>
      </c>
      <c r="L26">
        <v>18</v>
      </c>
      <c r="M26" t="s">
        <v>60</v>
      </c>
    </row>
    <row r="27" spans="1:13" x14ac:dyDescent="0.45">
      <c r="A27">
        <v>119</v>
      </c>
      <c r="B27">
        <v>19</v>
      </c>
      <c r="C27" t="s">
        <v>61</v>
      </c>
      <c r="F27">
        <v>119</v>
      </c>
      <c r="G27">
        <v>19</v>
      </c>
      <c r="H27" t="s">
        <v>61</v>
      </c>
      <c r="K27">
        <v>119</v>
      </c>
      <c r="L27">
        <v>19</v>
      </c>
      <c r="M27" t="s">
        <v>61</v>
      </c>
    </row>
    <row r="28" spans="1:13" x14ac:dyDescent="0.45">
      <c r="A28">
        <v>120</v>
      </c>
      <c r="B28">
        <v>20</v>
      </c>
      <c r="C28" t="s">
        <v>131</v>
      </c>
      <c r="F28">
        <v>120</v>
      </c>
      <c r="G28">
        <v>20</v>
      </c>
      <c r="H28" t="s">
        <v>131</v>
      </c>
      <c r="K28">
        <v>120</v>
      </c>
      <c r="L28">
        <v>20</v>
      </c>
      <c r="M28" t="s">
        <v>131</v>
      </c>
    </row>
    <row r="29" spans="1:13" x14ac:dyDescent="0.45">
      <c r="A29">
        <v>121</v>
      </c>
      <c r="B29">
        <v>21</v>
      </c>
      <c r="C29" t="s">
        <v>132</v>
      </c>
      <c r="F29">
        <v>121</v>
      </c>
      <c r="G29">
        <v>21</v>
      </c>
      <c r="H29" t="s">
        <v>132</v>
      </c>
      <c r="K29">
        <v>121</v>
      </c>
      <c r="L29">
        <v>21</v>
      </c>
      <c r="M29" t="s">
        <v>132</v>
      </c>
    </row>
    <row r="30" spans="1:13" x14ac:dyDescent="0.45">
      <c r="A30">
        <v>122</v>
      </c>
      <c r="B30">
        <v>22</v>
      </c>
      <c r="C30" t="s">
        <v>62</v>
      </c>
      <c r="F30">
        <v>122</v>
      </c>
      <c r="G30">
        <v>22</v>
      </c>
      <c r="H30" t="s">
        <v>62</v>
      </c>
      <c r="K30">
        <v>122</v>
      </c>
      <c r="L30">
        <v>22</v>
      </c>
      <c r="M30" t="s">
        <v>146</v>
      </c>
    </row>
    <row r="31" spans="1:13" x14ac:dyDescent="0.45">
      <c r="A31">
        <v>123</v>
      </c>
      <c r="B31">
        <v>23</v>
      </c>
      <c r="C31" t="s">
        <v>63</v>
      </c>
      <c r="F31">
        <v>123</v>
      </c>
      <c r="G31">
        <v>23</v>
      </c>
      <c r="H31" t="s">
        <v>89</v>
      </c>
      <c r="K31">
        <v>123</v>
      </c>
      <c r="L31">
        <v>23</v>
      </c>
      <c r="M31" t="s">
        <v>89</v>
      </c>
    </row>
    <row r="32" spans="1:13" x14ac:dyDescent="0.45">
      <c r="A32">
        <v>124</v>
      </c>
      <c r="B32">
        <v>24</v>
      </c>
      <c r="C32" t="s">
        <v>133</v>
      </c>
      <c r="F32">
        <v>124</v>
      </c>
      <c r="G32">
        <v>24</v>
      </c>
      <c r="H32" t="s">
        <v>150</v>
      </c>
      <c r="K32">
        <v>124</v>
      </c>
      <c r="L32">
        <v>24</v>
      </c>
      <c r="M32" t="s">
        <v>150</v>
      </c>
    </row>
    <row r="33" spans="1:13" x14ac:dyDescent="0.45">
      <c r="A33">
        <v>125</v>
      </c>
      <c r="B33">
        <v>25</v>
      </c>
      <c r="C33" t="s">
        <v>64</v>
      </c>
      <c r="F33">
        <v>125</v>
      </c>
      <c r="G33">
        <v>25</v>
      </c>
      <c r="H33" t="s">
        <v>63</v>
      </c>
      <c r="K33">
        <v>125</v>
      </c>
      <c r="L33">
        <v>25</v>
      </c>
      <c r="M33" t="s">
        <v>62</v>
      </c>
    </row>
    <row r="34" spans="1:13" x14ac:dyDescent="0.45">
      <c r="A34">
        <v>126</v>
      </c>
      <c r="B34">
        <v>26</v>
      </c>
      <c r="C34" t="s">
        <v>65</v>
      </c>
      <c r="F34">
        <v>126</v>
      </c>
      <c r="G34">
        <v>26</v>
      </c>
      <c r="H34" t="s">
        <v>133</v>
      </c>
      <c r="K34">
        <v>126</v>
      </c>
      <c r="L34">
        <v>26</v>
      </c>
      <c r="M34" t="s">
        <v>63</v>
      </c>
    </row>
    <row r="35" spans="1:13" x14ac:dyDescent="0.45">
      <c r="A35">
        <v>127</v>
      </c>
      <c r="B35">
        <v>27</v>
      </c>
      <c r="C35" t="s">
        <v>66</v>
      </c>
      <c r="F35">
        <v>127</v>
      </c>
      <c r="G35">
        <v>27</v>
      </c>
      <c r="H35" t="s">
        <v>64</v>
      </c>
      <c r="K35">
        <v>127</v>
      </c>
      <c r="L35">
        <v>27</v>
      </c>
      <c r="M35" t="s">
        <v>133</v>
      </c>
    </row>
    <row r="36" spans="1:13" x14ac:dyDescent="0.45">
      <c r="A36">
        <v>128</v>
      </c>
      <c r="B36">
        <v>28</v>
      </c>
      <c r="C36" t="s">
        <v>68</v>
      </c>
      <c r="F36">
        <v>128</v>
      </c>
      <c r="G36">
        <v>28</v>
      </c>
      <c r="H36" t="s">
        <v>65</v>
      </c>
      <c r="K36">
        <v>128</v>
      </c>
      <c r="L36">
        <v>28</v>
      </c>
      <c r="M36" t="s">
        <v>64</v>
      </c>
    </row>
    <row r="37" spans="1:13" x14ac:dyDescent="0.45">
      <c r="A37">
        <v>129</v>
      </c>
      <c r="B37">
        <v>29</v>
      </c>
      <c r="C37" t="s">
        <v>134</v>
      </c>
      <c r="F37">
        <v>129</v>
      </c>
      <c r="G37">
        <v>29</v>
      </c>
      <c r="H37" t="s">
        <v>66</v>
      </c>
      <c r="K37">
        <v>129</v>
      </c>
      <c r="L37">
        <v>29</v>
      </c>
      <c r="M37" t="s">
        <v>65</v>
      </c>
    </row>
    <row r="38" spans="1:13" x14ac:dyDescent="0.45">
      <c r="A38">
        <v>130</v>
      </c>
      <c r="B38">
        <v>30</v>
      </c>
      <c r="C38" t="s">
        <v>67</v>
      </c>
      <c r="F38">
        <v>130</v>
      </c>
      <c r="G38">
        <v>30</v>
      </c>
      <c r="H38" t="s">
        <v>68</v>
      </c>
      <c r="K38">
        <v>130</v>
      </c>
      <c r="L38">
        <v>30</v>
      </c>
      <c r="M38" t="s">
        <v>66</v>
      </c>
    </row>
    <row r="39" spans="1:13" x14ac:dyDescent="0.45">
      <c r="A39">
        <v>131</v>
      </c>
      <c r="B39">
        <v>31</v>
      </c>
      <c r="C39" t="s">
        <v>135</v>
      </c>
      <c r="F39">
        <v>131</v>
      </c>
      <c r="G39">
        <v>31</v>
      </c>
      <c r="H39" t="s">
        <v>134</v>
      </c>
      <c r="K39">
        <v>131</v>
      </c>
      <c r="L39">
        <v>31</v>
      </c>
      <c r="M39" t="s">
        <v>68</v>
      </c>
    </row>
    <row r="40" spans="1:13" x14ac:dyDescent="0.45">
      <c r="A40">
        <v>132</v>
      </c>
      <c r="B40">
        <v>32</v>
      </c>
      <c r="C40" t="s">
        <v>69</v>
      </c>
      <c r="F40">
        <v>132</v>
      </c>
      <c r="G40">
        <v>32</v>
      </c>
      <c r="H40" t="s">
        <v>67</v>
      </c>
      <c r="K40">
        <v>132</v>
      </c>
      <c r="L40">
        <v>32</v>
      </c>
      <c r="M40" t="s">
        <v>134</v>
      </c>
    </row>
    <row r="41" spans="1:13" x14ac:dyDescent="0.45">
      <c r="A41">
        <v>133</v>
      </c>
      <c r="B41">
        <v>33</v>
      </c>
      <c r="C41" t="s">
        <v>70</v>
      </c>
      <c r="F41">
        <v>133</v>
      </c>
      <c r="G41">
        <v>33</v>
      </c>
      <c r="H41" t="s">
        <v>135</v>
      </c>
      <c r="K41">
        <v>133</v>
      </c>
      <c r="L41">
        <v>33</v>
      </c>
      <c r="M41" t="s">
        <v>67</v>
      </c>
    </row>
    <row r="42" spans="1:13" x14ac:dyDescent="0.45">
      <c r="A42">
        <v>134</v>
      </c>
      <c r="B42">
        <v>34</v>
      </c>
      <c r="C42" t="s">
        <v>71</v>
      </c>
      <c r="F42">
        <v>134</v>
      </c>
      <c r="G42">
        <v>34</v>
      </c>
      <c r="H42" t="s">
        <v>69</v>
      </c>
      <c r="K42">
        <v>134</v>
      </c>
      <c r="L42">
        <v>34</v>
      </c>
      <c r="M42" t="s">
        <v>135</v>
      </c>
    </row>
    <row r="43" spans="1:13" x14ac:dyDescent="0.45">
      <c r="A43">
        <v>135</v>
      </c>
      <c r="B43">
        <v>35</v>
      </c>
      <c r="C43" t="s">
        <v>136</v>
      </c>
      <c r="F43">
        <v>135</v>
      </c>
      <c r="G43">
        <v>35</v>
      </c>
      <c r="H43" t="s">
        <v>70</v>
      </c>
      <c r="K43">
        <v>135</v>
      </c>
      <c r="L43">
        <v>35</v>
      </c>
      <c r="M43" t="s">
        <v>69</v>
      </c>
    </row>
    <row r="44" spans="1:13" x14ac:dyDescent="0.45">
      <c r="A44">
        <v>136</v>
      </c>
      <c r="B44">
        <v>36</v>
      </c>
      <c r="C44" t="s">
        <v>137</v>
      </c>
      <c r="F44">
        <v>136</v>
      </c>
      <c r="G44">
        <v>36</v>
      </c>
      <c r="H44" t="s">
        <v>71</v>
      </c>
      <c r="K44">
        <v>136</v>
      </c>
      <c r="L44">
        <v>36</v>
      </c>
      <c r="M44" t="s">
        <v>70</v>
      </c>
    </row>
    <row r="45" spans="1:13" x14ac:dyDescent="0.45">
      <c r="A45">
        <v>137</v>
      </c>
      <c r="B45">
        <v>37</v>
      </c>
      <c r="C45" t="s">
        <v>138</v>
      </c>
      <c r="F45">
        <v>137</v>
      </c>
      <c r="G45">
        <v>37</v>
      </c>
      <c r="H45" t="s">
        <v>136</v>
      </c>
      <c r="K45">
        <v>137</v>
      </c>
      <c r="L45">
        <v>37</v>
      </c>
      <c r="M45" t="s">
        <v>71</v>
      </c>
    </row>
    <row r="46" spans="1:13" x14ac:dyDescent="0.45">
      <c r="A46">
        <v>138</v>
      </c>
      <c r="B46">
        <v>38</v>
      </c>
      <c r="C46" t="s">
        <v>139</v>
      </c>
      <c r="F46">
        <v>138</v>
      </c>
      <c r="G46">
        <v>38</v>
      </c>
      <c r="H46" t="s">
        <v>137</v>
      </c>
      <c r="K46">
        <v>138</v>
      </c>
      <c r="L46">
        <v>38</v>
      </c>
      <c r="M46" t="s">
        <v>136</v>
      </c>
    </row>
    <row r="47" spans="1:13" x14ac:dyDescent="0.45">
      <c r="A47">
        <v>139</v>
      </c>
      <c r="B47">
        <v>39</v>
      </c>
      <c r="C47" t="s">
        <v>72</v>
      </c>
      <c r="F47">
        <v>139</v>
      </c>
      <c r="G47">
        <v>39</v>
      </c>
      <c r="H47" t="s">
        <v>138</v>
      </c>
      <c r="K47">
        <v>139</v>
      </c>
      <c r="L47">
        <v>39</v>
      </c>
      <c r="M47" t="s">
        <v>137</v>
      </c>
    </row>
    <row r="48" spans="1:13" x14ac:dyDescent="0.45">
      <c r="A48">
        <v>140</v>
      </c>
      <c r="B48">
        <v>40</v>
      </c>
      <c r="C48" t="s">
        <v>140</v>
      </c>
      <c r="F48">
        <v>140</v>
      </c>
      <c r="G48">
        <v>40</v>
      </c>
      <c r="H48" t="s">
        <v>139</v>
      </c>
      <c r="K48">
        <v>140</v>
      </c>
      <c r="L48">
        <v>40</v>
      </c>
      <c r="M48" t="s">
        <v>138</v>
      </c>
    </row>
    <row r="49" spans="1:13" x14ac:dyDescent="0.45">
      <c r="A49">
        <v>141</v>
      </c>
      <c r="B49">
        <v>41</v>
      </c>
      <c r="C49" t="s">
        <v>73</v>
      </c>
      <c r="F49">
        <v>141</v>
      </c>
      <c r="G49">
        <v>41</v>
      </c>
      <c r="H49" t="s">
        <v>72</v>
      </c>
      <c r="K49">
        <v>141</v>
      </c>
      <c r="L49">
        <v>41</v>
      </c>
      <c r="M49" t="s">
        <v>139</v>
      </c>
    </row>
    <row r="50" spans="1:13" x14ac:dyDescent="0.45">
      <c r="A50">
        <v>142</v>
      </c>
      <c r="B50">
        <v>42</v>
      </c>
      <c r="C50" t="s">
        <v>74</v>
      </c>
      <c r="F50">
        <v>142</v>
      </c>
      <c r="G50">
        <v>42</v>
      </c>
      <c r="H50" t="s">
        <v>140</v>
      </c>
      <c r="K50">
        <v>142</v>
      </c>
      <c r="L50">
        <v>42</v>
      </c>
      <c r="M50" t="s">
        <v>72</v>
      </c>
    </row>
    <row r="51" spans="1:13" x14ac:dyDescent="0.45">
      <c r="A51">
        <v>143</v>
      </c>
      <c r="B51">
        <v>43</v>
      </c>
      <c r="C51" t="s">
        <v>141</v>
      </c>
      <c r="F51">
        <v>143</v>
      </c>
      <c r="G51">
        <v>43</v>
      </c>
      <c r="H51" t="s">
        <v>73</v>
      </c>
      <c r="K51">
        <v>143</v>
      </c>
      <c r="L51">
        <v>43</v>
      </c>
      <c r="M51" t="s">
        <v>140</v>
      </c>
    </row>
    <row r="52" spans="1:13" x14ac:dyDescent="0.45">
      <c r="A52">
        <v>145</v>
      </c>
      <c r="B52">
        <v>44</v>
      </c>
      <c r="C52" t="s">
        <v>76</v>
      </c>
      <c r="F52">
        <v>145</v>
      </c>
      <c r="G52">
        <v>44</v>
      </c>
      <c r="H52" t="s">
        <v>74</v>
      </c>
      <c r="K52">
        <v>145</v>
      </c>
      <c r="L52">
        <v>44</v>
      </c>
      <c r="M52" t="s">
        <v>73</v>
      </c>
    </row>
    <row r="53" spans="1:13" x14ac:dyDescent="0.45">
      <c r="A53">
        <v>146</v>
      </c>
      <c r="B53">
        <v>45</v>
      </c>
      <c r="C53" t="s">
        <v>77</v>
      </c>
      <c r="F53">
        <v>146</v>
      </c>
      <c r="G53">
        <v>45</v>
      </c>
      <c r="H53" t="s">
        <v>141</v>
      </c>
      <c r="K53">
        <v>146</v>
      </c>
      <c r="L53">
        <v>45</v>
      </c>
      <c r="M53" t="s">
        <v>74</v>
      </c>
    </row>
    <row r="54" spans="1:13" x14ac:dyDescent="0.45">
      <c r="A54">
        <v>147</v>
      </c>
      <c r="B54">
        <v>46</v>
      </c>
      <c r="C54" t="s">
        <v>78</v>
      </c>
      <c r="F54">
        <v>147</v>
      </c>
      <c r="G54">
        <v>46</v>
      </c>
      <c r="H54" t="s">
        <v>76</v>
      </c>
      <c r="K54">
        <v>147</v>
      </c>
      <c r="L54">
        <v>46</v>
      </c>
      <c r="M54" t="s">
        <v>141</v>
      </c>
    </row>
    <row r="55" spans="1:13" x14ac:dyDescent="0.45">
      <c r="A55">
        <v>148</v>
      </c>
      <c r="B55">
        <v>47</v>
      </c>
      <c r="C55" t="s">
        <v>79</v>
      </c>
      <c r="F55">
        <v>148</v>
      </c>
      <c r="G55">
        <v>47</v>
      </c>
      <c r="H55" t="s">
        <v>77</v>
      </c>
      <c r="K55">
        <v>148</v>
      </c>
      <c r="L55">
        <v>47</v>
      </c>
      <c r="M55" t="s">
        <v>76</v>
      </c>
    </row>
    <row r="56" spans="1:13" x14ac:dyDescent="0.45">
      <c r="A56">
        <v>149</v>
      </c>
      <c r="B56">
        <v>48</v>
      </c>
      <c r="C56" t="s">
        <v>80</v>
      </c>
      <c r="F56">
        <v>149</v>
      </c>
      <c r="G56">
        <v>48</v>
      </c>
      <c r="H56" t="s">
        <v>78</v>
      </c>
      <c r="K56">
        <v>149</v>
      </c>
      <c r="L56">
        <v>48</v>
      </c>
      <c r="M56" t="s">
        <v>77</v>
      </c>
    </row>
    <row r="57" spans="1:13" x14ac:dyDescent="0.45">
      <c r="A57">
        <v>150</v>
      </c>
      <c r="B57">
        <v>49</v>
      </c>
      <c r="C57" t="s">
        <v>81</v>
      </c>
      <c r="F57">
        <v>150</v>
      </c>
      <c r="G57">
        <v>49</v>
      </c>
      <c r="H57" t="s">
        <v>79</v>
      </c>
      <c r="K57">
        <v>150</v>
      </c>
      <c r="L57">
        <v>49</v>
      </c>
      <c r="M57" t="s">
        <v>78</v>
      </c>
    </row>
    <row r="58" spans="1:13" x14ac:dyDescent="0.45">
      <c r="A58">
        <v>151</v>
      </c>
      <c r="B58">
        <v>50</v>
      </c>
      <c r="C58" t="s">
        <v>142</v>
      </c>
      <c r="F58">
        <v>151</v>
      </c>
      <c r="G58">
        <v>50</v>
      </c>
      <c r="H58" t="s">
        <v>80</v>
      </c>
      <c r="K58">
        <v>151</v>
      </c>
      <c r="L58">
        <v>50</v>
      </c>
      <c r="M58" t="s">
        <v>79</v>
      </c>
    </row>
    <row r="59" spans="1:13" x14ac:dyDescent="0.45">
      <c r="A59">
        <v>152</v>
      </c>
      <c r="B59">
        <v>51</v>
      </c>
      <c r="C59" t="s">
        <v>84</v>
      </c>
      <c r="F59">
        <v>152</v>
      </c>
      <c r="G59">
        <v>51</v>
      </c>
      <c r="H59" t="s">
        <v>81</v>
      </c>
      <c r="K59">
        <v>152</v>
      </c>
      <c r="L59">
        <v>51</v>
      </c>
      <c r="M59" t="s">
        <v>80</v>
      </c>
    </row>
    <row r="60" spans="1:13" x14ac:dyDescent="0.45">
      <c r="A60">
        <v>153</v>
      </c>
      <c r="B60">
        <v>52</v>
      </c>
      <c r="C60" t="s">
        <v>85</v>
      </c>
      <c r="F60">
        <v>153</v>
      </c>
      <c r="G60">
        <v>52</v>
      </c>
      <c r="H60" t="s">
        <v>142</v>
      </c>
      <c r="K60">
        <v>153</v>
      </c>
      <c r="L60">
        <v>52</v>
      </c>
      <c r="M60" t="s">
        <v>81</v>
      </c>
    </row>
    <row r="61" spans="1:13" x14ac:dyDescent="0.45">
      <c r="A61">
        <v>154</v>
      </c>
      <c r="B61">
        <v>53</v>
      </c>
      <c r="C61" t="s">
        <v>143</v>
      </c>
      <c r="F61">
        <v>154</v>
      </c>
      <c r="G61">
        <v>53</v>
      </c>
      <c r="H61" t="s">
        <v>84</v>
      </c>
      <c r="K61">
        <v>154</v>
      </c>
      <c r="L61">
        <v>53</v>
      </c>
      <c r="M61" t="s">
        <v>142</v>
      </c>
    </row>
    <row r="62" spans="1:13" x14ac:dyDescent="0.45">
      <c r="A62">
        <v>155</v>
      </c>
      <c r="B62">
        <v>54</v>
      </c>
      <c r="C62" t="s">
        <v>144</v>
      </c>
      <c r="F62">
        <v>155</v>
      </c>
      <c r="G62">
        <v>54</v>
      </c>
      <c r="H62" t="s">
        <v>85</v>
      </c>
      <c r="K62">
        <v>155</v>
      </c>
      <c r="L62">
        <v>54</v>
      </c>
      <c r="M62" t="s">
        <v>84</v>
      </c>
    </row>
    <row r="63" spans="1:13" x14ac:dyDescent="0.45">
      <c r="A63">
        <v>156</v>
      </c>
      <c r="B63">
        <v>55</v>
      </c>
      <c r="C63" t="s">
        <v>86</v>
      </c>
      <c r="F63">
        <v>156</v>
      </c>
      <c r="G63">
        <v>55</v>
      </c>
      <c r="H63" t="s">
        <v>143</v>
      </c>
      <c r="K63">
        <v>156</v>
      </c>
      <c r="L63">
        <v>55</v>
      </c>
      <c r="M63" t="s">
        <v>85</v>
      </c>
    </row>
    <row r="64" spans="1:13" x14ac:dyDescent="0.45">
      <c r="A64">
        <v>157</v>
      </c>
      <c r="B64">
        <v>56</v>
      </c>
      <c r="C64" t="s">
        <v>87</v>
      </c>
      <c r="F64">
        <v>157</v>
      </c>
      <c r="G64">
        <v>56</v>
      </c>
      <c r="H64" t="s">
        <v>144</v>
      </c>
      <c r="K64">
        <v>157</v>
      </c>
      <c r="L64">
        <v>56</v>
      </c>
      <c r="M64" t="s">
        <v>143</v>
      </c>
    </row>
    <row r="65" spans="1:13" x14ac:dyDescent="0.45">
      <c r="A65">
        <v>158</v>
      </c>
      <c r="B65">
        <v>57</v>
      </c>
      <c r="C65" t="s">
        <v>145</v>
      </c>
      <c r="F65">
        <v>158</v>
      </c>
      <c r="G65">
        <v>57</v>
      </c>
      <c r="H65" t="s">
        <v>86</v>
      </c>
      <c r="K65">
        <v>158</v>
      </c>
      <c r="L65">
        <v>57</v>
      </c>
      <c r="M65" t="s">
        <v>144</v>
      </c>
    </row>
    <row r="66" spans="1:13" x14ac:dyDescent="0.45">
      <c r="A66">
        <v>159</v>
      </c>
      <c r="B66">
        <v>58</v>
      </c>
      <c r="C66" t="s">
        <v>146</v>
      </c>
      <c r="F66">
        <v>159</v>
      </c>
      <c r="G66">
        <v>58</v>
      </c>
      <c r="H66" t="s">
        <v>146</v>
      </c>
      <c r="K66">
        <v>159</v>
      </c>
      <c r="L66">
        <v>58</v>
      </c>
      <c r="M66" t="s">
        <v>86</v>
      </c>
    </row>
    <row r="67" spans="1:13" x14ac:dyDescent="0.45">
      <c r="A67">
        <v>160</v>
      </c>
      <c r="B67">
        <v>59</v>
      </c>
      <c r="C67" t="s">
        <v>88</v>
      </c>
      <c r="F67">
        <v>160</v>
      </c>
      <c r="G67">
        <v>59</v>
      </c>
      <c r="H67" t="s">
        <v>87</v>
      </c>
      <c r="K67">
        <v>160</v>
      </c>
      <c r="L67">
        <v>59</v>
      </c>
      <c r="M67" t="s">
        <v>87</v>
      </c>
    </row>
    <row r="68" spans="1:13" x14ac:dyDescent="0.45">
      <c r="A68">
        <v>161</v>
      </c>
      <c r="B68">
        <v>60</v>
      </c>
      <c r="C68" t="s">
        <v>89</v>
      </c>
      <c r="F68">
        <v>161</v>
      </c>
      <c r="G68">
        <v>60</v>
      </c>
      <c r="H68" t="s">
        <v>145</v>
      </c>
      <c r="K68">
        <v>161</v>
      </c>
      <c r="L68">
        <v>60</v>
      </c>
      <c r="M68" t="s">
        <v>145</v>
      </c>
    </row>
    <row r="69" spans="1:13" x14ac:dyDescent="0.45">
      <c r="A69">
        <v>162</v>
      </c>
      <c r="B69">
        <v>61</v>
      </c>
      <c r="C69" t="s">
        <v>147</v>
      </c>
      <c r="F69">
        <v>162</v>
      </c>
      <c r="G69">
        <v>61</v>
      </c>
      <c r="H69" t="s">
        <v>88</v>
      </c>
      <c r="K69">
        <v>162</v>
      </c>
      <c r="L69">
        <v>61</v>
      </c>
      <c r="M69" t="s">
        <v>88</v>
      </c>
    </row>
    <row r="70" spans="1:13" x14ac:dyDescent="0.45">
      <c r="A70">
        <v>164</v>
      </c>
      <c r="B70">
        <v>62</v>
      </c>
      <c r="C70" t="s">
        <v>148</v>
      </c>
      <c r="F70">
        <v>164</v>
      </c>
      <c r="G70">
        <v>62</v>
      </c>
      <c r="H70" t="s">
        <v>147</v>
      </c>
      <c r="K70">
        <v>164</v>
      </c>
      <c r="L70">
        <v>62</v>
      </c>
      <c r="M70" t="s">
        <v>147</v>
      </c>
    </row>
    <row r="71" spans="1:13" x14ac:dyDescent="0.45">
      <c r="A71">
        <v>165</v>
      </c>
      <c r="B71">
        <v>63</v>
      </c>
      <c r="C71" t="s">
        <v>149</v>
      </c>
      <c r="F71">
        <v>165</v>
      </c>
      <c r="G71">
        <v>63</v>
      </c>
      <c r="H71" t="s">
        <v>148</v>
      </c>
      <c r="K71">
        <v>165</v>
      </c>
      <c r="L71">
        <v>63</v>
      </c>
      <c r="M71" t="s">
        <v>148</v>
      </c>
    </row>
    <row r="72" spans="1:13" x14ac:dyDescent="0.45">
      <c r="A72">
        <v>166</v>
      </c>
      <c r="B72">
        <v>64</v>
      </c>
      <c r="C72" t="s">
        <v>150</v>
      </c>
      <c r="F72">
        <v>166</v>
      </c>
      <c r="G72">
        <v>64</v>
      </c>
      <c r="H72" t="s">
        <v>149</v>
      </c>
      <c r="K72">
        <v>166</v>
      </c>
      <c r="L72">
        <v>64</v>
      </c>
      <c r="M72" t="s">
        <v>149</v>
      </c>
    </row>
  </sheetData>
  <pageMargins left="0.70866141732283472" right="0.70866141732283472" top="0.74803149606299213" bottom="0.7480314960629921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82DFF-6D1E-4FB4-A9E7-9D0E59969001}">
  <sheetPr>
    <tabColor theme="7"/>
  </sheetPr>
  <dimension ref="A1:AI53"/>
  <sheetViews>
    <sheetView zoomScale="50" zoomScaleNormal="50" workbookViewId="0">
      <pane ySplit="9" topLeftCell="A10" activePane="bottomLeft" state="frozen"/>
      <selection activeCell="G10" sqref="G10"/>
      <selection pane="bottomLeft"/>
    </sheetView>
  </sheetViews>
  <sheetFormatPr defaultRowHeight="14.25" x14ac:dyDescent="0.45"/>
  <cols>
    <col min="2" max="2" width="10.73046875" bestFit="1" customWidth="1"/>
    <col min="3" max="3" width="20.265625" bestFit="1" customWidth="1"/>
    <col min="6" max="6" width="10.73046875" bestFit="1" customWidth="1"/>
    <col min="7" max="7" width="20.265625" bestFit="1" customWidth="1"/>
    <col min="10" max="10" width="10.73046875" bestFit="1" customWidth="1"/>
    <col min="11" max="11" width="20.265625" bestFit="1" customWidth="1"/>
    <col min="14" max="14" width="10.73046875" bestFit="1" customWidth="1"/>
    <col min="15" max="15" width="20.265625" bestFit="1" customWidth="1"/>
    <col min="18" max="18" width="10.73046875" bestFit="1" customWidth="1"/>
    <col min="19" max="19" width="20.796875" bestFit="1" customWidth="1"/>
    <col min="23" max="23" width="20.796875" bestFit="1" customWidth="1"/>
    <col min="26" max="26" width="10.73046875" bestFit="1" customWidth="1"/>
    <col min="27" max="27" width="20.796875" bestFit="1" customWidth="1"/>
    <col min="30" max="30" width="10.73046875" bestFit="1" customWidth="1"/>
    <col min="31" max="31" width="20.796875" bestFit="1" customWidth="1"/>
    <col min="35" max="35" width="20.796875" bestFit="1" customWidth="1"/>
  </cols>
  <sheetData>
    <row r="1" spans="1:35" x14ac:dyDescent="0.45">
      <c r="C1" s="38"/>
      <c r="D1" s="38"/>
      <c r="E1" s="38"/>
      <c r="F1" s="38"/>
      <c r="G1" s="38"/>
      <c r="H1" s="38"/>
      <c r="I1" s="38"/>
      <c r="J1" s="38"/>
      <c r="K1" s="38"/>
      <c r="L1" s="38"/>
      <c r="M1" s="38"/>
      <c r="N1" s="38"/>
    </row>
    <row r="2" spans="1:35" x14ac:dyDescent="0.45">
      <c r="A2" t="s">
        <v>244</v>
      </c>
      <c r="C2" s="38"/>
      <c r="D2" s="38"/>
      <c r="E2" s="38"/>
      <c r="F2" s="38"/>
      <c r="G2" s="38"/>
      <c r="H2" s="38"/>
      <c r="I2" s="38"/>
      <c r="J2" s="38"/>
      <c r="K2" s="38"/>
      <c r="L2" s="38"/>
      <c r="M2" s="38"/>
      <c r="N2" s="38"/>
    </row>
    <row r="3" spans="1:35" ht="14.65" x14ac:dyDescent="0.45">
      <c r="A3" t="s">
        <v>287</v>
      </c>
      <c r="C3" s="38"/>
      <c r="D3" s="38"/>
      <c r="E3" s="38"/>
      <c r="F3" s="38"/>
      <c r="G3" s="38"/>
      <c r="H3" s="38"/>
      <c r="I3" s="38"/>
      <c r="J3" s="38"/>
      <c r="K3" s="38"/>
      <c r="L3" s="38"/>
      <c r="M3" s="38"/>
      <c r="N3" s="38"/>
    </row>
    <row r="4" spans="1:35" x14ac:dyDescent="0.45">
      <c r="C4" s="38"/>
      <c r="D4" s="38"/>
      <c r="E4" s="38"/>
      <c r="F4" s="38"/>
      <c r="G4" s="38"/>
      <c r="H4" s="38"/>
      <c r="I4" s="38"/>
      <c r="J4" s="38"/>
      <c r="K4" s="38"/>
      <c r="L4" s="38"/>
      <c r="M4" s="38"/>
      <c r="N4" s="38"/>
    </row>
    <row r="5" spans="1:35" x14ac:dyDescent="0.45">
      <c r="A5" s="1" t="s">
        <v>122</v>
      </c>
      <c r="C5" t="s">
        <v>221</v>
      </c>
      <c r="Q5" s="1" t="s">
        <v>288</v>
      </c>
      <c r="AG5" s="1" t="s">
        <v>294</v>
      </c>
    </row>
    <row r="6" spans="1:35" x14ac:dyDescent="0.45">
      <c r="AG6" t="s">
        <v>182</v>
      </c>
    </row>
    <row r="7" spans="1:35" x14ac:dyDescent="0.45">
      <c r="A7" s="1" t="s">
        <v>153</v>
      </c>
      <c r="E7" s="1" t="s">
        <v>154</v>
      </c>
      <c r="I7" s="1" t="s">
        <v>155</v>
      </c>
      <c r="M7" s="1" t="s">
        <v>110</v>
      </c>
      <c r="Q7" s="1" t="s">
        <v>153</v>
      </c>
      <c r="U7" s="1" t="s">
        <v>154</v>
      </c>
      <c r="Y7" s="1" t="s">
        <v>155</v>
      </c>
      <c r="AC7" s="1" t="s">
        <v>110</v>
      </c>
      <c r="AG7" s="1" t="s">
        <v>110</v>
      </c>
    </row>
    <row r="9" spans="1:35" x14ac:dyDescent="0.45">
      <c r="A9" t="s">
        <v>121</v>
      </c>
      <c r="B9" t="s">
        <v>123</v>
      </c>
      <c r="C9" t="s">
        <v>50</v>
      </c>
      <c r="E9" t="s">
        <v>121</v>
      </c>
      <c r="F9" t="s">
        <v>123</v>
      </c>
      <c r="G9" t="s">
        <v>50</v>
      </c>
      <c r="I9" t="s">
        <v>121</v>
      </c>
      <c r="J9" t="s">
        <v>123</v>
      </c>
      <c r="K9" t="s">
        <v>50</v>
      </c>
      <c r="M9" t="s">
        <v>121</v>
      </c>
      <c r="N9" t="s">
        <v>123</v>
      </c>
      <c r="O9" t="s">
        <v>50</v>
      </c>
      <c r="Q9" t="s">
        <v>121</v>
      </c>
      <c r="R9" t="s">
        <v>123</v>
      </c>
      <c r="S9" t="s">
        <v>50</v>
      </c>
      <c r="U9" t="s">
        <v>121</v>
      </c>
      <c r="V9" t="s">
        <v>123</v>
      </c>
      <c r="W9" t="s">
        <v>50</v>
      </c>
      <c r="Y9" t="s">
        <v>121</v>
      </c>
      <c r="Z9" t="s">
        <v>123</v>
      </c>
      <c r="AA9" t="s">
        <v>50</v>
      </c>
      <c r="AC9" t="s">
        <v>121</v>
      </c>
      <c r="AD9" t="s">
        <v>123</v>
      </c>
      <c r="AE9" t="s">
        <v>50</v>
      </c>
      <c r="AG9" t="s">
        <v>121</v>
      </c>
      <c r="AH9" t="s">
        <v>123</v>
      </c>
      <c r="AI9" t="s">
        <v>50</v>
      </c>
    </row>
    <row r="10" spans="1:35" x14ac:dyDescent="0.45">
      <c r="A10">
        <v>101</v>
      </c>
      <c r="B10">
        <v>1</v>
      </c>
      <c r="C10" t="s">
        <v>156</v>
      </c>
      <c r="E10">
        <v>101</v>
      </c>
      <c r="F10">
        <v>1</v>
      </c>
      <c r="G10" t="s">
        <v>156</v>
      </c>
      <c r="I10">
        <v>101</v>
      </c>
      <c r="J10">
        <v>1</v>
      </c>
      <c r="K10" t="s">
        <v>156</v>
      </c>
      <c r="M10">
        <v>101</v>
      </c>
      <c r="N10">
        <v>1</v>
      </c>
      <c r="O10" t="s">
        <v>156</v>
      </c>
      <c r="Q10">
        <v>101</v>
      </c>
      <c r="R10">
        <v>1</v>
      </c>
      <c r="S10" t="s">
        <v>156</v>
      </c>
      <c r="U10">
        <v>101</v>
      </c>
      <c r="V10">
        <v>1</v>
      </c>
      <c r="W10" t="s">
        <v>156</v>
      </c>
      <c r="Y10">
        <v>101</v>
      </c>
      <c r="Z10">
        <v>1</v>
      </c>
      <c r="AA10" t="s">
        <v>156</v>
      </c>
      <c r="AC10">
        <v>101</v>
      </c>
      <c r="AD10">
        <v>1</v>
      </c>
      <c r="AE10" t="s">
        <v>156</v>
      </c>
      <c r="AG10">
        <v>101</v>
      </c>
      <c r="AH10">
        <v>1</v>
      </c>
      <c r="AI10" t="s">
        <v>156</v>
      </c>
    </row>
    <row r="11" spans="1:35" x14ac:dyDescent="0.45">
      <c r="A11">
        <v>102</v>
      </c>
      <c r="B11">
        <v>2</v>
      </c>
      <c r="C11" t="s">
        <v>157</v>
      </c>
      <c r="E11">
        <v>102</v>
      </c>
      <c r="F11">
        <v>2</v>
      </c>
      <c r="G11" t="s">
        <v>157</v>
      </c>
      <c r="I11">
        <v>102</v>
      </c>
      <c r="J11">
        <v>2</v>
      </c>
      <c r="K11" t="s">
        <v>157</v>
      </c>
      <c r="M11">
        <v>102</v>
      </c>
      <c r="N11">
        <v>2</v>
      </c>
      <c r="O11" t="s">
        <v>157</v>
      </c>
      <c r="Q11">
        <v>102</v>
      </c>
      <c r="R11">
        <v>2</v>
      </c>
      <c r="S11" t="s">
        <v>157</v>
      </c>
      <c r="U11">
        <v>102</v>
      </c>
      <c r="V11">
        <v>2</v>
      </c>
      <c r="W11" t="s">
        <v>157</v>
      </c>
      <c r="Y11">
        <v>102</v>
      </c>
      <c r="Z11">
        <v>2</v>
      </c>
      <c r="AA11" t="s">
        <v>157</v>
      </c>
      <c r="AC11">
        <v>102</v>
      </c>
      <c r="AD11">
        <v>2</v>
      </c>
      <c r="AE11" t="s">
        <v>157</v>
      </c>
      <c r="AG11">
        <v>102</v>
      </c>
      <c r="AH11">
        <v>2</v>
      </c>
      <c r="AI11" t="s">
        <v>157</v>
      </c>
    </row>
    <row r="12" spans="1:35" x14ac:dyDescent="0.45">
      <c r="A12">
        <v>103</v>
      </c>
      <c r="B12">
        <v>3</v>
      </c>
      <c r="C12" t="s">
        <v>55</v>
      </c>
      <c r="E12">
        <v>103</v>
      </c>
      <c r="F12">
        <v>3</v>
      </c>
      <c r="G12" t="s">
        <v>179</v>
      </c>
      <c r="I12">
        <v>103</v>
      </c>
      <c r="J12">
        <v>3</v>
      </c>
      <c r="K12" t="s">
        <v>180</v>
      </c>
      <c r="M12">
        <v>103</v>
      </c>
      <c r="N12">
        <v>3</v>
      </c>
      <c r="O12" t="s">
        <v>55</v>
      </c>
      <c r="Q12">
        <v>103</v>
      </c>
      <c r="R12">
        <v>3</v>
      </c>
      <c r="S12" t="s">
        <v>55</v>
      </c>
      <c r="U12">
        <v>103</v>
      </c>
      <c r="V12">
        <v>3</v>
      </c>
      <c r="W12" t="s">
        <v>179</v>
      </c>
      <c r="Y12">
        <v>103</v>
      </c>
      <c r="Z12">
        <v>3</v>
      </c>
      <c r="AA12" t="s">
        <v>180</v>
      </c>
      <c r="AC12">
        <v>103</v>
      </c>
      <c r="AD12">
        <v>3</v>
      </c>
      <c r="AE12" t="s">
        <v>55</v>
      </c>
      <c r="AG12">
        <v>103</v>
      </c>
      <c r="AH12">
        <v>3</v>
      </c>
      <c r="AI12" t="s">
        <v>55</v>
      </c>
    </row>
    <row r="13" spans="1:35" x14ac:dyDescent="0.45">
      <c r="A13">
        <v>104</v>
      </c>
      <c r="B13">
        <v>4</v>
      </c>
      <c r="C13" t="s">
        <v>118</v>
      </c>
      <c r="E13">
        <v>104</v>
      </c>
      <c r="F13">
        <v>4</v>
      </c>
      <c r="G13" t="s">
        <v>118</v>
      </c>
      <c r="I13">
        <v>104</v>
      </c>
      <c r="J13">
        <v>4</v>
      </c>
      <c r="K13" t="s">
        <v>118</v>
      </c>
      <c r="M13">
        <v>104</v>
      </c>
      <c r="N13">
        <v>4</v>
      </c>
      <c r="O13" t="s">
        <v>92</v>
      </c>
      <c r="Q13">
        <v>104</v>
      </c>
      <c r="R13">
        <v>4</v>
      </c>
      <c r="S13" t="s">
        <v>118</v>
      </c>
      <c r="U13">
        <v>104</v>
      </c>
      <c r="V13">
        <v>4</v>
      </c>
      <c r="W13" t="s">
        <v>118</v>
      </c>
      <c r="Y13">
        <v>104</v>
      </c>
      <c r="Z13">
        <v>4</v>
      </c>
      <c r="AA13" t="s">
        <v>118</v>
      </c>
      <c r="AC13">
        <v>104</v>
      </c>
      <c r="AD13">
        <v>4</v>
      </c>
      <c r="AE13" t="s">
        <v>92</v>
      </c>
      <c r="AG13">
        <v>104</v>
      </c>
      <c r="AH13">
        <v>4</v>
      </c>
      <c r="AI13" t="s">
        <v>92</v>
      </c>
    </row>
    <row r="14" spans="1:35" x14ac:dyDescent="0.45">
      <c r="A14">
        <v>105</v>
      </c>
      <c r="B14">
        <v>5</v>
      </c>
      <c r="C14" t="s">
        <v>82</v>
      </c>
      <c r="E14">
        <v>105</v>
      </c>
      <c r="F14">
        <v>5</v>
      </c>
      <c r="G14" t="s">
        <v>82</v>
      </c>
      <c r="I14">
        <v>105</v>
      </c>
      <c r="J14">
        <v>5</v>
      </c>
      <c r="K14" t="s">
        <v>82</v>
      </c>
      <c r="M14">
        <v>105</v>
      </c>
      <c r="N14">
        <v>5</v>
      </c>
      <c r="O14" t="s">
        <v>82</v>
      </c>
      <c r="Q14">
        <v>105</v>
      </c>
      <c r="R14">
        <v>5</v>
      </c>
      <c r="S14" t="s">
        <v>82</v>
      </c>
      <c r="U14">
        <v>105</v>
      </c>
      <c r="V14">
        <v>5</v>
      </c>
      <c r="W14" t="s">
        <v>82</v>
      </c>
      <c r="Y14">
        <v>105</v>
      </c>
      <c r="Z14">
        <v>5</v>
      </c>
      <c r="AA14" t="s">
        <v>82</v>
      </c>
      <c r="AC14">
        <v>105</v>
      </c>
      <c r="AD14">
        <v>5</v>
      </c>
      <c r="AE14" t="s">
        <v>82</v>
      </c>
      <c r="AG14">
        <v>105</v>
      </c>
      <c r="AH14">
        <v>5</v>
      </c>
      <c r="AI14" t="s">
        <v>82</v>
      </c>
    </row>
    <row r="15" spans="1:35" x14ac:dyDescent="0.45">
      <c r="A15">
        <v>106</v>
      </c>
      <c r="B15">
        <v>6</v>
      </c>
      <c r="C15" t="s">
        <v>53</v>
      </c>
      <c r="E15">
        <v>106</v>
      </c>
      <c r="F15">
        <v>6</v>
      </c>
      <c r="G15" t="s">
        <v>53</v>
      </c>
      <c r="I15">
        <v>106</v>
      </c>
      <c r="J15">
        <v>6</v>
      </c>
      <c r="K15" t="s">
        <v>53</v>
      </c>
      <c r="M15">
        <v>106</v>
      </c>
      <c r="N15">
        <v>6</v>
      </c>
      <c r="O15" t="s">
        <v>53</v>
      </c>
      <c r="Q15">
        <v>106</v>
      </c>
      <c r="R15">
        <v>6</v>
      </c>
      <c r="S15" t="s">
        <v>53</v>
      </c>
      <c r="U15">
        <v>106</v>
      </c>
      <c r="V15">
        <v>6</v>
      </c>
      <c r="W15" t="s">
        <v>53</v>
      </c>
      <c r="Y15">
        <v>106</v>
      </c>
      <c r="Z15">
        <v>6</v>
      </c>
      <c r="AA15" t="s">
        <v>53</v>
      </c>
      <c r="AC15">
        <v>106</v>
      </c>
      <c r="AD15">
        <v>6</v>
      </c>
      <c r="AE15" t="s">
        <v>53</v>
      </c>
      <c r="AG15">
        <v>106</v>
      </c>
      <c r="AH15">
        <v>6</v>
      </c>
      <c r="AI15" t="s">
        <v>53</v>
      </c>
    </row>
    <row r="16" spans="1:35" x14ac:dyDescent="0.45">
      <c r="A16">
        <v>107</v>
      </c>
      <c r="B16">
        <v>7</v>
      </c>
      <c r="C16" t="s">
        <v>128</v>
      </c>
      <c r="E16">
        <v>107</v>
      </c>
      <c r="F16">
        <v>7</v>
      </c>
      <c r="G16" t="s">
        <v>128</v>
      </c>
      <c r="I16">
        <v>107</v>
      </c>
      <c r="J16">
        <v>7</v>
      </c>
      <c r="K16" t="s">
        <v>128</v>
      </c>
      <c r="M16">
        <v>107</v>
      </c>
      <c r="N16">
        <v>7</v>
      </c>
      <c r="O16" t="s">
        <v>128</v>
      </c>
      <c r="Q16">
        <v>107</v>
      </c>
      <c r="R16">
        <v>7</v>
      </c>
      <c r="S16" t="s">
        <v>128</v>
      </c>
      <c r="U16">
        <v>107</v>
      </c>
      <c r="V16">
        <v>7</v>
      </c>
      <c r="W16" t="s">
        <v>128</v>
      </c>
      <c r="Y16">
        <v>107</v>
      </c>
      <c r="Z16">
        <v>7</v>
      </c>
      <c r="AA16" t="s">
        <v>128</v>
      </c>
      <c r="AC16">
        <v>107</v>
      </c>
      <c r="AD16">
        <v>7</v>
      </c>
      <c r="AE16" t="s">
        <v>128</v>
      </c>
      <c r="AG16">
        <v>107</v>
      </c>
      <c r="AH16">
        <v>7</v>
      </c>
      <c r="AI16" t="s">
        <v>128</v>
      </c>
    </row>
    <row r="17" spans="1:35" x14ac:dyDescent="0.45">
      <c r="A17">
        <v>108</v>
      </c>
      <c r="B17">
        <v>8</v>
      </c>
      <c r="C17" t="s">
        <v>158</v>
      </c>
      <c r="E17">
        <v>108</v>
      </c>
      <c r="F17">
        <v>8</v>
      </c>
      <c r="G17" t="s">
        <v>158</v>
      </c>
      <c r="I17">
        <v>108</v>
      </c>
      <c r="J17">
        <v>8</v>
      </c>
      <c r="K17" t="s">
        <v>158</v>
      </c>
      <c r="M17">
        <v>108</v>
      </c>
      <c r="N17">
        <v>8</v>
      </c>
      <c r="O17" t="s">
        <v>158</v>
      </c>
      <c r="Q17">
        <v>108</v>
      </c>
      <c r="U17">
        <v>108</v>
      </c>
      <c r="Y17">
        <v>108</v>
      </c>
      <c r="AC17">
        <v>108</v>
      </c>
      <c r="AD17">
        <v>8</v>
      </c>
      <c r="AE17" t="s">
        <v>118</v>
      </c>
      <c r="AG17">
        <v>108</v>
      </c>
      <c r="AH17">
        <v>8</v>
      </c>
      <c r="AI17" t="s">
        <v>118</v>
      </c>
    </row>
    <row r="18" spans="1:35" x14ac:dyDescent="0.45">
      <c r="A18">
        <v>109</v>
      </c>
      <c r="B18">
        <v>9</v>
      </c>
      <c r="C18" t="s">
        <v>159</v>
      </c>
      <c r="E18">
        <v>109</v>
      </c>
      <c r="F18">
        <v>9</v>
      </c>
      <c r="G18" t="s">
        <v>159</v>
      </c>
      <c r="I18">
        <v>109</v>
      </c>
      <c r="J18">
        <v>9</v>
      </c>
      <c r="K18" t="s">
        <v>159</v>
      </c>
      <c r="M18">
        <v>109</v>
      </c>
      <c r="N18">
        <v>9</v>
      </c>
      <c r="O18" t="s">
        <v>159</v>
      </c>
      <c r="Q18">
        <v>109</v>
      </c>
      <c r="R18">
        <v>8</v>
      </c>
      <c r="S18" t="s">
        <v>158</v>
      </c>
      <c r="U18">
        <v>109</v>
      </c>
      <c r="V18">
        <v>8</v>
      </c>
      <c r="W18" t="s">
        <v>158</v>
      </c>
      <c r="Y18">
        <v>109</v>
      </c>
      <c r="Z18">
        <v>8</v>
      </c>
      <c r="AA18" t="s">
        <v>158</v>
      </c>
      <c r="AC18">
        <v>109</v>
      </c>
      <c r="AD18">
        <v>9</v>
      </c>
      <c r="AE18" t="s">
        <v>158</v>
      </c>
      <c r="AG18">
        <v>109</v>
      </c>
      <c r="AH18">
        <v>9</v>
      </c>
      <c r="AI18" t="s">
        <v>158</v>
      </c>
    </row>
    <row r="19" spans="1:35" x14ac:dyDescent="0.45">
      <c r="A19">
        <v>110</v>
      </c>
      <c r="B19">
        <v>10</v>
      </c>
      <c r="C19" t="s">
        <v>133</v>
      </c>
      <c r="E19">
        <v>110</v>
      </c>
      <c r="F19">
        <v>10</v>
      </c>
      <c r="G19" t="s">
        <v>133</v>
      </c>
      <c r="I19">
        <v>110</v>
      </c>
      <c r="J19">
        <v>10</v>
      </c>
      <c r="K19" t="s">
        <v>133</v>
      </c>
      <c r="M19">
        <v>110</v>
      </c>
      <c r="N19">
        <v>10</v>
      </c>
      <c r="O19" t="s">
        <v>133</v>
      </c>
      <c r="Q19">
        <v>110</v>
      </c>
      <c r="R19">
        <v>9</v>
      </c>
      <c r="S19" t="s">
        <v>159</v>
      </c>
      <c r="U19">
        <v>110</v>
      </c>
      <c r="V19">
        <v>9</v>
      </c>
      <c r="W19" t="s">
        <v>159</v>
      </c>
      <c r="Y19">
        <v>110</v>
      </c>
      <c r="Z19">
        <v>9</v>
      </c>
      <c r="AA19" t="s">
        <v>159</v>
      </c>
      <c r="AC19">
        <v>110</v>
      </c>
      <c r="AD19">
        <v>10</v>
      </c>
      <c r="AE19" t="s">
        <v>159</v>
      </c>
      <c r="AG19">
        <v>110</v>
      </c>
      <c r="AH19">
        <v>10</v>
      </c>
      <c r="AI19" t="s">
        <v>159</v>
      </c>
    </row>
    <row r="20" spans="1:35" x14ac:dyDescent="0.45">
      <c r="A20">
        <v>111</v>
      </c>
      <c r="B20">
        <v>11</v>
      </c>
      <c r="C20" t="s">
        <v>160</v>
      </c>
      <c r="E20">
        <v>111</v>
      </c>
      <c r="F20">
        <v>11</v>
      </c>
      <c r="G20" t="s">
        <v>160</v>
      </c>
      <c r="I20">
        <v>111</v>
      </c>
      <c r="J20">
        <v>11</v>
      </c>
      <c r="K20" t="s">
        <v>160</v>
      </c>
      <c r="M20">
        <v>111</v>
      </c>
      <c r="N20">
        <v>11</v>
      </c>
      <c r="O20" t="s">
        <v>160</v>
      </c>
      <c r="Q20">
        <v>111</v>
      </c>
      <c r="R20">
        <v>10</v>
      </c>
      <c r="S20" t="s">
        <v>133</v>
      </c>
      <c r="U20">
        <v>111</v>
      </c>
      <c r="V20">
        <v>10</v>
      </c>
      <c r="W20" t="s">
        <v>133</v>
      </c>
      <c r="Y20">
        <v>111</v>
      </c>
      <c r="Z20">
        <v>10</v>
      </c>
      <c r="AA20" t="s">
        <v>133</v>
      </c>
      <c r="AC20">
        <v>111</v>
      </c>
      <c r="AD20">
        <v>11</v>
      </c>
      <c r="AE20" t="s">
        <v>133</v>
      </c>
      <c r="AG20">
        <v>111</v>
      </c>
      <c r="AH20">
        <v>11</v>
      </c>
      <c r="AI20" t="s">
        <v>133</v>
      </c>
    </row>
    <row r="21" spans="1:35" x14ac:dyDescent="0.45">
      <c r="A21">
        <v>112</v>
      </c>
      <c r="B21">
        <v>12</v>
      </c>
      <c r="C21" t="s">
        <v>161</v>
      </c>
      <c r="E21">
        <v>112</v>
      </c>
      <c r="F21">
        <v>12</v>
      </c>
      <c r="G21" t="s">
        <v>161</v>
      </c>
      <c r="I21">
        <v>112</v>
      </c>
      <c r="J21">
        <v>12</v>
      </c>
      <c r="K21" t="s">
        <v>161</v>
      </c>
      <c r="M21">
        <v>112</v>
      </c>
      <c r="N21">
        <v>12</v>
      </c>
      <c r="O21" t="s">
        <v>161</v>
      </c>
      <c r="Q21">
        <v>112</v>
      </c>
      <c r="R21">
        <v>11</v>
      </c>
      <c r="S21" t="s">
        <v>160</v>
      </c>
      <c r="U21">
        <v>112</v>
      </c>
      <c r="V21">
        <v>11</v>
      </c>
      <c r="W21" t="s">
        <v>160</v>
      </c>
      <c r="Y21">
        <v>112</v>
      </c>
      <c r="Z21">
        <v>11</v>
      </c>
      <c r="AA21" t="s">
        <v>160</v>
      </c>
      <c r="AC21">
        <v>112</v>
      </c>
      <c r="AD21">
        <v>12</v>
      </c>
      <c r="AE21" t="s">
        <v>160</v>
      </c>
      <c r="AG21">
        <v>112</v>
      </c>
      <c r="AH21">
        <v>12</v>
      </c>
      <c r="AI21" t="s">
        <v>160</v>
      </c>
    </row>
    <row r="22" spans="1:35" x14ac:dyDescent="0.45">
      <c r="A22">
        <v>113</v>
      </c>
      <c r="B22">
        <v>13</v>
      </c>
      <c r="C22" t="s">
        <v>162</v>
      </c>
      <c r="E22">
        <v>113</v>
      </c>
      <c r="F22">
        <v>13</v>
      </c>
      <c r="G22" t="s">
        <v>162</v>
      </c>
      <c r="I22">
        <v>113</v>
      </c>
      <c r="J22">
        <v>13</v>
      </c>
      <c r="K22" t="s">
        <v>162</v>
      </c>
      <c r="M22">
        <v>113</v>
      </c>
      <c r="N22">
        <v>13</v>
      </c>
      <c r="O22" t="s">
        <v>162</v>
      </c>
      <c r="Q22">
        <v>113</v>
      </c>
      <c r="R22">
        <v>12</v>
      </c>
      <c r="S22" t="s">
        <v>161</v>
      </c>
      <c r="U22">
        <v>113</v>
      </c>
      <c r="V22">
        <v>12</v>
      </c>
      <c r="W22" t="s">
        <v>161</v>
      </c>
      <c r="Y22">
        <v>113</v>
      </c>
      <c r="Z22">
        <v>12</v>
      </c>
      <c r="AA22" t="s">
        <v>161</v>
      </c>
      <c r="AC22">
        <v>113</v>
      </c>
      <c r="AD22">
        <v>13</v>
      </c>
      <c r="AE22" t="s">
        <v>161</v>
      </c>
      <c r="AG22">
        <v>113</v>
      </c>
      <c r="AH22">
        <v>13</v>
      </c>
      <c r="AI22" t="s">
        <v>161</v>
      </c>
    </row>
    <row r="23" spans="1:35" x14ac:dyDescent="0.45">
      <c r="A23">
        <v>114</v>
      </c>
      <c r="B23">
        <v>14</v>
      </c>
      <c r="C23" t="s">
        <v>149</v>
      </c>
      <c r="E23">
        <v>114</v>
      </c>
      <c r="F23">
        <v>14</v>
      </c>
      <c r="G23" t="s">
        <v>149</v>
      </c>
      <c r="I23">
        <v>114</v>
      </c>
      <c r="J23">
        <v>14</v>
      </c>
      <c r="K23" t="s">
        <v>149</v>
      </c>
      <c r="M23">
        <v>114</v>
      </c>
      <c r="N23">
        <v>14</v>
      </c>
      <c r="O23" t="s">
        <v>149</v>
      </c>
      <c r="Q23">
        <v>114</v>
      </c>
      <c r="R23">
        <v>13</v>
      </c>
      <c r="S23" t="s">
        <v>162</v>
      </c>
      <c r="U23">
        <v>114</v>
      </c>
      <c r="V23">
        <v>13</v>
      </c>
      <c r="W23" t="s">
        <v>162</v>
      </c>
      <c r="Y23">
        <v>114</v>
      </c>
      <c r="Z23">
        <v>13</v>
      </c>
      <c r="AA23" t="s">
        <v>162</v>
      </c>
      <c r="AC23">
        <v>114</v>
      </c>
      <c r="AD23">
        <v>14</v>
      </c>
      <c r="AE23" t="s">
        <v>162</v>
      </c>
      <c r="AG23">
        <v>114</v>
      </c>
      <c r="AH23">
        <v>14</v>
      </c>
      <c r="AI23" t="s">
        <v>162</v>
      </c>
    </row>
    <row r="24" spans="1:35" x14ac:dyDescent="0.45">
      <c r="A24">
        <v>115</v>
      </c>
      <c r="B24">
        <v>15</v>
      </c>
      <c r="C24" t="s">
        <v>52</v>
      </c>
      <c r="E24">
        <v>115</v>
      </c>
      <c r="F24">
        <v>15</v>
      </c>
      <c r="G24" t="s">
        <v>90</v>
      </c>
      <c r="I24">
        <v>115</v>
      </c>
      <c r="J24">
        <v>15</v>
      </c>
      <c r="K24" t="s">
        <v>51</v>
      </c>
      <c r="M24">
        <v>115</v>
      </c>
      <c r="Q24">
        <v>115</v>
      </c>
      <c r="R24">
        <v>14</v>
      </c>
      <c r="S24" t="s">
        <v>149</v>
      </c>
      <c r="U24">
        <v>115</v>
      </c>
      <c r="V24">
        <v>14</v>
      </c>
      <c r="W24" t="s">
        <v>149</v>
      </c>
      <c r="Y24">
        <v>115</v>
      </c>
      <c r="Z24">
        <v>14</v>
      </c>
      <c r="AA24" t="s">
        <v>149</v>
      </c>
      <c r="AC24">
        <v>115</v>
      </c>
      <c r="AD24">
        <v>15</v>
      </c>
      <c r="AE24" t="s">
        <v>149</v>
      </c>
      <c r="AG24">
        <v>115</v>
      </c>
      <c r="AH24">
        <v>15</v>
      </c>
      <c r="AI24" t="s">
        <v>149</v>
      </c>
    </row>
    <row r="25" spans="1:35" x14ac:dyDescent="0.45">
      <c r="A25">
        <v>116</v>
      </c>
      <c r="B25">
        <v>16</v>
      </c>
      <c r="C25" t="s">
        <v>120</v>
      </c>
      <c r="E25">
        <v>116</v>
      </c>
      <c r="F25">
        <v>16</v>
      </c>
      <c r="G25" t="s">
        <v>120</v>
      </c>
      <c r="I25">
        <v>116</v>
      </c>
      <c r="J25">
        <v>16</v>
      </c>
      <c r="K25" t="s">
        <v>120</v>
      </c>
      <c r="M25">
        <v>116</v>
      </c>
      <c r="N25">
        <v>15</v>
      </c>
      <c r="O25" t="s">
        <v>120</v>
      </c>
      <c r="Q25">
        <v>116</v>
      </c>
      <c r="R25">
        <v>15</v>
      </c>
      <c r="S25" t="s">
        <v>52</v>
      </c>
      <c r="U25">
        <v>116</v>
      </c>
      <c r="V25">
        <v>15</v>
      </c>
      <c r="W25" t="s">
        <v>90</v>
      </c>
      <c r="Y25">
        <v>116</v>
      </c>
      <c r="Z25">
        <v>15</v>
      </c>
      <c r="AA25" t="s">
        <v>51</v>
      </c>
      <c r="AC25">
        <v>116</v>
      </c>
      <c r="AG25">
        <v>116</v>
      </c>
    </row>
    <row r="26" spans="1:35" x14ac:dyDescent="0.45">
      <c r="A26">
        <v>117</v>
      </c>
      <c r="B26">
        <v>17</v>
      </c>
      <c r="C26" t="s">
        <v>163</v>
      </c>
      <c r="E26">
        <v>117</v>
      </c>
      <c r="I26">
        <v>117</v>
      </c>
      <c r="M26">
        <v>117</v>
      </c>
      <c r="N26">
        <v>16</v>
      </c>
      <c r="O26" t="s">
        <v>118</v>
      </c>
      <c r="Q26">
        <v>117</v>
      </c>
      <c r="R26">
        <v>16</v>
      </c>
      <c r="S26" t="s">
        <v>120</v>
      </c>
      <c r="U26">
        <v>117</v>
      </c>
      <c r="V26">
        <v>16</v>
      </c>
      <c r="W26" t="s">
        <v>120</v>
      </c>
      <c r="Y26">
        <v>117</v>
      </c>
      <c r="Z26">
        <v>16</v>
      </c>
      <c r="AA26" t="s">
        <v>120</v>
      </c>
      <c r="AC26">
        <v>117</v>
      </c>
      <c r="AD26">
        <v>16</v>
      </c>
      <c r="AE26" t="s">
        <v>120</v>
      </c>
      <c r="AG26">
        <v>117</v>
      </c>
      <c r="AH26">
        <v>16</v>
      </c>
      <c r="AI26" t="s">
        <v>120</v>
      </c>
    </row>
    <row r="27" spans="1:35" x14ac:dyDescent="0.45">
      <c r="A27">
        <v>118</v>
      </c>
      <c r="B27">
        <v>18</v>
      </c>
      <c r="C27" t="s">
        <v>164</v>
      </c>
      <c r="E27">
        <v>118</v>
      </c>
      <c r="F27">
        <v>17</v>
      </c>
      <c r="G27" t="s">
        <v>164</v>
      </c>
      <c r="I27">
        <v>118</v>
      </c>
      <c r="J27">
        <v>17</v>
      </c>
      <c r="K27" t="s">
        <v>164</v>
      </c>
      <c r="M27">
        <v>118</v>
      </c>
      <c r="N27">
        <v>17</v>
      </c>
      <c r="O27" t="s">
        <v>164</v>
      </c>
      <c r="Q27">
        <v>118</v>
      </c>
      <c r="R27">
        <v>17</v>
      </c>
      <c r="S27" t="s">
        <v>163</v>
      </c>
      <c r="U27">
        <v>118</v>
      </c>
      <c r="Y27">
        <v>118</v>
      </c>
      <c r="AC27">
        <v>118</v>
      </c>
      <c r="AG27">
        <v>118</v>
      </c>
    </row>
    <row r="28" spans="1:35" x14ac:dyDescent="0.45">
      <c r="A28">
        <v>119</v>
      </c>
      <c r="B28">
        <v>19</v>
      </c>
      <c r="C28" t="s">
        <v>165</v>
      </c>
      <c r="E28">
        <v>119</v>
      </c>
      <c r="F28">
        <v>18</v>
      </c>
      <c r="G28" t="s">
        <v>165</v>
      </c>
      <c r="I28">
        <v>119</v>
      </c>
      <c r="J28">
        <v>18</v>
      </c>
      <c r="K28" t="s">
        <v>165</v>
      </c>
      <c r="M28">
        <v>119</v>
      </c>
      <c r="N28">
        <v>18</v>
      </c>
      <c r="O28" t="s">
        <v>165</v>
      </c>
      <c r="Q28">
        <v>119</v>
      </c>
      <c r="R28">
        <v>18</v>
      </c>
      <c r="S28" t="s">
        <v>164</v>
      </c>
      <c r="U28">
        <v>119</v>
      </c>
      <c r="V28">
        <v>17</v>
      </c>
      <c r="W28" t="s">
        <v>164</v>
      </c>
      <c r="Y28">
        <v>119</v>
      </c>
      <c r="Z28">
        <v>17</v>
      </c>
      <c r="AA28" t="s">
        <v>164</v>
      </c>
      <c r="AC28">
        <v>119</v>
      </c>
      <c r="AD28">
        <v>17</v>
      </c>
      <c r="AE28" t="s">
        <v>164</v>
      </c>
      <c r="AG28">
        <v>119</v>
      </c>
      <c r="AH28">
        <v>17</v>
      </c>
      <c r="AI28" t="s">
        <v>164</v>
      </c>
    </row>
    <row r="29" spans="1:35" x14ac:dyDescent="0.45">
      <c r="A29">
        <v>120</v>
      </c>
      <c r="B29">
        <v>20</v>
      </c>
      <c r="C29" t="s">
        <v>166</v>
      </c>
      <c r="E29">
        <v>120</v>
      </c>
      <c r="F29">
        <v>19</v>
      </c>
      <c r="G29" t="s">
        <v>166</v>
      </c>
      <c r="I29">
        <v>120</v>
      </c>
      <c r="J29">
        <v>19</v>
      </c>
      <c r="K29" t="s">
        <v>166</v>
      </c>
      <c r="M29">
        <v>120</v>
      </c>
      <c r="N29">
        <v>19</v>
      </c>
      <c r="O29" t="s">
        <v>166</v>
      </c>
      <c r="Q29">
        <v>120</v>
      </c>
      <c r="R29">
        <v>19</v>
      </c>
      <c r="S29" t="s">
        <v>165</v>
      </c>
      <c r="U29">
        <v>120</v>
      </c>
      <c r="V29">
        <v>18</v>
      </c>
      <c r="W29" t="s">
        <v>165</v>
      </c>
      <c r="Y29">
        <v>120</v>
      </c>
      <c r="Z29">
        <v>18</v>
      </c>
      <c r="AA29" t="s">
        <v>165</v>
      </c>
      <c r="AC29">
        <v>120</v>
      </c>
      <c r="AD29">
        <v>18</v>
      </c>
      <c r="AE29" t="s">
        <v>165</v>
      </c>
      <c r="AG29">
        <v>120</v>
      </c>
      <c r="AH29">
        <v>18</v>
      </c>
      <c r="AI29" t="s">
        <v>165</v>
      </c>
    </row>
    <row r="30" spans="1:35" x14ac:dyDescent="0.45">
      <c r="A30">
        <v>121</v>
      </c>
      <c r="B30">
        <v>21</v>
      </c>
      <c r="C30" t="s">
        <v>167</v>
      </c>
      <c r="E30">
        <v>121</v>
      </c>
      <c r="F30">
        <v>20</v>
      </c>
      <c r="G30" t="s">
        <v>167</v>
      </c>
      <c r="I30">
        <v>121</v>
      </c>
      <c r="J30">
        <v>20</v>
      </c>
      <c r="K30" t="s">
        <v>167</v>
      </c>
      <c r="M30">
        <v>121</v>
      </c>
      <c r="N30">
        <v>20</v>
      </c>
      <c r="O30" t="s">
        <v>167</v>
      </c>
      <c r="Q30">
        <v>121</v>
      </c>
      <c r="R30">
        <v>20</v>
      </c>
      <c r="S30" t="s">
        <v>166</v>
      </c>
      <c r="U30">
        <v>121</v>
      </c>
      <c r="V30">
        <v>19</v>
      </c>
      <c r="W30" t="s">
        <v>166</v>
      </c>
      <c r="Y30">
        <v>121</v>
      </c>
      <c r="Z30">
        <v>19</v>
      </c>
      <c r="AA30" t="s">
        <v>166</v>
      </c>
      <c r="AC30">
        <v>121</v>
      </c>
      <c r="AD30">
        <v>19</v>
      </c>
      <c r="AE30" t="s">
        <v>166</v>
      </c>
      <c r="AG30">
        <v>121</v>
      </c>
      <c r="AH30">
        <v>19</v>
      </c>
      <c r="AI30" t="s">
        <v>166</v>
      </c>
    </row>
    <row r="31" spans="1:35" x14ac:dyDescent="0.45">
      <c r="A31">
        <v>122</v>
      </c>
      <c r="B31">
        <v>22</v>
      </c>
      <c r="C31" t="s">
        <v>168</v>
      </c>
      <c r="E31">
        <v>122</v>
      </c>
      <c r="F31">
        <v>21</v>
      </c>
      <c r="G31" t="s">
        <v>168</v>
      </c>
      <c r="I31">
        <v>122</v>
      </c>
      <c r="J31">
        <v>21</v>
      </c>
      <c r="K31" t="s">
        <v>168</v>
      </c>
      <c r="M31">
        <v>122</v>
      </c>
      <c r="N31">
        <v>21</v>
      </c>
      <c r="O31" t="s">
        <v>168</v>
      </c>
      <c r="Q31">
        <v>122</v>
      </c>
      <c r="R31">
        <v>21</v>
      </c>
      <c r="S31" t="s">
        <v>167</v>
      </c>
      <c r="U31">
        <v>122</v>
      </c>
      <c r="V31">
        <v>20</v>
      </c>
      <c r="W31" t="s">
        <v>167</v>
      </c>
      <c r="Y31">
        <v>122</v>
      </c>
      <c r="Z31">
        <v>20</v>
      </c>
      <c r="AA31" t="s">
        <v>167</v>
      </c>
      <c r="AC31">
        <v>122</v>
      </c>
      <c r="AD31">
        <v>20</v>
      </c>
      <c r="AE31" t="s">
        <v>167</v>
      </c>
      <c r="AG31">
        <v>122</v>
      </c>
      <c r="AH31">
        <v>20</v>
      </c>
      <c r="AI31" t="s">
        <v>167</v>
      </c>
    </row>
    <row r="32" spans="1:35" x14ac:dyDescent="0.45">
      <c r="A32">
        <v>123</v>
      </c>
      <c r="B32">
        <v>23</v>
      </c>
      <c r="C32" t="s">
        <v>169</v>
      </c>
      <c r="E32">
        <v>123</v>
      </c>
      <c r="F32">
        <v>22</v>
      </c>
      <c r="G32" t="s">
        <v>169</v>
      </c>
      <c r="I32">
        <v>123</v>
      </c>
      <c r="J32">
        <v>22</v>
      </c>
      <c r="K32" t="s">
        <v>169</v>
      </c>
      <c r="M32">
        <v>123</v>
      </c>
      <c r="N32">
        <v>22</v>
      </c>
      <c r="O32" t="s">
        <v>169</v>
      </c>
      <c r="Q32">
        <v>123</v>
      </c>
      <c r="R32">
        <v>22</v>
      </c>
      <c r="S32" t="s">
        <v>168</v>
      </c>
      <c r="U32">
        <v>123</v>
      </c>
      <c r="V32">
        <v>21</v>
      </c>
      <c r="W32" t="s">
        <v>168</v>
      </c>
      <c r="Y32">
        <v>123</v>
      </c>
      <c r="Z32">
        <v>21</v>
      </c>
      <c r="AA32" t="s">
        <v>168</v>
      </c>
      <c r="AC32">
        <v>123</v>
      </c>
      <c r="AD32">
        <v>21</v>
      </c>
      <c r="AE32" t="s">
        <v>168</v>
      </c>
      <c r="AG32">
        <v>123</v>
      </c>
      <c r="AH32">
        <v>21</v>
      </c>
      <c r="AI32" t="s">
        <v>168</v>
      </c>
    </row>
    <row r="33" spans="1:35" x14ac:dyDescent="0.45">
      <c r="A33">
        <v>124</v>
      </c>
      <c r="B33">
        <v>24</v>
      </c>
      <c r="C33" t="s">
        <v>170</v>
      </c>
      <c r="E33">
        <v>124</v>
      </c>
      <c r="F33">
        <v>23</v>
      </c>
      <c r="G33" t="s">
        <v>170</v>
      </c>
      <c r="I33">
        <v>124</v>
      </c>
      <c r="J33">
        <v>23</v>
      </c>
      <c r="K33" t="s">
        <v>170</v>
      </c>
      <c r="M33">
        <v>124</v>
      </c>
      <c r="N33">
        <v>23</v>
      </c>
      <c r="O33" t="s">
        <v>170</v>
      </c>
      <c r="Q33">
        <v>124</v>
      </c>
      <c r="R33">
        <v>23</v>
      </c>
      <c r="S33" t="s">
        <v>169</v>
      </c>
      <c r="U33">
        <v>124</v>
      </c>
      <c r="V33">
        <v>22</v>
      </c>
      <c r="W33" t="s">
        <v>169</v>
      </c>
      <c r="Y33">
        <v>124</v>
      </c>
      <c r="Z33">
        <v>22</v>
      </c>
      <c r="AA33" t="s">
        <v>169</v>
      </c>
      <c r="AC33">
        <v>124</v>
      </c>
      <c r="AD33">
        <v>22</v>
      </c>
      <c r="AE33" t="s">
        <v>169</v>
      </c>
      <c r="AG33">
        <v>124</v>
      </c>
      <c r="AH33">
        <v>22</v>
      </c>
      <c r="AI33" t="s">
        <v>169</v>
      </c>
    </row>
    <row r="34" spans="1:35" x14ac:dyDescent="0.45">
      <c r="A34">
        <v>125</v>
      </c>
      <c r="B34">
        <v>25</v>
      </c>
      <c r="C34" t="s">
        <v>194</v>
      </c>
      <c r="E34">
        <v>125</v>
      </c>
      <c r="F34">
        <v>24</v>
      </c>
      <c r="G34" t="s">
        <v>194</v>
      </c>
      <c r="I34">
        <v>125</v>
      </c>
      <c r="J34">
        <v>24</v>
      </c>
      <c r="K34" t="s">
        <v>194</v>
      </c>
      <c r="M34">
        <v>125</v>
      </c>
      <c r="N34">
        <v>24</v>
      </c>
      <c r="O34" t="s">
        <v>194</v>
      </c>
      <c r="Q34">
        <v>125</v>
      </c>
      <c r="R34">
        <v>24</v>
      </c>
      <c r="S34" t="s">
        <v>170</v>
      </c>
      <c r="U34">
        <v>125</v>
      </c>
      <c r="V34">
        <v>23</v>
      </c>
      <c r="W34" t="s">
        <v>170</v>
      </c>
      <c r="Y34">
        <v>125</v>
      </c>
      <c r="Z34">
        <v>23</v>
      </c>
      <c r="AA34" t="s">
        <v>170</v>
      </c>
      <c r="AC34">
        <v>125</v>
      </c>
      <c r="AD34">
        <v>23</v>
      </c>
      <c r="AE34" t="s">
        <v>170</v>
      </c>
      <c r="AG34">
        <v>125</v>
      </c>
      <c r="AH34">
        <v>23</v>
      </c>
      <c r="AI34" t="s">
        <v>170</v>
      </c>
    </row>
    <row r="35" spans="1:35" x14ac:dyDescent="0.45">
      <c r="A35">
        <v>126</v>
      </c>
      <c r="B35">
        <v>26</v>
      </c>
      <c r="C35" t="s">
        <v>171</v>
      </c>
      <c r="E35">
        <v>126</v>
      </c>
      <c r="F35">
        <v>25</v>
      </c>
      <c r="G35" t="s">
        <v>171</v>
      </c>
      <c r="I35">
        <v>126</v>
      </c>
      <c r="J35">
        <v>25</v>
      </c>
      <c r="K35" t="s">
        <v>171</v>
      </c>
      <c r="M35">
        <v>126</v>
      </c>
      <c r="N35">
        <v>25</v>
      </c>
      <c r="O35" t="s">
        <v>171</v>
      </c>
      <c r="Q35">
        <v>126</v>
      </c>
      <c r="U35">
        <v>126</v>
      </c>
      <c r="Y35">
        <v>126</v>
      </c>
      <c r="Z35">
        <v>24</v>
      </c>
      <c r="AA35" t="s">
        <v>89</v>
      </c>
      <c r="AC35">
        <v>126</v>
      </c>
      <c r="AG35">
        <v>126</v>
      </c>
      <c r="AH35">
        <v>24</v>
      </c>
      <c r="AI35" t="s">
        <v>181</v>
      </c>
    </row>
    <row r="36" spans="1:35" x14ac:dyDescent="0.45">
      <c r="A36">
        <v>127</v>
      </c>
      <c r="B36">
        <v>27</v>
      </c>
      <c r="C36" t="s">
        <v>172</v>
      </c>
      <c r="E36">
        <v>127</v>
      </c>
      <c r="F36">
        <v>26</v>
      </c>
      <c r="G36" t="s">
        <v>172</v>
      </c>
      <c r="I36">
        <v>127</v>
      </c>
      <c r="J36">
        <v>26</v>
      </c>
      <c r="K36" t="s">
        <v>172</v>
      </c>
      <c r="M36">
        <v>127</v>
      </c>
      <c r="N36">
        <v>26</v>
      </c>
      <c r="O36" t="s">
        <v>172</v>
      </c>
      <c r="Q36">
        <v>127</v>
      </c>
      <c r="R36">
        <v>25</v>
      </c>
      <c r="S36" t="s">
        <v>194</v>
      </c>
      <c r="U36">
        <v>127</v>
      </c>
      <c r="V36">
        <v>24</v>
      </c>
      <c r="W36" t="s">
        <v>194</v>
      </c>
      <c r="Y36">
        <v>127</v>
      </c>
      <c r="Z36">
        <v>25</v>
      </c>
      <c r="AA36" t="s">
        <v>194</v>
      </c>
      <c r="AC36">
        <v>127</v>
      </c>
      <c r="AD36">
        <v>24</v>
      </c>
      <c r="AE36" t="s">
        <v>194</v>
      </c>
      <c r="AG36">
        <v>127</v>
      </c>
      <c r="AH36">
        <v>25</v>
      </c>
      <c r="AI36" t="s">
        <v>194</v>
      </c>
    </row>
    <row r="37" spans="1:35" x14ac:dyDescent="0.45">
      <c r="A37">
        <v>128</v>
      </c>
      <c r="B37">
        <v>28</v>
      </c>
      <c r="C37" t="s">
        <v>83</v>
      </c>
      <c r="E37">
        <v>128</v>
      </c>
      <c r="F37">
        <v>27</v>
      </c>
      <c r="G37" t="s">
        <v>83</v>
      </c>
      <c r="I37">
        <v>128</v>
      </c>
      <c r="J37">
        <v>27</v>
      </c>
      <c r="K37" t="s">
        <v>83</v>
      </c>
      <c r="M37">
        <v>128</v>
      </c>
      <c r="N37">
        <v>27</v>
      </c>
      <c r="O37" t="s">
        <v>83</v>
      </c>
      <c r="Q37">
        <v>128</v>
      </c>
      <c r="R37">
        <v>26</v>
      </c>
      <c r="S37" t="s">
        <v>171</v>
      </c>
      <c r="U37">
        <v>128</v>
      </c>
      <c r="V37">
        <v>25</v>
      </c>
      <c r="W37" t="s">
        <v>171</v>
      </c>
      <c r="Y37">
        <v>128</v>
      </c>
      <c r="Z37">
        <v>26</v>
      </c>
      <c r="AA37" t="s">
        <v>171</v>
      </c>
      <c r="AC37">
        <v>128</v>
      </c>
      <c r="AD37">
        <v>25</v>
      </c>
      <c r="AE37" t="s">
        <v>171</v>
      </c>
      <c r="AG37">
        <v>128</v>
      </c>
      <c r="AH37">
        <v>26</v>
      </c>
      <c r="AI37" t="s">
        <v>171</v>
      </c>
    </row>
    <row r="38" spans="1:35" x14ac:dyDescent="0.45">
      <c r="A38">
        <v>129</v>
      </c>
      <c r="B38">
        <v>29</v>
      </c>
      <c r="C38" t="s">
        <v>195</v>
      </c>
      <c r="E38">
        <v>129</v>
      </c>
      <c r="F38">
        <v>28</v>
      </c>
      <c r="G38" t="s">
        <v>195</v>
      </c>
      <c r="I38">
        <v>129</v>
      </c>
      <c r="J38">
        <v>28</v>
      </c>
      <c r="K38" t="s">
        <v>195</v>
      </c>
      <c r="M38">
        <v>129</v>
      </c>
      <c r="N38">
        <v>28</v>
      </c>
      <c r="O38" t="s">
        <v>195</v>
      </c>
      <c r="Q38">
        <v>129</v>
      </c>
      <c r="R38">
        <v>27</v>
      </c>
      <c r="S38" t="s">
        <v>172</v>
      </c>
      <c r="U38">
        <v>129</v>
      </c>
      <c r="V38">
        <v>26</v>
      </c>
      <c r="W38" t="s">
        <v>172</v>
      </c>
      <c r="Y38">
        <v>129</v>
      </c>
      <c r="Z38">
        <v>27</v>
      </c>
      <c r="AA38" t="s">
        <v>172</v>
      </c>
      <c r="AC38">
        <v>129</v>
      </c>
      <c r="AD38">
        <v>26</v>
      </c>
      <c r="AE38" t="s">
        <v>172</v>
      </c>
      <c r="AG38">
        <v>129</v>
      </c>
      <c r="AH38">
        <v>27</v>
      </c>
      <c r="AI38" t="s">
        <v>172</v>
      </c>
    </row>
    <row r="39" spans="1:35" x14ac:dyDescent="0.45">
      <c r="A39">
        <v>130</v>
      </c>
      <c r="B39">
        <v>30</v>
      </c>
      <c r="C39" t="s">
        <v>196</v>
      </c>
      <c r="E39">
        <v>130</v>
      </c>
      <c r="F39">
        <v>29</v>
      </c>
      <c r="G39" t="s">
        <v>196</v>
      </c>
      <c r="I39">
        <v>130</v>
      </c>
      <c r="J39">
        <v>29</v>
      </c>
      <c r="K39" t="s">
        <v>196</v>
      </c>
      <c r="M39">
        <v>130</v>
      </c>
      <c r="N39">
        <v>29</v>
      </c>
      <c r="O39" t="s">
        <v>196</v>
      </c>
      <c r="Q39">
        <v>130</v>
      </c>
      <c r="R39">
        <v>28</v>
      </c>
      <c r="S39" t="s">
        <v>83</v>
      </c>
      <c r="U39">
        <v>130</v>
      </c>
      <c r="V39">
        <v>27</v>
      </c>
      <c r="W39" t="s">
        <v>83</v>
      </c>
      <c r="Y39">
        <v>130</v>
      </c>
      <c r="Z39">
        <v>28</v>
      </c>
      <c r="AA39" t="s">
        <v>83</v>
      </c>
      <c r="AC39">
        <v>130</v>
      </c>
      <c r="AD39">
        <v>27</v>
      </c>
      <c r="AE39" t="s">
        <v>83</v>
      </c>
      <c r="AG39">
        <v>130</v>
      </c>
      <c r="AH39">
        <v>28</v>
      </c>
      <c r="AI39" t="s">
        <v>83</v>
      </c>
    </row>
    <row r="40" spans="1:35" x14ac:dyDescent="0.45">
      <c r="A40">
        <v>131</v>
      </c>
      <c r="B40">
        <v>31</v>
      </c>
      <c r="C40" t="s">
        <v>61</v>
      </c>
      <c r="E40">
        <v>131</v>
      </c>
      <c r="F40">
        <v>30</v>
      </c>
      <c r="G40" t="s">
        <v>61</v>
      </c>
      <c r="I40">
        <v>131</v>
      </c>
      <c r="J40">
        <v>30</v>
      </c>
      <c r="K40" t="s">
        <v>61</v>
      </c>
      <c r="M40">
        <v>131</v>
      </c>
      <c r="N40">
        <v>30</v>
      </c>
      <c r="O40" t="s">
        <v>61</v>
      </c>
      <c r="Q40">
        <v>131</v>
      </c>
      <c r="R40">
        <v>29</v>
      </c>
      <c r="S40" t="s">
        <v>195</v>
      </c>
      <c r="U40">
        <v>131</v>
      </c>
      <c r="V40">
        <v>28</v>
      </c>
      <c r="W40" t="s">
        <v>195</v>
      </c>
      <c r="Y40">
        <v>131</v>
      </c>
      <c r="Z40">
        <v>29</v>
      </c>
      <c r="AA40" t="s">
        <v>195</v>
      </c>
      <c r="AC40">
        <v>131</v>
      </c>
      <c r="AD40">
        <v>28</v>
      </c>
      <c r="AE40" t="s">
        <v>195</v>
      </c>
      <c r="AG40">
        <v>131</v>
      </c>
      <c r="AH40">
        <v>29</v>
      </c>
      <c r="AI40" t="s">
        <v>195</v>
      </c>
    </row>
    <row r="41" spans="1:35" x14ac:dyDescent="0.45">
      <c r="A41">
        <v>132</v>
      </c>
      <c r="B41">
        <v>32</v>
      </c>
      <c r="C41" t="s">
        <v>173</v>
      </c>
      <c r="E41">
        <v>132</v>
      </c>
      <c r="F41">
        <v>31</v>
      </c>
      <c r="G41" t="s">
        <v>173</v>
      </c>
      <c r="I41">
        <v>132</v>
      </c>
      <c r="J41">
        <v>31</v>
      </c>
      <c r="K41" t="s">
        <v>173</v>
      </c>
      <c r="M41">
        <v>132</v>
      </c>
      <c r="N41">
        <v>31</v>
      </c>
      <c r="O41" t="s">
        <v>173</v>
      </c>
      <c r="Q41">
        <v>132</v>
      </c>
      <c r="R41">
        <v>30</v>
      </c>
      <c r="S41" t="s">
        <v>196</v>
      </c>
      <c r="U41">
        <v>132</v>
      </c>
      <c r="V41">
        <v>29</v>
      </c>
      <c r="W41" t="s">
        <v>196</v>
      </c>
      <c r="Y41">
        <v>132</v>
      </c>
      <c r="Z41">
        <v>30</v>
      </c>
      <c r="AA41" t="s">
        <v>196</v>
      </c>
      <c r="AC41">
        <v>132</v>
      </c>
      <c r="AD41">
        <v>29</v>
      </c>
      <c r="AE41" t="s">
        <v>196</v>
      </c>
      <c r="AG41">
        <v>132</v>
      </c>
      <c r="AH41">
        <v>30</v>
      </c>
      <c r="AI41" t="s">
        <v>196</v>
      </c>
    </row>
    <row r="42" spans="1:35" x14ac:dyDescent="0.45">
      <c r="A42">
        <v>133</v>
      </c>
      <c r="B42">
        <v>33</v>
      </c>
      <c r="C42" t="s">
        <v>174</v>
      </c>
      <c r="E42">
        <v>133</v>
      </c>
      <c r="F42">
        <v>32</v>
      </c>
      <c r="G42" t="s">
        <v>174</v>
      </c>
      <c r="I42">
        <v>133</v>
      </c>
      <c r="J42">
        <v>32</v>
      </c>
      <c r="K42" t="s">
        <v>174</v>
      </c>
      <c r="M42">
        <v>133</v>
      </c>
      <c r="N42">
        <v>32</v>
      </c>
      <c r="O42" t="s">
        <v>174</v>
      </c>
      <c r="Q42">
        <v>133</v>
      </c>
      <c r="R42">
        <v>31</v>
      </c>
      <c r="S42" t="s">
        <v>61</v>
      </c>
      <c r="U42">
        <v>133</v>
      </c>
      <c r="V42">
        <v>30</v>
      </c>
      <c r="W42" t="s">
        <v>61</v>
      </c>
      <c r="Y42">
        <v>133</v>
      </c>
      <c r="Z42">
        <v>31</v>
      </c>
      <c r="AA42" t="s">
        <v>61</v>
      </c>
      <c r="AC42">
        <v>133</v>
      </c>
      <c r="AD42">
        <v>30</v>
      </c>
      <c r="AE42" t="s">
        <v>61</v>
      </c>
      <c r="AG42">
        <v>133</v>
      </c>
      <c r="AH42">
        <v>31</v>
      </c>
      <c r="AI42" t="s">
        <v>61</v>
      </c>
    </row>
    <row r="43" spans="1:35" x14ac:dyDescent="0.45">
      <c r="A43">
        <v>134</v>
      </c>
      <c r="B43">
        <v>34</v>
      </c>
      <c r="C43" t="s">
        <v>92</v>
      </c>
      <c r="E43">
        <v>134</v>
      </c>
      <c r="F43">
        <v>33</v>
      </c>
      <c r="G43" t="s">
        <v>92</v>
      </c>
      <c r="I43">
        <v>134</v>
      </c>
      <c r="J43">
        <v>33</v>
      </c>
      <c r="K43" t="s">
        <v>92</v>
      </c>
      <c r="M43">
        <v>134</v>
      </c>
      <c r="N43">
        <v>33</v>
      </c>
      <c r="O43" t="s">
        <v>181</v>
      </c>
      <c r="Q43">
        <v>134</v>
      </c>
      <c r="R43">
        <v>32</v>
      </c>
      <c r="S43" t="s">
        <v>173</v>
      </c>
      <c r="U43">
        <v>134</v>
      </c>
      <c r="V43">
        <v>31</v>
      </c>
      <c r="W43" t="s">
        <v>173</v>
      </c>
      <c r="Y43">
        <v>134</v>
      </c>
      <c r="Z43">
        <v>32</v>
      </c>
      <c r="AA43" t="s">
        <v>173</v>
      </c>
      <c r="AC43">
        <v>134</v>
      </c>
      <c r="AD43">
        <v>31</v>
      </c>
      <c r="AE43" t="s">
        <v>173</v>
      </c>
      <c r="AG43">
        <v>134</v>
      </c>
      <c r="AH43">
        <v>32</v>
      </c>
      <c r="AI43" t="s">
        <v>173</v>
      </c>
    </row>
    <row r="44" spans="1:35" x14ac:dyDescent="0.45">
      <c r="A44">
        <v>135</v>
      </c>
      <c r="B44">
        <v>35</v>
      </c>
      <c r="C44" t="s">
        <v>76</v>
      </c>
      <c r="E44">
        <v>135</v>
      </c>
      <c r="F44">
        <v>34</v>
      </c>
      <c r="G44" t="s">
        <v>76</v>
      </c>
      <c r="I44">
        <v>135</v>
      </c>
      <c r="J44">
        <v>34</v>
      </c>
      <c r="K44" t="s">
        <v>76</v>
      </c>
      <c r="M44">
        <v>135</v>
      </c>
      <c r="N44">
        <v>34</v>
      </c>
      <c r="O44" t="s">
        <v>76</v>
      </c>
      <c r="Q44">
        <v>135</v>
      </c>
      <c r="R44">
        <v>33</v>
      </c>
      <c r="S44" t="s">
        <v>174</v>
      </c>
      <c r="U44">
        <v>135</v>
      </c>
      <c r="V44">
        <v>32</v>
      </c>
      <c r="W44" t="s">
        <v>174</v>
      </c>
      <c r="Y44">
        <v>135</v>
      </c>
      <c r="Z44">
        <v>33</v>
      </c>
      <c r="AA44" t="s">
        <v>174</v>
      </c>
      <c r="AC44">
        <v>135</v>
      </c>
      <c r="AD44">
        <v>32</v>
      </c>
      <c r="AE44" t="s">
        <v>174</v>
      </c>
      <c r="AG44">
        <v>135</v>
      </c>
      <c r="AH44">
        <v>33</v>
      </c>
      <c r="AI44" t="s">
        <v>174</v>
      </c>
    </row>
    <row r="45" spans="1:35" x14ac:dyDescent="0.45">
      <c r="A45">
        <v>136</v>
      </c>
      <c r="B45">
        <v>36</v>
      </c>
      <c r="C45" t="s">
        <v>175</v>
      </c>
      <c r="E45">
        <v>136</v>
      </c>
      <c r="F45">
        <v>35</v>
      </c>
      <c r="G45" t="s">
        <v>175</v>
      </c>
      <c r="I45">
        <v>136</v>
      </c>
      <c r="J45">
        <v>35</v>
      </c>
      <c r="K45" t="s">
        <v>175</v>
      </c>
      <c r="M45">
        <v>136</v>
      </c>
      <c r="N45">
        <v>35</v>
      </c>
      <c r="O45" t="s">
        <v>175</v>
      </c>
      <c r="Q45">
        <v>136</v>
      </c>
      <c r="R45">
        <v>34</v>
      </c>
      <c r="S45" t="s">
        <v>92</v>
      </c>
      <c r="U45">
        <v>136</v>
      </c>
      <c r="V45">
        <v>33</v>
      </c>
      <c r="W45" t="s">
        <v>92</v>
      </c>
      <c r="Y45">
        <v>136</v>
      </c>
      <c r="Z45">
        <v>34</v>
      </c>
      <c r="AA45" t="s">
        <v>92</v>
      </c>
      <c r="AC45">
        <v>136</v>
      </c>
      <c r="AD45">
        <v>33</v>
      </c>
      <c r="AE45" t="s">
        <v>181</v>
      </c>
      <c r="AG45">
        <v>136</v>
      </c>
    </row>
    <row r="46" spans="1:35" x14ac:dyDescent="0.45">
      <c r="A46">
        <v>137</v>
      </c>
      <c r="B46">
        <v>37</v>
      </c>
      <c r="C46" t="s">
        <v>75</v>
      </c>
      <c r="E46">
        <v>137</v>
      </c>
      <c r="F46">
        <v>36</v>
      </c>
      <c r="G46" t="s">
        <v>75</v>
      </c>
      <c r="I46">
        <v>137</v>
      </c>
      <c r="J46">
        <v>36</v>
      </c>
      <c r="K46" t="s">
        <v>75</v>
      </c>
      <c r="M46">
        <v>137</v>
      </c>
      <c r="N46">
        <v>36</v>
      </c>
      <c r="O46" t="s">
        <v>75</v>
      </c>
      <c r="Q46">
        <v>137</v>
      </c>
      <c r="R46">
        <v>35</v>
      </c>
      <c r="S46" t="s">
        <v>76</v>
      </c>
      <c r="U46">
        <v>137</v>
      </c>
      <c r="V46">
        <v>34</v>
      </c>
      <c r="W46" t="s">
        <v>76</v>
      </c>
      <c r="Y46">
        <v>137</v>
      </c>
      <c r="Z46">
        <v>35</v>
      </c>
      <c r="AA46" t="s">
        <v>76</v>
      </c>
      <c r="AC46">
        <v>137</v>
      </c>
      <c r="AD46">
        <v>34</v>
      </c>
      <c r="AE46" t="s">
        <v>76</v>
      </c>
      <c r="AG46">
        <v>137</v>
      </c>
      <c r="AH46">
        <v>34</v>
      </c>
      <c r="AI46" t="s">
        <v>76</v>
      </c>
    </row>
    <row r="47" spans="1:35" x14ac:dyDescent="0.45">
      <c r="A47">
        <v>138</v>
      </c>
      <c r="E47">
        <v>138</v>
      </c>
      <c r="F47">
        <v>37</v>
      </c>
      <c r="G47" t="s">
        <v>73</v>
      </c>
      <c r="I47">
        <v>138</v>
      </c>
      <c r="J47">
        <v>37</v>
      </c>
      <c r="K47" t="s">
        <v>73</v>
      </c>
      <c r="M47">
        <v>138</v>
      </c>
      <c r="N47">
        <v>37</v>
      </c>
      <c r="O47" t="s">
        <v>73</v>
      </c>
      <c r="Q47">
        <v>138</v>
      </c>
      <c r="R47">
        <v>36</v>
      </c>
      <c r="S47" t="s">
        <v>175</v>
      </c>
      <c r="U47">
        <v>138</v>
      </c>
      <c r="V47">
        <v>35</v>
      </c>
      <c r="W47" t="s">
        <v>175</v>
      </c>
      <c r="Y47">
        <v>138</v>
      </c>
      <c r="Z47">
        <v>36</v>
      </c>
      <c r="AA47" t="s">
        <v>175</v>
      </c>
      <c r="AC47">
        <v>138</v>
      </c>
      <c r="AD47">
        <v>35</v>
      </c>
      <c r="AE47" t="s">
        <v>175</v>
      </c>
      <c r="AG47">
        <v>138</v>
      </c>
      <c r="AH47">
        <v>35</v>
      </c>
      <c r="AI47" t="s">
        <v>175</v>
      </c>
    </row>
    <row r="48" spans="1:35" x14ac:dyDescent="0.45">
      <c r="A48">
        <v>139</v>
      </c>
      <c r="B48">
        <v>38</v>
      </c>
      <c r="C48" t="s">
        <v>176</v>
      </c>
      <c r="E48">
        <v>139</v>
      </c>
      <c r="F48">
        <v>38</v>
      </c>
      <c r="G48" t="s">
        <v>176</v>
      </c>
      <c r="I48">
        <v>139</v>
      </c>
      <c r="J48">
        <v>38</v>
      </c>
      <c r="K48" t="s">
        <v>176</v>
      </c>
      <c r="M48">
        <v>139</v>
      </c>
      <c r="N48">
        <v>38</v>
      </c>
      <c r="O48" t="s">
        <v>176</v>
      </c>
      <c r="Q48">
        <v>139</v>
      </c>
      <c r="R48">
        <v>37</v>
      </c>
      <c r="S48" t="s">
        <v>75</v>
      </c>
      <c r="U48">
        <v>139</v>
      </c>
      <c r="V48">
        <v>36</v>
      </c>
      <c r="W48" t="s">
        <v>75</v>
      </c>
      <c r="Y48">
        <v>139</v>
      </c>
      <c r="Z48">
        <v>37</v>
      </c>
      <c r="AA48" t="s">
        <v>75</v>
      </c>
      <c r="AC48">
        <v>139</v>
      </c>
      <c r="AD48">
        <v>36</v>
      </c>
      <c r="AE48" t="s">
        <v>75</v>
      </c>
      <c r="AG48">
        <v>139</v>
      </c>
      <c r="AH48">
        <v>36</v>
      </c>
      <c r="AI48" t="s">
        <v>75</v>
      </c>
    </row>
    <row r="49" spans="1:35" x14ac:dyDescent="0.45">
      <c r="A49">
        <v>140</v>
      </c>
      <c r="B49">
        <v>39</v>
      </c>
      <c r="C49" t="s">
        <v>151</v>
      </c>
      <c r="E49">
        <v>140</v>
      </c>
      <c r="F49">
        <v>39</v>
      </c>
      <c r="G49" t="s">
        <v>151</v>
      </c>
      <c r="I49">
        <v>140</v>
      </c>
      <c r="J49">
        <v>39</v>
      </c>
      <c r="K49" t="s">
        <v>151</v>
      </c>
      <c r="M49">
        <v>140</v>
      </c>
      <c r="N49">
        <v>39</v>
      </c>
      <c r="O49" t="s">
        <v>151</v>
      </c>
      <c r="Q49">
        <v>140</v>
      </c>
      <c r="U49">
        <v>140</v>
      </c>
      <c r="V49">
        <v>37</v>
      </c>
      <c r="W49" t="s">
        <v>73</v>
      </c>
      <c r="Y49">
        <v>140</v>
      </c>
      <c r="Z49">
        <v>38</v>
      </c>
      <c r="AA49" t="s">
        <v>73</v>
      </c>
      <c r="AC49">
        <v>140</v>
      </c>
      <c r="AD49">
        <v>37</v>
      </c>
      <c r="AE49" t="s">
        <v>73</v>
      </c>
      <c r="AG49">
        <v>140</v>
      </c>
      <c r="AH49">
        <v>37</v>
      </c>
      <c r="AI49" t="s">
        <v>73</v>
      </c>
    </row>
    <row r="50" spans="1:35" x14ac:dyDescent="0.45">
      <c r="A50">
        <v>141</v>
      </c>
      <c r="B50">
        <v>40</v>
      </c>
      <c r="C50" t="s">
        <v>177</v>
      </c>
      <c r="E50">
        <v>141</v>
      </c>
      <c r="F50">
        <v>40</v>
      </c>
      <c r="G50" t="s">
        <v>177</v>
      </c>
      <c r="I50">
        <v>141</v>
      </c>
      <c r="J50">
        <v>40</v>
      </c>
      <c r="K50" t="s">
        <v>89</v>
      </c>
      <c r="M50">
        <v>141</v>
      </c>
      <c r="N50">
        <v>40</v>
      </c>
      <c r="O50" t="s">
        <v>177</v>
      </c>
      <c r="Q50">
        <v>141</v>
      </c>
      <c r="R50">
        <v>38</v>
      </c>
      <c r="S50" t="s">
        <v>176</v>
      </c>
      <c r="U50">
        <v>141</v>
      </c>
      <c r="V50">
        <v>38</v>
      </c>
      <c r="W50" t="s">
        <v>176</v>
      </c>
      <c r="Y50">
        <v>141</v>
      </c>
      <c r="Z50">
        <v>39</v>
      </c>
      <c r="AA50" t="s">
        <v>176</v>
      </c>
      <c r="AC50">
        <v>141</v>
      </c>
      <c r="AD50">
        <v>38</v>
      </c>
      <c r="AE50" t="s">
        <v>176</v>
      </c>
      <c r="AG50">
        <v>141</v>
      </c>
      <c r="AH50">
        <v>38</v>
      </c>
      <c r="AI50" t="s">
        <v>176</v>
      </c>
    </row>
    <row r="51" spans="1:35" x14ac:dyDescent="0.45">
      <c r="A51">
        <v>142</v>
      </c>
      <c r="B51">
        <v>41</v>
      </c>
      <c r="C51" t="s">
        <v>68</v>
      </c>
      <c r="E51">
        <v>142</v>
      </c>
      <c r="F51">
        <v>41</v>
      </c>
      <c r="G51" t="s">
        <v>68</v>
      </c>
      <c r="I51">
        <v>142</v>
      </c>
      <c r="J51">
        <v>41</v>
      </c>
      <c r="K51" t="s">
        <v>68</v>
      </c>
      <c r="M51">
        <v>142</v>
      </c>
      <c r="N51">
        <v>41</v>
      </c>
      <c r="O51" t="s">
        <v>68</v>
      </c>
      <c r="Q51">
        <v>142</v>
      </c>
      <c r="R51">
        <v>39</v>
      </c>
      <c r="S51" t="s">
        <v>151</v>
      </c>
      <c r="U51">
        <v>142</v>
      </c>
      <c r="V51">
        <v>39</v>
      </c>
      <c r="W51" t="s">
        <v>151</v>
      </c>
      <c r="Y51">
        <v>142</v>
      </c>
      <c r="Z51">
        <v>40</v>
      </c>
      <c r="AA51" t="s">
        <v>151</v>
      </c>
      <c r="AC51">
        <v>142</v>
      </c>
      <c r="AD51">
        <v>39</v>
      </c>
      <c r="AE51" t="s">
        <v>151</v>
      </c>
      <c r="AG51">
        <v>142</v>
      </c>
      <c r="AH51">
        <v>39</v>
      </c>
      <c r="AI51" t="s">
        <v>151</v>
      </c>
    </row>
    <row r="52" spans="1:35" x14ac:dyDescent="0.45">
      <c r="A52">
        <v>143</v>
      </c>
      <c r="B52">
        <v>42</v>
      </c>
      <c r="C52" t="s">
        <v>67</v>
      </c>
      <c r="E52">
        <v>143</v>
      </c>
      <c r="F52">
        <v>42</v>
      </c>
      <c r="G52" t="s">
        <v>67</v>
      </c>
      <c r="I52">
        <v>143</v>
      </c>
      <c r="J52">
        <v>42</v>
      </c>
      <c r="K52" t="s">
        <v>67</v>
      </c>
      <c r="M52">
        <v>143</v>
      </c>
      <c r="N52">
        <v>42</v>
      </c>
      <c r="O52" t="s">
        <v>67</v>
      </c>
      <c r="Q52">
        <v>143</v>
      </c>
      <c r="R52">
        <v>40</v>
      </c>
      <c r="S52" t="s">
        <v>177</v>
      </c>
      <c r="U52">
        <v>143</v>
      </c>
      <c r="V52">
        <v>40</v>
      </c>
      <c r="W52" t="s">
        <v>177</v>
      </c>
      <c r="Y52">
        <v>143</v>
      </c>
      <c r="AC52">
        <v>143</v>
      </c>
      <c r="AD52">
        <v>40</v>
      </c>
      <c r="AE52" t="s">
        <v>177</v>
      </c>
      <c r="AG52">
        <v>143</v>
      </c>
      <c r="AH52">
        <v>40</v>
      </c>
      <c r="AI52" t="s">
        <v>177</v>
      </c>
    </row>
    <row r="53" spans="1:35" x14ac:dyDescent="0.45">
      <c r="A53">
        <v>144</v>
      </c>
      <c r="B53">
        <v>43</v>
      </c>
      <c r="C53" t="s">
        <v>178</v>
      </c>
      <c r="E53">
        <v>144</v>
      </c>
      <c r="F53">
        <v>43</v>
      </c>
      <c r="G53" t="s">
        <v>178</v>
      </c>
      <c r="I53">
        <v>144</v>
      </c>
      <c r="J53">
        <v>43</v>
      </c>
      <c r="K53" t="s">
        <v>178</v>
      </c>
      <c r="M53">
        <v>144</v>
      </c>
      <c r="N53">
        <v>43</v>
      </c>
      <c r="O53" t="s">
        <v>178</v>
      </c>
      <c r="Q53">
        <v>144</v>
      </c>
      <c r="R53">
        <v>41</v>
      </c>
      <c r="S53" t="s">
        <v>68</v>
      </c>
      <c r="U53">
        <v>144</v>
      </c>
      <c r="V53">
        <v>41</v>
      </c>
      <c r="W53" t="s">
        <v>68</v>
      </c>
      <c r="Y53">
        <v>144</v>
      </c>
      <c r="Z53">
        <v>41</v>
      </c>
      <c r="AA53" t="s">
        <v>68</v>
      </c>
      <c r="AC53">
        <v>144</v>
      </c>
      <c r="AD53">
        <v>41</v>
      </c>
      <c r="AE53" t="s">
        <v>68</v>
      </c>
      <c r="AG53">
        <v>144</v>
      </c>
      <c r="AH53">
        <v>41</v>
      </c>
      <c r="AI53" t="s">
        <v>68</v>
      </c>
    </row>
  </sheetData>
  <pageMargins left="0.70866141732283472" right="0.70866141732283472" top="0.74803149606299213" bottom="0.7480314960629921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0494D-6CAA-4344-B4ED-F60C6ABB7DEB}">
  <sheetPr>
    <tabColor theme="7"/>
  </sheetPr>
  <dimension ref="A1:AI94"/>
  <sheetViews>
    <sheetView zoomScale="41" zoomScaleNormal="41" workbookViewId="0"/>
  </sheetViews>
  <sheetFormatPr defaultRowHeight="14.25" x14ac:dyDescent="0.45"/>
  <cols>
    <col min="2" max="2" width="10.73046875" bestFit="1" customWidth="1"/>
    <col min="3" max="3" width="19.73046875" bestFit="1" customWidth="1"/>
    <col min="6" max="6" width="10.73046875" bestFit="1" customWidth="1"/>
    <col min="7" max="7" width="19.73046875" bestFit="1" customWidth="1"/>
    <col min="10" max="10" width="10.73046875" bestFit="1" customWidth="1"/>
    <col min="11" max="11" width="19.73046875" bestFit="1" customWidth="1"/>
    <col min="14" max="14" width="10.73046875" bestFit="1" customWidth="1"/>
    <col min="15" max="15" width="19.73046875" bestFit="1" customWidth="1"/>
    <col min="18" max="18" width="10.73046875" bestFit="1" customWidth="1"/>
    <col min="19" max="19" width="19.73046875" bestFit="1" customWidth="1"/>
    <col min="22" max="22" width="10.73046875" bestFit="1" customWidth="1"/>
    <col min="26" max="26" width="10.73046875" bestFit="1" customWidth="1"/>
    <col min="27" max="27" width="11.265625" bestFit="1" customWidth="1"/>
    <col min="30" max="30" width="10.73046875" bestFit="1" customWidth="1"/>
  </cols>
  <sheetData>
    <row r="1" spans="1:35" x14ac:dyDescent="0.45">
      <c r="F1" s="38"/>
      <c r="G1" s="38"/>
      <c r="H1" s="38"/>
      <c r="I1" s="38"/>
      <c r="J1" s="38"/>
      <c r="K1" s="38"/>
      <c r="L1" s="38"/>
      <c r="M1" s="38"/>
      <c r="N1" s="38"/>
      <c r="O1" s="38"/>
    </row>
    <row r="2" spans="1:35" x14ac:dyDescent="0.45">
      <c r="A2" t="s">
        <v>578</v>
      </c>
      <c r="E2" s="38"/>
      <c r="F2" s="38"/>
      <c r="G2" s="38"/>
      <c r="H2" s="38"/>
      <c r="I2" s="38"/>
      <c r="J2" s="38"/>
      <c r="K2" s="38"/>
      <c r="L2" s="38"/>
      <c r="M2" s="38"/>
      <c r="N2" s="38"/>
      <c r="O2" s="38"/>
    </row>
    <row r="3" spans="1:35" ht="14.65" x14ac:dyDescent="0.45">
      <c r="A3" t="s">
        <v>579</v>
      </c>
      <c r="F3" s="38"/>
      <c r="G3" s="38"/>
      <c r="H3" s="38"/>
      <c r="I3" s="38"/>
      <c r="J3" s="38"/>
      <c r="K3" s="38"/>
      <c r="L3" s="38"/>
      <c r="M3" s="38"/>
      <c r="N3" s="38"/>
      <c r="O3" s="38"/>
    </row>
    <row r="4" spans="1:35" x14ac:dyDescent="0.45">
      <c r="F4" s="38"/>
      <c r="G4" s="38"/>
      <c r="H4" s="38"/>
      <c r="I4" s="38"/>
      <c r="J4" s="38"/>
      <c r="K4" s="38"/>
      <c r="L4" s="38"/>
      <c r="M4" s="38"/>
      <c r="N4" s="38"/>
      <c r="O4" s="38"/>
    </row>
    <row r="5" spans="1:35" x14ac:dyDescent="0.45">
      <c r="A5" t="s">
        <v>122</v>
      </c>
      <c r="F5" s="38"/>
      <c r="G5" s="38"/>
      <c r="H5" s="38"/>
      <c r="I5" s="38"/>
      <c r="J5" s="38"/>
      <c r="K5" s="38"/>
      <c r="L5" s="38"/>
      <c r="M5" s="38"/>
      <c r="N5" s="38"/>
      <c r="O5" s="38"/>
      <c r="Q5" t="s">
        <v>288</v>
      </c>
    </row>
    <row r="7" spans="1:35" x14ac:dyDescent="0.45">
      <c r="A7" t="s">
        <v>153</v>
      </c>
      <c r="E7" t="s">
        <v>154</v>
      </c>
      <c r="I7" t="s">
        <v>155</v>
      </c>
      <c r="M7" t="s">
        <v>110</v>
      </c>
      <c r="Q7" t="s">
        <v>153</v>
      </c>
      <c r="U7" t="s">
        <v>154</v>
      </c>
      <c r="Y7" t="s">
        <v>155</v>
      </c>
      <c r="AC7" t="s">
        <v>110</v>
      </c>
    </row>
    <row r="9" spans="1:35" x14ac:dyDescent="0.45">
      <c r="A9" t="s">
        <v>121</v>
      </c>
      <c r="B9" t="s">
        <v>123</v>
      </c>
      <c r="C9" t="s">
        <v>50</v>
      </c>
      <c r="E9" t="s">
        <v>121</v>
      </c>
      <c r="F9" t="s">
        <v>123</v>
      </c>
      <c r="G9" t="s">
        <v>50</v>
      </c>
      <c r="I9" t="s">
        <v>121</v>
      </c>
      <c r="J9" t="s">
        <v>123</v>
      </c>
      <c r="K9" t="s">
        <v>50</v>
      </c>
      <c r="M9" t="s">
        <v>121</v>
      </c>
      <c r="N9" t="s">
        <v>123</v>
      </c>
      <c r="O9" t="s">
        <v>50</v>
      </c>
      <c r="Q9" t="s">
        <v>121</v>
      </c>
      <c r="R9" t="s">
        <v>123</v>
      </c>
      <c r="S9" t="s">
        <v>50</v>
      </c>
      <c r="U9" t="s">
        <v>121</v>
      </c>
      <c r="V9" t="s">
        <v>123</v>
      </c>
      <c r="W9" t="s">
        <v>50</v>
      </c>
      <c r="Y9" t="s">
        <v>121</v>
      </c>
      <c r="Z9" t="s">
        <v>123</v>
      </c>
      <c r="AA9" t="s">
        <v>50</v>
      </c>
      <c r="AC9" t="s">
        <v>121</v>
      </c>
      <c r="AD9" t="s">
        <v>123</v>
      </c>
      <c r="AE9" t="s">
        <v>50</v>
      </c>
    </row>
    <row r="10" spans="1:35" x14ac:dyDescent="0.45">
      <c r="A10">
        <v>1</v>
      </c>
      <c r="B10">
        <v>1</v>
      </c>
      <c r="C10" t="s">
        <v>156</v>
      </c>
      <c r="E10">
        <v>1</v>
      </c>
      <c r="F10">
        <v>1</v>
      </c>
      <c r="G10" t="s">
        <v>156</v>
      </c>
      <c r="I10">
        <v>1</v>
      </c>
      <c r="J10">
        <v>1</v>
      </c>
      <c r="K10" t="s">
        <v>156</v>
      </c>
      <c r="M10">
        <v>1</v>
      </c>
      <c r="N10">
        <v>1</v>
      </c>
      <c r="O10" t="s">
        <v>156</v>
      </c>
      <c r="Q10">
        <v>1</v>
      </c>
      <c r="R10">
        <v>1</v>
      </c>
      <c r="S10" t="s">
        <v>156</v>
      </c>
      <c r="U10">
        <v>1</v>
      </c>
      <c r="V10">
        <v>1</v>
      </c>
      <c r="W10" t="s">
        <v>156</v>
      </c>
      <c r="Y10">
        <v>1</v>
      </c>
      <c r="Z10">
        <v>1</v>
      </c>
      <c r="AA10" t="s">
        <v>156</v>
      </c>
      <c r="AC10">
        <v>1</v>
      </c>
      <c r="AD10">
        <v>1</v>
      </c>
      <c r="AE10" t="s">
        <v>156</v>
      </c>
    </row>
    <row r="11" spans="1:35" x14ac:dyDescent="0.45">
      <c r="A11">
        <v>2</v>
      </c>
      <c r="B11">
        <v>2</v>
      </c>
      <c r="C11" t="s">
        <v>580</v>
      </c>
      <c r="E11">
        <v>2</v>
      </c>
      <c r="F11">
        <v>2</v>
      </c>
      <c r="G11" t="s">
        <v>580</v>
      </c>
      <c r="I11">
        <v>2</v>
      </c>
      <c r="J11">
        <v>2</v>
      </c>
      <c r="K11" t="s">
        <v>580</v>
      </c>
      <c r="M11">
        <v>2</v>
      </c>
      <c r="N11">
        <v>2</v>
      </c>
      <c r="O11" t="s">
        <v>580</v>
      </c>
      <c r="Q11">
        <v>2</v>
      </c>
      <c r="R11">
        <v>2</v>
      </c>
      <c r="S11" t="s">
        <v>580</v>
      </c>
      <c r="U11">
        <v>2</v>
      </c>
      <c r="V11">
        <v>2</v>
      </c>
      <c r="W11" t="s">
        <v>580</v>
      </c>
      <c r="Y11">
        <v>2</v>
      </c>
      <c r="Z11">
        <v>2</v>
      </c>
      <c r="AA11" t="s">
        <v>580</v>
      </c>
      <c r="AC11">
        <v>2</v>
      </c>
      <c r="AD11">
        <v>2</v>
      </c>
      <c r="AE11" t="s">
        <v>580</v>
      </c>
    </row>
    <row r="12" spans="1:35" x14ac:dyDescent="0.45">
      <c r="A12">
        <v>3</v>
      </c>
      <c r="B12">
        <v>3</v>
      </c>
      <c r="C12" t="s">
        <v>55</v>
      </c>
      <c r="E12">
        <v>3</v>
      </c>
      <c r="F12">
        <v>3</v>
      </c>
      <c r="G12" t="s">
        <v>179</v>
      </c>
      <c r="I12">
        <v>3</v>
      </c>
      <c r="J12">
        <v>3</v>
      </c>
      <c r="K12" t="s">
        <v>180</v>
      </c>
      <c r="M12">
        <v>3</v>
      </c>
      <c r="N12">
        <v>3</v>
      </c>
      <c r="O12" t="s">
        <v>55</v>
      </c>
      <c r="Q12">
        <v>3</v>
      </c>
      <c r="R12">
        <v>3</v>
      </c>
      <c r="S12" t="s">
        <v>55</v>
      </c>
      <c r="U12">
        <v>3</v>
      </c>
      <c r="V12">
        <v>3</v>
      </c>
      <c r="W12" t="s">
        <v>179</v>
      </c>
      <c r="Y12">
        <v>3</v>
      </c>
      <c r="Z12">
        <v>3</v>
      </c>
      <c r="AA12" t="s">
        <v>180</v>
      </c>
      <c r="AC12">
        <v>3</v>
      </c>
      <c r="AD12">
        <v>3</v>
      </c>
      <c r="AE12" t="s">
        <v>55</v>
      </c>
    </row>
    <row r="13" spans="1:35" x14ac:dyDescent="0.45">
      <c r="A13">
        <v>4</v>
      </c>
      <c r="B13">
        <v>4</v>
      </c>
      <c r="C13" t="s">
        <v>118</v>
      </c>
      <c r="E13">
        <v>4</v>
      </c>
      <c r="F13" s="38">
        <v>4</v>
      </c>
      <c r="G13" s="38" t="s">
        <v>118</v>
      </c>
      <c r="H13" s="38"/>
      <c r="I13" s="38">
        <v>4</v>
      </c>
      <c r="J13" s="38">
        <v>4</v>
      </c>
      <c r="K13" s="38" t="s">
        <v>118</v>
      </c>
      <c r="L13" s="38"/>
      <c r="M13" s="38">
        <v>4</v>
      </c>
      <c r="N13" s="38">
        <v>4</v>
      </c>
      <c r="O13" s="38" t="s">
        <v>92</v>
      </c>
      <c r="P13" s="38"/>
      <c r="Q13" s="38">
        <v>4</v>
      </c>
      <c r="R13" s="38">
        <v>4</v>
      </c>
      <c r="S13" s="38" t="s">
        <v>118</v>
      </c>
      <c r="T13" s="38"/>
      <c r="U13" s="38">
        <v>4</v>
      </c>
      <c r="V13" s="38">
        <v>4</v>
      </c>
      <c r="W13" s="38" t="s">
        <v>118</v>
      </c>
      <c r="X13" s="38"/>
      <c r="Y13" s="38">
        <v>4</v>
      </c>
      <c r="Z13" s="38">
        <v>4</v>
      </c>
      <c r="AA13" s="38" t="s">
        <v>118</v>
      </c>
      <c r="AB13" s="38"/>
      <c r="AC13" s="38">
        <v>4</v>
      </c>
      <c r="AD13" s="38">
        <v>4</v>
      </c>
      <c r="AE13" s="38" t="s">
        <v>92</v>
      </c>
      <c r="AF13" s="38"/>
      <c r="AG13" s="38"/>
      <c r="AH13" s="38"/>
      <c r="AI13" s="38"/>
    </row>
    <row r="14" spans="1:35" x14ac:dyDescent="0.45">
      <c r="A14">
        <v>5</v>
      </c>
      <c r="B14">
        <v>5</v>
      </c>
      <c r="C14" t="s">
        <v>82</v>
      </c>
      <c r="E14">
        <v>5</v>
      </c>
      <c r="F14" s="38">
        <v>5</v>
      </c>
      <c r="G14" s="38" t="s">
        <v>82</v>
      </c>
      <c r="H14" s="38"/>
      <c r="I14" s="38">
        <v>5</v>
      </c>
      <c r="J14" s="38">
        <v>5</v>
      </c>
      <c r="K14" s="38" t="s">
        <v>82</v>
      </c>
      <c r="L14" s="38"/>
      <c r="M14" s="38">
        <v>5</v>
      </c>
      <c r="N14" s="38">
        <v>5</v>
      </c>
      <c r="O14" s="38" t="s">
        <v>82</v>
      </c>
      <c r="P14" s="38"/>
      <c r="Q14" s="38">
        <v>5</v>
      </c>
      <c r="R14" s="38">
        <v>5</v>
      </c>
      <c r="S14" s="38" t="s">
        <v>82</v>
      </c>
      <c r="T14" s="38"/>
      <c r="U14" s="38">
        <v>5</v>
      </c>
      <c r="V14" s="38">
        <v>5</v>
      </c>
      <c r="W14" s="38" t="s">
        <v>82</v>
      </c>
      <c r="X14" s="38"/>
      <c r="Y14" s="38">
        <v>5</v>
      </c>
      <c r="Z14" s="38">
        <v>5</v>
      </c>
      <c r="AA14" s="38" t="s">
        <v>82</v>
      </c>
      <c r="AB14" s="38"/>
      <c r="AC14" s="38">
        <v>5</v>
      </c>
      <c r="AD14" s="38">
        <v>5</v>
      </c>
      <c r="AE14" s="38" t="s">
        <v>82</v>
      </c>
      <c r="AF14" s="38"/>
      <c r="AG14" s="38"/>
      <c r="AH14" s="38"/>
      <c r="AI14" s="38"/>
    </row>
    <row r="15" spans="1:35" x14ac:dyDescent="0.45">
      <c r="A15">
        <v>6</v>
      </c>
      <c r="B15">
        <v>6</v>
      </c>
      <c r="C15" t="s">
        <v>57</v>
      </c>
      <c r="E15">
        <v>6</v>
      </c>
      <c r="F15" s="38">
        <v>6</v>
      </c>
      <c r="G15" s="38" t="s">
        <v>57</v>
      </c>
      <c r="H15" s="38"/>
      <c r="I15" s="38">
        <v>6</v>
      </c>
      <c r="J15" s="38">
        <v>6</v>
      </c>
      <c r="K15" s="38" t="s">
        <v>57</v>
      </c>
      <c r="L15" s="38"/>
      <c r="M15" s="38">
        <v>6</v>
      </c>
      <c r="N15" s="38">
        <v>6</v>
      </c>
      <c r="O15" s="38" t="s">
        <v>57</v>
      </c>
      <c r="P15" s="38"/>
      <c r="Q15" s="38">
        <v>6</v>
      </c>
      <c r="R15" s="38">
        <v>6</v>
      </c>
      <c r="S15" s="38" t="s">
        <v>57</v>
      </c>
      <c r="T15" s="38"/>
      <c r="U15" s="38">
        <v>6</v>
      </c>
      <c r="V15" s="38">
        <v>6</v>
      </c>
      <c r="W15" s="38" t="s">
        <v>57</v>
      </c>
      <c r="X15" s="38"/>
      <c r="Y15" s="38">
        <v>6</v>
      </c>
      <c r="Z15" s="38">
        <v>6</v>
      </c>
      <c r="AA15" s="38" t="s">
        <v>57</v>
      </c>
      <c r="AB15" s="38"/>
      <c r="AC15" s="38">
        <v>6</v>
      </c>
      <c r="AD15" s="38">
        <v>6</v>
      </c>
      <c r="AE15" s="38" t="s">
        <v>57</v>
      </c>
      <c r="AF15" s="38"/>
      <c r="AG15" s="38"/>
      <c r="AH15" s="38"/>
      <c r="AI15" s="38"/>
    </row>
    <row r="16" spans="1:35" x14ac:dyDescent="0.45">
      <c r="A16">
        <v>7</v>
      </c>
      <c r="E16">
        <v>7</v>
      </c>
      <c r="F16" s="38">
        <v>7</v>
      </c>
      <c r="G16" s="38" t="s">
        <v>581</v>
      </c>
      <c r="H16" s="38"/>
      <c r="I16" s="38">
        <v>7</v>
      </c>
      <c r="J16" s="38">
        <v>7</v>
      </c>
      <c r="K16" s="38" t="s">
        <v>89</v>
      </c>
      <c r="L16" s="38"/>
      <c r="M16" s="38">
        <v>7</v>
      </c>
      <c r="N16" s="38">
        <v>7</v>
      </c>
      <c r="O16" s="38" t="s">
        <v>118</v>
      </c>
      <c r="P16" s="38"/>
      <c r="Q16" s="38">
        <v>7</v>
      </c>
      <c r="R16" s="38"/>
      <c r="S16" s="38"/>
      <c r="T16" s="38"/>
      <c r="U16" s="38">
        <v>7</v>
      </c>
      <c r="V16" s="38">
        <v>7</v>
      </c>
      <c r="W16" s="38" t="s">
        <v>581</v>
      </c>
      <c r="X16" s="38"/>
      <c r="Y16" s="38">
        <v>7</v>
      </c>
      <c r="Z16" s="38">
        <v>7</v>
      </c>
      <c r="AA16" s="38" t="s">
        <v>89</v>
      </c>
      <c r="AB16" s="38"/>
      <c r="AC16" s="38">
        <v>7</v>
      </c>
      <c r="AD16" s="38">
        <v>7</v>
      </c>
      <c r="AE16" s="38" t="s">
        <v>118</v>
      </c>
      <c r="AF16" s="38"/>
      <c r="AG16" s="38"/>
      <c r="AH16" s="38"/>
      <c r="AI16" s="38"/>
    </row>
    <row r="17" spans="1:35" x14ac:dyDescent="0.45">
      <c r="A17">
        <v>8</v>
      </c>
      <c r="B17">
        <v>7</v>
      </c>
      <c r="C17" t="s">
        <v>163</v>
      </c>
      <c r="E17">
        <v>8</v>
      </c>
      <c r="F17" s="38"/>
      <c r="G17" s="38"/>
      <c r="H17" s="38"/>
      <c r="I17" s="38">
        <v>8</v>
      </c>
      <c r="J17" s="38">
        <v>8</v>
      </c>
      <c r="K17" s="38" t="s">
        <v>582</v>
      </c>
      <c r="L17" s="38"/>
      <c r="M17" s="38">
        <v>8</v>
      </c>
      <c r="N17" s="38">
        <v>8</v>
      </c>
      <c r="O17" s="38" t="s">
        <v>583</v>
      </c>
      <c r="P17" s="38"/>
      <c r="Q17" s="38">
        <v>8</v>
      </c>
      <c r="R17" s="38">
        <v>7</v>
      </c>
      <c r="S17" s="38" t="s">
        <v>163</v>
      </c>
      <c r="T17" s="38"/>
      <c r="U17" s="38">
        <v>8</v>
      </c>
      <c r="V17" s="38"/>
      <c r="W17" s="38"/>
      <c r="X17" s="38"/>
      <c r="Y17" s="38">
        <v>8</v>
      </c>
      <c r="Z17" s="38">
        <v>8</v>
      </c>
      <c r="AA17" s="38" t="s">
        <v>582</v>
      </c>
      <c r="AB17" s="38"/>
      <c r="AC17" s="38">
        <v>8</v>
      </c>
      <c r="AD17" s="38">
        <v>8</v>
      </c>
      <c r="AE17" s="38" t="s">
        <v>583</v>
      </c>
      <c r="AF17" s="38"/>
      <c r="AG17" s="38"/>
      <c r="AH17" s="38"/>
      <c r="AI17" s="38"/>
    </row>
    <row r="18" spans="1:35" x14ac:dyDescent="0.45">
      <c r="A18">
        <v>9</v>
      </c>
      <c r="B18">
        <v>8</v>
      </c>
      <c r="C18" t="s">
        <v>120</v>
      </c>
      <c r="E18">
        <v>9</v>
      </c>
      <c r="F18" s="38">
        <v>8</v>
      </c>
      <c r="G18" s="38" t="s">
        <v>120</v>
      </c>
      <c r="H18" s="38"/>
      <c r="I18" s="38">
        <v>9</v>
      </c>
      <c r="J18" s="38">
        <v>9</v>
      </c>
      <c r="K18" s="38" t="s">
        <v>51</v>
      </c>
      <c r="L18" s="38"/>
      <c r="M18" s="38">
        <v>9</v>
      </c>
      <c r="N18" s="38">
        <v>9</v>
      </c>
      <c r="O18" s="38" t="s">
        <v>120</v>
      </c>
      <c r="P18" s="38"/>
      <c r="Q18" s="38">
        <v>9</v>
      </c>
      <c r="R18" s="38">
        <v>8</v>
      </c>
      <c r="S18" s="38" t="s">
        <v>120</v>
      </c>
      <c r="T18" s="38"/>
      <c r="U18" s="38">
        <v>9</v>
      </c>
      <c r="V18" s="38">
        <v>8</v>
      </c>
      <c r="W18" s="38" t="s">
        <v>120</v>
      </c>
      <c r="X18" s="38"/>
      <c r="Y18" s="38">
        <v>9</v>
      </c>
      <c r="Z18" s="38">
        <v>9</v>
      </c>
      <c r="AA18" s="38" t="s">
        <v>51</v>
      </c>
      <c r="AB18" s="38"/>
      <c r="AC18" s="38">
        <v>9</v>
      </c>
      <c r="AD18" s="38">
        <v>9</v>
      </c>
      <c r="AE18" s="38" t="s">
        <v>120</v>
      </c>
      <c r="AF18" s="38"/>
      <c r="AG18" s="38"/>
      <c r="AH18" s="38"/>
      <c r="AI18" s="38"/>
    </row>
    <row r="19" spans="1:35" x14ac:dyDescent="0.45">
      <c r="A19">
        <v>10</v>
      </c>
      <c r="B19">
        <v>9</v>
      </c>
      <c r="C19" t="s">
        <v>59</v>
      </c>
      <c r="E19">
        <v>10</v>
      </c>
      <c r="F19" s="38">
        <v>9</v>
      </c>
      <c r="G19" s="38" t="s">
        <v>59</v>
      </c>
      <c r="H19" s="38"/>
      <c r="I19" s="38">
        <v>10</v>
      </c>
      <c r="J19" s="38">
        <v>10</v>
      </c>
      <c r="K19" s="38" t="s">
        <v>59</v>
      </c>
      <c r="L19" s="38"/>
      <c r="M19" s="38">
        <v>10</v>
      </c>
      <c r="N19" s="38">
        <v>10</v>
      </c>
      <c r="O19" s="38" t="s">
        <v>59</v>
      </c>
      <c r="P19" s="38"/>
      <c r="Q19" s="38">
        <v>10</v>
      </c>
      <c r="R19" s="38">
        <v>9</v>
      </c>
      <c r="S19" s="38" t="s">
        <v>59</v>
      </c>
      <c r="T19" s="38"/>
      <c r="U19" s="38">
        <v>10</v>
      </c>
      <c r="V19" s="38">
        <v>9</v>
      </c>
      <c r="W19" s="38" t="s">
        <v>59</v>
      </c>
      <c r="X19" s="38"/>
      <c r="Y19" s="38">
        <v>10</v>
      </c>
      <c r="Z19" s="38">
        <v>10</v>
      </c>
      <c r="AA19" s="38" t="s">
        <v>59</v>
      </c>
      <c r="AB19" s="38"/>
      <c r="AC19" s="38">
        <v>10</v>
      </c>
      <c r="AD19" s="38">
        <v>10</v>
      </c>
      <c r="AE19" s="38" t="s">
        <v>59</v>
      </c>
      <c r="AF19" s="38"/>
      <c r="AG19" s="38"/>
      <c r="AH19" s="38"/>
      <c r="AI19" s="38"/>
    </row>
    <row r="20" spans="1:35" x14ac:dyDescent="0.45">
      <c r="A20">
        <v>11</v>
      </c>
      <c r="B20">
        <v>10</v>
      </c>
      <c r="C20" t="s">
        <v>63</v>
      </c>
      <c r="E20">
        <v>11</v>
      </c>
      <c r="F20" s="38">
        <v>10</v>
      </c>
      <c r="G20" s="38" t="s">
        <v>63</v>
      </c>
      <c r="H20" s="38"/>
      <c r="I20" s="38">
        <v>11</v>
      </c>
      <c r="J20" s="38">
        <v>11</v>
      </c>
      <c r="K20" s="38" t="s">
        <v>63</v>
      </c>
      <c r="L20" s="38"/>
      <c r="M20" s="38">
        <v>11</v>
      </c>
      <c r="N20" s="38">
        <v>11</v>
      </c>
      <c r="O20" s="38" t="s">
        <v>63</v>
      </c>
      <c r="P20" s="38"/>
      <c r="Q20" s="38">
        <v>11</v>
      </c>
      <c r="R20" s="38">
        <v>10</v>
      </c>
      <c r="S20" s="38" t="s">
        <v>63</v>
      </c>
      <c r="T20" s="38"/>
      <c r="U20" s="38">
        <v>11</v>
      </c>
      <c r="V20" s="38">
        <v>10</v>
      </c>
      <c r="W20" s="38" t="s">
        <v>63</v>
      </c>
      <c r="X20" s="38"/>
      <c r="Y20" s="38">
        <v>11</v>
      </c>
      <c r="Z20" s="38">
        <v>11</v>
      </c>
      <c r="AA20" s="38" t="s">
        <v>63</v>
      </c>
      <c r="AB20" s="38"/>
      <c r="AC20" s="38">
        <v>11</v>
      </c>
      <c r="AD20" s="38">
        <v>11</v>
      </c>
      <c r="AE20" s="38" t="s">
        <v>63</v>
      </c>
      <c r="AF20" s="38"/>
      <c r="AG20" s="38"/>
      <c r="AH20" s="38"/>
      <c r="AI20" s="38"/>
    </row>
    <row r="21" spans="1:35" x14ac:dyDescent="0.45">
      <c r="A21">
        <v>12</v>
      </c>
      <c r="B21">
        <v>11</v>
      </c>
      <c r="C21" t="s">
        <v>66</v>
      </c>
      <c r="E21">
        <v>12</v>
      </c>
      <c r="F21" s="38">
        <v>11</v>
      </c>
      <c r="G21" s="38" t="s">
        <v>66</v>
      </c>
      <c r="H21" s="38"/>
      <c r="I21" s="38">
        <v>12</v>
      </c>
      <c r="J21" s="38">
        <v>12</v>
      </c>
      <c r="K21" s="38" t="s">
        <v>66</v>
      </c>
      <c r="L21" s="38"/>
      <c r="M21" s="38">
        <v>12</v>
      </c>
      <c r="N21" s="38">
        <v>12</v>
      </c>
      <c r="O21" s="38" t="s">
        <v>66</v>
      </c>
      <c r="P21" s="38"/>
      <c r="Q21" s="38">
        <v>12</v>
      </c>
      <c r="R21" s="38">
        <v>11</v>
      </c>
      <c r="S21" s="38" t="s">
        <v>66</v>
      </c>
      <c r="T21" s="38"/>
      <c r="U21" s="38">
        <v>12</v>
      </c>
      <c r="V21" s="38">
        <v>11</v>
      </c>
      <c r="W21" s="38" t="s">
        <v>66</v>
      </c>
      <c r="X21" s="38"/>
      <c r="Y21" s="38">
        <v>12</v>
      </c>
      <c r="Z21" s="38">
        <v>12</v>
      </c>
      <c r="AA21" s="38" t="s">
        <v>66</v>
      </c>
      <c r="AB21" s="38"/>
      <c r="AC21" s="38">
        <v>12</v>
      </c>
      <c r="AD21" s="38">
        <v>12</v>
      </c>
      <c r="AE21" s="38" t="s">
        <v>66</v>
      </c>
      <c r="AF21" s="38"/>
      <c r="AG21" s="38"/>
      <c r="AH21" s="38"/>
      <c r="AI21" s="38"/>
    </row>
    <row r="22" spans="1:35" x14ac:dyDescent="0.45">
      <c r="A22">
        <v>13</v>
      </c>
      <c r="B22">
        <v>12</v>
      </c>
      <c r="C22" t="s">
        <v>74</v>
      </c>
      <c r="E22">
        <v>13</v>
      </c>
      <c r="F22">
        <v>12</v>
      </c>
      <c r="G22" t="s">
        <v>74</v>
      </c>
      <c r="I22">
        <v>13</v>
      </c>
      <c r="J22">
        <v>13</v>
      </c>
      <c r="K22" t="s">
        <v>74</v>
      </c>
      <c r="M22">
        <v>13</v>
      </c>
      <c r="N22">
        <v>13</v>
      </c>
      <c r="O22" t="s">
        <v>74</v>
      </c>
      <c r="Q22">
        <v>13</v>
      </c>
      <c r="R22">
        <v>12</v>
      </c>
      <c r="S22" t="s">
        <v>74</v>
      </c>
      <c r="U22">
        <v>13</v>
      </c>
      <c r="V22">
        <v>12</v>
      </c>
      <c r="W22" t="s">
        <v>74</v>
      </c>
      <c r="Y22">
        <v>13</v>
      </c>
      <c r="Z22">
        <v>13</v>
      </c>
      <c r="AA22" t="s">
        <v>74</v>
      </c>
      <c r="AC22">
        <v>13</v>
      </c>
      <c r="AD22">
        <v>13</v>
      </c>
      <c r="AE22" t="s">
        <v>74</v>
      </c>
    </row>
    <row r="23" spans="1:35" x14ac:dyDescent="0.45">
      <c r="A23">
        <v>14</v>
      </c>
      <c r="B23">
        <v>13</v>
      </c>
      <c r="C23" t="s">
        <v>78</v>
      </c>
      <c r="E23">
        <v>14</v>
      </c>
      <c r="F23">
        <v>13</v>
      </c>
      <c r="G23" t="s">
        <v>78</v>
      </c>
      <c r="I23">
        <v>14</v>
      </c>
      <c r="J23">
        <v>14</v>
      </c>
      <c r="K23" t="s">
        <v>78</v>
      </c>
      <c r="M23">
        <v>14</v>
      </c>
      <c r="N23">
        <v>14</v>
      </c>
      <c r="O23" t="s">
        <v>78</v>
      </c>
      <c r="Q23">
        <v>14</v>
      </c>
      <c r="R23">
        <v>13</v>
      </c>
      <c r="S23" t="s">
        <v>78</v>
      </c>
      <c r="U23">
        <v>14</v>
      </c>
      <c r="V23">
        <v>13</v>
      </c>
      <c r="W23" t="s">
        <v>78</v>
      </c>
      <c r="Y23">
        <v>14</v>
      </c>
      <c r="Z23">
        <v>14</v>
      </c>
      <c r="AA23" t="s">
        <v>78</v>
      </c>
      <c r="AC23">
        <v>14</v>
      </c>
      <c r="AD23">
        <v>14</v>
      </c>
      <c r="AE23" t="s">
        <v>78</v>
      </c>
    </row>
    <row r="24" spans="1:35" x14ac:dyDescent="0.45">
      <c r="A24">
        <v>15</v>
      </c>
      <c r="B24">
        <v>14</v>
      </c>
      <c r="C24" t="s">
        <v>584</v>
      </c>
      <c r="E24">
        <v>15</v>
      </c>
      <c r="F24">
        <v>14</v>
      </c>
      <c r="G24" t="s">
        <v>584</v>
      </c>
      <c r="I24">
        <v>15</v>
      </c>
      <c r="J24">
        <v>15</v>
      </c>
      <c r="K24" t="s">
        <v>584</v>
      </c>
      <c r="M24">
        <v>15</v>
      </c>
      <c r="N24">
        <v>15</v>
      </c>
      <c r="O24" t="s">
        <v>584</v>
      </c>
      <c r="Q24">
        <v>15</v>
      </c>
      <c r="R24">
        <v>14</v>
      </c>
      <c r="S24" t="s">
        <v>584</v>
      </c>
      <c r="U24">
        <v>15</v>
      </c>
      <c r="V24">
        <v>14</v>
      </c>
      <c r="W24" t="s">
        <v>584</v>
      </c>
      <c r="Y24">
        <v>15</v>
      </c>
      <c r="Z24">
        <v>15</v>
      </c>
      <c r="AA24" t="s">
        <v>584</v>
      </c>
      <c r="AC24">
        <v>15</v>
      </c>
      <c r="AD24">
        <v>15</v>
      </c>
      <c r="AE24" t="s">
        <v>584</v>
      </c>
    </row>
    <row r="25" spans="1:35" x14ac:dyDescent="0.45">
      <c r="A25">
        <v>16</v>
      </c>
      <c r="B25">
        <v>15</v>
      </c>
      <c r="C25" t="s">
        <v>537</v>
      </c>
      <c r="E25">
        <v>16</v>
      </c>
      <c r="F25">
        <v>15</v>
      </c>
      <c r="G25" t="s">
        <v>537</v>
      </c>
      <c r="I25">
        <v>16</v>
      </c>
      <c r="J25">
        <v>16</v>
      </c>
      <c r="K25" t="s">
        <v>537</v>
      </c>
      <c r="M25">
        <v>16</v>
      </c>
      <c r="N25">
        <v>16</v>
      </c>
      <c r="O25" t="s">
        <v>537</v>
      </c>
      <c r="Q25">
        <v>16</v>
      </c>
      <c r="R25">
        <v>15</v>
      </c>
      <c r="S25" t="s">
        <v>537</v>
      </c>
      <c r="U25">
        <v>16</v>
      </c>
      <c r="V25">
        <v>15</v>
      </c>
      <c r="W25" t="s">
        <v>537</v>
      </c>
      <c r="Y25">
        <v>16</v>
      </c>
      <c r="Z25">
        <v>16</v>
      </c>
      <c r="AA25" t="s">
        <v>537</v>
      </c>
      <c r="AC25">
        <v>16</v>
      </c>
      <c r="AD25">
        <v>16</v>
      </c>
      <c r="AE25" t="s">
        <v>537</v>
      </c>
    </row>
    <row r="26" spans="1:35" x14ac:dyDescent="0.45">
      <c r="A26">
        <v>17</v>
      </c>
      <c r="B26">
        <v>16</v>
      </c>
      <c r="C26" t="s">
        <v>68</v>
      </c>
      <c r="E26">
        <v>17</v>
      </c>
      <c r="F26">
        <v>16</v>
      </c>
      <c r="G26" t="s">
        <v>68</v>
      </c>
      <c r="I26">
        <v>17</v>
      </c>
      <c r="J26">
        <v>17</v>
      </c>
      <c r="K26" t="s">
        <v>68</v>
      </c>
      <c r="M26">
        <v>17</v>
      </c>
      <c r="N26">
        <v>17</v>
      </c>
      <c r="O26" t="s">
        <v>68</v>
      </c>
      <c r="Q26">
        <v>17</v>
      </c>
      <c r="R26">
        <v>16</v>
      </c>
      <c r="S26" t="s">
        <v>68</v>
      </c>
      <c r="U26">
        <v>17</v>
      </c>
      <c r="V26">
        <v>16</v>
      </c>
      <c r="W26" t="s">
        <v>68</v>
      </c>
      <c r="Y26">
        <v>17</v>
      </c>
      <c r="Z26">
        <v>17</v>
      </c>
      <c r="AA26" t="s">
        <v>68</v>
      </c>
      <c r="AC26">
        <v>17</v>
      </c>
      <c r="AD26">
        <v>17</v>
      </c>
      <c r="AE26" t="s">
        <v>68</v>
      </c>
    </row>
    <row r="27" spans="1:35" x14ac:dyDescent="0.45">
      <c r="A27">
        <v>18</v>
      </c>
      <c r="B27">
        <v>17</v>
      </c>
      <c r="C27" t="s">
        <v>176</v>
      </c>
      <c r="E27">
        <v>18</v>
      </c>
      <c r="F27">
        <v>17</v>
      </c>
      <c r="G27" t="s">
        <v>176</v>
      </c>
      <c r="I27">
        <v>18</v>
      </c>
      <c r="J27">
        <v>18</v>
      </c>
      <c r="K27" t="s">
        <v>176</v>
      </c>
      <c r="M27">
        <v>18</v>
      </c>
      <c r="N27">
        <v>18</v>
      </c>
      <c r="O27" t="s">
        <v>176</v>
      </c>
      <c r="Q27">
        <v>18</v>
      </c>
      <c r="R27">
        <v>17</v>
      </c>
      <c r="S27" t="s">
        <v>176</v>
      </c>
      <c r="U27">
        <v>18</v>
      </c>
      <c r="V27">
        <v>17</v>
      </c>
      <c r="W27" t="s">
        <v>176</v>
      </c>
      <c r="Y27">
        <v>18</v>
      </c>
      <c r="Z27">
        <v>18</v>
      </c>
      <c r="AA27" t="s">
        <v>176</v>
      </c>
      <c r="AC27">
        <v>18</v>
      </c>
      <c r="AD27">
        <v>18</v>
      </c>
      <c r="AE27" t="s">
        <v>176</v>
      </c>
    </row>
    <row r="28" spans="1:35" x14ac:dyDescent="0.45">
      <c r="A28">
        <v>19</v>
      </c>
      <c r="B28">
        <v>18</v>
      </c>
      <c r="C28" t="s">
        <v>134</v>
      </c>
      <c r="E28">
        <v>19</v>
      </c>
      <c r="F28">
        <v>18</v>
      </c>
      <c r="G28" t="s">
        <v>134</v>
      </c>
      <c r="I28">
        <v>19</v>
      </c>
      <c r="J28">
        <v>19</v>
      </c>
      <c r="K28" t="s">
        <v>134</v>
      </c>
      <c r="M28">
        <v>19</v>
      </c>
      <c r="N28">
        <v>19</v>
      </c>
      <c r="O28" t="s">
        <v>134</v>
      </c>
      <c r="Q28">
        <v>19</v>
      </c>
      <c r="R28">
        <v>18</v>
      </c>
      <c r="S28" t="s">
        <v>134</v>
      </c>
      <c r="U28">
        <v>19</v>
      </c>
      <c r="V28">
        <v>18</v>
      </c>
      <c r="W28" t="s">
        <v>134</v>
      </c>
      <c r="Y28">
        <v>19</v>
      </c>
      <c r="Z28">
        <v>19</v>
      </c>
      <c r="AA28" t="s">
        <v>134</v>
      </c>
      <c r="AC28">
        <v>19</v>
      </c>
      <c r="AD28">
        <v>19</v>
      </c>
      <c r="AE28" t="s">
        <v>134</v>
      </c>
    </row>
    <row r="29" spans="1:35" x14ac:dyDescent="0.45">
      <c r="A29">
        <v>20</v>
      </c>
      <c r="B29">
        <v>19</v>
      </c>
      <c r="C29" t="s">
        <v>67</v>
      </c>
      <c r="E29">
        <v>20</v>
      </c>
      <c r="F29">
        <v>19</v>
      </c>
      <c r="G29" t="s">
        <v>67</v>
      </c>
      <c r="I29">
        <v>20</v>
      </c>
      <c r="J29">
        <v>20</v>
      </c>
      <c r="K29" t="s">
        <v>67</v>
      </c>
      <c r="M29">
        <v>20</v>
      </c>
      <c r="N29">
        <v>20</v>
      </c>
      <c r="O29" t="s">
        <v>67</v>
      </c>
      <c r="Q29">
        <v>20</v>
      </c>
      <c r="R29">
        <v>19</v>
      </c>
      <c r="S29" t="s">
        <v>67</v>
      </c>
      <c r="U29">
        <v>20</v>
      </c>
      <c r="V29">
        <v>19</v>
      </c>
      <c r="W29" t="s">
        <v>67</v>
      </c>
      <c r="Y29">
        <v>20</v>
      </c>
      <c r="Z29">
        <v>20</v>
      </c>
      <c r="AA29" t="s">
        <v>67</v>
      </c>
      <c r="AC29">
        <v>20</v>
      </c>
      <c r="AD29">
        <v>20</v>
      </c>
      <c r="AE29" t="s">
        <v>67</v>
      </c>
    </row>
    <row r="30" spans="1:35" x14ac:dyDescent="0.45">
      <c r="A30">
        <v>21</v>
      </c>
      <c r="B30">
        <v>20</v>
      </c>
      <c r="C30" t="s">
        <v>177</v>
      </c>
      <c r="E30">
        <v>21</v>
      </c>
      <c r="F30">
        <v>20</v>
      </c>
      <c r="G30" t="s">
        <v>177</v>
      </c>
      <c r="I30">
        <v>21</v>
      </c>
      <c r="J30">
        <v>21</v>
      </c>
      <c r="K30" t="s">
        <v>177</v>
      </c>
      <c r="M30">
        <v>21</v>
      </c>
      <c r="N30">
        <v>21</v>
      </c>
      <c r="O30" t="s">
        <v>177</v>
      </c>
      <c r="Q30">
        <v>21</v>
      </c>
      <c r="R30">
        <v>20</v>
      </c>
      <c r="S30" t="s">
        <v>177</v>
      </c>
      <c r="U30">
        <v>21</v>
      </c>
      <c r="V30">
        <v>20</v>
      </c>
      <c r="W30" t="s">
        <v>177</v>
      </c>
      <c r="Y30">
        <v>21</v>
      </c>
      <c r="Z30">
        <v>21</v>
      </c>
      <c r="AA30" t="s">
        <v>177</v>
      </c>
      <c r="AC30">
        <v>21</v>
      </c>
      <c r="AD30">
        <v>21</v>
      </c>
      <c r="AE30" t="s">
        <v>177</v>
      </c>
    </row>
    <row r="31" spans="1:35" x14ac:dyDescent="0.45">
      <c r="A31">
        <v>22</v>
      </c>
      <c r="B31">
        <v>21</v>
      </c>
      <c r="C31" t="s">
        <v>585</v>
      </c>
      <c r="E31">
        <v>22</v>
      </c>
      <c r="F31">
        <v>21</v>
      </c>
      <c r="G31" t="s">
        <v>585</v>
      </c>
      <c r="I31">
        <v>22</v>
      </c>
      <c r="J31">
        <v>22</v>
      </c>
      <c r="K31" t="s">
        <v>585</v>
      </c>
      <c r="M31">
        <v>22</v>
      </c>
      <c r="N31">
        <v>22</v>
      </c>
      <c r="O31" t="s">
        <v>585</v>
      </c>
      <c r="Q31">
        <v>22</v>
      </c>
      <c r="R31">
        <v>21</v>
      </c>
      <c r="S31" t="s">
        <v>585</v>
      </c>
      <c r="U31">
        <v>22</v>
      </c>
      <c r="V31">
        <v>21</v>
      </c>
      <c r="W31" t="s">
        <v>585</v>
      </c>
      <c r="Y31">
        <v>22</v>
      </c>
      <c r="Z31">
        <v>22</v>
      </c>
      <c r="AA31" t="s">
        <v>585</v>
      </c>
      <c r="AC31">
        <v>22</v>
      </c>
      <c r="AD31">
        <v>22</v>
      </c>
      <c r="AE31" t="s">
        <v>585</v>
      </c>
    </row>
    <row r="32" spans="1:35" x14ac:dyDescent="0.45">
      <c r="A32">
        <v>23</v>
      </c>
      <c r="B32">
        <v>22</v>
      </c>
      <c r="C32" t="s">
        <v>586</v>
      </c>
      <c r="E32">
        <v>23</v>
      </c>
      <c r="F32">
        <v>22</v>
      </c>
      <c r="G32" t="s">
        <v>586</v>
      </c>
      <c r="I32">
        <v>23</v>
      </c>
      <c r="J32">
        <v>23</v>
      </c>
      <c r="K32" t="s">
        <v>586</v>
      </c>
      <c r="M32">
        <v>23</v>
      </c>
      <c r="N32">
        <v>23</v>
      </c>
      <c r="O32" t="s">
        <v>586</v>
      </c>
      <c r="Q32">
        <v>23</v>
      </c>
      <c r="R32">
        <v>22</v>
      </c>
      <c r="S32" t="s">
        <v>586</v>
      </c>
      <c r="U32">
        <v>23</v>
      </c>
      <c r="V32">
        <v>22</v>
      </c>
      <c r="W32" t="s">
        <v>586</v>
      </c>
      <c r="Y32">
        <v>23</v>
      </c>
      <c r="Z32">
        <v>23</v>
      </c>
      <c r="AA32" t="s">
        <v>586</v>
      </c>
      <c r="AC32">
        <v>23</v>
      </c>
      <c r="AD32">
        <v>23</v>
      </c>
      <c r="AE32" t="s">
        <v>586</v>
      </c>
    </row>
    <row r="33" spans="1:31" x14ac:dyDescent="0.45">
      <c r="A33">
        <v>24</v>
      </c>
      <c r="B33">
        <v>23</v>
      </c>
      <c r="C33" t="s">
        <v>60</v>
      </c>
      <c r="E33">
        <v>24</v>
      </c>
      <c r="F33">
        <v>23</v>
      </c>
      <c r="G33" t="s">
        <v>60</v>
      </c>
      <c r="I33">
        <v>24</v>
      </c>
      <c r="J33">
        <v>24</v>
      </c>
      <c r="K33" t="s">
        <v>60</v>
      </c>
      <c r="M33">
        <v>24</v>
      </c>
      <c r="N33">
        <v>24</v>
      </c>
      <c r="O33" t="s">
        <v>60</v>
      </c>
      <c r="Q33">
        <v>24</v>
      </c>
      <c r="U33">
        <v>24</v>
      </c>
      <c r="Y33">
        <v>24</v>
      </c>
      <c r="Z33">
        <v>24</v>
      </c>
      <c r="AA33" t="s">
        <v>120</v>
      </c>
      <c r="AC33">
        <v>24</v>
      </c>
    </row>
    <row r="34" spans="1:31" x14ac:dyDescent="0.45">
      <c r="A34">
        <v>25</v>
      </c>
      <c r="B34">
        <v>24</v>
      </c>
      <c r="C34" t="s">
        <v>587</v>
      </c>
      <c r="E34">
        <v>25</v>
      </c>
      <c r="F34">
        <v>24</v>
      </c>
      <c r="G34" t="s">
        <v>587</v>
      </c>
      <c r="I34">
        <v>25</v>
      </c>
      <c r="J34">
        <v>25</v>
      </c>
      <c r="K34" t="s">
        <v>587</v>
      </c>
      <c r="M34">
        <v>25</v>
      </c>
      <c r="N34">
        <v>25</v>
      </c>
      <c r="O34" t="s">
        <v>587</v>
      </c>
      <c r="Q34">
        <v>25</v>
      </c>
      <c r="R34">
        <v>23</v>
      </c>
      <c r="S34" t="s">
        <v>60</v>
      </c>
      <c r="U34">
        <v>25</v>
      </c>
      <c r="V34">
        <v>23</v>
      </c>
      <c r="W34" t="s">
        <v>60</v>
      </c>
      <c r="Y34">
        <v>25</v>
      </c>
      <c r="Z34">
        <v>25</v>
      </c>
      <c r="AA34" t="s">
        <v>60</v>
      </c>
      <c r="AC34">
        <v>25</v>
      </c>
      <c r="AD34">
        <v>24</v>
      </c>
      <c r="AE34" t="s">
        <v>60</v>
      </c>
    </row>
    <row r="35" spans="1:31" x14ac:dyDescent="0.45">
      <c r="A35">
        <v>26</v>
      </c>
      <c r="B35">
        <v>25</v>
      </c>
      <c r="C35" t="s">
        <v>61</v>
      </c>
      <c r="E35">
        <v>26</v>
      </c>
      <c r="F35">
        <v>25</v>
      </c>
      <c r="G35" t="s">
        <v>61</v>
      </c>
      <c r="I35">
        <v>26</v>
      </c>
      <c r="J35">
        <v>26</v>
      </c>
      <c r="K35" t="s">
        <v>61</v>
      </c>
      <c r="M35">
        <v>26</v>
      </c>
      <c r="N35">
        <v>26</v>
      </c>
      <c r="O35" t="s">
        <v>61</v>
      </c>
      <c r="Q35">
        <v>26</v>
      </c>
      <c r="R35">
        <v>24</v>
      </c>
      <c r="S35" t="s">
        <v>587</v>
      </c>
      <c r="U35">
        <v>26</v>
      </c>
      <c r="V35">
        <v>24</v>
      </c>
      <c r="W35" t="s">
        <v>587</v>
      </c>
      <c r="Y35">
        <v>26</v>
      </c>
      <c r="Z35">
        <v>26</v>
      </c>
      <c r="AA35" t="s">
        <v>587</v>
      </c>
      <c r="AC35">
        <v>26</v>
      </c>
      <c r="AD35">
        <v>25</v>
      </c>
      <c r="AE35" t="s">
        <v>587</v>
      </c>
    </row>
    <row r="36" spans="1:31" x14ac:dyDescent="0.45">
      <c r="A36">
        <v>27</v>
      </c>
      <c r="B36">
        <v>26</v>
      </c>
      <c r="C36" t="s">
        <v>58</v>
      </c>
      <c r="E36">
        <v>27</v>
      </c>
      <c r="F36">
        <v>26</v>
      </c>
      <c r="G36" t="s">
        <v>58</v>
      </c>
      <c r="I36">
        <v>27</v>
      </c>
      <c r="J36">
        <v>27</v>
      </c>
      <c r="K36" t="s">
        <v>58</v>
      </c>
      <c r="M36">
        <v>27</v>
      </c>
      <c r="N36">
        <v>27</v>
      </c>
      <c r="O36" t="s">
        <v>58</v>
      </c>
      <c r="Q36">
        <v>27</v>
      </c>
      <c r="R36">
        <v>25</v>
      </c>
      <c r="S36" t="s">
        <v>61</v>
      </c>
      <c r="U36">
        <v>27</v>
      </c>
      <c r="V36">
        <v>25</v>
      </c>
      <c r="W36" t="s">
        <v>61</v>
      </c>
      <c r="Y36">
        <v>27</v>
      </c>
      <c r="Z36">
        <v>27</v>
      </c>
      <c r="AA36" t="s">
        <v>61</v>
      </c>
      <c r="AC36">
        <v>27</v>
      </c>
      <c r="AD36">
        <v>26</v>
      </c>
      <c r="AE36" t="s">
        <v>61</v>
      </c>
    </row>
    <row r="37" spans="1:31" x14ac:dyDescent="0.45">
      <c r="A37">
        <v>28</v>
      </c>
      <c r="B37">
        <v>27</v>
      </c>
      <c r="C37" t="s">
        <v>119</v>
      </c>
      <c r="E37">
        <v>28</v>
      </c>
      <c r="F37">
        <v>27</v>
      </c>
      <c r="G37" t="s">
        <v>119</v>
      </c>
      <c r="I37">
        <v>28</v>
      </c>
      <c r="J37">
        <v>28</v>
      </c>
      <c r="K37" t="s">
        <v>119</v>
      </c>
      <c r="M37">
        <v>28</v>
      </c>
      <c r="N37">
        <v>28</v>
      </c>
      <c r="O37" t="s">
        <v>119</v>
      </c>
      <c r="Q37">
        <v>28</v>
      </c>
      <c r="R37">
        <v>26</v>
      </c>
      <c r="S37" t="s">
        <v>58</v>
      </c>
      <c r="U37">
        <v>28</v>
      </c>
      <c r="V37">
        <v>26</v>
      </c>
      <c r="W37" t="s">
        <v>58</v>
      </c>
      <c r="Y37">
        <v>28</v>
      </c>
      <c r="Z37">
        <v>28</v>
      </c>
      <c r="AA37" t="s">
        <v>58</v>
      </c>
      <c r="AC37">
        <v>28</v>
      </c>
      <c r="AD37">
        <v>27</v>
      </c>
      <c r="AE37" t="s">
        <v>58</v>
      </c>
    </row>
    <row r="38" spans="1:31" x14ac:dyDescent="0.45">
      <c r="A38">
        <v>29</v>
      </c>
      <c r="B38">
        <v>28</v>
      </c>
      <c r="C38" t="s">
        <v>77</v>
      </c>
      <c r="E38">
        <v>29</v>
      </c>
      <c r="F38">
        <v>28</v>
      </c>
      <c r="G38" t="s">
        <v>77</v>
      </c>
      <c r="I38">
        <v>29</v>
      </c>
      <c r="J38">
        <v>29</v>
      </c>
      <c r="K38" t="s">
        <v>77</v>
      </c>
      <c r="M38">
        <v>29</v>
      </c>
      <c r="N38">
        <v>29</v>
      </c>
      <c r="O38" t="s">
        <v>77</v>
      </c>
      <c r="Q38">
        <v>29</v>
      </c>
      <c r="R38">
        <v>27</v>
      </c>
      <c r="S38" t="s">
        <v>119</v>
      </c>
      <c r="U38">
        <v>29</v>
      </c>
      <c r="V38">
        <v>27</v>
      </c>
      <c r="W38" t="s">
        <v>119</v>
      </c>
      <c r="Y38">
        <v>29</v>
      </c>
      <c r="Z38">
        <v>29</v>
      </c>
      <c r="AA38" t="s">
        <v>119</v>
      </c>
      <c r="AC38">
        <v>29</v>
      </c>
      <c r="AD38">
        <v>28</v>
      </c>
      <c r="AE38" t="s">
        <v>119</v>
      </c>
    </row>
    <row r="39" spans="1:31" x14ac:dyDescent="0.45">
      <c r="A39">
        <v>30</v>
      </c>
      <c r="B39">
        <v>29</v>
      </c>
      <c r="C39" t="s">
        <v>142</v>
      </c>
      <c r="E39">
        <v>30</v>
      </c>
      <c r="F39">
        <v>29</v>
      </c>
      <c r="G39" t="s">
        <v>142</v>
      </c>
      <c r="I39">
        <v>30</v>
      </c>
      <c r="J39">
        <v>30</v>
      </c>
      <c r="K39" t="s">
        <v>142</v>
      </c>
      <c r="M39">
        <v>30</v>
      </c>
      <c r="N39">
        <v>30</v>
      </c>
      <c r="O39" t="s">
        <v>142</v>
      </c>
      <c r="Q39">
        <v>30</v>
      </c>
      <c r="R39">
        <v>28</v>
      </c>
      <c r="S39" t="s">
        <v>77</v>
      </c>
      <c r="U39">
        <v>30</v>
      </c>
      <c r="V39">
        <v>28</v>
      </c>
      <c r="W39" t="s">
        <v>77</v>
      </c>
      <c r="Y39">
        <v>30</v>
      </c>
      <c r="Z39">
        <v>30</v>
      </c>
      <c r="AA39" t="s">
        <v>77</v>
      </c>
      <c r="AC39">
        <v>30</v>
      </c>
      <c r="AD39">
        <v>29</v>
      </c>
      <c r="AE39" t="s">
        <v>77</v>
      </c>
    </row>
    <row r="40" spans="1:31" x14ac:dyDescent="0.45">
      <c r="A40">
        <v>31</v>
      </c>
      <c r="B40">
        <v>30</v>
      </c>
      <c r="C40" t="s">
        <v>143</v>
      </c>
      <c r="E40">
        <v>31</v>
      </c>
      <c r="F40">
        <v>30</v>
      </c>
      <c r="G40" t="s">
        <v>143</v>
      </c>
      <c r="I40">
        <v>31</v>
      </c>
      <c r="J40">
        <v>31</v>
      </c>
      <c r="K40" t="s">
        <v>143</v>
      </c>
      <c r="M40">
        <v>31</v>
      </c>
      <c r="N40">
        <v>31</v>
      </c>
      <c r="O40" t="s">
        <v>143</v>
      </c>
      <c r="Q40">
        <v>31</v>
      </c>
      <c r="R40">
        <v>29</v>
      </c>
      <c r="S40" t="s">
        <v>142</v>
      </c>
      <c r="U40">
        <v>31</v>
      </c>
      <c r="V40">
        <v>29</v>
      </c>
      <c r="W40" t="s">
        <v>142</v>
      </c>
      <c r="Y40">
        <v>31</v>
      </c>
      <c r="Z40">
        <v>31</v>
      </c>
      <c r="AA40" t="s">
        <v>142</v>
      </c>
      <c r="AC40">
        <v>31</v>
      </c>
      <c r="AD40">
        <v>30</v>
      </c>
      <c r="AE40" t="s">
        <v>142</v>
      </c>
    </row>
    <row r="41" spans="1:31" x14ac:dyDescent="0.45">
      <c r="A41">
        <v>32</v>
      </c>
      <c r="B41">
        <v>31</v>
      </c>
      <c r="C41" t="s">
        <v>588</v>
      </c>
      <c r="E41">
        <v>32</v>
      </c>
      <c r="F41">
        <v>31</v>
      </c>
      <c r="G41" t="s">
        <v>588</v>
      </c>
      <c r="I41">
        <v>32</v>
      </c>
      <c r="J41">
        <v>32</v>
      </c>
      <c r="K41" t="s">
        <v>588</v>
      </c>
      <c r="M41">
        <v>32</v>
      </c>
      <c r="N41">
        <v>32</v>
      </c>
      <c r="O41" t="s">
        <v>588</v>
      </c>
      <c r="Q41">
        <v>32</v>
      </c>
      <c r="R41">
        <v>30</v>
      </c>
      <c r="S41" t="s">
        <v>143</v>
      </c>
      <c r="U41">
        <v>32</v>
      </c>
      <c r="V41">
        <v>30</v>
      </c>
      <c r="W41" t="s">
        <v>143</v>
      </c>
      <c r="Y41">
        <v>32</v>
      </c>
      <c r="Z41">
        <v>32</v>
      </c>
      <c r="AA41" t="s">
        <v>143</v>
      </c>
      <c r="AC41">
        <v>32</v>
      </c>
      <c r="AD41">
        <v>31</v>
      </c>
      <c r="AE41" t="s">
        <v>143</v>
      </c>
    </row>
    <row r="42" spans="1:31" x14ac:dyDescent="0.45">
      <c r="A42">
        <v>33</v>
      </c>
      <c r="B42">
        <v>32</v>
      </c>
      <c r="C42" t="s">
        <v>56</v>
      </c>
      <c r="E42">
        <v>33</v>
      </c>
      <c r="F42">
        <v>32</v>
      </c>
      <c r="G42" t="s">
        <v>56</v>
      </c>
      <c r="I42">
        <v>33</v>
      </c>
      <c r="J42">
        <v>33</v>
      </c>
      <c r="K42" t="s">
        <v>589</v>
      </c>
      <c r="M42">
        <v>33</v>
      </c>
      <c r="N42">
        <v>33</v>
      </c>
      <c r="O42" t="s">
        <v>56</v>
      </c>
      <c r="Q42">
        <v>33</v>
      </c>
      <c r="R42">
        <v>31</v>
      </c>
      <c r="S42" t="s">
        <v>588</v>
      </c>
      <c r="U42">
        <v>33</v>
      </c>
      <c r="V42">
        <v>31</v>
      </c>
      <c r="W42" t="s">
        <v>588</v>
      </c>
      <c r="Y42">
        <v>33</v>
      </c>
      <c r="Z42">
        <v>33</v>
      </c>
      <c r="AA42" t="s">
        <v>588</v>
      </c>
      <c r="AC42">
        <v>33</v>
      </c>
      <c r="AD42">
        <v>32</v>
      </c>
      <c r="AE42" t="s">
        <v>588</v>
      </c>
    </row>
    <row r="43" spans="1:31" x14ac:dyDescent="0.45">
      <c r="A43">
        <v>34</v>
      </c>
      <c r="B43">
        <v>33</v>
      </c>
      <c r="C43" t="s">
        <v>590</v>
      </c>
      <c r="E43">
        <v>34</v>
      </c>
      <c r="F43">
        <v>33</v>
      </c>
      <c r="G43" t="s">
        <v>590</v>
      </c>
      <c r="I43">
        <v>34</v>
      </c>
      <c r="J43">
        <v>34</v>
      </c>
      <c r="K43" t="s">
        <v>590</v>
      </c>
      <c r="M43">
        <v>34</v>
      </c>
      <c r="N43">
        <v>34</v>
      </c>
      <c r="O43" t="s">
        <v>590</v>
      </c>
      <c r="Q43">
        <v>34</v>
      </c>
      <c r="R43">
        <v>32</v>
      </c>
      <c r="S43" t="s">
        <v>56</v>
      </c>
      <c r="U43">
        <v>34</v>
      </c>
      <c r="V43">
        <v>32</v>
      </c>
      <c r="W43" t="s">
        <v>56</v>
      </c>
      <c r="Y43">
        <v>34</v>
      </c>
      <c r="Z43">
        <v>34</v>
      </c>
      <c r="AA43" t="s">
        <v>589</v>
      </c>
      <c r="AC43">
        <v>34</v>
      </c>
      <c r="AD43">
        <v>33</v>
      </c>
      <c r="AE43" t="s">
        <v>56</v>
      </c>
    </row>
    <row r="44" spans="1:31" x14ac:dyDescent="0.45">
      <c r="A44">
        <v>35</v>
      </c>
      <c r="B44">
        <v>34</v>
      </c>
      <c r="C44" t="s">
        <v>591</v>
      </c>
      <c r="E44">
        <v>35</v>
      </c>
      <c r="F44">
        <v>34</v>
      </c>
      <c r="G44" t="s">
        <v>591</v>
      </c>
      <c r="I44">
        <v>35</v>
      </c>
      <c r="J44">
        <v>35</v>
      </c>
      <c r="K44" t="s">
        <v>591</v>
      </c>
      <c r="M44">
        <v>35</v>
      </c>
      <c r="N44">
        <v>35</v>
      </c>
      <c r="O44" t="s">
        <v>591</v>
      </c>
      <c r="Q44">
        <v>35</v>
      </c>
      <c r="R44">
        <v>33</v>
      </c>
      <c r="S44" t="s">
        <v>590</v>
      </c>
      <c r="U44">
        <v>35</v>
      </c>
      <c r="V44">
        <v>33</v>
      </c>
      <c r="W44" t="s">
        <v>590</v>
      </c>
      <c r="Y44">
        <v>35</v>
      </c>
      <c r="Z44">
        <v>35</v>
      </c>
      <c r="AA44" t="s">
        <v>590</v>
      </c>
      <c r="AC44">
        <v>35</v>
      </c>
      <c r="AD44">
        <v>34</v>
      </c>
      <c r="AE44" t="s">
        <v>590</v>
      </c>
    </row>
    <row r="45" spans="1:31" x14ac:dyDescent="0.45">
      <c r="A45">
        <v>36</v>
      </c>
      <c r="B45">
        <v>35</v>
      </c>
      <c r="C45" t="s">
        <v>592</v>
      </c>
      <c r="E45">
        <v>36</v>
      </c>
      <c r="F45">
        <v>35</v>
      </c>
      <c r="G45" t="s">
        <v>592</v>
      </c>
      <c r="I45">
        <v>36</v>
      </c>
      <c r="J45">
        <v>36</v>
      </c>
      <c r="K45" t="s">
        <v>592</v>
      </c>
      <c r="M45">
        <v>36</v>
      </c>
      <c r="N45">
        <v>36</v>
      </c>
      <c r="O45" t="s">
        <v>592</v>
      </c>
      <c r="Q45">
        <v>36</v>
      </c>
      <c r="R45">
        <v>34</v>
      </c>
      <c r="S45" t="s">
        <v>591</v>
      </c>
      <c r="U45">
        <v>36</v>
      </c>
      <c r="V45">
        <v>34</v>
      </c>
      <c r="W45" t="s">
        <v>591</v>
      </c>
      <c r="Y45">
        <v>36</v>
      </c>
      <c r="Z45">
        <v>36</v>
      </c>
      <c r="AA45" t="s">
        <v>591</v>
      </c>
      <c r="AC45">
        <v>36</v>
      </c>
      <c r="AD45">
        <v>35</v>
      </c>
      <c r="AE45" t="s">
        <v>591</v>
      </c>
    </row>
    <row r="46" spans="1:31" x14ac:dyDescent="0.45">
      <c r="A46">
        <v>37</v>
      </c>
      <c r="B46">
        <v>36</v>
      </c>
      <c r="C46" t="s">
        <v>593</v>
      </c>
      <c r="E46">
        <v>37</v>
      </c>
      <c r="F46">
        <v>36</v>
      </c>
      <c r="G46" t="s">
        <v>593</v>
      </c>
      <c r="I46">
        <v>37</v>
      </c>
      <c r="J46">
        <v>37</v>
      </c>
      <c r="K46" t="s">
        <v>593</v>
      </c>
      <c r="M46">
        <v>37</v>
      </c>
      <c r="N46">
        <v>37</v>
      </c>
      <c r="O46" t="s">
        <v>593</v>
      </c>
      <c r="Q46">
        <v>37</v>
      </c>
      <c r="R46">
        <v>35</v>
      </c>
      <c r="S46" t="s">
        <v>592</v>
      </c>
      <c r="U46">
        <v>37</v>
      </c>
      <c r="V46">
        <v>35</v>
      </c>
      <c r="W46" t="s">
        <v>592</v>
      </c>
      <c r="Y46">
        <v>37</v>
      </c>
      <c r="Z46">
        <v>37</v>
      </c>
      <c r="AA46" t="s">
        <v>592</v>
      </c>
      <c r="AC46">
        <v>37</v>
      </c>
      <c r="AD46">
        <v>36</v>
      </c>
      <c r="AE46" t="s">
        <v>592</v>
      </c>
    </row>
    <row r="47" spans="1:31" x14ac:dyDescent="0.45">
      <c r="A47">
        <v>38</v>
      </c>
      <c r="B47">
        <v>37</v>
      </c>
      <c r="C47" t="s">
        <v>594</v>
      </c>
      <c r="E47">
        <v>38</v>
      </c>
      <c r="F47">
        <v>37</v>
      </c>
      <c r="G47" t="s">
        <v>594</v>
      </c>
      <c r="I47">
        <v>38</v>
      </c>
      <c r="J47">
        <v>38</v>
      </c>
      <c r="K47" t="s">
        <v>594</v>
      </c>
      <c r="M47">
        <v>38</v>
      </c>
      <c r="N47">
        <v>38</v>
      </c>
      <c r="O47" t="s">
        <v>594</v>
      </c>
      <c r="Q47">
        <v>38</v>
      </c>
      <c r="R47">
        <v>36</v>
      </c>
      <c r="S47" t="s">
        <v>593</v>
      </c>
      <c r="U47">
        <v>38</v>
      </c>
      <c r="V47">
        <v>36</v>
      </c>
      <c r="W47" t="s">
        <v>593</v>
      </c>
      <c r="Y47">
        <v>38</v>
      </c>
      <c r="Z47">
        <v>38</v>
      </c>
      <c r="AA47" t="s">
        <v>593</v>
      </c>
      <c r="AC47">
        <v>38</v>
      </c>
      <c r="AD47">
        <v>37</v>
      </c>
      <c r="AE47" t="s">
        <v>593</v>
      </c>
    </row>
    <row r="48" spans="1:31" x14ac:dyDescent="0.45">
      <c r="A48">
        <v>39</v>
      </c>
      <c r="B48">
        <v>38</v>
      </c>
      <c r="C48" t="s">
        <v>595</v>
      </c>
      <c r="E48">
        <v>39</v>
      </c>
      <c r="F48">
        <v>38</v>
      </c>
      <c r="G48" t="s">
        <v>595</v>
      </c>
      <c r="I48">
        <v>39</v>
      </c>
      <c r="J48">
        <v>39</v>
      </c>
      <c r="K48" t="s">
        <v>595</v>
      </c>
      <c r="M48">
        <v>39</v>
      </c>
      <c r="N48">
        <v>39</v>
      </c>
      <c r="O48" t="s">
        <v>595</v>
      </c>
      <c r="Q48">
        <v>39</v>
      </c>
      <c r="R48">
        <v>37</v>
      </c>
      <c r="S48" t="s">
        <v>594</v>
      </c>
      <c r="U48">
        <v>39</v>
      </c>
      <c r="V48">
        <v>37</v>
      </c>
      <c r="W48" t="s">
        <v>594</v>
      </c>
      <c r="Y48">
        <v>39</v>
      </c>
      <c r="Z48">
        <v>39</v>
      </c>
      <c r="AA48" t="s">
        <v>594</v>
      </c>
      <c r="AC48">
        <v>39</v>
      </c>
      <c r="AD48">
        <v>38</v>
      </c>
      <c r="AE48" t="s">
        <v>594</v>
      </c>
    </row>
    <row r="49" spans="1:31" x14ac:dyDescent="0.45">
      <c r="A49">
        <v>40</v>
      </c>
      <c r="B49">
        <v>39</v>
      </c>
      <c r="C49" t="s">
        <v>596</v>
      </c>
      <c r="E49">
        <v>40</v>
      </c>
      <c r="F49">
        <v>39</v>
      </c>
      <c r="G49" t="s">
        <v>596</v>
      </c>
      <c r="I49">
        <v>40</v>
      </c>
      <c r="J49">
        <v>40</v>
      </c>
      <c r="K49" t="s">
        <v>596</v>
      </c>
      <c r="M49">
        <v>40</v>
      </c>
      <c r="N49">
        <v>40</v>
      </c>
      <c r="O49" t="s">
        <v>596</v>
      </c>
      <c r="Q49">
        <v>40</v>
      </c>
      <c r="R49">
        <v>38</v>
      </c>
      <c r="S49" t="s">
        <v>595</v>
      </c>
      <c r="U49">
        <v>40</v>
      </c>
      <c r="V49">
        <v>38</v>
      </c>
      <c r="W49" t="s">
        <v>595</v>
      </c>
      <c r="Y49">
        <v>40</v>
      </c>
      <c r="Z49">
        <v>40</v>
      </c>
      <c r="AA49" t="s">
        <v>595</v>
      </c>
      <c r="AC49">
        <v>40</v>
      </c>
      <c r="AD49">
        <v>39</v>
      </c>
      <c r="AE49" t="s">
        <v>595</v>
      </c>
    </row>
    <row r="50" spans="1:31" x14ac:dyDescent="0.45">
      <c r="A50">
        <v>41</v>
      </c>
      <c r="B50">
        <v>40</v>
      </c>
      <c r="C50" t="s">
        <v>597</v>
      </c>
      <c r="E50">
        <v>41</v>
      </c>
      <c r="F50">
        <v>40</v>
      </c>
      <c r="G50" t="s">
        <v>597</v>
      </c>
      <c r="I50">
        <v>41</v>
      </c>
      <c r="J50">
        <v>41</v>
      </c>
      <c r="K50" t="s">
        <v>597</v>
      </c>
      <c r="M50">
        <v>41</v>
      </c>
      <c r="N50">
        <v>41</v>
      </c>
      <c r="O50" t="s">
        <v>597</v>
      </c>
      <c r="Q50">
        <v>41</v>
      </c>
      <c r="R50">
        <v>39</v>
      </c>
      <c r="S50" t="s">
        <v>596</v>
      </c>
      <c r="U50">
        <v>41</v>
      </c>
      <c r="V50">
        <v>39</v>
      </c>
      <c r="W50" t="s">
        <v>596</v>
      </c>
      <c r="Y50">
        <v>41</v>
      </c>
      <c r="Z50">
        <v>41</v>
      </c>
      <c r="AA50" t="s">
        <v>596</v>
      </c>
      <c r="AC50">
        <v>41</v>
      </c>
      <c r="AD50">
        <v>40</v>
      </c>
      <c r="AE50" t="s">
        <v>596</v>
      </c>
    </row>
    <row r="51" spans="1:31" x14ac:dyDescent="0.45">
      <c r="A51">
        <v>42</v>
      </c>
      <c r="B51">
        <v>41</v>
      </c>
      <c r="C51" t="s">
        <v>471</v>
      </c>
      <c r="E51">
        <v>42</v>
      </c>
      <c r="F51">
        <v>41</v>
      </c>
      <c r="G51" t="s">
        <v>471</v>
      </c>
      <c r="I51">
        <v>42</v>
      </c>
      <c r="J51">
        <v>42</v>
      </c>
      <c r="K51" t="s">
        <v>471</v>
      </c>
      <c r="M51">
        <v>42</v>
      </c>
      <c r="N51">
        <v>42</v>
      </c>
      <c r="O51" t="s">
        <v>471</v>
      </c>
      <c r="Q51">
        <v>42</v>
      </c>
      <c r="R51">
        <v>40</v>
      </c>
      <c r="S51" t="s">
        <v>597</v>
      </c>
      <c r="U51">
        <v>42</v>
      </c>
      <c r="V51">
        <v>40</v>
      </c>
      <c r="W51" t="s">
        <v>597</v>
      </c>
      <c r="Y51">
        <v>42</v>
      </c>
      <c r="Z51">
        <v>42</v>
      </c>
      <c r="AA51" t="s">
        <v>597</v>
      </c>
      <c r="AC51">
        <v>42</v>
      </c>
      <c r="AD51">
        <v>41</v>
      </c>
      <c r="AE51" t="s">
        <v>597</v>
      </c>
    </row>
    <row r="52" spans="1:31" x14ac:dyDescent="0.45">
      <c r="A52">
        <v>43</v>
      </c>
      <c r="B52">
        <v>42</v>
      </c>
      <c r="C52" t="s">
        <v>598</v>
      </c>
      <c r="E52">
        <v>43</v>
      </c>
      <c r="F52">
        <v>42</v>
      </c>
      <c r="G52" t="s">
        <v>598</v>
      </c>
      <c r="I52">
        <v>43</v>
      </c>
      <c r="J52">
        <v>43</v>
      </c>
      <c r="K52" t="s">
        <v>598</v>
      </c>
      <c r="M52">
        <v>43</v>
      </c>
      <c r="N52">
        <v>43</v>
      </c>
      <c r="O52" t="s">
        <v>598</v>
      </c>
      <c r="Q52">
        <v>43</v>
      </c>
      <c r="R52">
        <v>41</v>
      </c>
      <c r="S52" t="s">
        <v>471</v>
      </c>
      <c r="U52">
        <v>43</v>
      </c>
      <c r="V52">
        <v>41</v>
      </c>
      <c r="W52" t="s">
        <v>471</v>
      </c>
      <c r="Y52">
        <v>43</v>
      </c>
      <c r="Z52">
        <v>43</v>
      </c>
      <c r="AA52" t="s">
        <v>471</v>
      </c>
      <c r="AC52">
        <v>43</v>
      </c>
      <c r="AD52">
        <v>42</v>
      </c>
      <c r="AE52" t="s">
        <v>471</v>
      </c>
    </row>
    <row r="53" spans="1:31" x14ac:dyDescent="0.45">
      <c r="A53">
        <v>44</v>
      </c>
      <c r="B53">
        <v>43</v>
      </c>
      <c r="C53" t="s">
        <v>144</v>
      </c>
      <c r="E53">
        <v>44</v>
      </c>
      <c r="F53">
        <v>43</v>
      </c>
      <c r="G53" t="s">
        <v>144</v>
      </c>
      <c r="I53">
        <v>44</v>
      </c>
      <c r="J53">
        <v>44</v>
      </c>
      <c r="K53" t="s">
        <v>144</v>
      </c>
      <c r="M53">
        <v>44</v>
      </c>
      <c r="N53">
        <v>44</v>
      </c>
      <c r="O53" t="s">
        <v>144</v>
      </c>
      <c r="Q53">
        <v>44</v>
      </c>
      <c r="R53">
        <v>42</v>
      </c>
      <c r="S53" t="s">
        <v>598</v>
      </c>
      <c r="U53">
        <v>44</v>
      </c>
      <c r="V53">
        <v>42</v>
      </c>
      <c r="W53" t="s">
        <v>598</v>
      </c>
      <c r="Y53">
        <v>44</v>
      </c>
      <c r="Z53">
        <v>44</v>
      </c>
      <c r="AA53" t="s">
        <v>598</v>
      </c>
      <c r="AC53">
        <v>44</v>
      </c>
      <c r="AD53">
        <v>43</v>
      </c>
      <c r="AE53" t="s">
        <v>598</v>
      </c>
    </row>
    <row r="54" spans="1:31" x14ac:dyDescent="0.45">
      <c r="A54">
        <v>45</v>
      </c>
      <c r="B54">
        <v>44</v>
      </c>
      <c r="C54" t="s">
        <v>599</v>
      </c>
      <c r="E54">
        <v>45</v>
      </c>
      <c r="F54">
        <v>44</v>
      </c>
      <c r="G54" t="s">
        <v>599</v>
      </c>
      <c r="I54">
        <v>45</v>
      </c>
      <c r="J54">
        <v>45</v>
      </c>
      <c r="K54" t="s">
        <v>599</v>
      </c>
      <c r="M54">
        <v>45</v>
      </c>
      <c r="N54">
        <v>45</v>
      </c>
      <c r="O54" t="s">
        <v>599</v>
      </c>
      <c r="Q54">
        <v>45</v>
      </c>
      <c r="R54">
        <v>43</v>
      </c>
      <c r="S54" t="s">
        <v>144</v>
      </c>
      <c r="U54">
        <v>45</v>
      </c>
      <c r="V54">
        <v>43</v>
      </c>
      <c r="W54" t="s">
        <v>144</v>
      </c>
      <c r="Y54">
        <v>45</v>
      </c>
      <c r="Z54">
        <v>45</v>
      </c>
      <c r="AA54" t="s">
        <v>144</v>
      </c>
      <c r="AC54">
        <v>45</v>
      </c>
      <c r="AD54">
        <v>44</v>
      </c>
      <c r="AE54" t="s">
        <v>144</v>
      </c>
    </row>
    <row r="55" spans="1:31" x14ac:dyDescent="0.45">
      <c r="A55">
        <v>46</v>
      </c>
      <c r="B55">
        <v>45</v>
      </c>
      <c r="C55" t="s">
        <v>72</v>
      </c>
      <c r="E55">
        <v>46</v>
      </c>
      <c r="F55">
        <v>45</v>
      </c>
      <c r="G55" t="s">
        <v>72</v>
      </c>
      <c r="I55">
        <v>46</v>
      </c>
      <c r="J55">
        <v>46</v>
      </c>
      <c r="K55" t="s">
        <v>72</v>
      </c>
      <c r="M55">
        <v>46</v>
      </c>
      <c r="N55">
        <v>46</v>
      </c>
      <c r="O55" t="s">
        <v>72</v>
      </c>
      <c r="Q55">
        <v>46</v>
      </c>
      <c r="R55">
        <v>44</v>
      </c>
      <c r="S55" t="s">
        <v>599</v>
      </c>
      <c r="U55">
        <v>46</v>
      </c>
      <c r="V55">
        <v>44</v>
      </c>
      <c r="W55" t="s">
        <v>599</v>
      </c>
      <c r="Y55">
        <v>46</v>
      </c>
      <c r="Z55">
        <v>46</v>
      </c>
      <c r="AA55" t="s">
        <v>599</v>
      </c>
      <c r="AC55">
        <v>46</v>
      </c>
      <c r="AD55">
        <v>45</v>
      </c>
      <c r="AE55" t="s">
        <v>599</v>
      </c>
    </row>
    <row r="56" spans="1:31" x14ac:dyDescent="0.45">
      <c r="A56">
        <v>47</v>
      </c>
      <c r="B56">
        <v>46</v>
      </c>
      <c r="C56" t="s">
        <v>141</v>
      </c>
      <c r="E56">
        <v>47</v>
      </c>
      <c r="F56">
        <v>46</v>
      </c>
      <c r="G56" t="s">
        <v>141</v>
      </c>
      <c r="I56">
        <v>47</v>
      </c>
      <c r="J56">
        <v>47</v>
      </c>
      <c r="K56" t="s">
        <v>141</v>
      </c>
      <c r="M56">
        <v>47</v>
      </c>
      <c r="N56">
        <v>47</v>
      </c>
      <c r="O56" t="s">
        <v>141</v>
      </c>
      <c r="Q56">
        <v>47</v>
      </c>
      <c r="R56">
        <v>45</v>
      </c>
      <c r="S56" t="s">
        <v>72</v>
      </c>
      <c r="U56">
        <v>47</v>
      </c>
      <c r="V56">
        <v>45</v>
      </c>
      <c r="W56" t="s">
        <v>72</v>
      </c>
      <c r="Y56">
        <v>47</v>
      </c>
      <c r="Z56">
        <v>47</v>
      </c>
      <c r="AA56" t="s">
        <v>72</v>
      </c>
      <c r="AC56">
        <v>47</v>
      </c>
      <c r="AD56">
        <v>46</v>
      </c>
      <c r="AE56" t="s">
        <v>72</v>
      </c>
    </row>
    <row r="57" spans="1:31" x14ac:dyDescent="0.45">
      <c r="A57">
        <v>48</v>
      </c>
      <c r="B57">
        <v>47</v>
      </c>
      <c r="C57" t="s">
        <v>600</v>
      </c>
      <c r="E57">
        <v>48</v>
      </c>
      <c r="F57">
        <v>47</v>
      </c>
      <c r="G57" t="s">
        <v>600</v>
      </c>
      <c r="I57">
        <v>48</v>
      </c>
      <c r="J57">
        <v>48</v>
      </c>
      <c r="K57" t="s">
        <v>600</v>
      </c>
      <c r="M57">
        <v>48</v>
      </c>
      <c r="N57">
        <v>48</v>
      </c>
      <c r="O57" t="s">
        <v>600</v>
      </c>
      <c r="Q57">
        <v>48</v>
      </c>
      <c r="R57">
        <v>46</v>
      </c>
      <c r="S57" t="s">
        <v>141</v>
      </c>
      <c r="U57">
        <v>48</v>
      </c>
      <c r="V57">
        <v>46</v>
      </c>
      <c r="W57" t="s">
        <v>141</v>
      </c>
      <c r="Y57">
        <v>48</v>
      </c>
      <c r="Z57">
        <v>48</v>
      </c>
      <c r="AA57" t="s">
        <v>141</v>
      </c>
      <c r="AC57">
        <v>48</v>
      </c>
      <c r="AD57">
        <v>47</v>
      </c>
      <c r="AE57" t="s">
        <v>141</v>
      </c>
    </row>
    <row r="58" spans="1:31" x14ac:dyDescent="0.45">
      <c r="A58">
        <v>49</v>
      </c>
      <c r="B58">
        <v>48</v>
      </c>
      <c r="C58" t="s">
        <v>601</v>
      </c>
      <c r="E58">
        <v>49</v>
      </c>
      <c r="F58">
        <v>48</v>
      </c>
      <c r="G58" t="s">
        <v>601</v>
      </c>
      <c r="I58">
        <v>49</v>
      </c>
      <c r="J58">
        <v>49</v>
      </c>
      <c r="K58" t="s">
        <v>601</v>
      </c>
      <c r="M58">
        <v>49</v>
      </c>
      <c r="N58">
        <v>49</v>
      </c>
      <c r="O58" t="s">
        <v>601</v>
      </c>
      <c r="Q58">
        <v>49</v>
      </c>
      <c r="R58">
        <v>47</v>
      </c>
      <c r="S58" t="s">
        <v>600</v>
      </c>
      <c r="U58">
        <v>49</v>
      </c>
      <c r="V58">
        <v>47</v>
      </c>
      <c r="W58" t="s">
        <v>600</v>
      </c>
      <c r="Y58">
        <v>49</v>
      </c>
      <c r="Z58">
        <v>49</v>
      </c>
      <c r="AA58" t="s">
        <v>600</v>
      </c>
      <c r="AC58">
        <v>49</v>
      </c>
      <c r="AD58">
        <v>48</v>
      </c>
      <c r="AE58" t="s">
        <v>600</v>
      </c>
    </row>
    <row r="59" spans="1:31" x14ac:dyDescent="0.45">
      <c r="A59">
        <v>50</v>
      </c>
      <c r="B59">
        <v>49</v>
      </c>
      <c r="C59" t="s">
        <v>602</v>
      </c>
      <c r="E59">
        <v>50</v>
      </c>
      <c r="F59">
        <v>49</v>
      </c>
      <c r="G59" t="s">
        <v>602</v>
      </c>
      <c r="I59">
        <v>50</v>
      </c>
      <c r="J59">
        <v>50</v>
      </c>
      <c r="K59" t="s">
        <v>602</v>
      </c>
      <c r="M59">
        <v>50</v>
      </c>
      <c r="N59">
        <v>50</v>
      </c>
      <c r="O59" t="s">
        <v>602</v>
      </c>
      <c r="Q59">
        <v>50</v>
      </c>
      <c r="R59">
        <v>48</v>
      </c>
      <c r="S59" t="s">
        <v>601</v>
      </c>
      <c r="U59">
        <v>50</v>
      </c>
      <c r="V59">
        <v>48</v>
      </c>
      <c r="W59" t="s">
        <v>601</v>
      </c>
      <c r="Y59">
        <v>50</v>
      </c>
      <c r="Z59">
        <v>50</v>
      </c>
      <c r="AA59" t="s">
        <v>601</v>
      </c>
      <c r="AC59">
        <v>50</v>
      </c>
      <c r="AD59">
        <v>49</v>
      </c>
      <c r="AE59" t="s">
        <v>601</v>
      </c>
    </row>
    <row r="60" spans="1:31" x14ac:dyDescent="0.45">
      <c r="A60">
        <v>51</v>
      </c>
      <c r="E60">
        <v>51</v>
      </c>
      <c r="F60">
        <v>50</v>
      </c>
      <c r="G60" t="s">
        <v>572</v>
      </c>
      <c r="I60">
        <v>51</v>
      </c>
      <c r="M60">
        <v>51</v>
      </c>
      <c r="Q60">
        <v>51</v>
      </c>
      <c r="R60">
        <v>49</v>
      </c>
      <c r="S60" t="s">
        <v>602</v>
      </c>
      <c r="U60">
        <v>51</v>
      </c>
      <c r="V60">
        <v>49</v>
      </c>
      <c r="W60" t="s">
        <v>602</v>
      </c>
      <c r="Y60">
        <v>51</v>
      </c>
      <c r="Z60">
        <v>51</v>
      </c>
      <c r="AA60" t="s">
        <v>602</v>
      </c>
      <c r="AC60">
        <v>51</v>
      </c>
      <c r="AD60">
        <v>50</v>
      </c>
      <c r="AE60" t="s">
        <v>602</v>
      </c>
    </row>
    <row r="61" spans="1:31" x14ac:dyDescent="0.45">
      <c r="A61">
        <v>52</v>
      </c>
      <c r="E61">
        <v>52</v>
      </c>
      <c r="F61">
        <v>51</v>
      </c>
      <c r="G61" t="s">
        <v>603</v>
      </c>
      <c r="I61">
        <v>52</v>
      </c>
      <c r="M61">
        <v>52</v>
      </c>
      <c r="Q61">
        <v>52</v>
      </c>
      <c r="U61">
        <v>52</v>
      </c>
      <c r="V61">
        <v>50</v>
      </c>
      <c r="W61" t="s">
        <v>572</v>
      </c>
      <c r="Y61">
        <v>52</v>
      </c>
      <c r="AC61">
        <v>52</v>
      </c>
    </row>
    <row r="62" spans="1:31" x14ac:dyDescent="0.45">
      <c r="A62">
        <v>53</v>
      </c>
      <c r="E62">
        <v>53</v>
      </c>
      <c r="F62">
        <v>52</v>
      </c>
      <c r="G62" t="s">
        <v>604</v>
      </c>
      <c r="I62">
        <v>53</v>
      </c>
      <c r="M62">
        <v>53</v>
      </c>
      <c r="Q62">
        <v>53</v>
      </c>
      <c r="U62">
        <v>53</v>
      </c>
      <c r="V62">
        <v>51</v>
      </c>
      <c r="W62" t="s">
        <v>603</v>
      </c>
      <c r="Y62">
        <v>53</v>
      </c>
      <c r="AC62">
        <v>53</v>
      </c>
    </row>
    <row r="63" spans="1:31" x14ac:dyDescent="0.45">
      <c r="A63">
        <v>54</v>
      </c>
      <c r="B63">
        <v>50</v>
      </c>
      <c r="C63" t="s">
        <v>605</v>
      </c>
      <c r="E63">
        <v>54</v>
      </c>
      <c r="F63">
        <v>53</v>
      </c>
      <c r="G63" t="s">
        <v>605</v>
      </c>
      <c r="I63">
        <v>54</v>
      </c>
      <c r="J63">
        <v>51</v>
      </c>
      <c r="K63" t="s">
        <v>605</v>
      </c>
      <c r="M63">
        <v>54</v>
      </c>
      <c r="N63">
        <v>51</v>
      </c>
      <c r="O63" t="s">
        <v>605</v>
      </c>
      <c r="Q63">
        <v>54</v>
      </c>
      <c r="U63">
        <v>54</v>
      </c>
      <c r="V63">
        <v>52</v>
      </c>
      <c r="W63" t="s">
        <v>604</v>
      </c>
      <c r="Y63">
        <v>54</v>
      </c>
      <c r="AC63">
        <v>54</v>
      </c>
    </row>
    <row r="64" spans="1:31" x14ac:dyDescent="0.45">
      <c r="A64">
        <v>55</v>
      </c>
      <c r="B64">
        <v>51</v>
      </c>
      <c r="C64" t="s">
        <v>84</v>
      </c>
      <c r="E64">
        <v>55</v>
      </c>
      <c r="F64">
        <v>54</v>
      </c>
      <c r="G64" t="s">
        <v>84</v>
      </c>
      <c r="I64">
        <v>55</v>
      </c>
      <c r="J64">
        <v>52</v>
      </c>
      <c r="K64" t="s">
        <v>84</v>
      </c>
      <c r="M64">
        <v>55</v>
      </c>
      <c r="N64">
        <v>52</v>
      </c>
      <c r="O64" t="s">
        <v>84</v>
      </c>
      <c r="Q64">
        <v>55</v>
      </c>
      <c r="R64">
        <v>50</v>
      </c>
      <c r="S64" t="s">
        <v>605</v>
      </c>
      <c r="U64">
        <v>55</v>
      </c>
      <c r="V64">
        <v>53</v>
      </c>
      <c r="W64" t="s">
        <v>605</v>
      </c>
      <c r="Y64">
        <v>55</v>
      </c>
      <c r="Z64">
        <v>52</v>
      </c>
      <c r="AA64" t="s">
        <v>605</v>
      </c>
      <c r="AC64">
        <v>55</v>
      </c>
      <c r="AD64">
        <v>51</v>
      </c>
      <c r="AE64" t="s">
        <v>605</v>
      </c>
    </row>
    <row r="65" spans="1:31" x14ac:dyDescent="0.45">
      <c r="A65">
        <v>56</v>
      </c>
      <c r="B65">
        <v>52</v>
      </c>
      <c r="C65" t="s">
        <v>606</v>
      </c>
      <c r="E65">
        <v>56</v>
      </c>
      <c r="F65">
        <v>55</v>
      </c>
      <c r="G65" t="s">
        <v>606</v>
      </c>
      <c r="I65">
        <v>56</v>
      </c>
      <c r="J65">
        <v>53</v>
      </c>
      <c r="K65" t="s">
        <v>606</v>
      </c>
      <c r="M65">
        <v>56</v>
      </c>
      <c r="N65">
        <v>53</v>
      </c>
      <c r="O65" t="s">
        <v>606</v>
      </c>
      <c r="Q65">
        <v>56</v>
      </c>
      <c r="R65">
        <v>51</v>
      </c>
      <c r="S65" t="s">
        <v>84</v>
      </c>
      <c r="U65">
        <v>56</v>
      </c>
      <c r="V65">
        <v>54</v>
      </c>
      <c r="W65" t="s">
        <v>84</v>
      </c>
      <c r="Y65">
        <v>56</v>
      </c>
      <c r="Z65">
        <v>53</v>
      </c>
      <c r="AA65" t="s">
        <v>84</v>
      </c>
      <c r="AC65">
        <v>56</v>
      </c>
      <c r="AD65">
        <v>52</v>
      </c>
      <c r="AE65" t="s">
        <v>84</v>
      </c>
    </row>
    <row r="66" spans="1:31" x14ac:dyDescent="0.45">
      <c r="A66">
        <v>57</v>
      </c>
      <c r="B66">
        <v>53</v>
      </c>
      <c r="C66" t="s">
        <v>607</v>
      </c>
      <c r="E66">
        <v>57</v>
      </c>
      <c r="F66">
        <v>56</v>
      </c>
      <c r="G66" t="s">
        <v>607</v>
      </c>
      <c r="I66">
        <v>57</v>
      </c>
      <c r="J66">
        <v>54</v>
      </c>
      <c r="K66" t="s">
        <v>607</v>
      </c>
      <c r="M66">
        <v>57</v>
      </c>
      <c r="N66">
        <v>54</v>
      </c>
      <c r="O66" t="s">
        <v>607</v>
      </c>
      <c r="Q66">
        <v>57</v>
      </c>
      <c r="R66">
        <v>52</v>
      </c>
      <c r="S66" t="s">
        <v>606</v>
      </c>
      <c r="U66">
        <v>57</v>
      </c>
      <c r="V66">
        <v>55</v>
      </c>
      <c r="W66" t="s">
        <v>606</v>
      </c>
      <c r="Y66">
        <v>57</v>
      </c>
      <c r="Z66">
        <v>54</v>
      </c>
      <c r="AA66" t="s">
        <v>606</v>
      </c>
      <c r="AC66">
        <v>57</v>
      </c>
      <c r="AD66">
        <v>53</v>
      </c>
      <c r="AE66" t="s">
        <v>606</v>
      </c>
    </row>
    <row r="67" spans="1:31" x14ac:dyDescent="0.45">
      <c r="A67">
        <v>58</v>
      </c>
      <c r="B67">
        <v>54</v>
      </c>
      <c r="C67" t="s">
        <v>608</v>
      </c>
      <c r="E67">
        <v>58</v>
      </c>
      <c r="F67">
        <v>57</v>
      </c>
      <c r="G67" t="s">
        <v>608</v>
      </c>
      <c r="I67">
        <v>58</v>
      </c>
      <c r="J67">
        <v>55</v>
      </c>
      <c r="K67" t="s">
        <v>608</v>
      </c>
      <c r="M67">
        <v>58</v>
      </c>
      <c r="N67">
        <v>55</v>
      </c>
      <c r="O67" t="s">
        <v>608</v>
      </c>
      <c r="Q67">
        <v>58</v>
      </c>
      <c r="R67">
        <v>53</v>
      </c>
      <c r="S67" t="s">
        <v>607</v>
      </c>
      <c r="U67">
        <v>58</v>
      </c>
      <c r="V67">
        <v>56</v>
      </c>
      <c r="W67" t="s">
        <v>607</v>
      </c>
      <c r="Y67">
        <v>58</v>
      </c>
      <c r="Z67">
        <v>55</v>
      </c>
      <c r="AA67" t="s">
        <v>607</v>
      </c>
      <c r="AC67">
        <v>58</v>
      </c>
      <c r="AD67">
        <v>54</v>
      </c>
      <c r="AE67" t="s">
        <v>607</v>
      </c>
    </row>
    <row r="68" spans="1:31" x14ac:dyDescent="0.45">
      <c r="A68">
        <v>59</v>
      </c>
      <c r="B68">
        <v>55</v>
      </c>
      <c r="C68" t="s">
        <v>609</v>
      </c>
      <c r="E68">
        <v>59</v>
      </c>
      <c r="F68">
        <v>58</v>
      </c>
      <c r="G68" t="s">
        <v>609</v>
      </c>
      <c r="I68">
        <v>59</v>
      </c>
      <c r="J68">
        <v>56</v>
      </c>
      <c r="K68" t="s">
        <v>609</v>
      </c>
      <c r="M68">
        <v>59</v>
      </c>
      <c r="N68">
        <v>56</v>
      </c>
      <c r="O68" t="s">
        <v>609</v>
      </c>
      <c r="Q68">
        <v>59</v>
      </c>
      <c r="R68">
        <v>54</v>
      </c>
      <c r="S68" t="s">
        <v>608</v>
      </c>
      <c r="U68">
        <v>59</v>
      </c>
      <c r="V68">
        <v>57</v>
      </c>
      <c r="W68" t="s">
        <v>608</v>
      </c>
      <c r="Y68">
        <v>59</v>
      </c>
      <c r="Z68">
        <v>56</v>
      </c>
      <c r="AA68" t="s">
        <v>608</v>
      </c>
      <c r="AC68">
        <v>59</v>
      </c>
      <c r="AD68">
        <v>55</v>
      </c>
      <c r="AE68" t="s">
        <v>608</v>
      </c>
    </row>
    <row r="69" spans="1:31" x14ac:dyDescent="0.45">
      <c r="A69">
        <v>60</v>
      </c>
      <c r="B69">
        <v>56</v>
      </c>
      <c r="C69" t="s">
        <v>610</v>
      </c>
      <c r="E69">
        <v>60</v>
      </c>
      <c r="F69">
        <v>59</v>
      </c>
      <c r="G69" t="s">
        <v>610</v>
      </c>
      <c r="I69">
        <v>60</v>
      </c>
      <c r="J69">
        <v>57</v>
      </c>
      <c r="K69" t="s">
        <v>610</v>
      </c>
      <c r="M69">
        <v>60</v>
      </c>
      <c r="N69">
        <v>57</v>
      </c>
      <c r="O69" t="s">
        <v>610</v>
      </c>
      <c r="Q69">
        <v>60</v>
      </c>
      <c r="R69">
        <v>55</v>
      </c>
      <c r="S69" t="s">
        <v>609</v>
      </c>
      <c r="U69">
        <v>60</v>
      </c>
      <c r="V69">
        <v>58</v>
      </c>
      <c r="W69" t="s">
        <v>609</v>
      </c>
      <c r="Y69">
        <v>60</v>
      </c>
      <c r="Z69">
        <v>57</v>
      </c>
      <c r="AA69" t="s">
        <v>609</v>
      </c>
      <c r="AC69">
        <v>60</v>
      </c>
      <c r="AD69">
        <v>56</v>
      </c>
      <c r="AE69" t="s">
        <v>609</v>
      </c>
    </row>
    <row r="70" spans="1:31" x14ac:dyDescent="0.45">
      <c r="A70">
        <v>61</v>
      </c>
      <c r="B70">
        <v>57</v>
      </c>
      <c r="C70" t="s">
        <v>611</v>
      </c>
      <c r="E70">
        <v>61</v>
      </c>
      <c r="F70">
        <v>60</v>
      </c>
      <c r="G70" t="s">
        <v>611</v>
      </c>
      <c r="I70">
        <v>61</v>
      </c>
      <c r="J70">
        <v>58</v>
      </c>
      <c r="K70" t="s">
        <v>611</v>
      </c>
      <c r="M70">
        <v>61</v>
      </c>
      <c r="N70">
        <v>58</v>
      </c>
      <c r="O70" t="s">
        <v>611</v>
      </c>
      <c r="Q70">
        <v>61</v>
      </c>
      <c r="R70">
        <v>56</v>
      </c>
      <c r="S70" t="s">
        <v>610</v>
      </c>
      <c r="U70">
        <v>61</v>
      </c>
      <c r="V70">
        <v>59</v>
      </c>
      <c r="W70" t="s">
        <v>610</v>
      </c>
      <c r="Y70">
        <v>61</v>
      </c>
      <c r="Z70">
        <v>58</v>
      </c>
      <c r="AA70" t="s">
        <v>610</v>
      </c>
      <c r="AC70">
        <v>61</v>
      </c>
      <c r="AD70">
        <v>57</v>
      </c>
      <c r="AE70" t="s">
        <v>610</v>
      </c>
    </row>
    <row r="71" spans="1:31" x14ac:dyDescent="0.45">
      <c r="A71">
        <v>62</v>
      </c>
      <c r="B71">
        <v>58</v>
      </c>
      <c r="C71" t="s">
        <v>612</v>
      </c>
      <c r="E71">
        <v>62</v>
      </c>
      <c r="F71">
        <v>61</v>
      </c>
      <c r="G71" t="s">
        <v>612</v>
      </c>
      <c r="I71">
        <v>62</v>
      </c>
      <c r="J71">
        <v>59</v>
      </c>
      <c r="K71" t="s">
        <v>612</v>
      </c>
      <c r="M71">
        <v>62</v>
      </c>
      <c r="N71">
        <v>59</v>
      </c>
      <c r="O71" t="s">
        <v>612</v>
      </c>
      <c r="Q71">
        <v>62</v>
      </c>
      <c r="R71">
        <v>57</v>
      </c>
      <c r="S71" t="s">
        <v>611</v>
      </c>
      <c r="U71">
        <v>62</v>
      </c>
      <c r="V71">
        <v>60</v>
      </c>
      <c r="W71" t="s">
        <v>611</v>
      </c>
      <c r="Y71">
        <v>62</v>
      </c>
      <c r="Z71">
        <v>59</v>
      </c>
      <c r="AA71" t="s">
        <v>611</v>
      </c>
      <c r="AC71">
        <v>62</v>
      </c>
      <c r="AD71">
        <v>58</v>
      </c>
      <c r="AE71" t="s">
        <v>611</v>
      </c>
    </row>
    <row r="72" spans="1:31" x14ac:dyDescent="0.45">
      <c r="A72">
        <v>63</v>
      </c>
      <c r="B72">
        <v>59</v>
      </c>
      <c r="C72" t="s">
        <v>613</v>
      </c>
      <c r="E72">
        <v>63</v>
      </c>
      <c r="F72">
        <v>62</v>
      </c>
      <c r="G72" t="s">
        <v>613</v>
      </c>
      <c r="I72">
        <v>63</v>
      </c>
      <c r="J72">
        <v>60</v>
      </c>
      <c r="K72" t="s">
        <v>613</v>
      </c>
      <c r="M72">
        <v>63</v>
      </c>
      <c r="N72">
        <v>60</v>
      </c>
      <c r="O72" t="s">
        <v>613</v>
      </c>
      <c r="Q72">
        <v>63</v>
      </c>
      <c r="R72">
        <v>58</v>
      </c>
      <c r="S72" t="s">
        <v>612</v>
      </c>
      <c r="U72">
        <v>63</v>
      </c>
      <c r="V72">
        <v>61</v>
      </c>
      <c r="W72" t="s">
        <v>612</v>
      </c>
      <c r="Y72">
        <v>63</v>
      </c>
      <c r="Z72">
        <v>60</v>
      </c>
      <c r="AA72" t="s">
        <v>612</v>
      </c>
      <c r="AC72">
        <v>63</v>
      </c>
      <c r="AD72">
        <v>59</v>
      </c>
      <c r="AE72" t="s">
        <v>612</v>
      </c>
    </row>
    <row r="73" spans="1:31" x14ac:dyDescent="0.45">
      <c r="A73">
        <v>64</v>
      </c>
      <c r="B73">
        <v>60</v>
      </c>
      <c r="C73" t="s">
        <v>614</v>
      </c>
      <c r="E73">
        <v>64</v>
      </c>
      <c r="F73">
        <v>63</v>
      </c>
      <c r="G73" t="s">
        <v>614</v>
      </c>
      <c r="I73">
        <v>64</v>
      </c>
      <c r="J73">
        <v>61</v>
      </c>
      <c r="K73" t="s">
        <v>614</v>
      </c>
      <c r="M73">
        <v>64</v>
      </c>
      <c r="N73">
        <v>61</v>
      </c>
      <c r="O73" t="s">
        <v>614</v>
      </c>
      <c r="Q73">
        <v>64</v>
      </c>
      <c r="R73">
        <v>59</v>
      </c>
      <c r="S73" t="s">
        <v>613</v>
      </c>
      <c r="U73">
        <v>64</v>
      </c>
      <c r="V73">
        <v>62</v>
      </c>
      <c r="W73" t="s">
        <v>613</v>
      </c>
      <c r="Y73">
        <v>64</v>
      </c>
      <c r="Z73">
        <v>61</v>
      </c>
      <c r="AA73" t="s">
        <v>613</v>
      </c>
      <c r="AC73">
        <v>64</v>
      </c>
      <c r="AD73">
        <v>60</v>
      </c>
      <c r="AE73" t="s">
        <v>613</v>
      </c>
    </row>
    <row r="74" spans="1:31" x14ac:dyDescent="0.45">
      <c r="A74">
        <v>65</v>
      </c>
      <c r="B74">
        <v>61</v>
      </c>
      <c r="C74" t="s">
        <v>547</v>
      </c>
      <c r="E74">
        <v>65</v>
      </c>
      <c r="F74">
        <v>64</v>
      </c>
      <c r="G74" t="s">
        <v>547</v>
      </c>
      <c r="I74">
        <v>65</v>
      </c>
      <c r="J74">
        <v>62</v>
      </c>
      <c r="K74" t="s">
        <v>547</v>
      </c>
      <c r="M74">
        <v>65</v>
      </c>
      <c r="N74">
        <v>62</v>
      </c>
      <c r="O74" t="s">
        <v>547</v>
      </c>
      <c r="Q74">
        <v>65</v>
      </c>
      <c r="R74">
        <v>60</v>
      </c>
      <c r="S74" t="s">
        <v>614</v>
      </c>
      <c r="U74">
        <v>65</v>
      </c>
      <c r="V74">
        <v>63</v>
      </c>
      <c r="W74" t="s">
        <v>614</v>
      </c>
      <c r="Y74">
        <v>65</v>
      </c>
      <c r="Z74">
        <v>62</v>
      </c>
      <c r="AA74" t="s">
        <v>614</v>
      </c>
      <c r="AC74">
        <v>65</v>
      </c>
      <c r="AD74">
        <v>61</v>
      </c>
      <c r="AE74" t="s">
        <v>614</v>
      </c>
    </row>
    <row r="75" spans="1:31" x14ac:dyDescent="0.45">
      <c r="A75">
        <v>66</v>
      </c>
      <c r="B75">
        <v>62</v>
      </c>
      <c r="C75" t="s">
        <v>79</v>
      </c>
      <c r="E75">
        <v>66</v>
      </c>
      <c r="F75">
        <v>65</v>
      </c>
      <c r="G75" t="s">
        <v>79</v>
      </c>
      <c r="I75">
        <v>66</v>
      </c>
      <c r="J75">
        <v>63</v>
      </c>
      <c r="K75" t="s">
        <v>79</v>
      </c>
      <c r="M75">
        <v>66</v>
      </c>
      <c r="N75">
        <v>63</v>
      </c>
      <c r="O75" t="s">
        <v>79</v>
      </c>
      <c r="Q75">
        <v>66</v>
      </c>
      <c r="R75">
        <v>61</v>
      </c>
      <c r="S75" t="s">
        <v>547</v>
      </c>
      <c r="U75">
        <v>66</v>
      </c>
      <c r="V75">
        <v>64</v>
      </c>
      <c r="W75" t="s">
        <v>547</v>
      </c>
      <c r="Y75">
        <v>66</v>
      </c>
      <c r="Z75">
        <v>63</v>
      </c>
      <c r="AA75" t="s">
        <v>547</v>
      </c>
      <c r="AC75">
        <v>66</v>
      </c>
      <c r="AD75">
        <v>62</v>
      </c>
      <c r="AE75" t="s">
        <v>547</v>
      </c>
    </row>
    <row r="76" spans="1:31" x14ac:dyDescent="0.45">
      <c r="A76">
        <v>67</v>
      </c>
      <c r="B76">
        <v>63</v>
      </c>
      <c r="C76" t="s">
        <v>615</v>
      </c>
      <c r="E76">
        <v>67</v>
      </c>
      <c r="F76">
        <v>66</v>
      </c>
      <c r="G76" t="s">
        <v>615</v>
      </c>
      <c r="I76">
        <v>67</v>
      </c>
      <c r="J76">
        <v>64</v>
      </c>
      <c r="K76" t="s">
        <v>615</v>
      </c>
      <c r="M76">
        <v>67</v>
      </c>
      <c r="N76">
        <v>64</v>
      </c>
      <c r="O76" t="s">
        <v>615</v>
      </c>
      <c r="Q76">
        <v>67</v>
      </c>
      <c r="R76">
        <v>62</v>
      </c>
      <c r="S76" t="s">
        <v>79</v>
      </c>
      <c r="U76">
        <v>67</v>
      </c>
      <c r="V76">
        <v>65</v>
      </c>
      <c r="W76" t="s">
        <v>79</v>
      </c>
      <c r="Y76">
        <v>67</v>
      </c>
      <c r="Z76">
        <v>64</v>
      </c>
      <c r="AA76" t="s">
        <v>79</v>
      </c>
      <c r="AC76">
        <v>67</v>
      </c>
      <c r="AD76">
        <v>63</v>
      </c>
      <c r="AE76" t="s">
        <v>79</v>
      </c>
    </row>
    <row r="77" spans="1:31" x14ac:dyDescent="0.45">
      <c r="A77">
        <v>68</v>
      </c>
      <c r="B77">
        <v>64</v>
      </c>
      <c r="C77" t="s">
        <v>616</v>
      </c>
      <c r="E77">
        <v>68</v>
      </c>
      <c r="F77">
        <v>67</v>
      </c>
      <c r="G77" t="s">
        <v>616</v>
      </c>
      <c r="I77">
        <v>68</v>
      </c>
      <c r="J77">
        <v>65</v>
      </c>
      <c r="K77" t="s">
        <v>616</v>
      </c>
      <c r="M77">
        <v>68</v>
      </c>
      <c r="N77">
        <v>65</v>
      </c>
      <c r="O77" t="s">
        <v>616</v>
      </c>
      <c r="Q77">
        <v>68</v>
      </c>
      <c r="R77">
        <v>63</v>
      </c>
      <c r="S77" t="s">
        <v>615</v>
      </c>
      <c r="U77">
        <v>68</v>
      </c>
      <c r="V77">
        <v>66</v>
      </c>
      <c r="W77" t="s">
        <v>615</v>
      </c>
      <c r="Y77">
        <v>68</v>
      </c>
      <c r="Z77">
        <v>65</v>
      </c>
      <c r="AA77" t="s">
        <v>615</v>
      </c>
      <c r="AC77">
        <v>68</v>
      </c>
      <c r="AD77">
        <v>64</v>
      </c>
      <c r="AE77" t="s">
        <v>615</v>
      </c>
    </row>
    <row r="78" spans="1:31" x14ac:dyDescent="0.45">
      <c r="A78">
        <v>69</v>
      </c>
      <c r="B78">
        <v>65</v>
      </c>
      <c r="C78" t="s">
        <v>617</v>
      </c>
      <c r="E78">
        <v>69</v>
      </c>
      <c r="F78">
        <v>68</v>
      </c>
      <c r="G78" t="s">
        <v>617</v>
      </c>
      <c r="I78">
        <v>69</v>
      </c>
      <c r="J78">
        <v>66</v>
      </c>
      <c r="K78" t="s">
        <v>617</v>
      </c>
      <c r="M78">
        <v>69</v>
      </c>
      <c r="N78">
        <v>66</v>
      </c>
      <c r="O78" t="s">
        <v>617</v>
      </c>
      <c r="Q78">
        <v>69</v>
      </c>
      <c r="R78">
        <v>64</v>
      </c>
      <c r="S78" t="s">
        <v>616</v>
      </c>
      <c r="U78">
        <v>69</v>
      </c>
      <c r="V78">
        <v>67</v>
      </c>
      <c r="W78" t="s">
        <v>616</v>
      </c>
      <c r="Y78">
        <v>69</v>
      </c>
      <c r="Z78">
        <v>66</v>
      </c>
      <c r="AA78" t="s">
        <v>616</v>
      </c>
      <c r="AC78">
        <v>69</v>
      </c>
      <c r="AD78">
        <v>65</v>
      </c>
      <c r="AE78" t="s">
        <v>616</v>
      </c>
    </row>
    <row r="79" spans="1:31" x14ac:dyDescent="0.45">
      <c r="A79">
        <v>70</v>
      </c>
      <c r="B79">
        <v>66</v>
      </c>
      <c r="C79" t="s">
        <v>80</v>
      </c>
      <c r="E79">
        <v>70</v>
      </c>
      <c r="F79">
        <v>69</v>
      </c>
      <c r="G79" t="s">
        <v>80</v>
      </c>
      <c r="I79">
        <v>70</v>
      </c>
      <c r="J79">
        <v>67</v>
      </c>
      <c r="K79" t="s">
        <v>80</v>
      </c>
      <c r="M79">
        <v>70</v>
      </c>
      <c r="N79">
        <v>67</v>
      </c>
      <c r="O79" t="s">
        <v>80</v>
      </c>
      <c r="Q79">
        <v>70</v>
      </c>
      <c r="R79">
        <v>65</v>
      </c>
      <c r="S79" t="s">
        <v>617</v>
      </c>
      <c r="U79">
        <v>70</v>
      </c>
      <c r="V79">
        <v>68</v>
      </c>
      <c r="W79" t="s">
        <v>617</v>
      </c>
      <c r="Y79">
        <v>70</v>
      </c>
      <c r="Z79">
        <v>67</v>
      </c>
      <c r="AA79" t="s">
        <v>617</v>
      </c>
      <c r="AC79">
        <v>70</v>
      </c>
      <c r="AD79">
        <v>66</v>
      </c>
      <c r="AE79" t="s">
        <v>617</v>
      </c>
    </row>
    <row r="80" spans="1:31" x14ac:dyDescent="0.45">
      <c r="A80">
        <v>71</v>
      </c>
      <c r="B80">
        <v>67</v>
      </c>
      <c r="C80" t="s">
        <v>618</v>
      </c>
      <c r="E80">
        <v>71</v>
      </c>
      <c r="F80">
        <v>70</v>
      </c>
      <c r="G80" t="s">
        <v>618</v>
      </c>
      <c r="I80">
        <v>71</v>
      </c>
      <c r="J80">
        <v>68</v>
      </c>
      <c r="K80" t="s">
        <v>618</v>
      </c>
      <c r="M80">
        <v>71</v>
      </c>
      <c r="N80">
        <v>68</v>
      </c>
      <c r="O80" t="s">
        <v>618</v>
      </c>
      <c r="Q80">
        <v>71</v>
      </c>
      <c r="R80">
        <v>66</v>
      </c>
      <c r="S80" t="s">
        <v>80</v>
      </c>
      <c r="U80">
        <v>71</v>
      </c>
      <c r="V80">
        <v>69</v>
      </c>
      <c r="W80" t="s">
        <v>80</v>
      </c>
      <c r="Y80">
        <v>71</v>
      </c>
      <c r="Z80">
        <v>68</v>
      </c>
      <c r="AA80" t="s">
        <v>80</v>
      </c>
      <c r="AC80">
        <v>71</v>
      </c>
      <c r="AD80">
        <v>67</v>
      </c>
      <c r="AE80" t="s">
        <v>80</v>
      </c>
    </row>
    <row r="81" spans="1:31" x14ac:dyDescent="0.45">
      <c r="A81">
        <v>72</v>
      </c>
      <c r="B81">
        <v>68</v>
      </c>
      <c r="C81" t="s">
        <v>619</v>
      </c>
      <c r="E81">
        <v>72</v>
      </c>
      <c r="F81">
        <v>71</v>
      </c>
      <c r="G81" t="s">
        <v>619</v>
      </c>
      <c r="I81">
        <v>72</v>
      </c>
      <c r="J81">
        <v>69</v>
      </c>
      <c r="K81" t="s">
        <v>619</v>
      </c>
      <c r="M81">
        <v>72</v>
      </c>
      <c r="N81">
        <v>69</v>
      </c>
      <c r="O81" t="s">
        <v>619</v>
      </c>
      <c r="Q81">
        <v>72</v>
      </c>
      <c r="R81">
        <v>67</v>
      </c>
      <c r="S81" t="s">
        <v>618</v>
      </c>
      <c r="U81">
        <v>72</v>
      </c>
      <c r="V81">
        <v>70</v>
      </c>
      <c r="W81" t="s">
        <v>618</v>
      </c>
      <c r="Y81">
        <v>72</v>
      </c>
      <c r="Z81">
        <v>69</v>
      </c>
      <c r="AA81" t="s">
        <v>618</v>
      </c>
      <c r="AC81">
        <v>72</v>
      </c>
      <c r="AD81">
        <v>68</v>
      </c>
      <c r="AE81" t="s">
        <v>618</v>
      </c>
    </row>
    <row r="82" spans="1:31" x14ac:dyDescent="0.45">
      <c r="A82">
        <v>73</v>
      </c>
      <c r="B82">
        <v>69</v>
      </c>
      <c r="C82" t="s">
        <v>620</v>
      </c>
      <c r="E82">
        <v>73</v>
      </c>
      <c r="F82">
        <v>72</v>
      </c>
      <c r="G82" t="s">
        <v>620</v>
      </c>
      <c r="I82">
        <v>73</v>
      </c>
      <c r="J82">
        <v>70</v>
      </c>
      <c r="K82" t="s">
        <v>620</v>
      </c>
      <c r="M82">
        <v>73</v>
      </c>
      <c r="N82">
        <v>70</v>
      </c>
      <c r="O82" t="s">
        <v>620</v>
      </c>
      <c r="Q82">
        <v>73</v>
      </c>
      <c r="R82">
        <v>68</v>
      </c>
      <c r="S82" t="s">
        <v>619</v>
      </c>
      <c r="U82">
        <v>73</v>
      </c>
      <c r="V82">
        <v>71</v>
      </c>
      <c r="W82" t="s">
        <v>619</v>
      </c>
      <c r="Y82">
        <v>73</v>
      </c>
      <c r="Z82">
        <v>70</v>
      </c>
      <c r="AA82" t="s">
        <v>619</v>
      </c>
      <c r="AC82">
        <v>73</v>
      </c>
      <c r="AD82">
        <v>69</v>
      </c>
      <c r="AE82" t="s">
        <v>619</v>
      </c>
    </row>
    <row r="83" spans="1:31" x14ac:dyDescent="0.45">
      <c r="A83">
        <v>74</v>
      </c>
      <c r="B83">
        <v>70</v>
      </c>
      <c r="C83" t="s">
        <v>621</v>
      </c>
      <c r="E83">
        <v>74</v>
      </c>
      <c r="F83">
        <v>73</v>
      </c>
      <c r="G83" t="s">
        <v>621</v>
      </c>
      <c r="I83">
        <v>74</v>
      </c>
      <c r="J83">
        <v>71</v>
      </c>
      <c r="K83" t="s">
        <v>621</v>
      </c>
      <c r="M83">
        <v>74</v>
      </c>
      <c r="N83">
        <v>71</v>
      </c>
      <c r="O83" t="s">
        <v>621</v>
      </c>
      <c r="Q83">
        <v>74</v>
      </c>
      <c r="R83">
        <v>69</v>
      </c>
      <c r="S83" t="s">
        <v>620</v>
      </c>
      <c r="U83">
        <v>74</v>
      </c>
      <c r="V83">
        <v>72</v>
      </c>
      <c r="W83" t="s">
        <v>620</v>
      </c>
      <c r="Y83">
        <v>74</v>
      </c>
      <c r="Z83">
        <v>71</v>
      </c>
      <c r="AA83" t="s">
        <v>620</v>
      </c>
      <c r="AC83">
        <v>74</v>
      </c>
      <c r="AD83">
        <v>70</v>
      </c>
      <c r="AE83" t="s">
        <v>620</v>
      </c>
    </row>
    <row r="84" spans="1:31" x14ac:dyDescent="0.45">
      <c r="A84">
        <v>75</v>
      </c>
      <c r="E84">
        <v>75</v>
      </c>
      <c r="I84">
        <v>75</v>
      </c>
      <c r="M84">
        <v>75</v>
      </c>
      <c r="Q84">
        <v>75</v>
      </c>
      <c r="R84">
        <v>70</v>
      </c>
      <c r="S84" t="s">
        <v>621</v>
      </c>
      <c r="U84">
        <v>75</v>
      </c>
      <c r="V84">
        <v>73</v>
      </c>
      <c r="W84" t="s">
        <v>621</v>
      </c>
      <c r="Y84">
        <v>75</v>
      </c>
      <c r="Z84">
        <v>72</v>
      </c>
      <c r="AA84" t="s">
        <v>621</v>
      </c>
      <c r="AC84">
        <v>75</v>
      </c>
      <c r="AD84">
        <v>71</v>
      </c>
      <c r="AE84" t="s">
        <v>621</v>
      </c>
    </row>
    <row r="85" spans="1:31" x14ac:dyDescent="0.45">
      <c r="A85">
        <v>76</v>
      </c>
      <c r="B85">
        <v>71</v>
      </c>
      <c r="C85" t="s">
        <v>622</v>
      </c>
      <c r="E85">
        <v>76</v>
      </c>
      <c r="F85">
        <v>74</v>
      </c>
      <c r="G85" t="s">
        <v>622</v>
      </c>
      <c r="I85">
        <v>76</v>
      </c>
      <c r="J85">
        <v>72</v>
      </c>
      <c r="K85" t="s">
        <v>622</v>
      </c>
      <c r="M85">
        <v>76</v>
      </c>
      <c r="N85">
        <v>72</v>
      </c>
      <c r="O85" t="s">
        <v>622</v>
      </c>
      <c r="Q85">
        <v>76</v>
      </c>
      <c r="U85">
        <v>76</v>
      </c>
      <c r="Y85">
        <v>76</v>
      </c>
      <c r="AC85">
        <v>76</v>
      </c>
    </row>
    <row r="86" spans="1:31" x14ac:dyDescent="0.45">
      <c r="A86">
        <v>77</v>
      </c>
      <c r="E86">
        <v>77</v>
      </c>
      <c r="I86">
        <v>77</v>
      </c>
      <c r="M86">
        <v>77</v>
      </c>
      <c r="Q86">
        <v>77</v>
      </c>
      <c r="R86">
        <v>71</v>
      </c>
      <c r="S86" t="s">
        <v>622</v>
      </c>
      <c r="U86">
        <v>77</v>
      </c>
      <c r="V86">
        <v>74</v>
      </c>
      <c r="W86" t="s">
        <v>622</v>
      </c>
      <c r="Y86">
        <v>77</v>
      </c>
      <c r="Z86">
        <v>73</v>
      </c>
      <c r="AA86" t="s">
        <v>622</v>
      </c>
      <c r="AC86">
        <v>77</v>
      </c>
      <c r="AD86">
        <v>72</v>
      </c>
      <c r="AE86" t="s">
        <v>622</v>
      </c>
    </row>
    <row r="87" spans="1:31" x14ac:dyDescent="0.45">
      <c r="A87">
        <v>78</v>
      </c>
      <c r="B87">
        <v>72</v>
      </c>
      <c r="C87" t="s">
        <v>623</v>
      </c>
      <c r="E87">
        <v>78</v>
      </c>
      <c r="F87">
        <v>75</v>
      </c>
      <c r="G87" t="s">
        <v>623</v>
      </c>
      <c r="I87">
        <v>78</v>
      </c>
      <c r="J87">
        <v>73</v>
      </c>
      <c r="K87" t="s">
        <v>623</v>
      </c>
      <c r="M87">
        <v>78</v>
      </c>
      <c r="N87">
        <v>73</v>
      </c>
      <c r="O87" t="s">
        <v>623</v>
      </c>
      <c r="Q87">
        <v>78</v>
      </c>
      <c r="U87">
        <v>78</v>
      </c>
      <c r="Y87">
        <v>78</v>
      </c>
      <c r="AC87">
        <v>78</v>
      </c>
    </row>
    <row r="88" spans="1:31" x14ac:dyDescent="0.45">
      <c r="A88">
        <v>79</v>
      </c>
      <c r="B88">
        <v>73</v>
      </c>
      <c r="C88" t="s">
        <v>624</v>
      </c>
      <c r="E88">
        <v>79</v>
      </c>
      <c r="F88">
        <v>76</v>
      </c>
      <c r="G88" t="s">
        <v>624</v>
      </c>
      <c r="I88">
        <v>79</v>
      </c>
      <c r="J88">
        <v>74</v>
      </c>
      <c r="K88" t="s">
        <v>624</v>
      </c>
      <c r="M88">
        <v>79</v>
      </c>
      <c r="N88">
        <v>74</v>
      </c>
      <c r="O88" t="s">
        <v>624</v>
      </c>
      <c r="Q88">
        <v>79</v>
      </c>
      <c r="R88">
        <v>72</v>
      </c>
      <c r="S88" t="s">
        <v>623</v>
      </c>
      <c r="U88">
        <v>79</v>
      </c>
      <c r="V88">
        <v>75</v>
      </c>
      <c r="W88" t="s">
        <v>623</v>
      </c>
      <c r="Y88">
        <v>79</v>
      </c>
      <c r="Z88">
        <v>74</v>
      </c>
      <c r="AA88" t="s">
        <v>623</v>
      </c>
      <c r="AC88">
        <v>79</v>
      </c>
      <c r="AD88">
        <v>73</v>
      </c>
      <c r="AE88" t="s">
        <v>623</v>
      </c>
    </row>
    <row r="89" spans="1:31" x14ac:dyDescent="0.45">
      <c r="A89">
        <v>80</v>
      </c>
      <c r="B89">
        <v>74</v>
      </c>
      <c r="C89" t="s">
        <v>625</v>
      </c>
      <c r="E89">
        <v>80</v>
      </c>
      <c r="F89">
        <v>77</v>
      </c>
      <c r="G89" t="s">
        <v>625</v>
      </c>
      <c r="I89">
        <v>80</v>
      </c>
      <c r="J89">
        <v>75</v>
      </c>
      <c r="K89" t="s">
        <v>625</v>
      </c>
      <c r="M89">
        <v>80</v>
      </c>
      <c r="N89">
        <v>75</v>
      </c>
      <c r="O89" t="s">
        <v>625</v>
      </c>
      <c r="Q89">
        <v>80</v>
      </c>
      <c r="R89">
        <v>73</v>
      </c>
      <c r="S89" t="s">
        <v>624</v>
      </c>
      <c r="U89">
        <v>80</v>
      </c>
      <c r="V89">
        <v>76</v>
      </c>
      <c r="W89" t="s">
        <v>624</v>
      </c>
      <c r="Y89">
        <v>80</v>
      </c>
      <c r="Z89">
        <v>75</v>
      </c>
      <c r="AA89" t="s">
        <v>624</v>
      </c>
      <c r="AC89">
        <v>80</v>
      </c>
      <c r="AD89">
        <v>74</v>
      </c>
      <c r="AE89" t="s">
        <v>624</v>
      </c>
    </row>
    <row r="90" spans="1:31" x14ac:dyDescent="0.45">
      <c r="A90">
        <v>81</v>
      </c>
      <c r="B90">
        <v>75</v>
      </c>
      <c r="C90" t="s">
        <v>626</v>
      </c>
      <c r="E90">
        <v>81</v>
      </c>
      <c r="F90">
        <v>78</v>
      </c>
      <c r="G90" t="s">
        <v>626</v>
      </c>
      <c r="I90">
        <v>81</v>
      </c>
      <c r="J90">
        <v>76</v>
      </c>
      <c r="K90" t="s">
        <v>626</v>
      </c>
      <c r="M90">
        <v>81</v>
      </c>
      <c r="N90">
        <v>76</v>
      </c>
      <c r="O90" t="s">
        <v>626</v>
      </c>
      <c r="Q90">
        <v>81</v>
      </c>
      <c r="R90">
        <v>74</v>
      </c>
      <c r="S90" t="s">
        <v>625</v>
      </c>
      <c r="U90">
        <v>81</v>
      </c>
      <c r="V90">
        <v>77</v>
      </c>
      <c r="W90" t="s">
        <v>625</v>
      </c>
      <c r="Y90">
        <v>81</v>
      </c>
      <c r="Z90">
        <v>76</v>
      </c>
      <c r="AA90" t="s">
        <v>625</v>
      </c>
      <c r="AC90">
        <v>81</v>
      </c>
      <c r="AD90">
        <v>75</v>
      </c>
      <c r="AE90" t="s">
        <v>625</v>
      </c>
    </row>
    <row r="91" spans="1:31" x14ac:dyDescent="0.45">
      <c r="A91">
        <v>82</v>
      </c>
      <c r="E91">
        <v>82</v>
      </c>
      <c r="I91">
        <v>82</v>
      </c>
      <c r="J91">
        <v>77</v>
      </c>
      <c r="K91" t="s">
        <v>120</v>
      </c>
      <c r="M91">
        <v>82</v>
      </c>
      <c r="Q91">
        <v>82</v>
      </c>
      <c r="R91">
        <v>75</v>
      </c>
      <c r="S91" t="s">
        <v>626</v>
      </c>
      <c r="U91">
        <v>82</v>
      </c>
      <c r="V91">
        <v>78</v>
      </c>
      <c r="W91" t="s">
        <v>626</v>
      </c>
      <c r="Y91">
        <v>82</v>
      </c>
      <c r="Z91">
        <v>77</v>
      </c>
      <c r="AA91" t="s">
        <v>626</v>
      </c>
      <c r="AC91">
        <v>82</v>
      </c>
      <c r="AD91">
        <v>76</v>
      </c>
      <c r="AE91" t="s">
        <v>626</v>
      </c>
    </row>
    <row r="92" spans="1:31" x14ac:dyDescent="0.45">
      <c r="A92">
        <v>83</v>
      </c>
      <c r="E92">
        <v>83</v>
      </c>
      <c r="I92">
        <v>83</v>
      </c>
      <c r="M92">
        <v>83</v>
      </c>
      <c r="Q92">
        <v>83</v>
      </c>
      <c r="U92">
        <v>83</v>
      </c>
      <c r="Y92">
        <v>83</v>
      </c>
      <c r="AC92">
        <v>83</v>
      </c>
    </row>
    <row r="93" spans="1:31" x14ac:dyDescent="0.45">
      <c r="A93">
        <v>84</v>
      </c>
      <c r="E93">
        <v>84</v>
      </c>
      <c r="I93">
        <v>84</v>
      </c>
      <c r="M93">
        <v>84</v>
      </c>
      <c r="Q93">
        <v>84</v>
      </c>
      <c r="U93">
        <v>84</v>
      </c>
      <c r="Y93">
        <v>84</v>
      </c>
      <c r="AC93">
        <v>84</v>
      </c>
    </row>
    <row r="94" spans="1:31" x14ac:dyDescent="0.45">
      <c r="A94">
        <v>85</v>
      </c>
      <c r="B94">
        <v>76</v>
      </c>
      <c r="C94" t="s">
        <v>627</v>
      </c>
      <c r="E94">
        <v>85</v>
      </c>
      <c r="F94">
        <v>79</v>
      </c>
      <c r="G94" t="s">
        <v>627</v>
      </c>
      <c r="I94">
        <v>85</v>
      </c>
      <c r="J94">
        <v>78</v>
      </c>
      <c r="K94" t="s">
        <v>627</v>
      </c>
      <c r="M94">
        <v>85</v>
      </c>
      <c r="N94">
        <v>77</v>
      </c>
      <c r="O94" t="s">
        <v>627</v>
      </c>
      <c r="Q94">
        <v>85</v>
      </c>
      <c r="R94">
        <v>76</v>
      </c>
      <c r="S94" t="s">
        <v>627</v>
      </c>
      <c r="U94">
        <v>85</v>
      </c>
      <c r="V94">
        <v>79</v>
      </c>
      <c r="W94" t="s">
        <v>627</v>
      </c>
      <c r="Y94">
        <v>85</v>
      </c>
      <c r="Z94">
        <v>78</v>
      </c>
      <c r="AA94" t="s">
        <v>627</v>
      </c>
      <c r="AC94">
        <v>85</v>
      </c>
      <c r="AD94">
        <v>77</v>
      </c>
      <c r="AE94" t="s">
        <v>627</v>
      </c>
    </row>
  </sheetData>
  <pageMargins left="0.70866141732283472" right="0.70866141732283472" top="0.74803149606299213" bottom="0.7480314960629921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F849F-7920-424C-97F3-40F82BD49021}">
  <sheetPr>
    <tabColor theme="7"/>
  </sheetPr>
  <dimension ref="A1:AJ94"/>
  <sheetViews>
    <sheetView zoomScale="41" zoomScaleNormal="41" workbookViewId="0"/>
  </sheetViews>
  <sheetFormatPr defaultRowHeight="14.25" x14ac:dyDescent="0.45"/>
  <cols>
    <col min="2" max="2" width="10.73046875" bestFit="1" customWidth="1"/>
    <col min="3" max="3" width="19.73046875" bestFit="1" customWidth="1"/>
    <col min="6" max="6" width="10.73046875" bestFit="1" customWidth="1"/>
    <col min="7" max="7" width="19.73046875" bestFit="1" customWidth="1"/>
    <col min="10" max="10" width="10.73046875" bestFit="1" customWidth="1"/>
    <col min="11" max="11" width="19.73046875" bestFit="1" customWidth="1"/>
    <col min="14" max="14" width="10.73046875" bestFit="1" customWidth="1"/>
    <col min="15" max="15" width="19.73046875" bestFit="1" customWidth="1"/>
    <col min="18" max="18" width="10.73046875" bestFit="1" customWidth="1"/>
    <col min="19" max="19" width="19.73046875" bestFit="1" customWidth="1"/>
    <col min="22" max="22" width="10.73046875" bestFit="1" customWidth="1"/>
    <col min="26" max="26" width="10.73046875" bestFit="1" customWidth="1"/>
    <col min="27" max="27" width="11.265625" bestFit="1" customWidth="1"/>
    <col min="30" max="30" width="10.73046875" bestFit="1" customWidth="1"/>
  </cols>
  <sheetData>
    <row r="1" spans="1:36" x14ac:dyDescent="0.45">
      <c r="F1" s="38"/>
      <c r="G1" s="38"/>
      <c r="H1" s="38"/>
      <c r="I1" s="38"/>
      <c r="J1" s="38"/>
      <c r="K1" s="38"/>
      <c r="L1" s="38"/>
      <c r="M1" s="38"/>
      <c r="N1" s="38"/>
    </row>
    <row r="2" spans="1:36" x14ac:dyDescent="0.45">
      <c r="A2" t="s">
        <v>578</v>
      </c>
      <c r="E2" s="38"/>
      <c r="F2" s="38"/>
      <c r="G2" s="38"/>
      <c r="H2" s="38"/>
      <c r="I2" s="38"/>
      <c r="J2" s="38"/>
      <c r="K2" s="38"/>
      <c r="L2" s="38"/>
      <c r="M2" s="38"/>
      <c r="N2" s="38"/>
    </row>
    <row r="3" spans="1:36" x14ac:dyDescent="0.45">
      <c r="A3" t="s">
        <v>628</v>
      </c>
      <c r="F3" s="38"/>
      <c r="G3" s="38"/>
      <c r="H3" s="38"/>
      <c r="I3" s="38"/>
      <c r="J3" s="38"/>
      <c r="K3" s="38"/>
      <c r="L3" s="38"/>
      <c r="M3" s="38"/>
      <c r="N3" s="38"/>
    </row>
    <row r="4" spans="1:36" x14ac:dyDescent="0.45">
      <c r="F4" s="38"/>
      <c r="G4" s="38"/>
      <c r="H4" s="38"/>
      <c r="I4" s="38"/>
      <c r="J4" s="38"/>
      <c r="K4" s="38"/>
      <c r="L4" s="38"/>
      <c r="M4" s="38"/>
      <c r="N4" s="38"/>
    </row>
    <row r="5" spans="1:36" x14ac:dyDescent="0.45">
      <c r="A5" t="s">
        <v>122</v>
      </c>
      <c r="Q5" t="s">
        <v>629</v>
      </c>
    </row>
    <row r="7" spans="1:36" x14ac:dyDescent="0.45">
      <c r="A7" t="s">
        <v>153</v>
      </c>
      <c r="E7" t="s">
        <v>154</v>
      </c>
      <c r="I7" t="s">
        <v>155</v>
      </c>
      <c r="M7" t="s">
        <v>110</v>
      </c>
      <c r="Q7" t="s">
        <v>153</v>
      </c>
      <c r="U7" t="s">
        <v>154</v>
      </c>
      <c r="Y7" t="s">
        <v>155</v>
      </c>
      <c r="AC7" t="s">
        <v>110</v>
      </c>
    </row>
    <row r="9" spans="1:36" x14ac:dyDescent="0.45">
      <c r="A9" t="s">
        <v>121</v>
      </c>
      <c r="B9" t="s">
        <v>123</v>
      </c>
      <c r="C9" t="s">
        <v>50</v>
      </c>
      <c r="E9" t="s">
        <v>121</v>
      </c>
      <c r="F9" t="s">
        <v>123</v>
      </c>
      <c r="G9" t="s">
        <v>50</v>
      </c>
      <c r="I9" t="s">
        <v>121</v>
      </c>
      <c r="J9" t="s">
        <v>123</v>
      </c>
      <c r="K9" t="s">
        <v>50</v>
      </c>
      <c r="M9" t="s">
        <v>121</v>
      </c>
      <c r="N9" t="s">
        <v>123</v>
      </c>
      <c r="O9" t="s">
        <v>50</v>
      </c>
      <c r="Q9" t="s">
        <v>121</v>
      </c>
      <c r="R9" t="s">
        <v>123</v>
      </c>
      <c r="S9" t="s">
        <v>50</v>
      </c>
      <c r="U9" t="s">
        <v>121</v>
      </c>
      <c r="V9" t="s">
        <v>123</v>
      </c>
      <c r="W9" t="s">
        <v>50</v>
      </c>
      <c r="Y9" t="s">
        <v>121</v>
      </c>
      <c r="Z9" t="s">
        <v>123</v>
      </c>
      <c r="AA9" t="s">
        <v>50</v>
      </c>
      <c r="AC9" t="s">
        <v>121</v>
      </c>
      <c r="AD9" t="s">
        <v>123</v>
      </c>
      <c r="AE9" t="s">
        <v>50</v>
      </c>
    </row>
    <row r="10" spans="1:36" x14ac:dyDescent="0.45">
      <c r="A10">
        <v>1</v>
      </c>
      <c r="B10">
        <v>1</v>
      </c>
      <c r="C10" t="s">
        <v>156</v>
      </c>
      <c r="E10">
        <v>1</v>
      </c>
      <c r="F10">
        <v>1</v>
      </c>
      <c r="G10" t="s">
        <v>156</v>
      </c>
      <c r="I10">
        <v>1</v>
      </c>
      <c r="J10">
        <v>1</v>
      </c>
      <c r="K10" t="s">
        <v>156</v>
      </c>
      <c r="M10">
        <v>1</v>
      </c>
      <c r="N10">
        <v>1</v>
      </c>
      <c r="O10" t="s">
        <v>156</v>
      </c>
      <c r="Q10">
        <v>1</v>
      </c>
      <c r="R10">
        <v>1</v>
      </c>
      <c r="S10" t="s">
        <v>156</v>
      </c>
      <c r="U10">
        <v>1</v>
      </c>
      <c r="V10">
        <v>1</v>
      </c>
      <c r="W10" t="s">
        <v>156</v>
      </c>
      <c r="Y10">
        <v>1</v>
      </c>
      <c r="Z10">
        <v>1</v>
      </c>
      <c r="AA10" t="s">
        <v>156</v>
      </c>
      <c r="AC10">
        <v>1</v>
      </c>
      <c r="AD10">
        <v>1</v>
      </c>
      <c r="AE10" t="s">
        <v>156</v>
      </c>
    </row>
    <row r="11" spans="1:36" x14ac:dyDescent="0.45">
      <c r="A11">
        <v>2</v>
      </c>
      <c r="B11">
        <v>2</v>
      </c>
      <c r="C11" t="s">
        <v>580</v>
      </c>
      <c r="E11">
        <v>2</v>
      </c>
      <c r="F11">
        <v>2</v>
      </c>
      <c r="G11" t="s">
        <v>580</v>
      </c>
      <c r="I11">
        <v>2</v>
      </c>
      <c r="J11">
        <v>2</v>
      </c>
      <c r="K11" t="s">
        <v>580</v>
      </c>
      <c r="M11">
        <v>2</v>
      </c>
      <c r="N11">
        <v>2</v>
      </c>
      <c r="O11" t="s">
        <v>580</v>
      </c>
      <c r="Q11">
        <v>2</v>
      </c>
      <c r="R11">
        <v>2</v>
      </c>
      <c r="S11" t="s">
        <v>580</v>
      </c>
      <c r="U11">
        <v>2</v>
      </c>
      <c r="V11">
        <v>2</v>
      </c>
      <c r="W11" t="s">
        <v>580</v>
      </c>
      <c r="Y11">
        <v>2</v>
      </c>
      <c r="Z11">
        <v>2</v>
      </c>
      <c r="AA11" t="s">
        <v>580</v>
      </c>
      <c r="AC11">
        <v>2</v>
      </c>
      <c r="AD11">
        <v>2</v>
      </c>
      <c r="AE11" t="s">
        <v>580</v>
      </c>
    </row>
    <row r="12" spans="1:36" x14ac:dyDescent="0.45">
      <c r="A12">
        <v>3</v>
      </c>
      <c r="B12">
        <v>3</v>
      </c>
      <c r="C12" t="s">
        <v>55</v>
      </c>
      <c r="E12">
        <v>3</v>
      </c>
      <c r="F12">
        <v>3</v>
      </c>
      <c r="G12" t="s">
        <v>179</v>
      </c>
      <c r="I12">
        <v>3</v>
      </c>
      <c r="J12">
        <v>3</v>
      </c>
      <c r="K12" t="s">
        <v>180</v>
      </c>
      <c r="M12">
        <v>3</v>
      </c>
      <c r="N12">
        <v>3</v>
      </c>
      <c r="O12" t="s">
        <v>55</v>
      </c>
      <c r="Q12">
        <v>3</v>
      </c>
      <c r="R12">
        <v>3</v>
      </c>
      <c r="S12" t="s">
        <v>55</v>
      </c>
      <c r="U12">
        <v>3</v>
      </c>
      <c r="V12">
        <v>3</v>
      </c>
      <c r="W12" t="s">
        <v>179</v>
      </c>
      <c r="Y12">
        <v>3</v>
      </c>
      <c r="Z12">
        <v>3</v>
      </c>
      <c r="AA12" t="s">
        <v>180</v>
      </c>
      <c r="AC12">
        <v>3</v>
      </c>
      <c r="AD12">
        <v>3</v>
      </c>
      <c r="AE12" t="s">
        <v>55</v>
      </c>
    </row>
    <row r="13" spans="1:36" x14ac:dyDescent="0.45">
      <c r="A13">
        <v>4</v>
      </c>
      <c r="B13">
        <v>4</v>
      </c>
      <c r="C13" t="s">
        <v>118</v>
      </c>
      <c r="E13">
        <v>4</v>
      </c>
      <c r="F13" s="38">
        <v>4</v>
      </c>
      <c r="G13" s="38" t="s">
        <v>118</v>
      </c>
      <c r="H13" s="38"/>
      <c r="I13" s="38">
        <v>4</v>
      </c>
      <c r="J13" s="38">
        <v>4</v>
      </c>
      <c r="K13" s="38" t="s">
        <v>118</v>
      </c>
      <c r="L13" s="38"/>
      <c r="M13" s="38">
        <v>4</v>
      </c>
      <c r="N13" s="38">
        <v>4</v>
      </c>
      <c r="O13" s="38" t="s">
        <v>92</v>
      </c>
      <c r="P13" s="38"/>
      <c r="Q13" s="38">
        <v>4</v>
      </c>
      <c r="R13" s="38">
        <v>4</v>
      </c>
      <c r="S13" s="38" t="s">
        <v>118</v>
      </c>
      <c r="T13" s="38"/>
      <c r="U13" s="38">
        <v>4</v>
      </c>
      <c r="V13" s="38">
        <v>4</v>
      </c>
      <c r="W13" s="38" t="s">
        <v>118</v>
      </c>
      <c r="X13" s="38"/>
      <c r="Y13" s="38">
        <v>4</v>
      </c>
      <c r="Z13" s="38">
        <v>4</v>
      </c>
      <c r="AA13" s="38" t="s">
        <v>118</v>
      </c>
      <c r="AB13" s="38"/>
      <c r="AC13" s="38">
        <v>4</v>
      </c>
      <c r="AD13" s="38">
        <v>4</v>
      </c>
      <c r="AE13" s="38" t="s">
        <v>92</v>
      </c>
      <c r="AF13" s="38"/>
      <c r="AG13" s="38"/>
      <c r="AH13" s="38"/>
      <c r="AI13" s="38"/>
      <c r="AJ13" s="38"/>
    </row>
    <row r="14" spans="1:36" x14ac:dyDescent="0.45">
      <c r="A14">
        <v>5</v>
      </c>
      <c r="B14">
        <v>5</v>
      </c>
      <c r="C14" t="s">
        <v>82</v>
      </c>
      <c r="E14">
        <v>5</v>
      </c>
      <c r="F14" s="38">
        <v>5</v>
      </c>
      <c r="G14" s="38" t="s">
        <v>82</v>
      </c>
      <c r="H14" s="38"/>
      <c r="I14" s="38">
        <v>5</v>
      </c>
      <c r="J14" s="38">
        <v>5</v>
      </c>
      <c r="K14" s="38" t="s">
        <v>82</v>
      </c>
      <c r="L14" s="38"/>
      <c r="M14" s="38">
        <v>5</v>
      </c>
      <c r="N14" s="38">
        <v>5</v>
      </c>
      <c r="O14" s="38" t="s">
        <v>82</v>
      </c>
      <c r="P14" s="38"/>
      <c r="Q14" s="38">
        <v>5</v>
      </c>
      <c r="R14" s="38">
        <v>5</v>
      </c>
      <c r="S14" s="38" t="s">
        <v>82</v>
      </c>
      <c r="T14" s="38"/>
      <c r="U14" s="38">
        <v>5</v>
      </c>
      <c r="V14" s="38">
        <v>5</v>
      </c>
      <c r="W14" s="38" t="s">
        <v>82</v>
      </c>
      <c r="X14" s="38"/>
      <c r="Y14" s="38">
        <v>5</v>
      </c>
      <c r="Z14" s="38">
        <v>5</v>
      </c>
      <c r="AA14" s="38" t="s">
        <v>82</v>
      </c>
      <c r="AB14" s="38"/>
      <c r="AC14" s="38">
        <v>5</v>
      </c>
      <c r="AD14" s="38">
        <v>5</v>
      </c>
      <c r="AE14" s="38" t="s">
        <v>82</v>
      </c>
      <c r="AF14" s="38"/>
      <c r="AG14" s="38"/>
      <c r="AH14" s="38"/>
      <c r="AI14" s="38"/>
      <c r="AJ14" s="38"/>
    </row>
    <row r="15" spans="1:36" x14ac:dyDescent="0.45">
      <c r="A15">
        <v>6</v>
      </c>
      <c r="B15">
        <v>6</v>
      </c>
      <c r="C15" t="s">
        <v>57</v>
      </c>
      <c r="E15">
        <v>6</v>
      </c>
      <c r="F15" s="38">
        <v>6</v>
      </c>
      <c r="G15" s="38" t="s">
        <v>57</v>
      </c>
      <c r="H15" s="38"/>
      <c r="I15" s="38">
        <v>6</v>
      </c>
      <c r="J15" s="38">
        <v>6</v>
      </c>
      <c r="K15" s="38" t="s">
        <v>57</v>
      </c>
      <c r="L15" s="38"/>
      <c r="M15" s="38">
        <v>6</v>
      </c>
      <c r="N15" s="38">
        <v>6</v>
      </c>
      <c r="O15" s="38" t="s">
        <v>57</v>
      </c>
      <c r="P15" s="38"/>
      <c r="Q15" s="38">
        <v>6</v>
      </c>
      <c r="R15" s="38">
        <v>6</v>
      </c>
      <c r="S15" s="38" t="s">
        <v>57</v>
      </c>
      <c r="T15" s="38"/>
      <c r="U15" s="38">
        <v>6</v>
      </c>
      <c r="V15" s="38">
        <v>6</v>
      </c>
      <c r="W15" s="38" t="s">
        <v>57</v>
      </c>
      <c r="X15" s="38"/>
      <c r="Y15" s="38">
        <v>6</v>
      </c>
      <c r="Z15" s="38">
        <v>6</v>
      </c>
      <c r="AA15" s="38" t="s">
        <v>57</v>
      </c>
      <c r="AB15" s="38"/>
      <c r="AC15" s="38">
        <v>6</v>
      </c>
      <c r="AD15" s="38">
        <v>6</v>
      </c>
      <c r="AE15" s="38" t="s">
        <v>57</v>
      </c>
      <c r="AF15" s="38"/>
      <c r="AG15" s="38"/>
      <c r="AH15" s="38"/>
      <c r="AI15" s="38"/>
      <c r="AJ15" s="38"/>
    </row>
    <row r="16" spans="1:36" x14ac:dyDescent="0.45">
      <c r="A16">
        <v>7</v>
      </c>
      <c r="E16">
        <v>7</v>
      </c>
      <c r="F16" s="38">
        <v>7</v>
      </c>
      <c r="G16" s="38" t="s">
        <v>581</v>
      </c>
      <c r="H16" s="38"/>
      <c r="I16" s="38">
        <v>7</v>
      </c>
      <c r="J16" s="38">
        <v>7</v>
      </c>
      <c r="K16" s="38" t="s">
        <v>89</v>
      </c>
      <c r="L16" s="38"/>
      <c r="M16" s="38">
        <v>7</v>
      </c>
      <c r="N16" s="38">
        <v>7</v>
      </c>
      <c r="O16" s="38" t="s">
        <v>118</v>
      </c>
      <c r="P16" s="38"/>
      <c r="Q16" s="38">
        <v>7</v>
      </c>
      <c r="R16" s="38"/>
      <c r="S16" s="38"/>
      <c r="T16" s="38"/>
      <c r="U16" s="38">
        <v>7</v>
      </c>
      <c r="V16" s="38">
        <v>7</v>
      </c>
      <c r="W16" s="38" t="s">
        <v>581</v>
      </c>
      <c r="X16" s="38"/>
      <c r="Y16" s="38">
        <v>7</v>
      </c>
      <c r="Z16" s="38">
        <v>7</v>
      </c>
      <c r="AA16" s="38" t="s">
        <v>89</v>
      </c>
      <c r="AB16" s="38"/>
      <c r="AC16" s="38">
        <v>7</v>
      </c>
      <c r="AD16" s="38">
        <v>7</v>
      </c>
      <c r="AE16" s="38" t="s">
        <v>118</v>
      </c>
      <c r="AF16" s="38"/>
      <c r="AG16" s="38"/>
      <c r="AH16" s="38"/>
      <c r="AI16" s="38"/>
      <c r="AJ16" s="38"/>
    </row>
    <row r="17" spans="1:36" x14ac:dyDescent="0.45">
      <c r="A17">
        <v>8</v>
      </c>
      <c r="B17">
        <v>7</v>
      </c>
      <c r="C17" t="s">
        <v>163</v>
      </c>
      <c r="E17">
        <v>8</v>
      </c>
      <c r="F17" s="38"/>
      <c r="G17" s="38"/>
      <c r="H17" s="38"/>
      <c r="I17" s="38">
        <v>8</v>
      </c>
      <c r="J17" s="38">
        <v>8</v>
      </c>
      <c r="K17" s="38" t="s">
        <v>582</v>
      </c>
      <c r="L17" s="38"/>
      <c r="M17" s="38">
        <v>8</v>
      </c>
      <c r="N17" s="38">
        <v>8</v>
      </c>
      <c r="O17" s="38" t="s">
        <v>583</v>
      </c>
      <c r="P17" s="38"/>
      <c r="Q17" s="38">
        <v>8</v>
      </c>
      <c r="R17" s="38">
        <v>7</v>
      </c>
      <c r="S17" s="38" t="s">
        <v>163</v>
      </c>
      <c r="T17" s="38"/>
      <c r="U17" s="38">
        <v>8</v>
      </c>
      <c r="V17" s="38"/>
      <c r="W17" s="38"/>
      <c r="X17" s="38"/>
      <c r="Y17" s="38">
        <v>8</v>
      </c>
      <c r="Z17" s="38">
        <v>8</v>
      </c>
      <c r="AA17" s="38" t="s">
        <v>582</v>
      </c>
      <c r="AB17" s="38"/>
      <c r="AC17" s="38">
        <v>8</v>
      </c>
      <c r="AD17" s="38">
        <v>8</v>
      </c>
      <c r="AE17" s="38" t="s">
        <v>583</v>
      </c>
      <c r="AF17" s="38"/>
      <c r="AG17" s="38"/>
      <c r="AH17" s="38"/>
      <c r="AI17" s="38"/>
      <c r="AJ17" s="38"/>
    </row>
    <row r="18" spans="1:36" x14ac:dyDescent="0.45">
      <c r="A18">
        <v>9</v>
      </c>
      <c r="B18">
        <v>8</v>
      </c>
      <c r="C18" t="s">
        <v>120</v>
      </c>
      <c r="E18">
        <v>9</v>
      </c>
      <c r="F18" s="38">
        <v>8</v>
      </c>
      <c r="G18" s="38" t="s">
        <v>120</v>
      </c>
      <c r="H18" s="38"/>
      <c r="I18" s="38">
        <v>9</v>
      </c>
      <c r="J18" s="38">
        <v>9</v>
      </c>
      <c r="K18" s="38" t="s">
        <v>51</v>
      </c>
      <c r="L18" s="38"/>
      <c r="M18" s="38">
        <v>9</v>
      </c>
      <c r="N18" s="38">
        <v>9</v>
      </c>
      <c r="O18" s="38" t="s">
        <v>120</v>
      </c>
      <c r="P18" s="38"/>
      <c r="Q18" s="38">
        <v>9</v>
      </c>
      <c r="R18" s="38"/>
      <c r="S18" s="38"/>
      <c r="T18" s="38"/>
      <c r="U18" s="38">
        <v>9</v>
      </c>
      <c r="V18" s="38"/>
      <c r="W18" s="38"/>
      <c r="X18" s="38"/>
      <c r="Y18" s="38">
        <v>9</v>
      </c>
      <c r="Z18" s="38">
        <v>9</v>
      </c>
      <c r="AA18" s="38" t="s">
        <v>51</v>
      </c>
      <c r="AB18" s="38"/>
      <c r="AC18" s="38">
        <v>9</v>
      </c>
      <c r="AD18" s="38"/>
      <c r="AE18" s="38"/>
      <c r="AF18" s="38"/>
      <c r="AG18" s="38"/>
      <c r="AH18" s="38"/>
      <c r="AI18" s="38"/>
      <c r="AJ18" s="38"/>
    </row>
    <row r="19" spans="1:36" x14ac:dyDescent="0.45">
      <c r="A19">
        <v>10</v>
      </c>
      <c r="B19">
        <v>9</v>
      </c>
      <c r="C19" t="s">
        <v>59</v>
      </c>
      <c r="E19">
        <v>10</v>
      </c>
      <c r="F19" s="38">
        <v>9</v>
      </c>
      <c r="G19" s="38" t="s">
        <v>59</v>
      </c>
      <c r="H19" s="38"/>
      <c r="I19" s="38">
        <v>10</v>
      </c>
      <c r="J19" s="38">
        <v>10</v>
      </c>
      <c r="K19" s="38" t="s">
        <v>59</v>
      </c>
      <c r="L19" s="38"/>
      <c r="M19" s="38">
        <v>10</v>
      </c>
      <c r="N19" s="38">
        <v>10</v>
      </c>
      <c r="O19" s="38" t="s">
        <v>59</v>
      </c>
      <c r="P19" s="38"/>
      <c r="Q19" s="38">
        <v>10</v>
      </c>
      <c r="R19" s="38">
        <v>8</v>
      </c>
      <c r="S19" s="38" t="s">
        <v>120</v>
      </c>
      <c r="T19" s="38"/>
      <c r="U19" s="38">
        <v>10</v>
      </c>
      <c r="V19" s="38">
        <v>8</v>
      </c>
      <c r="W19" s="38" t="s">
        <v>120</v>
      </c>
      <c r="X19" s="38"/>
      <c r="Y19" s="38">
        <v>10</v>
      </c>
      <c r="Z19" s="38">
        <v>10</v>
      </c>
      <c r="AA19" s="38" t="s">
        <v>120</v>
      </c>
      <c r="AB19" s="38"/>
      <c r="AC19" s="38">
        <v>10</v>
      </c>
      <c r="AD19" s="38">
        <v>9</v>
      </c>
      <c r="AE19" s="38" t="s">
        <v>120</v>
      </c>
      <c r="AF19" s="38"/>
      <c r="AG19" s="38"/>
      <c r="AH19" s="38"/>
      <c r="AI19" s="38"/>
      <c r="AJ19" s="38"/>
    </row>
    <row r="20" spans="1:36" x14ac:dyDescent="0.45">
      <c r="A20">
        <v>11</v>
      </c>
      <c r="B20">
        <v>10</v>
      </c>
      <c r="C20" t="s">
        <v>63</v>
      </c>
      <c r="E20">
        <v>11</v>
      </c>
      <c r="F20" s="38">
        <v>10</v>
      </c>
      <c r="G20" s="38" t="s">
        <v>63</v>
      </c>
      <c r="H20" s="38"/>
      <c r="I20" s="38">
        <v>11</v>
      </c>
      <c r="J20" s="38">
        <v>11</v>
      </c>
      <c r="K20" s="38" t="s">
        <v>63</v>
      </c>
      <c r="L20" s="38"/>
      <c r="M20" s="38">
        <v>11</v>
      </c>
      <c r="N20" s="38">
        <v>11</v>
      </c>
      <c r="O20" s="38" t="s">
        <v>63</v>
      </c>
      <c r="P20" s="38"/>
      <c r="Q20" s="38">
        <v>11</v>
      </c>
      <c r="R20" s="38">
        <v>9</v>
      </c>
      <c r="S20" s="38" t="s">
        <v>59</v>
      </c>
      <c r="T20" s="38"/>
      <c r="U20" s="38">
        <v>11</v>
      </c>
      <c r="V20" s="38">
        <v>9</v>
      </c>
      <c r="W20" s="38" t="s">
        <v>59</v>
      </c>
      <c r="X20" s="38"/>
      <c r="Y20" s="38">
        <v>11</v>
      </c>
      <c r="Z20" s="38">
        <v>11</v>
      </c>
      <c r="AA20" s="38" t="s">
        <v>59</v>
      </c>
      <c r="AB20" s="38"/>
      <c r="AC20" s="38">
        <v>11</v>
      </c>
      <c r="AD20" s="38">
        <v>10</v>
      </c>
      <c r="AE20" s="38" t="s">
        <v>59</v>
      </c>
      <c r="AF20" s="38"/>
      <c r="AG20" s="38"/>
      <c r="AH20" s="38"/>
      <c r="AI20" s="38"/>
      <c r="AJ20" s="38"/>
    </row>
    <row r="21" spans="1:36" x14ac:dyDescent="0.45">
      <c r="A21">
        <v>12</v>
      </c>
      <c r="B21">
        <v>11</v>
      </c>
      <c r="C21" t="s">
        <v>66</v>
      </c>
      <c r="E21">
        <v>12</v>
      </c>
      <c r="F21" s="38">
        <v>11</v>
      </c>
      <c r="G21" s="38" t="s">
        <v>66</v>
      </c>
      <c r="H21" s="38"/>
      <c r="I21" s="38">
        <v>12</v>
      </c>
      <c r="J21" s="38">
        <v>12</v>
      </c>
      <c r="K21" s="38" t="s">
        <v>66</v>
      </c>
      <c r="L21" s="38"/>
      <c r="M21" s="38">
        <v>12</v>
      </c>
      <c r="N21" s="38">
        <v>12</v>
      </c>
      <c r="O21" s="38" t="s">
        <v>66</v>
      </c>
      <c r="P21" s="38"/>
      <c r="Q21" s="38">
        <v>12</v>
      </c>
      <c r="R21" s="38">
        <v>10</v>
      </c>
      <c r="S21" s="38" t="s">
        <v>63</v>
      </c>
      <c r="T21" s="38"/>
      <c r="U21" s="38">
        <v>12</v>
      </c>
      <c r="V21" s="38">
        <v>10</v>
      </c>
      <c r="W21" s="38" t="s">
        <v>63</v>
      </c>
      <c r="X21" s="38"/>
      <c r="Y21" s="38">
        <v>12</v>
      </c>
      <c r="Z21" s="38">
        <v>12</v>
      </c>
      <c r="AA21" s="38" t="s">
        <v>63</v>
      </c>
      <c r="AB21" s="38"/>
      <c r="AC21" s="38">
        <v>12</v>
      </c>
      <c r="AD21" s="38">
        <v>11</v>
      </c>
      <c r="AE21" s="38" t="s">
        <v>63</v>
      </c>
      <c r="AF21" s="38"/>
      <c r="AG21" s="38"/>
      <c r="AH21" s="38"/>
      <c r="AI21" s="38"/>
      <c r="AJ21" s="38"/>
    </row>
    <row r="22" spans="1:36" x14ac:dyDescent="0.45">
      <c r="A22">
        <v>13</v>
      </c>
      <c r="B22">
        <v>12</v>
      </c>
      <c r="C22" t="s">
        <v>74</v>
      </c>
      <c r="E22">
        <v>13</v>
      </c>
      <c r="F22" s="38">
        <v>12</v>
      </c>
      <c r="G22" s="38" t="s">
        <v>74</v>
      </c>
      <c r="H22" s="38"/>
      <c r="I22" s="38">
        <v>13</v>
      </c>
      <c r="J22" s="38">
        <v>13</v>
      </c>
      <c r="K22" s="38" t="s">
        <v>74</v>
      </c>
      <c r="L22" s="38"/>
      <c r="M22" s="38">
        <v>13</v>
      </c>
      <c r="N22" s="38">
        <v>13</v>
      </c>
      <c r="O22" s="38" t="s">
        <v>74</v>
      </c>
      <c r="P22" s="38"/>
      <c r="Q22" s="38">
        <v>13</v>
      </c>
      <c r="R22" s="38">
        <v>11</v>
      </c>
      <c r="S22" s="38" t="s">
        <v>66</v>
      </c>
      <c r="T22" s="38"/>
      <c r="U22" s="38">
        <v>13</v>
      </c>
      <c r="V22" s="38">
        <v>11</v>
      </c>
      <c r="W22" s="38" t="s">
        <v>66</v>
      </c>
      <c r="X22" s="38"/>
      <c r="Y22" s="38">
        <v>13</v>
      </c>
      <c r="Z22" s="38">
        <v>13</v>
      </c>
      <c r="AA22" s="38" t="s">
        <v>66</v>
      </c>
      <c r="AB22" s="38"/>
      <c r="AC22" s="38">
        <v>13</v>
      </c>
      <c r="AD22" s="38">
        <v>12</v>
      </c>
      <c r="AE22" s="38" t="s">
        <v>66</v>
      </c>
      <c r="AF22" s="38"/>
      <c r="AG22" s="38"/>
      <c r="AH22" s="38"/>
      <c r="AI22" s="38"/>
      <c r="AJ22" s="38"/>
    </row>
    <row r="23" spans="1:36" x14ac:dyDescent="0.45">
      <c r="A23">
        <v>14</v>
      </c>
      <c r="B23">
        <v>13</v>
      </c>
      <c r="C23" t="s">
        <v>78</v>
      </c>
      <c r="E23">
        <v>14</v>
      </c>
      <c r="F23" s="38">
        <v>13</v>
      </c>
      <c r="G23" s="38" t="s">
        <v>78</v>
      </c>
      <c r="H23" s="38"/>
      <c r="I23" s="38">
        <v>14</v>
      </c>
      <c r="J23" s="38">
        <v>14</v>
      </c>
      <c r="K23" s="38" t="s">
        <v>78</v>
      </c>
      <c r="L23" s="38"/>
      <c r="M23" s="38">
        <v>14</v>
      </c>
      <c r="N23" s="38">
        <v>14</v>
      </c>
      <c r="O23" s="38" t="s">
        <v>78</v>
      </c>
      <c r="P23" s="38"/>
      <c r="Q23" s="38">
        <v>14</v>
      </c>
      <c r="R23" s="38">
        <v>12</v>
      </c>
      <c r="S23" s="38" t="s">
        <v>74</v>
      </c>
      <c r="T23" s="38"/>
      <c r="U23" s="38">
        <v>14</v>
      </c>
      <c r="V23" s="38">
        <v>12</v>
      </c>
      <c r="W23" s="38" t="s">
        <v>74</v>
      </c>
      <c r="X23" s="38"/>
      <c r="Y23" s="38">
        <v>14</v>
      </c>
      <c r="Z23" s="38">
        <v>14</v>
      </c>
      <c r="AA23" s="38" t="s">
        <v>74</v>
      </c>
      <c r="AB23" s="38"/>
      <c r="AC23" s="38">
        <v>14</v>
      </c>
      <c r="AD23" s="38">
        <v>13</v>
      </c>
      <c r="AE23" s="38" t="s">
        <v>74</v>
      </c>
      <c r="AF23" s="38"/>
      <c r="AG23" s="38"/>
      <c r="AH23" s="38"/>
      <c r="AI23" s="38"/>
      <c r="AJ23" s="38"/>
    </row>
    <row r="24" spans="1:36" x14ac:dyDescent="0.45">
      <c r="A24">
        <v>15</v>
      </c>
      <c r="B24">
        <v>14</v>
      </c>
      <c r="C24" t="s">
        <v>584</v>
      </c>
      <c r="E24">
        <v>15</v>
      </c>
      <c r="F24">
        <v>14</v>
      </c>
      <c r="G24" t="s">
        <v>584</v>
      </c>
      <c r="I24">
        <v>15</v>
      </c>
      <c r="J24">
        <v>15</v>
      </c>
      <c r="K24" t="s">
        <v>584</v>
      </c>
      <c r="M24">
        <v>15</v>
      </c>
      <c r="N24">
        <v>15</v>
      </c>
      <c r="O24" t="s">
        <v>584</v>
      </c>
      <c r="Q24">
        <v>15</v>
      </c>
      <c r="R24">
        <v>13</v>
      </c>
      <c r="S24" t="s">
        <v>78</v>
      </c>
      <c r="U24">
        <v>15</v>
      </c>
      <c r="V24">
        <v>13</v>
      </c>
      <c r="W24" t="s">
        <v>78</v>
      </c>
      <c r="Y24">
        <v>15</v>
      </c>
      <c r="Z24">
        <v>15</v>
      </c>
      <c r="AA24" t="s">
        <v>78</v>
      </c>
      <c r="AC24">
        <v>15</v>
      </c>
      <c r="AD24">
        <v>14</v>
      </c>
      <c r="AE24" t="s">
        <v>78</v>
      </c>
    </row>
    <row r="25" spans="1:36" x14ac:dyDescent="0.45">
      <c r="A25">
        <v>16</v>
      </c>
      <c r="B25">
        <v>15</v>
      </c>
      <c r="C25" t="s">
        <v>537</v>
      </c>
      <c r="E25">
        <v>16</v>
      </c>
      <c r="F25">
        <v>15</v>
      </c>
      <c r="G25" t="s">
        <v>537</v>
      </c>
      <c r="I25">
        <v>16</v>
      </c>
      <c r="J25">
        <v>16</v>
      </c>
      <c r="K25" t="s">
        <v>537</v>
      </c>
      <c r="M25">
        <v>16</v>
      </c>
      <c r="N25">
        <v>16</v>
      </c>
      <c r="O25" t="s">
        <v>537</v>
      </c>
      <c r="Q25">
        <v>16</v>
      </c>
      <c r="R25">
        <v>14</v>
      </c>
      <c r="S25" t="s">
        <v>584</v>
      </c>
      <c r="U25">
        <v>16</v>
      </c>
      <c r="V25">
        <v>14</v>
      </c>
      <c r="W25" t="s">
        <v>584</v>
      </c>
      <c r="Y25">
        <v>16</v>
      </c>
      <c r="Z25">
        <v>16</v>
      </c>
      <c r="AA25" t="s">
        <v>584</v>
      </c>
      <c r="AC25">
        <v>16</v>
      </c>
      <c r="AD25">
        <v>15</v>
      </c>
      <c r="AE25" t="s">
        <v>584</v>
      </c>
    </row>
    <row r="26" spans="1:36" x14ac:dyDescent="0.45">
      <c r="A26">
        <v>17</v>
      </c>
      <c r="B26">
        <v>16</v>
      </c>
      <c r="C26" t="s">
        <v>68</v>
      </c>
      <c r="E26">
        <v>17</v>
      </c>
      <c r="F26">
        <v>16</v>
      </c>
      <c r="G26" t="s">
        <v>68</v>
      </c>
      <c r="I26">
        <v>17</v>
      </c>
      <c r="J26">
        <v>17</v>
      </c>
      <c r="K26" t="s">
        <v>68</v>
      </c>
      <c r="M26">
        <v>17</v>
      </c>
      <c r="N26">
        <v>17</v>
      </c>
      <c r="O26" t="s">
        <v>68</v>
      </c>
      <c r="Q26">
        <v>17</v>
      </c>
      <c r="R26">
        <v>15</v>
      </c>
      <c r="S26" t="s">
        <v>537</v>
      </c>
      <c r="U26">
        <v>17</v>
      </c>
      <c r="V26">
        <v>15</v>
      </c>
      <c r="W26" t="s">
        <v>537</v>
      </c>
      <c r="Y26">
        <v>17</v>
      </c>
      <c r="Z26">
        <v>17</v>
      </c>
      <c r="AA26" t="s">
        <v>537</v>
      </c>
      <c r="AC26">
        <v>17</v>
      </c>
      <c r="AD26">
        <v>16</v>
      </c>
      <c r="AE26" t="s">
        <v>537</v>
      </c>
    </row>
    <row r="27" spans="1:36" x14ac:dyDescent="0.45">
      <c r="A27">
        <v>18</v>
      </c>
      <c r="B27">
        <v>17</v>
      </c>
      <c r="C27" t="s">
        <v>176</v>
      </c>
      <c r="E27">
        <v>18</v>
      </c>
      <c r="F27">
        <v>17</v>
      </c>
      <c r="G27" t="s">
        <v>176</v>
      </c>
      <c r="I27">
        <v>18</v>
      </c>
      <c r="J27">
        <v>18</v>
      </c>
      <c r="K27" t="s">
        <v>176</v>
      </c>
      <c r="M27">
        <v>18</v>
      </c>
      <c r="N27">
        <v>18</v>
      </c>
      <c r="O27" t="s">
        <v>176</v>
      </c>
      <c r="Q27">
        <v>18</v>
      </c>
      <c r="R27">
        <v>16</v>
      </c>
      <c r="S27" t="s">
        <v>68</v>
      </c>
      <c r="U27">
        <v>18</v>
      </c>
      <c r="V27">
        <v>16</v>
      </c>
      <c r="W27" t="s">
        <v>68</v>
      </c>
      <c r="Y27">
        <v>18</v>
      </c>
      <c r="Z27">
        <v>18</v>
      </c>
      <c r="AA27" t="s">
        <v>68</v>
      </c>
      <c r="AC27">
        <v>18</v>
      </c>
      <c r="AD27">
        <v>17</v>
      </c>
      <c r="AE27" t="s">
        <v>68</v>
      </c>
    </row>
    <row r="28" spans="1:36" x14ac:dyDescent="0.45">
      <c r="A28">
        <v>19</v>
      </c>
      <c r="B28">
        <v>18</v>
      </c>
      <c r="C28" t="s">
        <v>134</v>
      </c>
      <c r="E28">
        <v>19</v>
      </c>
      <c r="F28">
        <v>18</v>
      </c>
      <c r="G28" t="s">
        <v>134</v>
      </c>
      <c r="I28">
        <v>19</v>
      </c>
      <c r="J28">
        <v>19</v>
      </c>
      <c r="K28" t="s">
        <v>134</v>
      </c>
      <c r="M28">
        <v>19</v>
      </c>
      <c r="N28">
        <v>19</v>
      </c>
      <c r="O28" t="s">
        <v>134</v>
      </c>
      <c r="Q28">
        <v>19</v>
      </c>
      <c r="R28">
        <v>17</v>
      </c>
      <c r="S28" t="s">
        <v>176</v>
      </c>
      <c r="U28">
        <v>19</v>
      </c>
      <c r="V28">
        <v>17</v>
      </c>
      <c r="W28" t="s">
        <v>176</v>
      </c>
      <c r="Y28">
        <v>19</v>
      </c>
      <c r="Z28">
        <v>19</v>
      </c>
      <c r="AA28" t="s">
        <v>176</v>
      </c>
      <c r="AC28">
        <v>19</v>
      </c>
      <c r="AD28">
        <v>18</v>
      </c>
      <c r="AE28" t="s">
        <v>176</v>
      </c>
    </row>
    <row r="29" spans="1:36" x14ac:dyDescent="0.45">
      <c r="A29">
        <v>20</v>
      </c>
      <c r="B29">
        <v>19</v>
      </c>
      <c r="C29" t="s">
        <v>67</v>
      </c>
      <c r="E29">
        <v>20</v>
      </c>
      <c r="F29">
        <v>19</v>
      </c>
      <c r="G29" t="s">
        <v>67</v>
      </c>
      <c r="I29">
        <v>20</v>
      </c>
      <c r="J29">
        <v>20</v>
      </c>
      <c r="K29" t="s">
        <v>67</v>
      </c>
      <c r="M29">
        <v>20</v>
      </c>
      <c r="N29">
        <v>20</v>
      </c>
      <c r="O29" t="s">
        <v>67</v>
      </c>
      <c r="Q29">
        <v>20</v>
      </c>
      <c r="R29">
        <v>18</v>
      </c>
      <c r="S29" t="s">
        <v>134</v>
      </c>
      <c r="U29">
        <v>20</v>
      </c>
      <c r="V29">
        <v>18</v>
      </c>
      <c r="W29" t="s">
        <v>134</v>
      </c>
      <c r="Y29">
        <v>20</v>
      </c>
      <c r="Z29">
        <v>20</v>
      </c>
      <c r="AA29" t="s">
        <v>134</v>
      </c>
      <c r="AC29">
        <v>20</v>
      </c>
      <c r="AD29">
        <v>19</v>
      </c>
      <c r="AE29" t="s">
        <v>134</v>
      </c>
    </row>
    <row r="30" spans="1:36" x14ac:dyDescent="0.45">
      <c r="A30">
        <v>21</v>
      </c>
      <c r="B30">
        <v>20</v>
      </c>
      <c r="C30" t="s">
        <v>177</v>
      </c>
      <c r="E30">
        <v>21</v>
      </c>
      <c r="F30">
        <v>20</v>
      </c>
      <c r="G30" t="s">
        <v>177</v>
      </c>
      <c r="I30">
        <v>21</v>
      </c>
      <c r="J30">
        <v>21</v>
      </c>
      <c r="K30" t="s">
        <v>177</v>
      </c>
      <c r="M30">
        <v>21</v>
      </c>
      <c r="N30">
        <v>21</v>
      </c>
      <c r="O30" t="s">
        <v>177</v>
      </c>
      <c r="Q30">
        <v>21</v>
      </c>
      <c r="R30">
        <v>19</v>
      </c>
      <c r="S30" t="s">
        <v>67</v>
      </c>
      <c r="U30">
        <v>21</v>
      </c>
      <c r="V30">
        <v>19</v>
      </c>
      <c r="W30" t="s">
        <v>67</v>
      </c>
      <c r="Y30">
        <v>21</v>
      </c>
      <c r="Z30">
        <v>21</v>
      </c>
      <c r="AA30" t="s">
        <v>67</v>
      </c>
      <c r="AC30">
        <v>21</v>
      </c>
      <c r="AD30">
        <v>20</v>
      </c>
      <c r="AE30" t="s">
        <v>67</v>
      </c>
    </row>
    <row r="31" spans="1:36" x14ac:dyDescent="0.45">
      <c r="A31">
        <v>22</v>
      </c>
      <c r="B31">
        <v>21</v>
      </c>
      <c r="C31" t="s">
        <v>585</v>
      </c>
      <c r="E31">
        <v>22</v>
      </c>
      <c r="F31">
        <v>21</v>
      </c>
      <c r="G31" t="s">
        <v>585</v>
      </c>
      <c r="I31">
        <v>22</v>
      </c>
      <c r="J31">
        <v>22</v>
      </c>
      <c r="K31" t="s">
        <v>585</v>
      </c>
      <c r="M31">
        <v>22</v>
      </c>
      <c r="N31">
        <v>22</v>
      </c>
      <c r="O31" t="s">
        <v>585</v>
      </c>
      <c r="Q31">
        <v>22</v>
      </c>
      <c r="R31">
        <v>20</v>
      </c>
      <c r="S31" t="s">
        <v>177</v>
      </c>
      <c r="U31">
        <v>22</v>
      </c>
      <c r="V31">
        <v>20</v>
      </c>
      <c r="W31" t="s">
        <v>177</v>
      </c>
      <c r="Y31">
        <v>22</v>
      </c>
      <c r="Z31">
        <v>22</v>
      </c>
      <c r="AA31" t="s">
        <v>177</v>
      </c>
      <c r="AC31">
        <v>22</v>
      </c>
      <c r="AD31">
        <v>21</v>
      </c>
      <c r="AE31" t="s">
        <v>177</v>
      </c>
    </row>
    <row r="32" spans="1:36" x14ac:dyDescent="0.45">
      <c r="A32">
        <v>23</v>
      </c>
      <c r="B32">
        <v>22</v>
      </c>
      <c r="C32" t="s">
        <v>586</v>
      </c>
      <c r="E32">
        <v>23</v>
      </c>
      <c r="F32">
        <v>22</v>
      </c>
      <c r="G32" t="s">
        <v>586</v>
      </c>
      <c r="I32">
        <v>23</v>
      </c>
      <c r="J32">
        <v>23</v>
      </c>
      <c r="K32" t="s">
        <v>586</v>
      </c>
      <c r="M32">
        <v>23</v>
      </c>
      <c r="N32">
        <v>23</v>
      </c>
      <c r="O32" t="s">
        <v>586</v>
      </c>
      <c r="Q32">
        <v>23</v>
      </c>
      <c r="R32">
        <v>21</v>
      </c>
      <c r="S32" t="s">
        <v>585</v>
      </c>
      <c r="U32">
        <v>23</v>
      </c>
      <c r="V32">
        <v>21</v>
      </c>
      <c r="W32" t="s">
        <v>585</v>
      </c>
      <c r="Y32">
        <v>23</v>
      </c>
      <c r="Z32">
        <v>23</v>
      </c>
      <c r="AA32" t="s">
        <v>585</v>
      </c>
      <c r="AC32">
        <v>23</v>
      </c>
      <c r="AD32">
        <v>22</v>
      </c>
      <c r="AE32" t="s">
        <v>585</v>
      </c>
    </row>
    <row r="33" spans="1:31" x14ac:dyDescent="0.45">
      <c r="A33">
        <v>24</v>
      </c>
      <c r="B33">
        <v>23</v>
      </c>
      <c r="C33" t="s">
        <v>60</v>
      </c>
      <c r="E33">
        <v>24</v>
      </c>
      <c r="F33">
        <v>23</v>
      </c>
      <c r="G33" t="s">
        <v>60</v>
      </c>
      <c r="I33">
        <v>24</v>
      </c>
      <c r="J33">
        <v>24</v>
      </c>
      <c r="K33" t="s">
        <v>60</v>
      </c>
      <c r="M33">
        <v>24</v>
      </c>
      <c r="N33">
        <v>24</v>
      </c>
      <c r="O33" t="s">
        <v>60</v>
      </c>
      <c r="Q33">
        <v>24</v>
      </c>
      <c r="R33">
        <v>22</v>
      </c>
      <c r="S33" t="s">
        <v>586</v>
      </c>
      <c r="U33">
        <v>24</v>
      </c>
      <c r="V33">
        <v>22</v>
      </c>
      <c r="W33" t="s">
        <v>586</v>
      </c>
      <c r="Y33">
        <v>24</v>
      </c>
      <c r="Z33">
        <v>24</v>
      </c>
      <c r="AA33" t="s">
        <v>586</v>
      </c>
      <c r="AC33">
        <v>24</v>
      </c>
      <c r="AD33">
        <v>23</v>
      </c>
      <c r="AE33" t="s">
        <v>586</v>
      </c>
    </row>
    <row r="34" spans="1:31" x14ac:dyDescent="0.45">
      <c r="A34">
        <v>25</v>
      </c>
      <c r="B34">
        <v>24</v>
      </c>
      <c r="C34" t="s">
        <v>587</v>
      </c>
      <c r="E34">
        <v>25</v>
      </c>
      <c r="F34">
        <v>24</v>
      </c>
      <c r="G34" t="s">
        <v>587</v>
      </c>
      <c r="I34">
        <v>25</v>
      </c>
      <c r="J34">
        <v>25</v>
      </c>
      <c r="K34" t="s">
        <v>587</v>
      </c>
      <c r="M34">
        <v>25</v>
      </c>
      <c r="N34">
        <v>25</v>
      </c>
      <c r="O34" t="s">
        <v>587</v>
      </c>
      <c r="Q34">
        <v>25</v>
      </c>
      <c r="R34">
        <v>23</v>
      </c>
      <c r="S34" t="s">
        <v>60</v>
      </c>
      <c r="U34">
        <v>25</v>
      </c>
      <c r="V34">
        <v>23</v>
      </c>
      <c r="W34" t="s">
        <v>60</v>
      </c>
      <c r="Y34">
        <v>25</v>
      </c>
      <c r="Z34">
        <v>25</v>
      </c>
      <c r="AA34" t="s">
        <v>60</v>
      </c>
      <c r="AC34">
        <v>25</v>
      </c>
      <c r="AD34">
        <v>24</v>
      </c>
      <c r="AE34" t="s">
        <v>60</v>
      </c>
    </row>
    <row r="35" spans="1:31" x14ac:dyDescent="0.45">
      <c r="A35">
        <v>26</v>
      </c>
      <c r="B35">
        <v>25</v>
      </c>
      <c r="C35" t="s">
        <v>61</v>
      </c>
      <c r="E35">
        <v>26</v>
      </c>
      <c r="F35">
        <v>25</v>
      </c>
      <c r="G35" t="s">
        <v>61</v>
      </c>
      <c r="I35">
        <v>26</v>
      </c>
      <c r="J35">
        <v>26</v>
      </c>
      <c r="K35" t="s">
        <v>61</v>
      </c>
      <c r="M35">
        <v>26</v>
      </c>
      <c r="N35">
        <v>26</v>
      </c>
      <c r="O35" t="s">
        <v>61</v>
      </c>
      <c r="Q35">
        <v>26</v>
      </c>
      <c r="R35">
        <v>24</v>
      </c>
      <c r="S35" t="s">
        <v>587</v>
      </c>
      <c r="U35">
        <v>26</v>
      </c>
      <c r="V35">
        <v>24</v>
      </c>
      <c r="W35" t="s">
        <v>587</v>
      </c>
      <c r="Y35">
        <v>26</v>
      </c>
      <c r="Z35">
        <v>26</v>
      </c>
      <c r="AA35" t="s">
        <v>587</v>
      </c>
      <c r="AC35">
        <v>26</v>
      </c>
      <c r="AD35">
        <v>25</v>
      </c>
      <c r="AE35" t="s">
        <v>587</v>
      </c>
    </row>
    <row r="36" spans="1:31" x14ac:dyDescent="0.45">
      <c r="A36">
        <v>27</v>
      </c>
      <c r="B36">
        <v>26</v>
      </c>
      <c r="C36" t="s">
        <v>58</v>
      </c>
      <c r="E36">
        <v>27</v>
      </c>
      <c r="F36">
        <v>26</v>
      </c>
      <c r="G36" t="s">
        <v>58</v>
      </c>
      <c r="I36">
        <v>27</v>
      </c>
      <c r="J36">
        <v>27</v>
      </c>
      <c r="K36" t="s">
        <v>58</v>
      </c>
      <c r="M36">
        <v>27</v>
      </c>
      <c r="N36">
        <v>27</v>
      </c>
      <c r="O36" t="s">
        <v>58</v>
      </c>
      <c r="Q36">
        <v>27</v>
      </c>
      <c r="R36">
        <v>25</v>
      </c>
      <c r="S36" t="s">
        <v>61</v>
      </c>
      <c r="U36">
        <v>27</v>
      </c>
      <c r="V36">
        <v>25</v>
      </c>
      <c r="W36" t="s">
        <v>61</v>
      </c>
      <c r="Y36">
        <v>27</v>
      </c>
      <c r="Z36">
        <v>27</v>
      </c>
      <c r="AA36" t="s">
        <v>61</v>
      </c>
      <c r="AC36">
        <v>27</v>
      </c>
      <c r="AD36">
        <v>26</v>
      </c>
      <c r="AE36" t="s">
        <v>61</v>
      </c>
    </row>
    <row r="37" spans="1:31" x14ac:dyDescent="0.45">
      <c r="A37">
        <v>28</v>
      </c>
      <c r="B37">
        <v>27</v>
      </c>
      <c r="C37" t="s">
        <v>119</v>
      </c>
      <c r="E37">
        <v>28</v>
      </c>
      <c r="F37">
        <v>27</v>
      </c>
      <c r="G37" t="s">
        <v>119</v>
      </c>
      <c r="I37">
        <v>28</v>
      </c>
      <c r="J37">
        <v>28</v>
      </c>
      <c r="K37" t="s">
        <v>119</v>
      </c>
      <c r="M37">
        <v>28</v>
      </c>
      <c r="N37">
        <v>28</v>
      </c>
      <c r="O37" t="s">
        <v>119</v>
      </c>
      <c r="Q37">
        <v>28</v>
      </c>
      <c r="R37">
        <v>26</v>
      </c>
      <c r="S37" t="s">
        <v>58</v>
      </c>
      <c r="U37">
        <v>28</v>
      </c>
      <c r="V37">
        <v>26</v>
      </c>
      <c r="W37" t="s">
        <v>58</v>
      </c>
      <c r="Y37">
        <v>28</v>
      </c>
      <c r="Z37">
        <v>28</v>
      </c>
      <c r="AA37" t="s">
        <v>58</v>
      </c>
      <c r="AC37">
        <v>28</v>
      </c>
      <c r="AD37">
        <v>27</v>
      </c>
      <c r="AE37" t="s">
        <v>58</v>
      </c>
    </row>
    <row r="38" spans="1:31" x14ac:dyDescent="0.45">
      <c r="A38">
        <v>29</v>
      </c>
      <c r="B38">
        <v>28</v>
      </c>
      <c r="C38" t="s">
        <v>77</v>
      </c>
      <c r="E38">
        <v>29</v>
      </c>
      <c r="F38">
        <v>28</v>
      </c>
      <c r="G38" t="s">
        <v>77</v>
      </c>
      <c r="I38">
        <v>29</v>
      </c>
      <c r="J38">
        <v>29</v>
      </c>
      <c r="K38" t="s">
        <v>77</v>
      </c>
      <c r="M38">
        <v>29</v>
      </c>
      <c r="N38">
        <v>29</v>
      </c>
      <c r="O38" t="s">
        <v>77</v>
      </c>
      <c r="Q38">
        <v>29</v>
      </c>
      <c r="R38">
        <v>27</v>
      </c>
      <c r="S38" t="s">
        <v>119</v>
      </c>
      <c r="U38">
        <v>29</v>
      </c>
      <c r="V38">
        <v>27</v>
      </c>
      <c r="W38" t="s">
        <v>119</v>
      </c>
      <c r="Y38">
        <v>29</v>
      </c>
      <c r="Z38">
        <v>29</v>
      </c>
      <c r="AA38" t="s">
        <v>119</v>
      </c>
      <c r="AC38">
        <v>29</v>
      </c>
      <c r="AD38">
        <v>28</v>
      </c>
      <c r="AE38" t="s">
        <v>119</v>
      </c>
    </row>
    <row r="39" spans="1:31" x14ac:dyDescent="0.45">
      <c r="A39">
        <v>30</v>
      </c>
      <c r="B39">
        <v>29</v>
      </c>
      <c r="C39" t="s">
        <v>142</v>
      </c>
      <c r="E39">
        <v>30</v>
      </c>
      <c r="F39">
        <v>29</v>
      </c>
      <c r="G39" t="s">
        <v>142</v>
      </c>
      <c r="I39">
        <v>30</v>
      </c>
      <c r="J39">
        <v>30</v>
      </c>
      <c r="K39" t="s">
        <v>142</v>
      </c>
      <c r="M39">
        <v>30</v>
      </c>
      <c r="N39">
        <v>30</v>
      </c>
      <c r="O39" t="s">
        <v>142</v>
      </c>
      <c r="Q39">
        <v>30</v>
      </c>
      <c r="R39">
        <v>28</v>
      </c>
      <c r="S39" t="s">
        <v>77</v>
      </c>
      <c r="U39">
        <v>30</v>
      </c>
      <c r="V39">
        <v>28</v>
      </c>
      <c r="W39" t="s">
        <v>77</v>
      </c>
      <c r="Y39">
        <v>30</v>
      </c>
      <c r="Z39">
        <v>30</v>
      </c>
      <c r="AA39" t="s">
        <v>77</v>
      </c>
      <c r="AC39">
        <v>30</v>
      </c>
      <c r="AD39">
        <v>29</v>
      </c>
      <c r="AE39" t="s">
        <v>77</v>
      </c>
    </row>
    <row r="40" spans="1:31" x14ac:dyDescent="0.45">
      <c r="A40">
        <v>31</v>
      </c>
      <c r="B40">
        <v>30</v>
      </c>
      <c r="C40" t="s">
        <v>143</v>
      </c>
      <c r="E40">
        <v>31</v>
      </c>
      <c r="F40">
        <v>30</v>
      </c>
      <c r="G40" t="s">
        <v>143</v>
      </c>
      <c r="I40">
        <v>31</v>
      </c>
      <c r="J40">
        <v>31</v>
      </c>
      <c r="K40" t="s">
        <v>143</v>
      </c>
      <c r="M40">
        <v>31</v>
      </c>
      <c r="N40">
        <v>31</v>
      </c>
      <c r="O40" t="s">
        <v>143</v>
      </c>
      <c r="Q40">
        <v>31</v>
      </c>
      <c r="R40">
        <v>29</v>
      </c>
      <c r="S40" t="s">
        <v>142</v>
      </c>
      <c r="U40">
        <v>31</v>
      </c>
      <c r="V40">
        <v>29</v>
      </c>
      <c r="W40" t="s">
        <v>142</v>
      </c>
      <c r="Y40">
        <v>31</v>
      </c>
      <c r="Z40">
        <v>31</v>
      </c>
      <c r="AA40" t="s">
        <v>142</v>
      </c>
      <c r="AC40">
        <v>31</v>
      </c>
      <c r="AD40">
        <v>30</v>
      </c>
      <c r="AE40" t="s">
        <v>142</v>
      </c>
    </row>
    <row r="41" spans="1:31" x14ac:dyDescent="0.45">
      <c r="A41">
        <v>32</v>
      </c>
      <c r="B41">
        <v>31</v>
      </c>
      <c r="C41" t="s">
        <v>588</v>
      </c>
      <c r="E41">
        <v>32</v>
      </c>
      <c r="F41">
        <v>31</v>
      </c>
      <c r="G41" t="s">
        <v>588</v>
      </c>
      <c r="I41">
        <v>32</v>
      </c>
      <c r="J41">
        <v>32</v>
      </c>
      <c r="K41" t="s">
        <v>588</v>
      </c>
      <c r="M41">
        <v>32</v>
      </c>
      <c r="N41">
        <v>32</v>
      </c>
      <c r="O41" t="s">
        <v>588</v>
      </c>
      <c r="Q41">
        <v>32</v>
      </c>
      <c r="R41">
        <v>30</v>
      </c>
      <c r="S41" t="s">
        <v>143</v>
      </c>
      <c r="U41">
        <v>32</v>
      </c>
      <c r="V41">
        <v>30</v>
      </c>
      <c r="W41" t="s">
        <v>143</v>
      </c>
      <c r="Y41">
        <v>32</v>
      </c>
      <c r="Z41">
        <v>32</v>
      </c>
      <c r="AA41" t="s">
        <v>143</v>
      </c>
      <c r="AC41">
        <v>32</v>
      </c>
      <c r="AD41">
        <v>31</v>
      </c>
      <c r="AE41" t="s">
        <v>143</v>
      </c>
    </row>
    <row r="42" spans="1:31" x14ac:dyDescent="0.45">
      <c r="A42">
        <v>33</v>
      </c>
      <c r="B42">
        <v>32</v>
      </c>
      <c r="C42" t="s">
        <v>56</v>
      </c>
      <c r="E42">
        <v>33</v>
      </c>
      <c r="F42">
        <v>32</v>
      </c>
      <c r="G42" t="s">
        <v>56</v>
      </c>
      <c r="I42">
        <v>33</v>
      </c>
      <c r="J42">
        <v>33</v>
      </c>
      <c r="K42" t="s">
        <v>589</v>
      </c>
      <c r="M42">
        <v>33</v>
      </c>
      <c r="N42">
        <v>33</v>
      </c>
      <c r="O42" t="s">
        <v>56</v>
      </c>
      <c r="Q42">
        <v>33</v>
      </c>
      <c r="R42">
        <v>31</v>
      </c>
      <c r="S42" t="s">
        <v>588</v>
      </c>
      <c r="U42">
        <v>33</v>
      </c>
      <c r="V42">
        <v>31</v>
      </c>
      <c r="W42" t="s">
        <v>588</v>
      </c>
      <c r="Y42">
        <v>33</v>
      </c>
      <c r="Z42">
        <v>33</v>
      </c>
      <c r="AA42" t="s">
        <v>588</v>
      </c>
      <c r="AC42">
        <v>33</v>
      </c>
      <c r="AD42">
        <v>32</v>
      </c>
      <c r="AE42" t="s">
        <v>588</v>
      </c>
    </row>
    <row r="43" spans="1:31" x14ac:dyDescent="0.45">
      <c r="A43">
        <v>34</v>
      </c>
      <c r="B43">
        <v>33</v>
      </c>
      <c r="C43" t="s">
        <v>590</v>
      </c>
      <c r="E43">
        <v>34</v>
      </c>
      <c r="F43">
        <v>33</v>
      </c>
      <c r="G43" t="s">
        <v>590</v>
      </c>
      <c r="I43">
        <v>34</v>
      </c>
      <c r="J43">
        <v>34</v>
      </c>
      <c r="K43" t="s">
        <v>590</v>
      </c>
      <c r="M43">
        <v>34</v>
      </c>
      <c r="N43">
        <v>34</v>
      </c>
      <c r="O43" t="s">
        <v>590</v>
      </c>
      <c r="Q43">
        <v>34</v>
      </c>
      <c r="R43">
        <v>32</v>
      </c>
      <c r="S43" t="s">
        <v>56</v>
      </c>
      <c r="U43">
        <v>34</v>
      </c>
      <c r="V43">
        <v>32</v>
      </c>
      <c r="W43" t="s">
        <v>56</v>
      </c>
      <c r="Y43">
        <v>34</v>
      </c>
      <c r="Z43">
        <v>34</v>
      </c>
      <c r="AA43" t="s">
        <v>589</v>
      </c>
      <c r="AC43">
        <v>34</v>
      </c>
      <c r="AD43">
        <v>33</v>
      </c>
      <c r="AE43" t="s">
        <v>56</v>
      </c>
    </row>
    <row r="44" spans="1:31" x14ac:dyDescent="0.45">
      <c r="A44">
        <v>35</v>
      </c>
      <c r="B44">
        <v>34</v>
      </c>
      <c r="C44" t="s">
        <v>591</v>
      </c>
      <c r="E44">
        <v>35</v>
      </c>
      <c r="F44">
        <v>34</v>
      </c>
      <c r="G44" t="s">
        <v>591</v>
      </c>
      <c r="I44">
        <v>35</v>
      </c>
      <c r="J44">
        <v>35</v>
      </c>
      <c r="K44" t="s">
        <v>591</v>
      </c>
      <c r="M44">
        <v>35</v>
      </c>
      <c r="N44">
        <v>35</v>
      </c>
      <c r="O44" t="s">
        <v>591</v>
      </c>
      <c r="Q44">
        <v>35</v>
      </c>
      <c r="R44">
        <v>33</v>
      </c>
      <c r="S44" t="s">
        <v>590</v>
      </c>
      <c r="U44">
        <v>35</v>
      </c>
      <c r="V44">
        <v>33</v>
      </c>
      <c r="W44" t="s">
        <v>590</v>
      </c>
      <c r="Y44">
        <v>35</v>
      </c>
      <c r="Z44">
        <v>35</v>
      </c>
      <c r="AA44" t="s">
        <v>590</v>
      </c>
      <c r="AC44">
        <v>35</v>
      </c>
      <c r="AD44">
        <v>34</v>
      </c>
      <c r="AE44" t="s">
        <v>590</v>
      </c>
    </row>
    <row r="45" spans="1:31" x14ac:dyDescent="0.45">
      <c r="A45">
        <v>36</v>
      </c>
      <c r="B45">
        <v>35</v>
      </c>
      <c r="C45" t="s">
        <v>592</v>
      </c>
      <c r="E45">
        <v>36</v>
      </c>
      <c r="F45">
        <v>35</v>
      </c>
      <c r="G45" t="s">
        <v>592</v>
      </c>
      <c r="I45">
        <v>36</v>
      </c>
      <c r="J45">
        <v>36</v>
      </c>
      <c r="K45" t="s">
        <v>592</v>
      </c>
      <c r="M45">
        <v>36</v>
      </c>
      <c r="N45">
        <v>36</v>
      </c>
      <c r="O45" t="s">
        <v>592</v>
      </c>
      <c r="Q45">
        <v>36</v>
      </c>
      <c r="R45">
        <v>34</v>
      </c>
      <c r="S45" t="s">
        <v>591</v>
      </c>
      <c r="U45">
        <v>36</v>
      </c>
      <c r="V45">
        <v>34</v>
      </c>
      <c r="W45" t="s">
        <v>591</v>
      </c>
      <c r="Y45">
        <v>36</v>
      </c>
      <c r="Z45">
        <v>36</v>
      </c>
      <c r="AA45" t="s">
        <v>591</v>
      </c>
      <c r="AC45">
        <v>36</v>
      </c>
      <c r="AD45">
        <v>35</v>
      </c>
      <c r="AE45" t="s">
        <v>591</v>
      </c>
    </row>
    <row r="46" spans="1:31" x14ac:dyDescent="0.45">
      <c r="A46">
        <v>37</v>
      </c>
      <c r="B46">
        <v>36</v>
      </c>
      <c r="C46" t="s">
        <v>593</v>
      </c>
      <c r="E46">
        <v>37</v>
      </c>
      <c r="F46">
        <v>36</v>
      </c>
      <c r="G46" t="s">
        <v>593</v>
      </c>
      <c r="I46">
        <v>37</v>
      </c>
      <c r="J46">
        <v>37</v>
      </c>
      <c r="K46" t="s">
        <v>593</v>
      </c>
      <c r="M46">
        <v>37</v>
      </c>
      <c r="N46">
        <v>37</v>
      </c>
      <c r="O46" t="s">
        <v>593</v>
      </c>
      <c r="Q46">
        <v>37</v>
      </c>
      <c r="R46">
        <v>35</v>
      </c>
      <c r="S46" t="s">
        <v>592</v>
      </c>
      <c r="U46">
        <v>37</v>
      </c>
      <c r="V46">
        <v>35</v>
      </c>
      <c r="W46" t="s">
        <v>592</v>
      </c>
      <c r="Y46">
        <v>37</v>
      </c>
      <c r="Z46">
        <v>37</v>
      </c>
      <c r="AA46" t="s">
        <v>592</v>
      </c>
      <c r="AC46">
        <v>37</v>
      </c>
      <c r="AD46">
        <v>36</v>
      </c>
      <c r="AE46" t="s">
        <v>592</v>
      </c>
    </row>
    <row r="47" spans="1:31" x14ac:dyDescent="0.45">
      <c r="A47">
        <v>38</v>
      </c>
      <c r="B47">
        <v>37</v>
      </c>
      <c r="C47" t="s">
        <v>594</v>
      </c>
      <c r="E47">
        <v>38</v>
      </c>
      <c r="F47">
        <v>37</v>
      </c>
      <c r="G47" t="s">
        <v>594</v>
      </c>
      <c r="I47">
        <v>38</v>
      </c>
      <c r="J47">
        <v>38</v>
      </c>
      <c r="K47" t="s">
        <v>594</v>
      </c>
      <c r="M47">
        <v>38</v>
      </c>
      <c r="N47">
        <v>38</v>
      </c>
      <c r="O47" t="s">
        <v>594</v>
      </c>
      <c r="Q47">
        <v>38</v>
      </c>
      <c r="R47">
        <v>36</v>
      </c>
      <c r="S47" t="s">
        <v>593</v>
      </c>
      <c r="U47">
        <v>38</v>
      </c>
      <c r="V47">
        <v>36</v>
      </c>
      <c r="W47" t="s">
        <v>593</v>
      </c>
      <c r="Y47">
        <v>38</v>
      </c>
      <c r="Z47">
        <v>38</v>
      </c>
      <c r="AA47" t="s">
        <v>593</v>
      </c>
      <c r="AC47">
        <v>38</v>
      </c>
      <c r="AD47">
        <v>37</v>
      </c>
      <c r="AE47" t="s">
        <v>593</v>
      </c>
    </row>
    <row r="48" spans="1:31" x14ac:dyDescent="0.45">
      <c r="A48">
        <v>39</v>
      </c>
      <c r="B48">
        <v>38</v>
      </c>
      <c r="C48" t="s">
        <v>595</v>
      </c>
      <c r="E48">
        <v>39</v>
      </c>
      <c r="F48">
        <v>38</v>
      </c>
      <c r="G48" t="s">
        <v>595</v>
      </c>
      <c r="I48">
        <v>39</v>
      </c>
      <c r="J48">
        <v>39</v>
      </c>
      <c r="K48" t="s">
        <v>595</v>
      </c>
      <c r="M48">
        <v>39</v>
      </c>
      <c r="N48">
        <v>39</v>
      </c>
      <c r="O48" t="s">
        <v>595</v>
      </c>
      <c r="Q48">
        <v>39</v>
      </c>
      <c r="R48">
        <v>37</v>
      </c>
      <c r="S48" t="s">
        <v>594</v>
      </c>
      <c r="U48">
        <v>39</v>
      </c>
      <c r="V48">
        <v>37</v>
      </c>
      <c r="W48" t="s">
        <v>594</v>
      </c>
      <c r="Y48">
        <v>39</v>
      </c>
      <c r="Z48">
        <v>39</v>
      </c>
      <c r="AA48" t="s">
        <v>594</v>
      </c>
      <c r="AC48">
        <v>39</v>
      </c>
      <c r="AD48">
        <v>38</v>
      </c>
      <c r="AE48" t="s">
        <v>594</v>
      </c>
    </row>
    <row r="49" spans="1:31" x14ac:dyDescent="0.45">
      <c r="A49">
        <v>40</v>
      </c>
      <c r="B49">
        <v>39</v>
      </c>
      <c r="C49" t="s">
        <v>596</v>
      </c>
      <c r="E49">
        <v>40</v>
      </c>
      <c r="F49">
        <v>39</v>
      </c>
      <c r="G49" t="s">
        <v>596</v>
      </c>
      <c r="I49">
        <v>40</v>
      </c>
      <c r="J49">
        <v>40</v>
      </c>
      <c r="K49" t="s">
        <v>596</v>
      </c>
      <c r="M49">
        <v>40</v>
      </c>
      <c r="N49">
        <v>40</v>
      </c>
      <c r="O49" t="s">
        <v>596</v>
      </c>
      <c r="Q49">
        <v>40</v>
      </c>
      <c r="R49">
        <v>38</v>
      </c>
      <c r="S49" t="s">
        <v>595</v>
      </c>
      <c r="U49">
        <v>40</v>
      </c>
      <c r="V49">
        <v>38</v>
      </c>
      <c r="W49" t="s">
        <v>595</v>
      </c>
      <c r="Y49">
        <v>40</v>
      </c>
      <c r="Z49">
        <v>40</v>
      </c>
      <c r="AA49" t="s">
        <v>595</v>
      </c>
      <c r="AC49">
        <v>40</v>
      </c>
      <c r="AD49">
        <v>39</v>
      </c>
      <c r="AE49" t="s">
        <v>595</v>
      </c>
    </row>
    <row r="50" spans="1:31" x14ac:dyDescent="0.45">
      <c r="A50">
        <v>41</v>
      </c>
      <c r="B50">
        <v>40</v>
      </c>
      <c r="C50" t="s">
        <v>597</v>
      </c>
      <c r="E50">
        <v>41</v>
      </c>
      <c r="F50">
        <v>40</v>
      </c>
      <c r="G50" t="s">
        <v>597</v>
      </c>
      <c r="I50">
        <v>41</v>
      </c>
      <c r="J50">
        <v>41</v>
      </c>
      <c r="K50" t="s">
        <v>597</v>
      </c>
      <c r="M50">
        <v>41</v>
      </c>
      <c r="N50">
        <v>41</v>
      </c>
      <c r="O50" t="s">
        <v>597</v>
      </c>
      <c r="Q50">
        <v>41</v>
      </c>
      <c r="R50">
        <v>39</v>
      </c>
      <c r="S50" t="s">
        <v>596</v>
      </c>
      <c r="U50">
        <v>41</v>
      </c>
      <c r="V50">
        <v>39</v>
      </c>
      <c r="W50" t="s">
        <v>596</v>
      </c>
      <c r="Y50">
        <v>41</v>
      </c>
      <c r="Z50">
        <v>41</v>
      </c>
      <c r="AA50" t="s">
        <v>596</v>
      </c>
      <c r="AC50">
        <v>41</v>
      </c>
      <c r="AD50">
        <v>40</v>
      </c>
      <c r="AE50" t="s">
        <v>596</v>
      </c>
    </row>
    <row r="51" spans="1:31" x14ac:dyDescent="0.45">
      <c r="A51">
        <v>42</v>
      </c>
      <c r="B51">
        <v>41</v>
      </c>
      <c r="C51" t="s">
        <v>471</v>
      </c>
      <c r="E51">
        <v>42</v>
      </c>
      <c r="F51">
        <v>41</v>
      </c>
      <c r="G51" t="s">
        <v>471</v>
      </c>
      <c r="I51">
        <v>42</v>
      </c>
      <c r="J51">
        <v>42</v>
      </c>
      <c r="K51" t="s">
        <v>471</v>
      </c>
      <c r="M51">
        <v>42</v>
      </c>
      <c r="N51">
        <v>42</v>
      </c>
      <c r="O51" t="s">
        <v>471</v>
      </c>
      <c r="Q51">
        <v>42</v>
      </c>
      <c r="R51">
        <v>40</v>
      </c>
      <c r="S51" t="s">
        <v>597</v>
      </c>
      <c r="U51">
        <v>42</v>
      </c>
      <c r="V51">
        <v>40</v>
      </c>
      <c r="W51" t="s">
        <v>597</v>
      </c>
      <c r="Y51">
        <v>42</v>
      </c>
      <c r="Z51">
        <v>42</v>
      </c>
      <c r="AA51" t="s">
        <v>597</v>
      </c>
      <c r="AC51">
        <v>42</v>
      </c>
      <c r="AD51">
        <v>41</v>
      </c>
      <c r="AE51" t="s">
        <v>597</v>
      </c>
    </row>
    <row r="52" spans="1:31" x14ac:dyDescent="0.45">
      <c r="A52">
        <v>43</v>
      </c>
      <c r="B52">
        <v>42</v>
      </c>
      <c r="C52" t="s">
        <v>598</v>
      </c>
      <c r="E52">
        <v>43</v>
      </c>
      <c r="F52">
        <v>42</v>
      </c>
      <c r="G52" t="s">
        <v>598</v>
      </c>
      <c r="I52">
        <v>43</v>
      </c>
      <c r="J52">
        <v>43</v>
      </c>
      <c r="K52" t="s">
        <v>598</v>
      </c>
      <c r="M52">
        <v>43</v>
      </c>
      <c r="N52">
        <v>43</v>
      </c>
      <c r="O52" t="s">
        <v>598</v>
      </c>
      <c r="Q52">
        <v>43</v>
      </c>
      <c r="R52">
        <v>41</v>
      </c>
      <c r="S52" t="s">
        <v>471</v>
      </c>
      <c r="U52">
        <v>43</v>
      </c>
      <c r="V52">
        <v>41</v>
      </c>
      <c r="W52" t="s">
        <v>471</v>
      </c>
      <c r="Y52">
        <v>43</v>
      </c>
      <c r="Z52">
        <v>43</v>
      </c>
      <c r="AA52" t="s">
        <v>471</v>
      </c>
      <c r="AC52">
        <v>43</v>
      </c>
      <c r="AD52">
        <v>42</v>
      </c>
      <c r="AE52" t="s">
        <v>471</v>
      </c>
    </row>
    <row r="53" spans="1:31" x14ac:dyDescent="0.45">
      <c r="A53">
        <v>44</v>
      </c>
      <c r="B53">
        <v>43</v>
      </c>
      <c r="C53" t="s">
        <v>144</v>
      </c>
      <c r="E53">
        <v>44</v>
      </c>
      <c r="F53">
        <v>43</v>
      </c>
      <c r="G53" t="s">
        <v>144</v>
      </c>
      <c r="I53">
        <v>44</v>
      </c>
      <c r="J53">
        <v>44</v>
      </c>
      <c r="K53" t="s">
        <v>144</v>
      </c>
      <c r="M53">
        <v>44</v>
      </c>
      <c r="N53">
        <v>44</v>
      </c>
      <c r="O53" t="s">
        <v>144</v>
      </c>
      <c r="Q53">
        <v>44</v>
      </c>
      <c r="R53">
        <v>42</v>
      </c>
      <c r="S53" t="s">
        <v>598</v>
      </c>
      <c r="U53">
        <v>44</v>
      </c>
      <c r="V53">
        <v>42</v>
      </c>
      <c r="W53" t="s">
        <v>598</v>
      </c>
      <c r="Y53">
        <v>44</v>
      </c>
      <c r="Z53">
        <v>44</v>
      </c>
      <c r="AA53" t="s">
        <v>598</v>
      </c>
      <c r="AC53">
        <v>44</v>
      </c>
      <c r="AD53">
        <v>43</v>
      </c>
      <c r="AE53" t="s">
        <v>598</v>
      </c>
    </row>
    <row r="54" spans="1:31" x14ac:dyDescent="0.45">
      <c r="A54">
        <v>45</v>
      </c>
      <c r="B54">
        <v>44</v>
      </c>
      <c r="C54" t="s">
        <v>599</v>
      </c>
      <c r="E54">
        <v>45</v>
      </c>
      <c r="F54">
        <v>44</v>
      </c>
      <c r="G54" t="s">
        <v>599</v>
      </c>
      <c r="I54">
        <v>45</v>
      </c>
      <c r="J54">
        <v>45</v>
      </c>
      <c r="K54" t="s">
        <v>599</v>
      </c>
      <c r="M54">
        <v>45</v>
      </c>
      <c r="N54">
        <v>45</v>
      </c>
      <c r="O54" t="s">
        <v>599</v>
      </c>
      <c r="Q54">
        <v>45</v>
      </c>
      <c r="R54">
        <v>43</v>
      </c>
      <c r="S54" t="s">
        <v>144</v>
      </c>
      <c r="U54">
        <v>45</v>
      </c>
      <c r="V54">
        <v>43</v>
      </c>
      <c r="W54" t="s">
        <v>144</v>
      </c>
      <c r="Y54">
        <v>45</v>
      </c>
      <c r="Z54">
        <v>45</v>
      </c>
      <c r="AA54" t="s">
        <v>144</v>
      </c>
      <c r="AC54">
        <v>45</v>
      </c>
      <c r="AD54">
        <v>44</v>
      </c>
      <c r="AE54" t="s">
        <v>144</v>
      </c>
    </row>
    <row r="55" spans="1:31" x14ac:dyDescent="0.45">
      <c r="A55">
        <v>46</v>
      </c>
      <c r="B55">
        <v>45</v>
      </c>
      <c r="C55" t="s">
        <v>72</v>
      </c>
      <c r="E55">
        <v>46</v>
      </c>
      <c r="F55">
        <v>45</v>
      </c>
      <c r="G55" t="s">
        <v>72</v>
      </c>
      <c r="I55">
        <v>46</v>
      </c>
      <c r="J55">
        <v>46</v>
      </c>
      <c r="K55" t="s">
        <v>72</v>
      </c>
      <c r="M55">
        <v>46</v>
      </c>
      <c r="N55">
        <v>46</v>
      </c>
      <c r="O55" t="s">
        <v>72</v>
      </c>
      <c r="Q55">
        <v>46</v>
      </c>
      <c r="R55">
        <v>44</v>
      </c>
      <c r="S55" t="s">
        <v>599</v>
      </c>
      <c r="U55">
        <v>46</v>
      </c>
      <c r="V55">
        <v>44</v>
      </c>
      <c r="W55" t="s">
        <v>599</v>
      </c>
      <c r="Y55">
        <v>46</v>
      </c>
      <c r="Z55">
        <v>46</v>
      </c>
      <c r="AA55" t="s">
        <v>599</v>
      </c>
      <c r="AC55">
        <v>46</v>
      </c>
      <c r="AD55">
        <v>45</v>
      </c>
      <c r="AE55" t="s">
        <v>599</v>
      </c>
    </row>
    <row r="56" spans="1:31" x14ac:dyDescent="0.45">
      <c r="A56">
        <v>47</v>
      </c>
      <c r="B56">
        <v>46</v>
      </c>
      <c r="C56" t="s">
        <v>141</v>
      </c>
      <c r="E56">
        <v>47</v>
      </c>
      <c r="F56">
        <v>46</v>
      </c>
      <c r="G56" t="s">
        <v>141</v>
      </c>
      <c r="I56">
        <v>47</v>
      </c>
      <c r="J56">
        <v>47</v>
      </c>
      <c r="K56" t="s">
        <v>141</v>
      </c>
      <c r="M56">
        <v>47</v>
      </c>
      <c r="N56">
        <v>47</v>
      </c>
      <c r="O56" t="s">
        <v>141</v>
      </c>
      <c r="Q56">
        <v>47</v>
      </c>
      <c r="R56">
        <v>45</v>
      </c>
      <c r="S56" t="s">
        <v>72</v>
      </c>
      <c r="U56">
        <v>47</v>
      </c>
      <c r="V56">
        <v>45</v>
      </c>
      <c r="W56" t="s">
        <v>72</v>
      </c>
      <c r="Y56">
        <v>47</v>
      </c>
      <c r="Z56">
        <v>47</v>
      </c>
      <c r="AA56" t="s">
        <v>72</v>
      </c>
      <c r="AC56">
        <v>47</v>
      </c>
      <c r="AD56">
        <v>46</v>
      </c>
      <c r="AE56" t="s">
        <v>72</v>
      </c>
    </row>
    <row r="57" spans="1:31" x14ac:dyDescent="0.45">
      <c r="A57">
        <v>48</v>
      </c>
      <c r="B57">
        <v>47</v>
      </c>
      <c r="C57" t="s">
        <v>600</v>
      </c>
      <c r="E57">
        <v>48</v>
      </c>
      <c r="F57">
        <v>47</v>
      </c>
      <c r="G57" t="s">
        <v>600</v>
      </c>
      <c r="I57">
        <v>48</v>
      </c>
      <c r="J57">
        <v>48</v>
      </c>
      <c r="K57" t="s">
        <v>600</v>
      </c>
      <c r="M57">
        <v>48</v>
      </c>
      <c r="N57">
        <v>48</v>
      </c>
      <c r="O57" t="s">
        <v>600</v>
      </c>
      <c r="Q57">
        <v>48</v>
      </c>
      <c r="R57">
        <v>46</v>
      </c>
      <c r="S57" t="s">
        <v>141</v>
      </c>
      <c r="U57">
        <v>48</v>
      </c>
      <c r="V57">
        <v>46</v>
      </c>
      <c r="W57" t="s">
        <v>141</v>
      </c>
      <c r="Y57">
        <v>48</v>
      </c>
      <c r="Z57">
        <v>48</v>
      </c>
      <c r="AA57" t="s">
        <v>141</v>
      </c>
      <c r="AC57">
        <v>48</v>
      </c>
      <c r="AD57">
        <v>47</v>
      </c>
      <c r="AE57" t="s">
        <v>141</v>
      </c>
    </row>
    <row r="58" spans="1:31" x14ac:dyDescent="0.45">
      <c r="A58">
        <v>49</v>
      </c>
      <c r="B58">
        <v>48</v>
      </c>
      <c r="C58" t="s">
        <v>601</v>
      </c>
      <c r="E58">
        <v>49</v>
      </c>
      <c r="F58">
        <v>48</v>
      </c>
      <c r="G58" t="s">
        <v>601</v>
      </c>
      <c r="I58">
        <v>49</v>
      </c>
      <c r="J58">
        <v>49</v>
      </c>
      <c r="K58" t="s">
        <v>601</v>
      </c>
      <c r="M58">
        <v>49</v>
      </c>
      <c r="N58">
        <v>49</v>
      </c>
      <c r="O58" t="s">
        <v>601</v>
      </c>
      <c r="Q58">
        <v>49</v>
      </c>
      <c r="R58">
        <v>47</v>
      </c>
      <c r="S58" t="s">
        <v>600</v>
      </c>
      <c r="U58">
        <v>49</v>
      </c>
      <c r="V58">
        <v>47</v>
      </c>
      <c r="W58" t="s">
        <v>600</v>
      </c>
      <c r="Y58">
        <v>49</v>
      </c>
      <c r="Z58">
        <v>49</v>
      </c>
      <c r="AA58" t="s">
        <v>600</v>
      </c>
      <c r="AC58">
        <v>49</v>
      </c>
      <c r="AD58">
        <v>48</v>
      </c>
      <c r="AE58" t="s">
        <v>600</v>
      </c>
    </row>
    <row r="59" spans="1:31" x14ac:dyDescent="0.45">
      <c r="A59">
        <v>50</v>
      </c>
      <c r="B59">
        <v>49</v>
      </c>
      <c r="C59" t="s">
        <v>602</v>
      </c>
      <c r="E59">
        <v>50</v>
      </c>
      <c r="F59">
        <v>49</v>
      </c>
      <c r="G59" t="s">
        <v>602</v>
      </c>
      <c r="I59">
        <v>50</v>
      </c>
      <c r="J59">
        <v>50</v>
      </c>
      <c r="K59" t="s">
        <v>602</v>
      </c>
      <c r="M59">
        <v>50</v>
      </c>
      <c r="N59">
        <v>50</v>
      </c>
      <c r="O59" t="s">
        <v>602</v>
      </c>
      <c r="Q59">
        <v>50</v>
      </c>
      <c r="R59">
        <v>48</v>
      </c>
      <c r="S59" t="s">
        <v>601</v>
      </c>
      <c r="U59">
        <v>50</v>
      </c>
      <c r="V59">
        <v>48</v>
      </c>
      <c r="W59" t="s">
        <v>601</v>
      </c>
      <c r="Y59">
        <v>50</v>
      </c>
      <c r="Z59">
        <v>50</v>
      </c>
      <c r="AA59" t="s">
        <v>601</v>
      </c>
      <c r="AC59">
        <v>50</v>
      </c>
      <c r="AD59">
        <v>49</v>
      </c>
      <c r="AE59" t="s">
        <v>601</v>
      </c>
    </row>
    <row r="60" spans="1:31" x14ac:dyDescent="0.45">
      <c r="A60">
        <v>51</v>
      </c>
      <c r="E60">
        <v>51</v>
      </c>
      <c r="F60">
        <v>50</v>
      </c>
      <c r="G60" t="s">
        <v>572</v>
      </c>
      <c r="I60">
        <v>51</v>
      </c>
      <c r="M60">
        <v>51</v>
      </c>
      <c r="Q60">
        <v>51</v>
      </c>
      <c r="R60">
        <v>49</v>
      </c>
      <c r="S60" t="s">
        <v>602</v>
      </c>
      <c r="U60">
        <v>51</v>
      </c>
      <c r="V60">
        <v>49</v>
      </c>
      <c r="W60" t="s">
        <v>602</v>
      </c>
      <c r="Y60">
        <v>51</v>
      </c>
      <c r="Z60">
        <v>51</v>
      </c>
      <c r="AA60" t="s">
        <v>602</v>
      </c>
      <c r="AC60">
        <v>51</v>
      </c>
      <c r="AD60">
        <v>50</v>
      </c>
      <c r="AE60" t="s">
        <v>602</v>
      </c>
    </row>
    <row r="61" spans="1:31" x14ac:dyDescent="0.45">
      <c r="A61">
        <v>52</v>
      </c>
      <c r="E61">
        <v>52</v>
      </c>
      <c r="F61">
        <v>51</v>
      </c>
      <c r="G61" t="s">
        <v>603</v>
      </c>
      <c r="I61">
        <v>52</v>
      </c>
      <c r="M61">
        <v>52</v>
      </c>
      <c r="Q61">
        <v>52</v>
      </c>
      <c r="U61">
        <v>52</v>
      </c>
      <c r="V61">
        <v>50</v>
      </c>
      <c r="W61" t="s">
        <v>572</v>
      </c>
      <c r="Y61">
        <v>52</v>
      </c>
      <c r="AC61">
        <v>52</v>
      </c>
    </row>
    <row r="62" spans="1:31" x14ac:dyDescent="0.45">
      <c r="A62">
        <v>53</v>
      </c>
      <c r="E62">
        <v>53</v>
      </c>
      <c r="F62">
        <v>52</v>
      </c>
      <c r="G62" t="s">
        <v>604</v>
      </c>
      <c r="I62">
        <v>53</v>
      </c>
      <c r="M62">
        <v>53</v>
      </c>
      <c r="Q62">
        <v>53</v>
      </c>
      <c r="U62">
        <v>53</v>
      </c>
      <c r="V62">
        <v>51</v>
      </c>
      <c r="W62" t="s">
        <v>603</v>
      </c>
      <c r="Y62">
        <v>53</v>
      </c>
      <c r="AC62">
        <v>53</v>
      </c>
    </row>
    <row r="63" spans="1:31" x14ac:dyDescent="0.45">
      <c r="A63">
        <v>54</v>
      </c>
      <c r="B63">
        <v>50</v>
      </c>
      <c r="C63" t="s">
        <v>605</v>
      </c>
      <c r="E63">
        <v>54</v>
      </c>
      <c r="F63">
        <v>53</v>
      </c>
      <c r="G63" t="s">
        <v>605</v>
      </c>
      <c r="I63">
        <v>54</v>
      </c>
      <c r="J63">
        <v>51</v>
      </c>
      <c r="K63" t="s">
        <v>605</v>
      </c>
      <c r="M63">
        <v>54</v>
      </c>
      <c r="N63">
        <v>51</v>
      </c>
      <c r="O63" t="s">
        <v>605</v>
      </c>
      <c r="Q63">
        <v>54</v>
      </c>
      <c r="U63">
        <v>54</v>
      </c>
      <c r="V63">
        <v>52</v>
      </c>
      <c r="W63" t="s">
        <v>604</v>
      </c>
      <c r="Y63">
        <v>54</v>
      </c>
      <c r="AC63">
        <v>54</v>
      </c>
    </row>
    <row r="64" spans="1:31" x14ac:dyDescent="0.45">
      <c r="A64">
        <v>55</v>
      </c>
      <c r="B64">
        <v>51</v>
      </c>
      <c r="C64" t="s">
        <v>84</v>
      </c>
      <c r="E64">
        <v>55</v>
      </c>
      <c r="F64">
        <v>54</v>
      </c>
      <c r="G64" t="s">
        <v>84</v>
      </c>
      <c r="I64">
        <v>55</v>
      </c>
      <c r="J64">
        <v>52</v>
      </c>
      <c r="K64" t="s">
        <v>84</v>
      </c>
      <c r="M64">
        <v>55</v>
      </c>
      <c r="N64">
        <v>52</v>
      </c>
      <c r="O64" t="s">
        <v>84</v>
      </c>
      <c r="Q64">
        <v>55</v>
      </c>
      <c r="R64">
        <v>50</v>
      </c>
      <c r="S64" t="s">
        <v>605</v>
      </c>
      <c r="U64">
        <v>55</v>
      </c>
      <c r="V64">
        <v>53</v>
      </c>
      <c r="W64" t="s">
        <v>605</v>
      </c>
      <c r="Y64">
        <v>55</v>
      </c>
      <c r="Z64">
        <v>52</v>
      </c>
      <c r="AA64" t="s">
        <v>605</v>
      </c>
      <c r="AC64">
        <v>55</v>
      </c>
      <c r="AD64">
        <v>51</v>
      </c>
      <c r="AE64" t="s">
        <v>605</v>
      </c>
    </row>
    <row r="65" spans="1:31" x14ac:dyDescent="0.45">
      <c r="A65">
        <v>56</v>
      </c>
      <c r="B65">
        <v>52</v>
      </c>
      <c r="C65" t="s">
        <v>606</v>
      </c>
      <c r="E65">
        <v>56</v>
      </c>
      <c r="F65">
        <v>55</v>
      </c>
      <c r="G65" t="s">
        <v>606</v>
      </c>
      <c r="I65">
        <v>56</v>
      </c>
      <c r="J65">
        <v>53</v>
      </c>
      <c r="K65" t="s">
        <v>606</v>
      </c>
      <c r="M65">
        <v>56</v>
      </c>
      <c r="N65">
        <v>53</v>
      </c>
      <c r="O65" t="s">
        <v>606</v>
      </c>
      <c r="Q65">
        <v>56</v>
      </c>
      <c r="R65">
        <v>51</v>
      </c>
      <c r="S65" t="s">
        <v>84</v>
      </c>
      <c r="U65">
        <v>56</v>
      </c>
      <c r="V65">
        <v>54</v>
      </c>
      <c r="W65" t="s">
        <v>84</v>
      </c>
      <c r="Y65">
        <v>56</v>
      </c>
      <c r="Z65">
        <v>53</v>
      </c>
      <c r="AA65" t="s">
        <v>84</v>
      </c>
      <c r="AC65">
        <v>56</v>
      </c>
      <c r="AD65">
        <v>52</v>
      </c>
      <c r="AE65" t="s">
        <v>84</v>
      </c>
    </row>
    <row r="66" spans="1:31" x14ac:dyDescent="0.45">
      <c r="A66">
        <v>57</v>
      </c>
      <c r="B66">
        <v>53</v>
      </c>
      <c r="C66" t="s">
        <v>607</v>
      </c>
      <c r="E66">
        <v>57</v>
      </c>
      <c r="F66">
        <v>56</v>
      </c>
      <c r="G66" t="s">
        <v>607</v>
      </c>
      <c r="I66">
        <v>57</v>
      </c>
      <c r="J66">
        <v>54</v>
      </c>
      <c r="K66" t="s">
        <v>607</v>
      </c>
      <c r="M66">
        <v>57</v>
      </c>
      <c r="N66">
        <v>54</v>
      </c>
      <c r="O66" t="s">
        <v>607</v>
      </c>
      <c r="Q66">
        <v>57</v>
      </c>
      <c r="R66">
        <v>52</v>
      </c>
      <c r="S66" t="s">
        <v>606</v>
      </c>
      <c r="U66">
        <v>57</v>
      </c>
      <c r="V66">
        <v>55</v>
      </c>
      <c r="W66" t="s">
        <v>606</v>
      </c>
      <c r="Y66">
        <v>57</v>
      </c>
      <c r="Z66">
        <v>54</v>
      </c>
      <c r="AA66" t="s">
        <v>606</v>
      </c>
      <c r="AC66">
        <v>57</v>
      </c>
      <c r="AD66">
        <v>53</v>
      </c>
      <c r="AE66" t="s">
        <v>606</v>
      </c>
    </row>
    <row r="67" spans="1:31" x14ac:dyDescent="0.45">
      <c r="A67">
        <v>58</v>
      </c>
      <c r="B67">
        <v>54</v>
      </c>
      <c r="C67" t="s">
        <v>608</v>
      </c>
      <c r="E67">
        <v>58</v>
      </c>
      <c r="F67">
        <v>57</v>
      </c>
      <c r="G67" t="s">
        <v>608</v>
      </c>
      <c r="I67">
        <v>58</v>
      </c>
      <c r="J67">
        <v>55</v>
      </c>
      <c r="K67" t="s">
        <v>608</v>
      </c>
      <c r="M67">
        <v>58</v>
      </c>
      <c r="N67">
        <v>55</v>
      </c>
      <c r="O67" t="s">
        <v>608</v>
      </c>
      <c r="Q67">
        <v>58</v>
      </c>
      <c r="R67">
        <v>53</v>
      </c>
      <c r="S67" t="s">
        <v>607</v>
      </c>
      <c r="U67">
        <v>58</v>
      </c>
      <c r="V67">
        <v>56</v>
      </c>
      <c r="W67" t="s">
        <v>607</v>
      </c>
      <c r="Y67">
        <v>58</v>
      </c>
      <c r="Z67">
        <v>55</v>
      </c>
      <c r="AA67" t="s">
        <v>607</v>
      </c>
      <c r="AC67">
        <v>58</v>
      </c>
      <c r="AD67">
        <v>54</v>
      </c>
      <c r="AE67" t="s">
        <v>607</v>
      </c>
    </row>
    <row r="68" spans="1:31" x14ac:dyDescent="0.45">
      <c r="A68">
        <v>59</v>
      </c>
      <c r="B68">
        <v>55</v>
      </c>
      <c r="C68" t="s">
        <v>609</v>
      </c>
      <c r="E68">
        <v>59</v>
      </c>
      <c r="F68">
        <v>58</v>
      </c>
      <c r="G68" t="s">
        <v>609</v>
      </c>
      <c r="I68">
        <v>59</v>
      </c>
      <c r="J68">
        <v>56</v>
      </c>
      <c r="K68" t="s">
        <v>609</v>
      </c>
      <c r="M68">
        <v>59</v>
      </c>
      <c r="N68">
        <v>56</v>
      </c>
      <c r="O68" t="s">
        <v>609</v>
      </c>
      <c r="Q68">
        <v>59</v>
      </c>
      <c r="R68">
        <v>54</v>
      </c>
      <c r="S68" t="s">
        <v>608</v>
      </c>
      <c r="U68">
        <v>59</v>
      </c>
      <c r="V68">
        <v>57</v>
      </c>
      <c r="W68" t="s">
        <v>608</v>
      </c>
      <c r="Y68">
        <v>59</v>
      </c>
      <c r="Z68">
        <v>56</v>
      </c>
      <c r="AA68" t="s">
        <v>608</v>
      </c>
      <c r="AC68">
        <v>59</v>
      </c>
      <c r="AD68">
        <v>55</v>
      </c>
      <c r="AE68" t="s">
        <v>608</v>
      </c>
    </row>
    <row r="69" spans="1:31" x14ac:dyDescent="0.45">
      <c r="A69">
        <v>60</v>
      </c>
      <c r="B69">
        <v>56</v>
      </c>
      <c r="C69" t="s">
        <v>610</v>
      </c>
      <c r="E69">
        <v>60</v>
      </c>
      <c r="F69">
        <v>59</v>
      </c>
      <c r="G69" t="s">
        <v>610</v>
      </c>
      <c r="I69">
        <v>60</v>
      </c>
      <c r="J69">
        <v>57</v>
      </c>
      <c r="K69" t="s">
        <v>610</v>
      </c>
      <c r="M69">
        <v>60</v>
      </c>
      <c r="N69">
        <v>57</v>
      </c>
      <c r="O69" t="s">
        <v>610</v>
      </c>
      <c r="Q69">
        <v>60</v>
      </c>
      <c r="R69">
        <v>55</v>
      </c>
      <c r="S69" t="s">
        <v>609</v>
      </c>
      <c r="U69">
        <v>60</v>
      </c>
      <c r="V69">
        <v>58</v>
      </c>
      <c r="W69" t="s">
        <v>609</v>
      </c>
      <c r="Y69">
        <v>60</v>
      </c>
      <c r="Z69">
        <v>57</v>
      </c>
      <c r="AA69" t="s">
        <v>609</v>
      </c>
      <c r="AC69">
        <v>60</v>
      </c>
      <c r="AD69">
        <v>56</v>
      </c>
      <c r="AE69" t="s">
        <v>609</v>
      </c>
    </row>
    <row r="70" spans="1:31" x14ac:dyDescent="0.45">
      <c r="A70">
        <v>61</v>
      </c>
      <c r="B70">
        <v>57</v>
      </c>
      <c r="C70" t="s">
        <v>611</v>
      </c>
      <c r="E70">
        <v>61</v>
      </c>
      <c r="F70">
        <v>60</v>
      </c>
      <c r="G70" t="s">
        <v>611</v>
      </c>
      <c r="I70">
        <v>61</v>
      </c>
      <c r="J70">
        <v>58</v>
      </c>
      <c r="K70" t="s">
        <v>611</v>
      </c>
      <c r="M70">
        <v>61</v>
      </c>
      <c r="N70">
        <v>58</v>
      </c>
      <c r="O70" t="s">
        <v>611</v>
      </c>
      <c r="Q70">
        <v>61</v>
      </c>
      <c r="R70">
        <v>56</v>
      </c>
      <c r="S70" t="s">
        <v>610</v>
      </c>
      <c r="U70">
        <v>61</v>
      </c>
      <c r="V70">
        <v>59</v>
      </c>
      <c r="W70" t="s">
        <v>610</v>
      </c>
      <c r="Y70">
        <v>61</v>
      </c>
      <c r="Z70">
        <v>58</v>
      </c>
      <c r="AA70" t="s">
        <v>610</v>
      </c>
      <c r="AC70">
        <v>61</v>
      </c>
      <c r="AD70">
        <v>57</v>
      </c>
      <c r="AE70" t="s">
        <v>610</v>
      </c>
    </row>
    <row r="71" spans="1:31" x14ac:dyDescent="0.45">
      <c r="A71">
        <v>62</v>
      </c>
      <c r="B71">
        <v>58</v>
      </c>
      <c r="C71" t="s">
        <v>612</v>
      </c>
      <c r="E71">
        <v>62</v>
      </c>
      <c r="F71">
        <v>61</v>
      </c>
      <c r="G71" t="s">
        <v>612</v>
      </c>
      <c r="I71">
        <v>62</v>
      </c>
      <c r="J71">
        <v>59</v>
      </c>
      <c r="K71" t="s">
        <v>612</v>
      </c>
      <c r="M71">
        <v>62</v>
      </c>
      <c r="N71">
        <v>59</v>
      </c>
      <c r="O71" t="s">
        <v>612</v>
      </c>
      <c r="Q71">
        <v>62</v>
      </c>
      <c r="R71">
        <v>57</v>
      </c>
      <c r="S71" t="s">
        <v>611</v>
      </c>
      <c r="U71">
        <v>62</v>
      </c>
      <c r="V71">
        <v>60</v>
      </c>
      <c r="W71" t="s">
        <v>611</v>
      </c>
      <c r="Y71">
        <v>62</v>
      </c>
      <c r="Z71">
        <v>59</v>
      </c>
      <c r="AA71" t="s">
        <v>611</v>
      </c>
      <c r="AC71">
        <v>62</v>
      </c>
      <c r="AD71">
        <v>58</v>
      </c>
      <c r="AE71" t="s">
        <v>611</v>
      </c>
    </row>
    <row r="72" spans="1:31" x14ac:dyDescent="0.45">
      <c r="A72">
        <v>63</v>
      </c>
      <c r="B72">
        <v>59</v>
      </c>
      <c r="C72" t="s">
        <v>613</v>
      </c>
      <c r="E72">
        <v>63</v>
      </c>
      <c r="F72">
        <v>62</v>
      </c>
      <c r="G72" t="s">
        <v>613</v>
      </c>
      <c r="I72">
        <v>63</v>
      </c>
      <c r="J72">
        <v>60</v>
      </c>
      <c r="K72" t="s">
        <v>613</v>
      </c>
      <c r="M72">
        <v>63</v>
      </c>
      <c r="N72">
        <v>60</v>
      </c>
      <c r="O72" t="s">
        <v>613</v>
      </c>
      <c r="Q72">
        <v>63</v>
      </c>
      <c r="R72">
        <v>58</v>
      </c>
      <c r="S72" t="s">
        <v>612</v>
      </c>
      <c r="U72">
        <v>63</v>
      </c>
      <c r="V72">
        <v>61</v>
      </c>
      <c r="W72" t="s">
        <v>612</v>
      </c>
      <c r="Y72">
        <v>63</v>
      </c>
      <c r="Z72">
        <v>60</v>
      </c>
      <c r="AA72" t="s">
        <v>612</v>
      </c>
      <c r="AC72">
        <v>63</v>
      </c>
      <c r="AD72">
        <v>59</v>
      </c>
      <c r="AE72" t="s">
        <v>612</v>
      </c>
    </row>
    <row r="73" spans="1:31" x14ac:dyDescent="0.45">
      <c r="A73">
        <v>64</v>
      </c>
      <c r="B73">
        <v>60</v>
      </c>
      <c r="C73" t="s">
        <v>614</v>
      </c>
      <c r="E73">
        <v>64</v>
      </c>
      <c r="F73">
        <v>63</v>
      </c>
      <c r="G73" t="s">
        <v>614</v>
      </c>
      <c r="I73">
        <v>64</v>
      </c>
      <c r="J73">
        <v>61</v>
      </c>
      <c r="K73" t="s">
        <v>614</v>
      </c>
      <c r="M73">
        <v>64</v>
      </c>
      <c r="N73">
        <v>61</v>
      </c>
      <c r="O73" t="s">
        <v>614</v>
      </c>
      <c r="Q73">
        <v>64</v>
      </c>
      <c r="R73">
        <v>59</v>
      </c>
      <c r="S73" t="s">
        <v>613</v>
      </c>
      <c r="U73">
        <v>64</v>
      </c>
      <c r="V73">
        <v>62</v>
      </c>
      <c r="W73" t="s">
        <v>613</v>
      </c>
      <c r="Y73">
        <v>64</v>
      </c>
      <c r="Z73">
        <v>61</v>
      </c>
      <c r="AA73" t="s">
        <v>613</v>
      </c>
      <c r="AC73">
        <v>64</v>
      </c>
      <c r="AD73">
        <v>60</v>
      </c>
      <c r="AE73" t="s">
        <v>613</v>
      </c>
    </row>
    <row r="74" spans="1:31" x14ac:dyDescent="0.45">
      <c r="A74">
        <v>65</v>
      </c>
      <c r="B74">
        <v>61</v>
      </c>
      <c r="C74" t="s">
        <v>547</v>
      </c>
      <c r="E74">
        <v>65</v>
      </c>
      <c r="F74">
        <v>64</v>
      </c>
      <c r="G74" t="s">
        <v>547</v>
      </c>
      <c r="I74">
        <v>65</v>
      </c>
      <c r="J74">
        <v>62</v>
      </c>
      <c r="K74" t="s">
        <v>547</v>
      </c>
      <c r="M74">
        <v>65</v>
      </c>
      <c r="N74">
        <v>62</v>
      </c>
      <c r="O74" t="s">
        <v>547</v>
      </c>
      <c r="Q74">
        <v>65</v>
      </c>
      <c r="R74">
        <v>60</v>
      </c>
      <c r="S74" t="s">
        <v>614</v>
      </c>
      <c r="U74">
        <v>65</v>
      </c>
      <c r="V74">
        <v>63</v>
      </c>
      <c r="W74" t="s">
        <v>614</v>
      </c>
      <c r="Y74">
        <v>65</v>
      </c>
      <c r="Z74">
        <v>62</v>
      </c>
      <c r="AA74" t="s">
        <v>614</v>
      </c>
      <c r="AC74">
        <v>65</v>
      </c>
      <c r="AD74">
        <v>61</v>
      </c>
      <c r="AE74" t="s">
        <v>614</v>
      </c>
    </row>
    <row r="75" spans="1:31" x14ac:dyDescent="0.45">
      <c r="A75">
        <v>66</v>
      </c>
      <c r="B75">
        <v>62</v>
      </c>
      <c r="C75" t="s">
        <v>79</v>
      </c>
      <c r="E75">
        <v>66</v>
      </c>
      <c r="F75">
        <v>65</v>
      </c>
      <c r="G75" t="s">
        <v>79</v>
      </c>
      <c r="I75">
        <v>66</v>
      </c>
      <c r="J75">
        <v>63</v>
      </c>
      <c r="K75" t="s">
        <v>79</v>
      </c>
      <c r="M75">
        <v>66</v>
      </c>
      <c r="N75">
        <v>63</v>
      </c>
      <c r="O75" t="s">
        <v>79</v>
      </c>
      <c r="Q75">
        <v>66</v>
      </c>
      <c r="R75">
        <v>61</v>
      </c>
      <c r="S75" t="s">
        <v>547</v>
      </c>
      <c r="U75">
        <v>66</v>
      </c>
      <c r="V75">
        <v>64</v>
      </c>
      <c r="W75" t="s">
        <v>547</v>
      </c>
      <c r="Y75">
        <v>66</v>
      </c>
      <c r="Z75">
        <v>63</v>
      </c>
      <c r="AA75" t="s">
        <v>547</v>
      </c>
      <c r="AC75">
        <v>66</v>
      </c>
      <c r="AD75">
        <v>62</v>
      </c>
      <c r="AE75" t="s">
        <v>547</v>
      </c>
    </row>
    <row r="76" spans="1:31" x14ac:dyDescent="0.45">
      <c r="A76">
        <v>67</v>
      </c>
      <c r="B76">
        <v>63</v>
      </c>
      <c r="C76" t="s">
        <v>615</v>
      </c>
      <c r="E76">
        <v>67</v>
      </c>
      <c r="F76">
        <v>66</v>
      </c>
      <c r="G76" t="s">
        <v>615</v>
      </c>
      <c r="I76">
        <v>67</v>
      </c>
      <c r="J76">
        <v>64</v>
      </c>
      <c r="K76" t="s">
        <v>615</v>
      </c>
      <c r="M76">
        <v>67</v>
      </c>
      <c r="N76">
        <v>64</v>
      </c>
      <c r="O76" t="s">
        <v>615</v>
      </c>
      <c r="Q76">
        <v>67</v>
      </c>
      <c r="R76">
        <v>62</v>
      </c>
      <c r="S76" t="s">
        <v>79</v>
      </c>
      <c r="U76">
        <v>67</v>
      </c>
      <c r="V76">
        <v>65</v>
      </c>
      <c r="W76" t="s">
        <v>79</v>
      </c>
      <c r="Y76">
        <v>67</v>
      </c>
      <c r="Z76">
        <v>64</v>
      </c>
      <c r="AA76" t="s">
        <v>79</v>
      </c>
      <c r="AC76">
        <v>67</v>
      </c>
      <c r="AD76">
        <v>63</v>
      </c>
      <c r="AE76" t="s">
        <v>79</v>
      </c>
    </row>
    <row r="77" spans="1:31" x14ac:dyDescent="0.45">
      <c r="A77">
        <v>68</v>
      </c>
      <c r="B77">
        <v>64</v>
      </c>
      <c r="C77" t="s">
        <v>616</v>
      </c>
      <c r="E77">
        <v>68</v>
      </c>
      <c r="F77">
        <v>67</v>
      </c>
      <c r="G77" t="s">
        <v>616</v>
      </c>
      <c r="I77">
        <v>68</v>
      </c>
      <c r="J77">
        <v>65</v>
      </c>
      <c r="K77" t="s">
        <v>616</v>
      </c>
      <c r="M77">
        <v>68</v>
      </c>
      <c r="N77">
        <v>65</v>
      </c>
      <c r="O77" t="s">
        <v>616</v>
      </c>
      <c r="Q77">
        <v>68</v>
      </c>
      <c r="R77">
        <v>63</v>
      </c>
      <c r="S77" t="s">
        <v>615</v>
      </c>
      <c r="U77">
        <v>68</v>
      </c>
      <c r="V77">
        <v>66</v>
      </c>
      <c r="W77" t="s">
        <v>615</v>
      </c>
      <c r="Y77">
        <v>68</v>
      </c>
      <c r="Z77">
        <v>65</v>
      </c>
      <c r="AA77" t="s">
        <v>615</v>
      </c>
      <c r="AC77">
        <v>68</v>
      </c>
      <c r="AD77">
        <v>64</v>
      </c>
      <c r="AE77" t="s">
        <v>615</v>
      </c>
    </row>
    <row r="78" spans="1:31" x14ac:dyDescent="0.45">
      <c r="A78">
        <v>69</v>
      </c>
      <c r="B78">
        <v>65</v>
      </c>
      <c r="C78" t="s">
        <v>617</v>
      </c>
      <c r="E78">
        <v>69</v>
      </c>
      <c r="F78">
        <v>68</v>
      </c>
      <c r="G78" t="s">
        <v>617</v>
      </c>
      <c r="I78">
        <v>69</v>
      </c>
      <c r="J78">
        <v>66</v>
      </c>
      <c r="K78" t="s">
        <v>617</v>
      </c>
      <c r="M78">
        <v>69</v>
      </c>
      <c r="N78">
        <v>66</v>
      </c>
      <c r="O78" t="s">
        <v>617</v>
      </c>
      <c r="Q78">
        <v>69</v>
      </c>
      <c r="R78">
        <v>64</v>
      </c>
      <c r="S78" t="s">
        <v>616</v>
      </c>
      <c r="U78">
        <v>69</v>
      </c>
      <c r="V78">
        <v>67</v>
      </c>
      <c r="W78" t="s">
        <v>616</v>
      </c>
      <c r="Y78">
        <v>69</v>
      </c>
      <c r="Z78">
        <v>66</v>
      </c>
      <c r="AA78" t="s">
        <v>616</v>
      </c>
      <c r="AC78">
        <v>69</v>
      </c>
      <c r="AD78">
        <v>65</v>
      </c>
      <c r="AE78" t="s">
        <v>616</v>
      </c>
    </row>
    <row r="79" spans="1:31" x14ac:dyDescent="0.45">
      <c r="A79">
        <v>70</v>
      </c>
      <c r="B79">
        <v>66</v>
      </c>
      <c r="C79" t="s">
        <v>80</v>
      </c>
      <c r="E79">
        <v>70</v>
      </c>
      <c r="F79">
        <v>69</v>
      </c>
      <c r="G79" t="s">
        <v>80</v>
      </c>
      <c r="I79">
        <v>70</v>
      </c>
      <c r="J79">
        <v>67</v>
      </c>
      <c r="K79" t="s">
        <v>80</v>
      </c>
      <c r="M79">
        <v>70</v>
      </c>
      <c r="N79">
        <v>67</v>
      </c>
      <c r="O79" t="s">
        <v>80</v>
      </c>
      <c r="Q79">
        <v>70</v>
      </c>
      <c r="R79">
        <v>65</v>
      </c>
      <c r="S79" t="s">
        <v>617</v>
      </c>
      <c r="U79">
        <v>70</v>
      </c>
      <c r="V79">
        <v>68</v>
      </c>
      <c r="W79" t="s">
        <v>617</v>
      </c>
      <c r="Y79">
        <v>70</v>
      </c>
      <c r="Z79">
        <v>67</v>
      </c>
      <c r="AA79" t="s">
        <v>617</v>
      </c>
      <c r="AC79">
        <v>70</v>
      </c>
      <c r="AD79">
        <v>66</v>
      </c>
      <c r="AE79" t="s">
        <v>617</v>
      </c>
    </row>
    <row r="80" spans="1:31" x14ac:dyDescent="0.45">
      <c r="A80">
        <v>71</v>
      </c>
      <c r="B80">
        <v>67</v>
      </c>
      <c r="C80" t="s">
        <v>618</v>
      </c>
      <c r="E80">
        <v>71</v>
      </c>
      <c r="F80">
        <v>70</v>
      </c>
      <c r="G80" t="s">
        <v>618</v>
      </c>
      <c r="I80">
        <v>71</v>
      </c>
      <c r="J80">
        <v>68</v>
      </c>
      <c r="K80" t="s">
        <v>618</v>
      </c>
      <c r="M80">
        <v>71</v>
      </c>
      <c r="N80">
        <v>68</v>
      </c>
      <c r="O80" t="s">
        <v>618</v>
      </c>
      <c r="Q80">
        <v>71</v>
      </c>
      <c r="R80">
        <v>66</v>
      </c>
      <c r="S80" t="s">
        <v>80</v>
      </c>
      <c r="U80">
        <v>71</v>
      </c>
      <c r="V80">
        <v>69</v>
      </c>
      <c r="W80" t="s">
        <v>80</v>
      </c>
      <c r="Y80">
        <v>71</v>
      </c>
      <c r="Z80">
        <v>68</v>
      </c>
      <c r="AA80" t="s">
        <v>80</v>
      </c>
      <c r="AC80">
        <v>71</v>
      </c>
      <c r="AD80">
        <v>67</v>
      </c>
      <c r="AE80" t="s">
        <v>80</v>
      </c>
    </row>
    <row r="81" spans="1:31" x14ac:dyDescent="0.45">
      <c r="A81">
        <v>72</v>
      </c>
      <c r="B81">
        <v>68</v>
      </c>
      <c r="C81" t="s">
        <v>619</v>
      </c>
      <c r="E81">
        <v>72</v>
      </c>
      <c r="F81">
        <v>71</v>
      </c>
      <c r="G81" t="s">
        <v>619</v>
      </c>
      <c r="I81">
        <v>72</v>
      </c>
      <c r="J81">
        <v>69</v>
      </c>
      <c r="K81" t="s">
        <v>619</v>
      </c>
      <c r="M81">
        <v>72</v>
      </c>
      <c r="N81">
        <v>69</v>
      </c>
      <c r="O81" t="s">
        <v>619</v>
      </c>
      <c r="Q81">
        <v>72</v>
      </c>
      <c r="R81">
        <v>67</v>
      </c>
      <c r="S81" t="s">
        <v>618</v>
      </c>
      <c r="U81">
        <v>72</v>
      </c>
      <c r="V81">
        <v>70</v>
      </c>
      <c r="W81" t="s">
        <v>618</v>
      </c>
      <c r="Y81">
        <v>72</v>
      </c>
      <c r="Z81">
        <v>69</v>
      </c>
      <c r="AA81" t="s">
        <v>618</v>
      </c>
      <c r="AC81">
        <v>72</v>
      </c>
      <c r="AD81">
        <v>68</v>
      </c>
      <c r="AE81" t="s">
        <v>618</v>
      </c>
    </row>
    <row r="82" spans="1:31" x14ac:dyDescent="0.45">
      <c r="A82">
        <v>73</v>
      </c>
      <c r="B82">
        <v>69</v>
      </c>
      <c r="C82" t="s">
        <v>620</v>
      </c>
      <c r="E82">
        <v>73</v>
      </c>
      <c r="F82">
        <v>72</v>
      </c>
      <c r="G82" t="s">
        <v>620</v>
      </c>
      <c r="I82">
        <v>73</v>
      </c>
      <c r="J82">
        <v>70</v>
      </c>
      <c r="K82" t="s">
        <v>620</v>
      </c>
      <c r="M82">
        <v>73</v>
      </c>
      <c r="N82">
        <v>70</v>
      </c>
      <c r="O82" t="s">
        <v>620</v>
      </c>
      <c r="Q82">
        <v>73</v>
      </c>
      <c r="R82">
        <v>68</v>
      </c>
      <c r="S82" t="s">
        <v>619</v>
      </c>
      <c r="U82">
        <v>73</v>
      </c>
      <c r="V82">
        <v>71</v>
      </c>
      <c r="W82" t="s">
        <v>619</v>
      </c>
      <c r="Y82">
        <v>73</v>
      </c>
      <c r="Z82">
        <v>70</v>
      </c>
      <c r="AA82" t="s">
        <v>619</v>
      </c>
      <c r="AC82">
        <v>73</v>
      </c>
      <c r="AD82">
        <v>69</v>
      </c>
      <c r="AE82" t="s">
        <v>619</v>
      </c>
    </row>
    <row r="83" spans="1:31" x14ac:dyDescent="0.45">
      <c r="A83">
        <v>74</v>
      </c>
      <c r="B83">
        <v>70</v>
      </c>
      <c r="C83" t="s">
        <v>621</v>
      </c>
      <c r="E83">
        <v>74</v>
      </c>
      <c r="F83">
        <v>73</v>
      </c>
      <c r="G83" t="s">
        <v>621</v>
      </c>
      <c r="I83">
        <v>74</v>
      </c>
      <c r="J83">
        <v>71</v>
      </c>
      <c r="K83" t="s">
        <v>621</v>
      </c>
      <c r="M83">
        <v>74</v>
      </c>
      <c r="N83">
        <v>71</v>
      </c>
      <c r="O83" t="s">
        <v>621</v>
      </c>
      <c r="Q83">
        <v>74</v>
      </c>
      <c r="R83">
        <v>69</v>
      </c>
      <c r="S83" t="s">
        <v>620</v>
      </c>
      <c r="U83">
        <v>74</v>
      </c>
      <c r="V83">
        <v>72</v>
      </c>
      <c r="W83" t="s">
        <v>620</v>
      </c>
      <c r="Y83">
        <v>74</v>
      </c>
      <c r="Z83">
        <v>71</v>
      </c>
      <c r="AA83" t="s">
        <v>620</v>
      </c>
      <c r="AC83">
        <v>74</v>
      </c>
      <c r="AD83">
        <v>70</v>
      </c>
      <c r="AE83" t="s">
        <v>620</v>
      </c>
    </row>
    <row r="84" spans="1:31" x14ac:dyDescent="0.45">
      <c r="A84">
        <v>75</v>
      </c>
      <c r="E84">
        <v>75</v>
      </c>
      <c r="I84">
        <v>75</v>
      </c>
      <c r="M84">
        <v>75</v>
      </c>
      <c r="Q84">
        <v>75</v>
      </c>
      <c r="R84">
        <v>70</v>
      </c>
      <c r="S84" t="s">
        <v>621</v>
      </c>
      <c r="U84">
        <v>75</v>
      </c>
      <c r="V84">
        <v>73</v>
      </c>
      <c r="W84" t="s">
        <v>621</v>
      </c>
      <c r="Y84">
        <v>75</v>
      </c>
      <c r="Z84">
        <v>72</v>
      </c>
      <c r="AA84" t="s">
        <v>621</v>
      </c>
      <c r="AC84">
        <v>75</v>
      </c>
      <c r="AD84">
        <v>71</v>
      </c>
      <c r="AE84" t="s">
        <v>621</v>
      </c>
    </row>
    <row r="85" spans="1:31" x14ac:dyDescent="0.45">
      <c r="A85">
        <v>76</v>
      </c>
      <c r="B85">
        <v>71</v>
      </c>
      <c r="C85" t="s">
        <v>622</v>
      </c>
      <c r="E85">
        <v>76</v>
      </c>
      <c r="F85">
        <v>74</v>
      </c>
      <c r="G85" t="s">
        <v>622</v>
      </c>
      <c r="I85">
        <v>76</v>
      </c>
      <c r="J85">
        <v>72</v>
      </c>
      <c r="K85" t="s">
        <v>622</v>
      </c>
      <c r="M85">
        <v>76</v>
      </c>
      <c r="N85">
        <v>72</v>
      </c>
      <c r="O85" t="s">
        <v>622</v>
      </c>
      <c r="Q85">
        <v>76</v>
      </c>
      <c r="U85">
        <v>76</v>
      </c>
      <c r="Y85">
        <v>76</v>
      </c>
      <c r="AC85">
        <v>76</v>
      </c>
    </row>
    <row r="86" spans="1:31" x14ac:dyDescent="0.45">
      <c r="A86">
        <v>77</v>
      </c>
      <c r="E86">
        <v>77</v>
      </c>
      <c r="I86">
        <v>77</v>
      </c>
      <c r="M86">
        <v>77</v>
      </c>
      <c r="Q86">
        <v>77</v>
      </c>
      <c r="R86">
        <v>71</v>
      </c>
      <c r="S86" t="s">
        <v>622</v>
      </c>
      <c r="U86">
        <v>77</v>
      </c>
      <c r="V86">
        <v>74</v>
      </c>
      <c r="W86" t="s">
        <v>622</v>
      </c>
      <c r="Y86">
        <v>77</v>
      </c>
      <c r="Z86">
        <v>73</v>
      </c>
      <c r="AA86" t="s">
        <v>622</v>
      </c>
      <c r="AC86">
        <v>77</v>
      </c>
      <c r="AD86">
        <v>72</v>
      </c>
      <c r="AE86" t="s">
        <v>622</v>
      </c>
    </row>
    <row r="87" spans="1:31" x14ac:dyDescent="0.45">
      <c r="A87">
        <v>78</v>
      </c>
      <c r="B87">
        <v>72</v>
      </c>
      <c r="C87" t="s">
        <v>623</v>
      </c>
      <c r="E87">
        <v>78</v>
      </c>
      <c r="F87">
        <v>75</v>
      </c>
      <c r="G87" t="s">
        <v>623</v>
      </c>
      <c r="I87">
        <v>78</v>
      </c>
      <c r="J87">
        <v>73</v>
      </c>
      <c r="K87" t="s">
        <v>623</v>
      </c>
      <c r="M87">
        <v>78</v>
      </c>
      <c r="N87">
        <v>73</v>
      </c>
      <c r="O87" t="s">
        <v>623</v>
      </c>
      <c r="Q87">
        <v>78</v>
      </c>
      <c r="U87">
        <v>78</v>
      </c>
      <c r="Y87">
        <v>78</v>
      </c>
      <c r="AC87">
        <v>78</v>
      </c>
    </row>
    <row r="88" spans="1:31" x14ac:dyDescent="0.45">
      <c r="A88">
        <v>79</v>
      </c>
      <c r="B88">
        <v>73</v>
      </c>
      <c r="C88" t="s">
        <v>624</v>
      </c>
      <c r="E88">
        <v>79</v>
      </c>
      <c r="F88">
        <v>76</v>
      </c>
      <c r="G88" t="s">
        <v>624</v>
      </c>
      <c r="I88">
        <v>79</v>
      </c>
      <c r="J88">
        <v>74</v>
      </c>
      <c r="K88" t="s">
        <v>624</v>
      </c>
      <c r="M88">
        <v>79</v>
      </c>
      <c r="N88">
        <v>74</v>
      </c>
      <c r="O88" t="s">
        <v>624</v>
      </c>
      <c r="Q88">
        <v>79</v>
      </c>
      <c r="R88">
        <v>72</v>
      </c>
      <c r="S88" t="s">
        <v>623</v>
      </c>
      <c r="U88">
        <v>79</v>
      </c>
      <c r="V88">
        <v>75</v>
      </c>
      <c r="W88" t="s">
        <v>623</v>
      </c>
      <c r="Y88">
        <v>79</v>
      </c>
      <c r="Z88">
        <v>74</v>
      </c>
      <c r="AA88" t="s">
        <v>623</v>
      </c>
      <c r="AC88">
        <v>79</v>
      </c>
      <c r="AD88">
        <v>73</v>
      </c>
      <c r="AE88" t="s">
        <v>623</v>
      </c>
    </row>
    <row r="89" spans="1:31" x14ac:dyDescent="0.45">
      <c r="A89">
        <v>80</v>
      </c>
      <c r="B89">
        <v>74</v>
      </c>
      <c r="C89" t="s">
        <v>625</v>
      </c>
      <c r="E89">
        <v>80</v>
      </c>
      <c r="F89">
        <v>77</v>
      </c>
      <c r="G89" t="s">
        <v>625</v>
      </c>
      <c r="I89">
        <v>80</v>
      </c>
      <c r="J89">
        <v>75</v>
      </c>
      <c r="K89" t="s">
        <v>625</v>
      </c>
      <c r="M89">
        <v>80</v>
      </c>
      <c r="N89">
        <v>75</v>
      </c>
      <c r="O89" t="s">
        <v>625</v>
      </c>
      <c r="Q89">
        <v>80</v>
      </c>
      <c r="R89">
        <v>73</v>
      </c>
      <c r="S89" t="s">
        <v>624</v>
      </c>
      <c r="U89">
        <v>80</v>
      </c>
      <c r="V89">
        <v>76</v>
      </c>
      <c r="W89" t="s">
        <v>624</v>
      </c>
      <c r="Y89">
        <v>80</v>
      </c>
      <c r="Z89">
        <v>75</v>
      </c>
      <c r="AA89" t="s">
        <v>624</v>
      </c>
      <c r="AC89">
        <v>80</v>
      </c>
      <c r="AD89">
        <v>74</v>
      </c>
      <c r="AE89" t="s">
        <v>624</v>
      </c>
    </row>
    <row r="90" spans="1:31" x14ac:dyDescent="0.45">
      <c r="A90">
        <v>81</v>
      </c>
      <c r="B90">
        <v>75</v>
      </c>
      <c r="C90" t="s">
        <v>626</v>
      </c>
      <c r="E90">
        <v>81</v>
      </c>
      <c r="F90">
        <v>78</v>
      </c>
      <c r="G90" t="s">
        <v>626</v>
      </c>
      <c r="I90">
        <v>81</v>
      </c>
      <c r="J90">
        <v>76</v>
      </c>
      <c r="K90" t="s">
        <v>626</v>
      </c>
      <c r="M90">
        <v>81</v>
      </c>
      <c r="N90">
        <v>76</v>
      </c>
      <c r="O90" t="s">
        <v>626</v>
      </c>
      <c r="Q90">
        <v>81</v>
      </c>
      <c r="R90">
        <v>74</v>
      </c>
      <c r="S90" t="s">
        <v>625</v>
      </c>
      <c r="U90">
        <v>81</v>
      </c>
      <c r="V90">
        <v>77</v>
      </c>
      <c r="W90" t="s">
        <v>625</v>
      </c>
      <c r="Y90">
        <v>81</v>
      </c>
      <c r="Z90">
        <v>76</v>
      </c>
      <c r="AA90" t="s">
        <v>625</v>
      </c>
      <c r="AC90">
        <v>81</v>
      </c>
      <c r="AD90">
        <v>75</v>
      </c>
      <c r="AE90" t="s">
        <v>625</v>
      </c>
    </row>
    <row r="91" spans="1:31" x14ac:dyDescent="0.45">
      <c r="A91">
        <v>82</v>
      </c>
      <c r="E91">
        <v>82</v>
      </c>
      <c r="I91">
        <v>82</v>
      </c>
      <c r="J91">
        <v>77</v>
      </c>
      <c r="K91" t="s">
        <v>120</v>
      </c>
      <c r="M91">
        <v>82</v>
      </c>
      <c r="Q91">
        <v>82</v>
      </c>
      <c r="R91">
        <v>75</v>
      </c>
      <c r="S91" t="s">
        <v>626</v>
      </c>
      <c r="U91">
        <v>82</v>
      </c>
      <c r="V91">
        <v>78</v>
      </c>
      <c r="W91" t="s">
        <v>626</v>
      </c>
      <c r="Y91">
        <v>82</v>
      </c>
      <c r="Z91">
        <v>77</v>
      </c>
      <c r="AA91" t="s">
        <v>626</v>
      </c>
      <c r="AC91">
        <v>82</v>
      </c>
      <c r="AD91">
        <v>76</v>
      </c>
      <c r="AE91" t="s">
        <v>626</v>
      </c>
    </row>
    <row r="92" spans="1:31" x14ac:dyDescent="0.45">
      <c r="A92">
        <v>83</v>
      </c>
      <c r="E92">
        <v>83</v>
      </c>
      <c r="I92">
        <v>83</v>
      </c>
      <c r="M92">
        <v>83</v>
      </c>
      <c r="Q92">
        <v>83</v>
      </c>
      <c r="U92">
        <v>83</v>
      </c>
      <c r="Y92">
        <v>83</v>
      </c>
      <c r="AC92">
        <v>83</v>
      </c>
    </row>
    <row r="93" spans="1:31" x14ac:dyDescent="0.45">
      <c r="A93">
        <v>84</v>
      </c>
      <c r="E93">
        <v>84</v>
      </c>
      <c r="I93">
        <v>84</v>
      </c>
      <c r="M93">
        <v>84</v>
      </c>
      <c r="Q93">
        <v>84</v>
      </c>
      <c r="U93">
        <v>84</v>
      </c>
      <c r="Y93">
        <v>84</v>
      </c>
      <c r="AC93">
        <v>84</v>
      </c>
    </row>
    <row r="94" spans="1:31" x14ac:dyDescent="0.45">
      <c r="A94">
        <v>85</v>
      </c>
      <c r="B94">
        <v>76</v>
      </c>
      <c r="C94" t="s">
        <v>627</v>
      </c>
      <c r="E94">
        <v>85</v>
      </c>
      <c r="F94">
        <v>79</v>
      </c>
      <c r="G94" t="s">
        <v>627</v>
      </c>
      <c r="I94">
        <v>85</v>
      </c>
      <c r="J94">
        <v>78</v>
      </c>
      <c r="K94" t="s">
        <v>627</v>
      </c>
      <c r="M94">
        <v>85</v>
      </c>
      <c r="N94">
        <v>77</v>
      </c>
      <c r="O94" t="s">
        <v>627</v>
      </c>
      <c r="Q94">
        <v>85</v>
      </c>
      <c r="R94">
        <v>76</v>
      </c>
      <c r="S94" t="s">
        <v>627</v>
      </c>
      <c r="U94">
        <v>85</v>
      </c>
      <c r="V94">
        <v>79</v>
      </c>
      <c r="W94" t="s">
        <v>627</v>
      </c>
      <c r="Y94">
        <v>85</v>
      </c>
      <c r="Z94">
        <v>78</v>
      </c>
      <c r="AA94" t="s">
        <v>627</v>
      </c>
      <c r="AC94">
        <v>85</v>
      </c>
      <c r="AD94">
        <v>77</v>
      </c>
      <c r="AE94" t="s">
        <v>627</v>
      </c>
    </row>
  </sheetData>
  <pageMargins left="0.70866141732283472" right="0.70866141732283472"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11614-E7CA-4152-8D37-2E8A074EB3F7}">
  <sheetPr>
    <tabColor theme="7"/>
  </sheetPr>
  <dimension ref="A1:AE31"/>
  <sheetViews>
    <sheetView zoomScale="52" zoomScaleNormal="52" workbookViewId="0"/>
  </sheetViews>
  <sheetFormatPr defaultRowHeight="14.25" x14ac:dyDescent="0.45"/>
  <cols>
    <col min="2" max="2" width="10.73046875" bestFit="1" customWidth="1"/>
  </cols>
  <sheetData>
    <row r="1" spans="1:31" x14ac:dyDescent="0.45">
      <c r="D1" s="38"/>
      <c r="E1" s="38"/>
      <c r="F1" s="38"/>
      <c r="G1" s="38"/>
      <c r="H1" s="38"/>
      <c r="I1" s="38"/>
      <c r="J1" s="38"/>
    </row>
    <row r="2" spans="1:31" x14ac:dyDescent="0.45">
      <c r="A2" t="s">
        <v>630</v>
      </c>
      <c r="D2" s="38"/>
      <c r="E2" s="38"/>
      <c r="F2" s="38"/>
      <c r="G2" s="38"/>
      <c r="H2" s="38"/>
      <c r="I2" s="38"/>
      <c r="J2" s="38"/>
    </row>
    <row r="3" spans="1:31" x14ac:dyDescent="0.45">
      <c r="A3" t="s">
        <v>631</v>
      </c>
      <c r="D3" s="38"/>
      <c r="E3" s="38"/>
      <c r="F3" s="38"/>
      <c r="G3" s="38"/>
      <c r="H3" s="38"/>
      <c r="I3" s="38"/>
      <c r="J3" s="38"/>
    </row>
    <row r="4" spans="1:31" x14ac:dyDescent="0.45">
      <c r="D4" s="38"/>
      <c r="E4" s="38"/>
      <c r="F4" s="38"/>
      <c r="G4" s="38"/>
      <c r="H4" s="38"/>
      <c r="I4" s="38"/>
      <c r="J4" s="38"/>
    </row>
    <row r="5" spans="1:31" x14ac:dyDescent="0.45">
      <c r="A5" t="s">
        <v>122</v>
      </c>
      <c r="Q5" t="s">
        <v>288</v>
      </c>
    </row>
    <row r="7" spans="1:31" x14ac:dyDescent="0.45">
      <c r="A7" t="s">
        <v>153</v>
      </c>
      <c r="E7" t="s">
        <v>154</v>
      </c>
      <c r="I7" t="s">
        <v>155</v>
      </c>
      <c r="M7" t="s">
        <v>110</v>
      </c>
      <c r="Q7" t="s">
        <v>153</v>
      </c>
      <c r="U7" t="s">
        <v>154</v>
      </c>
      <c r="Y7" t="s">
        <v>155</v>
      </c>
      <c r="AC7" t="s">
        <v>110</v>
      </c>
    </row>
    <row r="9" spans="1:31" x14ac:dyDescent="0.45">
      <c r="A9" t="s">
        <v>121</v>
      </c>
      <c r="B9" t="s">
        <v>123</v>
      </c>
      <c r="C9" t="s">
        <v>50</v>
      </c>
      <c r="E9" t="s">
        <v>121</v>
      </c>
      <c r="F9" t="s">
        <v>123</v>
      </c>
      <c r="G9" t="s">
        <v>50</v>
      </c>
      <c r="I9" t="s">
        <v>121</v>
      </c>
      <c r="J9" t="s">
        <v>123</v>
      </c>
      <c r="K9" t="s">
        <v>50</v>
      </c>
      <c r="M9" t="s">
        <v>121</v>
      </c>
      <c r="N9" t="s">
        <v>123</v>
      </c>
      <c r="O9" t="s">
        <v>50</v>
      </c>
      <c r="Q9" t="s">
        <v>121</v>
      </c>
      <c r="R9" t="s">
        <v>123</v>
      </c>
      <c r="S9" t="s">
        <v>50</v>
      </c>
      <c r="U9" t="s">
        <v>121</v>
      </c>
      <c r="V9" t="s">
        <v>123</v>
      </c>
      <c r="W9" t="s">
        <v>50</v>
      </c>
      <c r="Y9" t="s">
        <v>121</v>
      </c>
      <c r="Z9" t="s">
        <v>123</v>
      </c>
      <c r="AA9" t="s">
        <v>50</v>
      </c>
      <c r="AC9" t="s">
        <v>121</v>
      </c>
      <c r="AD9" t="s">
        <v>123</v>
      </c>
      <c r="AE9" t="s">
        <v>50</v>
      </c>
    </row>
    <row r="10" spans="1:31" x14ac:dyDescent="0.45">
      <c r="A10">
        <v>101</v>
      </c>
      <c r="B10">
        <v>1</v>
      </c>
      <c r="C10" t="s">
        <v>156</v>
      </c>
      <c r="E10">
        <v>101</v>
      </c>
      <c r="F10">
        <v>1</v>
      </c>
      <c r="G10" t="s">
        <v>52</v>
      </c>
      <c r="I10">
        <v>101</v>
      </c>
      <c r="J10">
        <v>1</v>
      </c>
      <c r="K10" t="s">
        <v>52</v>
      </c>
      <c r="M10">
        <v>101</v>
      </c>
      <c r="N10">
        <v>1</v>
      </c>
      <c r="O10" t="s">
        <v>52</v>
      </c>
      <c r="Q10">
        <v>101</v>
      </c>
      <c r="R10">
        <v>1</v>
      </c>
      <c r="S10" t="s">
        <v>156</v>
      </c>
      <c r="U10">
        <v>101</v>
      </c>
      <c r="V10">
        <v>1</v>
      </c>
      <c r="W10" t="s">
        <v>52</v>
      </c>
      <c r="Y10">
        <v>101</v>
      </c>
      <c r="Z10">
        <v>1</v>
      </c>
      <c r="AA10" t="s">
        <v>52</v>
      </c>
      <c r="AC10">
        <v>101</v>
      </c>
      <c r="AD10">
        <v>1</v>
      </c>
      <c r="AE10" t="s">
        <v>52</v>
      </c>
    </row>
    <row r="11" spans="1:31" x14ac:dyDescent="0.45">
      <c r="A11">
        <v>102</v>
      </c>
      <c r="B11">
        <v>2</v>
      </c>
      <c r="C11" t="s">
        <v>90</v>
      </c>
      <c r="E11">
        <v>102</v>
      </c>
      <c r="F11">
        <v>2</v>
      </c>
      <c r="G11" t="s">
        <v>90</v>
      </c>
      <c r="I11">
        <v>102</v>
      </c>
      <c r="J11">
        <v>2</v>
      </c>
      <c r="K11" t="s">
        <v>90</v>
      </c>
      <c r="M11">
        <v>102</v>
      </c>
      <c r="N11">
        <v>2</v>
      </c>
      <c r="O11" t="s">
        <v>90</v>
      </c>
      <c r="Q11">
        <v>102</v>
      </c>
      <c r="R11">
        <v>2</v>
      </c>
      <c r="S11" t="s">
        <v>90</v>
      </c>
      <c r="U11">
        <v>102</v>
      </c>
      <c r="V11">
        <v>2</v>
      </c>
      <c r="W11" t="s">
        <v>90</v>
      </c>
      <c r="Y11">
        <v>102</v>
      </c>
      <c r="Z11">
        <v>2</v>
      </c>
      <c r="AA11" t="s">
        <v>90</v>
      </c>
      <c r="AC11">
        <v>102</v>
      </c>
      <c r="AD11">
        <v>2</v>
      </c>
      <c r="AE11" t="s">
        <v>90</v>
      </c>
    </row>
    <row r="12" spans="1:31" x14ac:dyDescent="0.45">
      <c r="A12">
        <v>103</v>
      </c>
      <c r="B12">
        <v>3</v>
      </c>
      <c r="C12" t="s">
        <v>55</v>
      </c>
      <c r="E12">
        <v>103</v>
      </c>
      <c r="F12">
        <v>3</v>
      </c>
      <c r="G12" t="s">
        <v>179</v>
      </c>
      <c r="I12">
        <v>103</v>
      </c>
      <c r="J12">
        <v>3</v>
      </c>
      <c r="K12" t="s">
        <v>180</v>
      </c>
      <c r="M12">
        <v>103</v>
      </c>
      <c r="N12">
        <v>3</v>
      </c>
      <c r="O12" t="s">
        <v>55</v>
      </c>
      <c r="Q12">
        <v>103</v>
      </c>
      <c r="R12">
        <v>3</v>
      </c>
      <c r="S12" t="s">
        <v>55</v>
      </c>
      <c r="U12">
        <v>103</v>
      </c>
      <c r="V12">
        <v>3</v>
      </c>
      <c r="W12" t="s">
        <v>179</v>
      </c>
      <c r="Y12">
        <v>103</v>
      </c>
      <c r="Z12">
        <v>3</v>
      </c>
      <c r="AA12" t="s">
        <v>180</v>
      </c>
      <c r="AC12">
        <v>103</v>
      </c>
      <c r="AD12">
        <v>3</v>
      </c>
      <c r="AE12" t="s">
        <v>55</v>
      </c>
    </row>
    <row r="13" spans="1:31" x14ac:dyDescent="0.45">
      <c r="A13">
        <v>104</v>
      </c>
      <c r="B13">
        <v>4</v>
      </c>
      <c r="C13" t="s">
        <v>118</v>
      </c>
      <c r="E13">
        <v>104</v>
      </c>
      <c r="F13">
        <v>4</v>
      </c>
      <c r="G13" t="s">
        <v>118</v>
      </c>
      <c r="I13">
        <v>104</v>
      </c>
      <c r="J13">
        <v>4</v>
      </c>
      <c r="K13" t="s">
        <v>118</v>
      </c>
      <c r="M13">
        <v>104</v>
      </c>
      <c r="N13">
        <v>4</v>
      </c>
      <c r="O13" t="s">
        <v>150</v>
      </c>
      <c r="Q13">
        <v>104</v>
      </c>
      <c r="R13">
        <v>4</v>
      </c>
      <c r="S13" t="s">
        <v>118</v>
      </c>
      <c r="U13">
        <v>104</v>
      </c>
      <c r="V13">
        <v>4</v>
      </c>
      <c r="W13" t="s">
        <v>118</v>
      </c>
      <c r="Y13">
        <v>104</v>
      </c>
      <c r="Z13">
        <v>4</v>
      </c>
      <c r="AA13" t="s">
        <v>118</v>
      </c>
      <c r="AC13">
        <v>104</v>
      </c>
      <c r="AD13">
        <v>4</v>
      </c>
      <c r="AE13" t="s">
        <v>150</v>
      </c>
    </row>
    <row r="14" spans="1:31" x14ac:dyDescent="0.45">
      <c r="A14">
        <v>105</v>
      </c>
      <c r="B14">
        <v>5</v>
      </c>
      <c r="C14" t="s">
        <v>81</v>
      </c>
      <c r="E14">
        <v>105</v>
      </c>
      <c r="F14">
        <v>5</v>
      </c>
      <c r="G14" t="s">
        <v>81</v>
      </c>
      <c r="I14">
        <v>105</v>
      </c>
      <c r="J14">
        <v>5</v>
      </c>
      <c r="K14" t="s">
        <v>81</v>
      </c>
      <c r="M14">
        <v>105</v>
      </c>
      <c r="N14">
        <v>5</v>
      </c>
      <c r="O14" t="s">
        <v>81</v>
      </c>
      <c r="Q14">
        <v>105</v>
      </c>
      <c r="R14">
        <v>5</v>
      </c>
      <c r="S14" t="s">
        <v>81</v>
      </c>
      <c r="U14">
        <v>105</v>
      </c>
      <c r="V14">
        <v>5</v>
      </c>
      <c r="W14" t="s">
        <v>81</v>
      </c>
      <c r="Y14">
        <v>105</v>
      </c>
      <c r="Z14">
        <v>5</v>
      </c>
      <c r="AA14" t="s">
        <v>81</v>
      </c>
      <c r="AC14">
        <v>105</v>
      </c>
      <c r="AD14">
        <v>5</v>
      </c>
      <c r="AE14" t="s">
        <v>81</v>
      </c>
    </row>
    <row r="15" spans="1:31" x14ac:dyDescent="0.45">
      <c r="A15">
        <v>106</v>
      </c>
      <c r="B15">
        <v>6</v>
      </c>
      <c r="C15" t="s">
        <v>52</v>
      </c>
      <c r="E15">
        <v>106</v>
      </c>
      <c r="F15">
        <v>6</v>
      </c>
      <c r="G15" t="s">
        <v>90</v>
      </c>
      <c r="I15">
        <v>106</v>
      </c>
      <c r="J15">
        <v>6</v>
      </c>
      <c r="K15" t="s">
        <v>632</v>
      </c>
      <c r="M15">
        <v>106</v>
      </c>
      <c r="N15">
        <v>6</v>
      </c>
      <c r="O15" t="s">
        <v>157</v>
      </c>
      <c r="Q15">
        <v>106</v>
      </c>
      <c r="R15">
        <v>6</v>
      </c>
      <c r="S15" t="s">
        <v>52</v>
      </c>
      <c r="U15">
        <v>106</v>
      </c>
      <c r="V15">
        <v>6</v>
      </c>
      <c r="W15" t="s">
        <v>90</v>
      </c>
      <c r="Y15">
        <v>106</v>
      </c>
      <c r="Z15">
        <v>6</v>
      </c>
      <c r="AA15" t="s">
        <v>632</v>
      </c>
      <c r="AC15">
        <v>106</v>
      </c>
      <c r="AD15">
        <v>6</v>
      </c>
      <c r="AE15" t="s">
        <v>157</v>
      </c>
    </row>
    <row r="16" spans="1:31" x14ac:dyDescent="0.45">
      <c r="A16">
        <v>107</v>
      </c>
      <c r="B16">
        <v>7</v>
      </c>
      <c r="C16" t="s">
        <v>91</v>
      </c>
      <c r="E16">
        <v>107</v>
      </c>
      <c r="F16">
        <v>7</v>
      </c>
      <c r="G16" t="s">
        <v>91</v>
      </c>
      <c r="I16">
        <v>107</v>
      </c>
      <c r="J16">
        <v>7</v>
      </c>
      <c r="K16" t="s">
        <v>91</v>
      </c>
      <c r="M16">
        <v>107</v>
      </c>
      <c r="N16">
        <v>7</v>
      </c>
      <c r="O16" t="s">
        <v>91</v>
      </c>
      <c r="Q16">
        <v>107</v>
      </c>
      <c r="R16">
        <v>7</v>
      </c>
      <c r="S16" t="s">
        <v>91</v>
      </c>
      <c r="U16">
        <v>107</v>
      </c>
      <c r="V16">
        <v>7</v>
      </c>
      <c r="W16" t="s">
        <v>91</v>
      </c>
      <c r="Y16">
        <v>107</v>
      </c>
      <c r="Z16">
        <v>7</v>
      </c>
      <c r="AA16" t="s">
        <v>91</v>
      </c>
      <c r="AC16">
        <v>107</v>
      </c>
      <c r="AD16">
        <v>7</v>
      </c>
      <c r="AE16" t="s">
        <v>91</v>
      </c>
    </row>
    <row r="17" spans="1:31" x14ac:dyDescent="0.45">
      <c r="A17">
        <v>108</v>
      </c>
      <c r="B17">
        <v>8</v>
      </c>
      <c r="C17" t="s">
        <v>632</v>
      </c>
      <c r="E17">
        <v>108</v>
      </c>
      <c r="F17">
        <v>8</v>
      </c>
      <c r="G17" t="s">
        <v>632</v>
      </c>
      <c r="I17">
        <v>108</v>
      </c>
      <c r="J17">
        <v>8</v>
      </c>
      <c r="K17" t="s">
        <v>51</v>
      </c>
      <c r="M17">
        <v>108</v>
      </c>
      <c r="N17">
        <v>8</v>
      </c>
      <c r="O17" t="s">
        <v>632</v>
      </c>
      <c r="Q17">
        <v>108</v>
      </c>
      <c r="U17">
        <v>108</v>
      </c>
      <c r="Y17">
        <v>108</v>
      </c>
      <c r="AC17">
        <v>108</v>
      </c>
      <c r="AD17">
        <v>8</v>
      </c>
      <c r="AE17" t="s">
        <v>118</v>
      </c>
    </row>
    <row r="18" spans="1:31" x14ac:dyDescent="0.45">
      <c r="A18">
        <v>109</v>
      </c>
      <c r="B18">
        <v>9</v>
      </c>
      <c r="C18" t="s">
        <v>89</v>
      </c>
      <c r="E18">
        <v>109</v>
      </c>
      <c r="F18">
        <v>9</v>
      </c>
      <c r="G18" t="s">
        <v>89</v>
      </c>
      <c r="I18">
        <v>109</v>
      </c>
      <c r="J18">
        <v>9</v>
      </c>
      <c r="K18" t="s">
        <v>89</v>
      </c>
      <c r="M18">
        <v>109</v>
      </c>
      <c r="N18">
        <v>9</v>
      </c>
      <c r="O18" t="s">
        <v>89</v>
      </c>
      <c r="Q18">
        <v>109</v>
      </c>
      <c r="R18">
        <v>8</v>
      </c>
      <c r="S18" t="s">
        <v>632</v>
      </c>
      <c r="U18">
        <v>109</v>
      </c>
      <c r="V18">
        <v>8</v>
      </c>
      <c r="W18" t="s">
        <v>632</v>
      </c>
      <c r="Y18">
        <v>109</v>
      </c>
      <c r="Z18">
        <v>8</v>
      </c>
      <c r="AA18" t="s">
        <v>51</v>
      </c>
      <c r="AC18">
        <v>109</v>
      </c>
      <c r="AD18">
        <v>9</v>
      </c>
      <c r="AE18" t="s">
        <v>632</v>
      </c>
    </row>
    <row r="19" spans="1:31" x14ac:dyDescent="0.45">
      <c r="A19">
        <v>110</v>
      </c>
      <c r="B19">
        <v>10</v>
      </c>
      <c r="C19" t="s">
        <v>157</v>
      </c>
      <c r="E19">
        <v>110</v>
      </c>
      <c r="F19">
        <v>10</v>
      </c>
      <c r="G19" t="s">
        <v>156</v>
      </c>
      <c r="I19">
        <v>110</v>
      </c>
      <c r="J19">
        <v>10</v>
      </c>
      <c r="K19" t="s">
        <v>156</v>
      </c>
      <c r="M19">
        <v>110</v>
      </c>
      <c r="N19">
        <v>10</v>
      </c>
      <c r="O19" t="s">
        <v>156</v>
      </c>
      <c r="Q19">
        <v>110</v>
      </c>
      <c r="R19">
        <v>9</v>
      </c>
      <c r="S19" t="s">
        <v>89</v>
      </c>
      <c r="U19">
        <v>110</v>
      </c>
      <c r="V19">
        <v>9</v>
      </c>
      <c r="W19" t="s">
        <v>89</v>
      </c>
      <c r="Y19">
        <v>110</v>
      </c>
      <c r="Z19">
        <v>9</v>
      </c>
      <c r="AA19" t="s">
        <v>89</v>
      </c>
      <c r="AC19">
        <v>110</v>
      </c>
      <c r="AD19">
        <v>10</v>
      </c>
      <c r="AE19" t="s">
        <v>89</v>
      </c>
    </row>
    <row r="20" spans="1:31" x14ac:dyDescent="0.45">
      <c r="A20">
        <v>111</v>
      </c>
      <c r="B20">
        <v>11</v>
      </c>
      <c r="C20" t="s">
        <v>347</v>
      </c>
      <c r="E20">
        <v>111</v>
      </c>
      <c r="F20">
        <v>11</v>
      </c>
      <c r="G20" t="s">
        <v>633</v>
      </c>
      <c r="I20">
        <v>111</v>
      </c>
      <c r="J20">
        <v>11</v>
      </c>
      <c r="K20" t="s">
        <v>634</v>
      </c>
      <c r="M20">
        <v>111</v>
      </c>
      <c r="N20">
        <v>11</v>
      </c>
      <c r="O20" t="s">
        <v>347</v>
      </c>
      <c r="Q20">
        <v>111</v>
      </c>
      <c r="R20">
        <v>10</v>
      </c>
      <c r="S20" t="s">
        <v>157</v>
      </c>
      <c r="U20">
        <v>111</v>
      </c>
      <c r="V20">
        <v>10</v>
      </c>
      <c r="W20" t="s">
        <v>156</v>
      </c>
      <c r="Y20">
        <v>111</v>
      </c>
      <c r="Z20">
        <v>10</v>
      </c>
      <c r="AA20" t="s">
        <v>156</v>
      </c>
      <c r="AC20">
        <v>111</v>
      </c>
      <c r="AD20">
        <v>11</v>
      </c>
      <c r="AE20" t="s">
        <v>156</v>
      </c>
    </row>
    <row r="21" spans="1:31" x14ac:dyDescent="0.45">
      <c r="A21">
        <v>112</v>
      </c>
      <c r="B21">
        <v>12</v>
      </c>
      <c r="C21" t="s">
        <v>56</v>
      </c>
      <c r="E21">
        <v>112</v>
      </c>
      <c r="F21">
        <v>12</v>
      </c>
      <c r="G21" t="s">
        <v>635</v>
      </c>
      <c r="I21">
        <v>112</v>
      </c>
      <c r="M21">
        <v>112</v>
      </c>
      <c r="N21">
        <v>12</v>
      </c>
      <c r="O21" t="s">
        <v>56</v>
      </c>
      <c r="Q21">
        <v>112</v>
      </c>
      <c r="R21">
        <v>11</v>
      </c>
      <c r="S21" t="s">
        <v>347</v>
      </c>
      <c r="U21">
        <v>112</v>
      </c>
      <c r="V21">
        <v>11</v>
      </c>
      <c r="W21" t="s">
        <v>633</v>
      </c>
      <c r="Y21">
        <v>112</v>
      </c>
      <c r="Z21">
        <v>11</v>
      </c>
      <c r="AA21" t="s">
        <v>634</v>
      </c>
      <c r="AC21">
        <v>112</v>
      </c>
      <c r="AD21">
        <v>12</v>
      </c>
      <c r="AE21" t="s">
        <v>347</v>
      </c>
    </row>
    <row r="22" spans="1:31" x14ac:dyDescent="0.45">
      <c r="A22">
        <v>113</v>
      </c>
      <c r="B22">
        <v>13</v>
      </c>
      <c r="C22" t="s">
        <v>57</v>
      </c>
      <c r="E22">
        <v>113</v>
      </c>
      <c r="F22">
        <v>13</v>
      </c>
      <c r="G22" t="s">
        <v>57</v>
      </c>
      <c r="I22">
        <v>113</v>
      </c>
      <c r="J22">
        <v>12</v>
      </c>
      <c r="K22" t="s">
        <v>57</v>
      </c>
      <c r="M22">
        <v>113</v>
      </c>
      <c r="N22">
        <v>13</v>
      </c>
      <c r="O22" t="s">
        <v>57</v>
      </c>
      <c r="Q22">
        <v>113</v>
      </c>
      <c r="R22">
        <v>12</v>
      </c>
      <c r="S22" t="s">
        <v>56</v>
      </c>
      <c r="U22">
        <v>113</v>
      </c>
      <c r="V22">
        <v>12</v>
      </c>
      <c r="W22" t="s">
        <v>635</v>
      </c>
      <c r="Y22">
        <v>113</v>
      </c>
      <c r="AC22">
        <v>113</v>
      </c>
      <c r="AD22">
        <v>13</v>
      </c>
      <c r="AE22" t="s">
        <v>56</v>
      </c>
    </row>
    <row r="23" spans="1:31" x14ac:dyDescent="0.45">
      <c r="A23">
        <v>114</v>
      </c>
      <c r="B23">
        <v>14</v>
      </c>
      <c r="C23" t="s">
        <v>58</v>
      </c>
      <c r="E23">
        <v>114</v>
      </c>
      <c r="F23">
        <v>14</v>
      </c>
      <c r="G23" t="s">
        <v>58</v>
      </c>
      <c r="I23">
        <v>114</v>
      </c>
      <c r="J23">
        <v>13</v>
      </c>
      <c r="K23" t="s">
        <v>58</v>
      </c>
      <c r="M23">
        <v>114</v>
      </c>
      <c r="N23">
        <v>14</v>
      </c>
      <c r="O23" t="s">
        <v>58</v>
      </c>
      <c r="Q23">
        <v>114</v>
      </c>
      <c r="R23">
        <v>13</v>
      </c>
      <c r="S23" t="s">
        <v>57</v>
      </c>
      <c r="U23">
        <v>114</v>
      </c>
      <c r="V23">
        <v>13</v>
      </c>
      <c r="W23" t="s">
        <v>57</v>
      </c>
      <c r="Y23">
        <v>114</v>
      </c>
      <c r="Z23">
        <v>12</v>
      </c>
      <c r="AA23" t="s">
        <v>57</v>
      </c>
      <c r="AC23">
        <v>114</v>
      </c>
      <c r="AD23">
        <v>14</v>
      </c>
      <c r="AE23" t="s">
        <v>57</v>
      </c>
    </row>
    <row r="24" spans="1:31" x14ac:dyDescent="0.45">
      <c r="A24">
        <v>115</v>
      </c>
      <c r="B24">
        <v>15</v>
      </c>
      <c r="C24" t="s">
        <v>59</v>
      </c>
      <c r="E24">
        <v>115</v>
      </c>
      <c r="F24">
        <v>15</v>
      </c>
      <c r="G24" t="s">
        <v>59</v>
      </c>
      <c r="I24">
        <v>115</v>
      </c>
      <c r="J24">
        <v>14</v>
      </c>
      <c r="K24" t="s">
        <v>59</v>
      </c>
      <c r="M24">
        <v>115</v>
      </c>
      <c r="N24">
        <v>15</v>
      </c>
      <c r="O24" t="s">
        <v>59</v>
      </c>
      <c r="Q24">
        <v>115</v>
      </c>
      <c r="R24">
        <v>14</v>
      </c>
      <c r="S24" t="s">
        <v>58</v>
      </c>
      <c r="U24">
        <v>115</v>
      </c>
      <c r="V24">
        <v>14</v>
      </c>
      <c r="W24" t="s">
        <v>58</v>
      </c>
      <c r="Y24">
        <v>115</v>
      </c>
      <c r="Z24">
        <v>13</v>
      </c>
      <c r="AA24" t="s">
        <v>58</v>
      </c>
      <c r="AC24">
        <v>115</v>
      </c>
      <c r="AD24">
        <v>15</v>
      </c>
      <c r="AE24" t="s">
        <v>58</v>
      </c>
    </row>
    <row r="25" spans="1:31" x14ac:dyDescent="0.45">
      <c r="A25">
        <v>116</v>
      </c>
      <c r="B25">
        <v>16</v>
      </c>
      <c r="C25" t="s">
        <v>590</v>
      </c>
      <c r="E25">
        <v>116</v>
      </c>
      <c r="F25">
        <v>16</v>
      </c>
      <c r="G25" t="s">
        <v>590</v>
      </c>
      <c r="I25">
        <v>116</v>
      </c>
      <c r="J25">
        <v>15</v>
      </c>
      <c r="K25" t="s">
        <v>590</v>
      </c>
      <c r="M25">
        <v>116</v>
      </c>
      <c r="N25">
        <v>16</v>
      </c>
      <c r="O25" t="s">
        <v>590</v>
      </c>
      <c r="Q25">
        <v>116</v>
      </c>
      <c r="R25">
        <v>15</v>
      </c>
      <c r="S25" t="s">
        <v>59</v>
      </c>
      <c r="U25">
        <v>116</v>
      </c>
      <c r="V25">
        <v>15</v>
      </c>
      <c r="W25" t="s">
        <v>59</v>
      </c>
      <c r="Y25">
        <v>116</v>
      </c>
      <c r="Z25">
        <v>14</v>
      </c>
      <c r="AA25" t="s">
        <v>59</v>
      </c>
      <c r="AC25">
        <v>116</v>
      </c>
      <c r="AD25">
        <v>16</v>
      </c>
      <c r="AE25" t="s">
        <v>59</v>
      </c>
    </row>
    <row r="26" spans="1:31" x14ac:dyDescent="0.45">
      <c r="A26">
        <v>117</v>
      </c>
      <c r="B26">
        <v>17</v>
      </c>
      <c r="C26" t="s">
        <v>60</v>
      </c>
      <c r="E26">
        <v>117</v>
      </c>
      <c r="F26">
        <v>17</v>
      </c>
      <c r="G26" t="s">
        <v>60</v>
      </c>
      <c r="I26">
        <v>117</v>
      </c>
      <c r="J26">
        <v>16</v>
      </c>
      <c r="K26" t="s">
        <v>60</v>
      </c>
      <c r="M26">
        <v>117</v>
      </c>
      <c r="N26">
        <v>17</v>
      </c>
      <c r="O26" t="s">
        <v>60</v>
      </c>
      <c r="Q26">
        <v>117</v>
      </c>
      <c r="R26">
        <v>16</v>
      </c>
      <c r="S26" t="s">
        <v>590</v>
      </c>
      <c r="U26">
        <v>117</v>
      </c>
      <c r="V26">
        <v>16</v>
      </c>
      <c r="W26" t="s">
        <v>590</v>
      </c>
      <c r="Y26">
        <v>117</v>
      </c>
      <c r="Z26">
        <v>15</v>
      </c>
      <c r="AA26" t="s">
        <v>590</v>
      </c>
      <c r="AC26">
        <v>117</v>
      </c>
      <c r="AD26">
        <v>17</v>
      </c>
      <c r="AE26" t="s">
        <v>590</v>
      </c>
    </row>
    <row r="27" spans="1:31" x14ac:dyDescent="0.45">
      <c r="A27">
        <v>118</v>
      </c>
      <c r="B27">
        <v>18</v>
      </c>
      <c r="C27" t="s">
        <v>61</v>
      </c>
      <c r="E27">
        <v>118</v>
      </c>
      <c r="F27">
        <v>18</v>
      </c>
      <c r="G27" t="s">
        <v>61</v>
      </c>
      <c r="I27">
        <v>118</v>
      </c>
      <c r="J27">
        <v>17</v>
      </c>
      <c r="K27" t="s">
        <v>61</v>
      </c>
      <c r="M27">
        <v>118</v>
      </c>
      <c r="N27">
        <v>18</v>
      </c>
      <c r="O27" t="s">
        <v>61</v>
      </c>
      <c r="Q27">
        <v>118</v>
      </c>
      <c r="R27">
        <v>17</v>
      </c>
      <c r="S27" t="s">
        <v>60</v>
      </c>
      <c r="U27">
        <v>118</v>
      </c>
      <c r="V27">
        <v>17</v>
      </c>
      <c r="W27" t="s">
        <v>60</v>
      </c>
      <c r="Y27">
        <v>118</v>
      </c>
      <c r="Z27">
        <v>16</v>
      </c>
      <c r="AA27" t="s">
        <v>60</v>
      </c>
      <c r="AC27">
        <v>118</v>
      </c>
      <c r="AD27">
        <v>18</v>
      </c>
      <c r="AE27" t="s">
        <v>60</v>
      </c>
    </row>
    <row r="28" spans="1:31" x14ac:dyDescent="0.45">
      <c r="A28">
        <v>119</v>
      </c>
      <c r="B28">
        <v>19</v>
      </c>
      <c r="C28" t="s">
        <v>608</v>
      </c>
      <c r="E28">
        <v>119</v>
      </c>
      <c r="F28">
        <v>19</v>
      </c>
      <c r="G28" t="s">
        <v>608</v>
      </c>
      <c r="I28">
        <v>119</v>
      </c>
      <c r="J28">
        <v>18</v>
      </c>
      <c r="K28" t="s">
        <v>608</v>
      </c>
      <c r="M28">
        <v>119</v>
      </c>
      <c r="N28">
        <v>19</v>
      </c>
      <c r="O28" t="s">
        <v>608</v>
      </c>
      <c r="Q28">
        <v>119</v>
      </c>
      <c r="R28">
        <v>18</v>
      </c>
      <c r="S28" t="s">
        <v>61</v>
      </c>
      <c r="U28">
        <v>119</v>
      </c>
      <c r="V28">
        <v>18</v>
      </c>
      <c r="W28" t="s">
        <v>61</v>
      </c>
      <c r="Y28">
        <v>119</v>
      </c>
      <c r="Z28">
        <v>17</v>
      </c>
      <c r="AA28" t="s">
        <v>61</v>
      </c>
      <c r="AC28">
        <v>119</v>
      </c>
      <c r="AD28">
        <v>19</v>
      </c>
      <c r="AE28" t="s">
        <v>61</v>
      </c>
    </row>
    <row r="29" spans="1:31" x14ac:dyDescent="0.45">
      <c r="A29">
        <v>120</v>
      </c>
      <c r="B29">
        <v>20</v>
      </c>
      <c r="C29" t="s">
        <v>150</v>
      </c>
      <c r="E29">
        <v>120</v>
      </c>
      <c r="F29">
        <v>20</v>
      </c>
      <c r="G29" t="s">
        <v>150</v>
      </c>
      <c r="I29">
        <v>120</v>
      </c>
      <c r="J29">
        <v>19</v>
      </c>
      <c r="K29" t="s">
        <v>150</v>
      </c>
      <c r="M29">
        <v>120</v>
      </c>
      <c r="N29">
        <v>20</v>
      </c>
      <c r="O29" t="s">
        <v>118</v>
      </c>
      <c r="Q29">
        <v>120</v>
      </c>
      <c r="R29">
        <v>19</v>
      </c>
      <c r="S29" t="s">
        <v>608</v>
      </c>
      <c r="U29">
        <v>120</v>
      </c>
      <c r="V29">
        <v>19</v>
      </c>
      <c r="W29" t="s">
        <v>608</v>
      </c>
      <c r="Y29">
        <v>120</v>
      </c>
      <c r="Z29">
        <v>18</v>
      </c>
      <c r="AA29" t="s">
        <v>608</v>
      </c>
      <c r="AC29">
        <v>120</v>
      </c>
      <c r="AD29">
        <v>20</v>
      </c>
      <c r="AE29" t="s">
        <v>608</v>
      </c>
    </row>
    <row r="30" spans="1:31" x14ac:dyDescent="0.45">
      <c r="A30">
        <v>121</v>
      </c>
      <c r="B30">
        <v>21</v>
      </c>
      <c r="C30" t="s">
        <v>74</v>
      </c>
      <c r="E30">
        <v>121</v>
      </c>
      <c r="F30">
        <v>21</v>
      </c>
      <c r="G30" t="s">
        <v>74</v>
      </c>
      <c r="I30">
        <v>121</v>
      </c>
      <c r="J30">
        <v>20</v>
      </c>
      <c r="K30" t="s">
        <v>74</v>
      </c>
      <c r="M30">
        <v>121</v>
      </c>
      <c r="N30">
        <v>21</v>
      </c>
      <c r="O30" t="s">
        <v>74</v>
      </c>
      <c r="Q30">
        <v>121</v>
      </c>
      <c r="R30">
        <v>20</v>
      </c>
      <c r="S30" t="s">
        <v>150</v>
      </c>
      <c r="U30">
        <v>121</v>
      </c>
      <c r="V30">
        <v>20</v>
      </c>
      <c r="W30" t="s">
        <v>150</v>
      </c>
      <c r="Y30">
        <v>121</v>
      </c>
      <c r="Z30">
        <v>19</v>
      </c>
      <c r="AA30" t="s">
        <v>150</v>
      </c>
      <c r="AC30">
        <v>121</v>
      </c>
    </row>
    <row r="31" spans="1:31" x14ac:dyDescent="0.45">
      <c r="Q31">
        <v>122</v>
      </c>
      <c r="R31">
        <v>21</v>
      </c>
      <c r="S31" t="s">
        <v>74</v>
      </c>
      <c r="U31">
        <v>122</v>
      </c>
      <c r="V31">
        <v>21</v>
      </c>
      <c r="W31" t="s">
        <v>74</v>
      </c>
      <c r="Y31">
        <v>122</v>
      </c>
      <c r="Z31">
        <v>20</v>
      </c>
      <c r="AA31" t="s">
        <v>74</v>
      </c>
      <c r="AC31">
        <v>122</v>
      </c>
      <c r="AD31">
        <v>21</v>
      </c>
      <c r="AE31" t="s">
        <v>74</v>
      </c>
    </row>
  </sheetData>
  <pageMargins left="0.70866141732283472" right="0.70866141732283472" top="0.74803149606299213" bottom="0.74803149606299213"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AD4FB-2FB6-4103-BA01-9A114AABE623}">
  <sheetPr>
    <tabColor theme="7" tint="0.59999389629810485"/>
  </sheetPr>
  <dimension ref="A1"/>
  <sheetViews>
    <sheetView workbookViewId="0"/>
  </sheetViews>
  <sheetFormatPr defaultRowHeight="14.25" x14ac:dyDescent="0.45"/>
  <sheetData/>
  <pageMargins left="0.70866141732283472" right="0.70866141732283472" top="0.74803149606299213" bottom="0.74803149606299213" header="0.31496062992125984" footer="0.31496062992125984"/>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095E9-7529-4BB3-B6E7-A54E0FD284E9}">
  <sheetPr>
    <tabColor theme="7" tint="0.59999389629810485"/>
  </sheetPr>
  <dimension ref="A1:V89"/>
  <sheetViews>
    <sheetView zoomScale="68" zoomScaleNormal="68" workbookViewId="0"/>
  </sheetViews>
  <sheetFormatPr defaultRowHeight="14.25" x14ac:dyDescent="0.45"/>
  <cols>
    <col min="3" max="3" width="26.06640625" bestFit="1" customWidth="1"/>
    <col min="4" max="4" width="11.86328125" customWidth="1"/>
    <col min="6" max="6" width="10.73046875" bestFit="1" customWidth="1"/>
    <col min="7" max="7" width="13.9296875" bestFit="1" customWidth="1"/>
    <col min="8" max="9" width="10.265625" bestFit="1" customWidth="1"/>
    <col min="10" max="10" width="13.46484375" customWidth="1"/>
    <col min="11" max="11" width="14.06640625" customWidth="1"/>
    <col min="17" max="17" width="12.86328125" customWidth="1"/>
    <col min="18" max="18" width="13.46484375" customWidth="1"/>
  </cols>
  <sheetData>
    <row r="1" spans="1:22" x14ac:dyDescent="0.45">
      <c r="A1" t="s">
        <v>695</v>
      </c>
    </row>
    <row r="3" spans="1:22" x14ac:dyDescent="0.45">
      <c r="E3" t="s">
        <v>122</v>
      </c>
      <c r="J3" t="s">
        <v>302</v>
      </c>
      <c r="Q3" t="s">
        <v>303</v>
      </c>
    </row>
    <row r="6" spans="1:22" ht="71.650000000000006" thickBot="1" x14ac:dyDescent="0.5">
      <c r="A6" t="s">
        <v>636</v>
      </c>
      <c r="B6" t="s">
        <v>637</v>
      </c>
      <c r="C6" t="s">
        <v>197</v>
      </c>
      <c r="D6" s="2" t="s">
        <v>206</v>
      </c>
      <c r="E6" t="s">
        <v>12</v>
      </c>
      <c r="F6" t="s">
        <v>123</v>
      </c>
      <c r="G6" s="2" t="s">
        <v>638</v>
      </c>
      <c r="H6" s="2" t="s">
        <v>639</v>
      </c>
      <c r="I6" s="2" t="s">
        <v>640</v>
      </c>
      <c r="J6" t="s">
        <v>12</v>
      </c>
      <c r="K6" t="s">
        <v>123</v>
      </c>
      <c r="L6" s="2" t="s">
        <v>152</v>
      </c>
      <c r="M6" s="2" t="s">
        <v>219</v>
      </c>
      <c r="N6" s="2" t="s">
        <v>641</v>
      </c>
      <c r="O6" s="2" t="s">
        <v>642</v>
      </c>
      <c r="Q6" t="s">
        <v>12</v>
      </c>
      <c r="R6" t="s">
        <v>123</v>
      </c>
      <c r="S6" s="2" t="s">
        <v>152</v>
      </c>
      <c r="T6" s="2" t="s">
        <v>219</v>
      </c>
      <c r="U6" s="2" t="s">
        <v>641</v>
      </c>
      <c r="V6" s="2" t="s">
        <v>642</v>
      </c>
    </row>
    <row r="7" spans="1:22" ht="14.65" thickBot="1" x14ac:dyDescent="0.5">
      <c r="B7" s="128" t="s">
        <v>183</v>
      </c>
      <c r="C7" t="str">
        <f>'VM-Gen Ent EPG (2)'!C9</f>
        <v>BBC One/HD*</v>
      </c>
      <c r="D7">
        <f>IF((LEFT(C7,3))="BBC",0,1)</f>
        <v>0</v>
      </c>
      <c r="E7">
        <f>INDEX('VM-Gen Ent EPG (2)'!$A:$C,MATCH($C7,'VM-Gen Ent EPG (2)'!$C:$C,0),1)</f>
        <v>101</v>
      </c>
      <c r="F7">
        <f>INDEX('VM-Gen Ent EPG (2)'!$A:$C,MATCH($C7,'VM-Gen Ent EPG (2)'!$C:$C,0),2)</f>
        <v>1</v>
      </c>
      <c r="G7" t="str">
        <f>IF(AND($L7=0,$S7=0),"Not needed",(IF($B7="Not available",0,((INDEX('O&amp;O - Revenues &amp; viewing'!$B$6:$Z$237,MATCH($B7,'O&amp;O - Revenues &amp; viewing'!$B$6:$B$237,0),21))/1000000))))</f>
        <v>Not needed</v>
      </c>
      <c r="H7" t="str">
        <f>IF(AND($L7=0,$S7=0),"Not needed",(IF($B7="Not available",0,((INDEX('O&amp;O - Revenues &amp; viewing'!$B$6:$Z$237,MATCH($B7,'O&amp;O - Revenues &amp; viewing'!$B$6:$B$237,0),25))/1000000))))</f>
        <v>Not needed</v>
      </c>
      <c r="I7" t="str">
        <f>IF(OR(N7&gt;0,U7&gt;0),(INDEX('O&amp;O - Revenues &amp; viewing'!$B$6:$AD$237,MATCH('Impacts - VM'!B7,'O&amp;O - Revenues &amp; viewing'!$B$6:$B$237,0),27))/1000000,"Not needed")</f>
        <v>Not needed</v>
      </c>
      <c r="J7">
        <f>INDEX('VM-Gen Ent EPG (2)'!$F:$H,MATCH($C7,'VM-Gen Ent EPG (2)'!$H:$H,0),1)</f>
        <v>101</v>
      </c>
      <c r="K7">
        <f>INDEX('VM-Gen Ent EPG (2)'!$F:$H,MATCH($C7,'VM-Gen Ent EPG (2)'!$H:$H,0),2)</f>
        <v>1</v>
      </c>
      <c r="L7">
        <f>$F7-K7</f>
        <v>0</v>
      </c>
      <c r="M7">
        <f>IF(J7&lt;&gt;$E7,1,0)</f>
        <v>0</v>
      </c>
      <c r="N7" s="7">
        <f>IF($L7=0,0,G7*$L7*'O&amp;O - other input parameters'!$C$7)</f>
        <v>0</v>
      </c>
      <c r="O7" s="7">
        <f>IF($L7=0,0,H7*$L7*'O&amp;O - other input parameters'!$C$7)</f>
        <v>0</v>
      </c>
      <c r="Q7">
        <f>INDEX('VM-Gen Ent EPG (2)'!$K:$M,MATCH($C7,'VM-Gen Ent EPG (2)'!$M:$M,0),1)</f>
        <v>101</v>
      </c>
      <c r="R7">
        <f>INDEX('VM-Gen Ent EPG (2)'!$K:$M,MATCH($C7,'VM-Gen Ent EPG (2)'!$M:$M,0),2)</f>
        <v>1</v>
      </c>
      <c r="S7">
        <f>$F7-R7</f>
        <v>0</v>
      </c>
      <c r="T7">
        <f>IF(Q7&lt;&gt;$E7,1,0)</f>
        <v>0</v>
      </c>
      <c r="U7" s="7">
        <f>IF($S7=0,0,G7*$S7*'O&amp;O - other input parameters'!$C$7)</f>
        <v>0</v>
      </c>
      <c r="V7" s="7">
        <f>IF($S7=0,0,H7*$S7*'O&amp;O - other input parameters'!$C$7)</f>
        <v>0</v>
      </c>
    </row>
    <row r="8" spans="1:22" ht="14.65" thickBot="1" x14ac:dyDescent="0.5">
      <c r="B8" s="129" t="s">
        <v>344</v>
      </c>
      <c r="C8" t="str">
        <f>'VM-Gen Ent EPG (2)'!C10</f>
        <v>BBC Two HD</v>
      </c>
      <c r="D8">
        <f t="shared" ref="D8:D70" si="0">IF((LEFT(C8,3))="BBC",0,1)</f>
        <v>0</v>
      </c>
      <c r="E8">
        <f>INDEX('VM-Gen Ent EPG (2)'!$A:$C,MATCH($C8,'VM-Gen Ent EPG (2)'!$C:$C,0),1)</f>
        <v>102</v>
      </c>
      <c r="F8">
        <f>INDEX('VM-Gen Ent EPG (2)'!$A:$C,MATCH($C8,'VM-Gen Ent EPG (2)'!$C:$C,0),2)</f>
        <v>2</v>
      </c>
      <c r="G8" t="str">
        <f>IF(AND($L8=0,$S8=0),"Not needed",(IF($B8="Not available",0,((INDEX('O&amp;O - Revenues &amp; viewing'!$B$6:$Z$237,MATCH($B8,'O&amp;O - Revenues &amp; viewing'!$B$6:$B$237,0),21))/1000000))))</f>
        <v>Not needed</v>
      </c>
      <c r="H8" t="str">
        <f>IF(AND($L8=0,$S8=0),"Not needed",(IF($B8="Not available",0,((INDEX('O&amp;O - Revenues &amp; viewing'!$B$6:$Z$237,MATCH($B8,'O&amp;O - Revenues &amp; viewing'!$B$6:$B$237,0),25))/1000000))))</f>
        <v>Not needed</v>
      </c>
      <c r="I8" t="str">
        <f>IF(OR(N8&gt;0,U8&gt;0),(INDEX('O&amp;O - Revenues &amp; viewing'!$B$6:$AD$237,MATCH('Impacts - VM'!B8,'O&amp;O - Revenues &amp; viewing'!$B$6:$B$237,0),27))/1000000,"Not needed")</f>
        <v>Not needed</v>
      </c>
      <c r="J8">
        <f>INDEX('VM-Gen Ent EPG (2)'!$F:$H,MATCH($C8,'VM-Gen Ent EPG (2)'!$H:$H,0),1)</f>
        <v>102</v>
      </c>
      <c r="K8">
        <f>INDEX('VM-Gen Ent EPG (2)'!$F:$H,MATCH($C8,'VM-Gen Ent EPG (2)'!$H:$H,0),2)</f>
        <v>2</v>
      </c>
      <c r="L8">
        <f>$F8-K8</f>
        <v>0</v>
      </c>
      <c r="M8">
        <f>IF(J8&lt;&gt;$E8,1,0)</f>
        <v>0</v>
      </c>
      <c r="N8" s="7">
        <f>IF($L8=0,0,G8*$L8*'O&amp;O - other input parameters'!$C$7)</f>
        <v>0</v>
      </c>
      <c r="O8" s="7">
        <f>IF($L8=0,0,H8*$L8*'O&amp;O - other input parameters'!$C$7)</f>
        <v>0</v>
      </c>
      <c r="Q8">
        <f>INDEX('VM-Gen Ent EPG (2)'!$K:$M,MATCH($C8,'VM-Gen Ent EPG (2)'!$M:$M,0),1)</f>
        <v>102</v>
      </c>
      <c r="R8">
        <f>INDEX('VM-Gen Ent EPG (2)'!$K:$M,MATCH($C8,'VM-Gen Ent EPG (2)'!$M:$M,0),2)</f>
        <v>2</v>
      </c>
      <c r="S8">
        <f t="shared" ref="S8:S70" si="1">$F8-R8</f>
        <v>0</v>
      </c>
      <c r="T8">
        <f t="shared" ref="T8:T70" si="2">IF(Q8&lt;&gt;$E8,1,0)</f>
        <v>0</v>
      </c>
      <c r="U8" s="7">
        <f>IF($S8=0,0,G8*$S8*'O&amp;O - other input parameters'!$C$7)</f>
        <v>0</v>
      </c>
      <c r="V8" s="7">
        <f>IF($S8=0,0,H8*$S8*'O&amp;O - other input parameters'!$C$7)</f>
        <v>0</v>
      </c>
    </row>
    <row r="9" spans="1:22" ht="14.65" thickBot="1" x14ac:dyDescent="0.5">
      <c r="B9" s="129" t="s">
        <v>55</v>
      </c>
      <c r="C9" t="str">
        <f>'VM-Gen Ent EPG (2)'!C11</f>
        <v>ITV/STV HD*</v>
      </c>
      <c r="D9">
        <f t="shared" si="0"/>
        <v>1</v>
      </c>
      <c r="E9">
        <f>INDEX('VM-Gen Ent EPG (2)'!$A:$C,MATCH($C9,'VM-Gen Ent EPG (2)'!$C:$C,0),1)</f>
        <v>103</v>
      </c>
      <c r="F9">
        <f>INDEX('VM-Gen Ent EPG (2)'!$A:$C,MATCH($C9,'VM-Gen Ent EPG (2)'!$C:$C,0),2)</f>
        <v>3</v>
      </c>
      <c r="G9" t="str">
        <f>IF(AND($L9=0,$S9=0),"Not needed",(IF($B9="Not available",0,((INDEX('O&amp;O - Revenues &amp; viewing'!$B$6:$Z$237,MATCH($B9,'O&amp;O - Revenues &amp; viewing'!$B$6:$B$237,0),21))/1000000))))</f>
        <v>Not needed</v>
      </c>
      <c r="H9" t="str">
        <f>IF(AND($L9=0,$S9=0),"Not needed",(IF($B9="Not available",0,((INDEX('O&amp;O - Revenues &amp; viewing'!$B$6:$Z$237,MATCH($B9,'O&amp;O - Revenues &amp; viewing'!$B$6:$B$237,0),25))/1000000))))</f>
        <v>Not needed</v>
      </c>
      <c r="I9" t="str">
        <f>IF(OR(N9&gt;0,U9&gt;0),(INDEX('O&amp;O - Revenues &amp; viewing'!$B$6:$AD$237,MATCH('Impacts - VM'!B9,'O&amp;O - Revenues &amp; viewing'!$B$6:$B$237,0),27))/1000000,"Not needed")</f>
        <v>Not needed</v>
      </c>
      <c r="J9">
        <f>INDEX('VM-Gen Ent EPG (2)'!$F:$H,MATCH($C9,'VM-Gen Ent EPG (2)'!$H:$H,0),1)</f>
        <v>103</v>
      </c>
      <c r="K9">
        <f>INDEX('VM-Gen Ent EPG (2)'!$F:$H,MATCH($C9,'VM-Gen Ent EPG (2)'!$H:$H,0),2)</f>
        <v>3</v>
      </c>
      <c r="L9">
        <f t="shared" ref="L9:L70" si="3">$F9-K9</f>
        <v>0</v>
      </c>
      <c r="M9">
        <f t="shared" ref="M9:M70" si="4">IF(J9&lt;&gt;$E9,1,0)</f>
        <v>0</v>
      </c>
      <c r="N9" s="7">
        <f>IF($L9=0,0,G9*$L9*'O&amp;O - other input parameters'!$C$7)</f>
        <v>0</v>
      </c>
      <c r="O9" s="7">
        <f>IF($L9=0,0,H9*$L9*'O&amp;O - other input parameters'!$C$7)</f>
        <v>0</v>
      </c>
      <c r="Q9">
        <f>INDEX('VM-Gen Ent EPG (2)'!$K:$M,MATCH($C9,'VM-Gen Ent EPG (2)'!$M:$M,0),1)</f>
        <v>103</v>
      </c>
      <c r="R9">
        <f>INDEX('VM-Gen Ent EPG (2)'!$K:$M,MATCH($C9,'VM-Gen Ent EPG (2)'!$M:$M,0),2)</f>
        <v>3</v>
      </c>
      <c r="S9">
        <f t="shared" si="1"/>
        <v>0</v>
      </c>
      <c r="T9">
        <f t="shared" si="2"/>
        <v>0</v>
      </c>
      <c r="U9" s="7">
        <f>IF($S9=0,0,G9*$S9*'O&amp;O - other input parameters'!$C$7)</f>
        <v>0</v>
      </c>
      <c r="V9" s="7">
        <f>IF($S9=0,0,H9*$S9*'O&amp;O - other input parameters'!$C$7)</f>
        <v>0</v>
      </c>
    </row>
    <row r="10" spans="1:22" ht="14.65" thickBot="1" x14ac:dyDescent="0.5">
      <c r="B10" s="129" t="s">
        <v>345</v>
      </c>
      <c r="C10" t="str">
        <f>'VM-Gen Ent EPG (2)'!C12</f>
        <v>Channel 4</v>
      </c>
      <c r="D10">
        <f t="shared" si="0"/>
        <v>1</v>
      </c>
      <c r="E10">
        <f>INDEX('VM-Gen Ent EPG (2)'!$A:$C,MATCH($C10,'VM-Gen Ent EPG (2)'!$C:$C,0),1)</f>
        <v>104</v>
      </c>
      <c r="F10">
        <f>INDEX('VM-Gen Ent EPG (2)'!$A:$C,MATCH($C10,'VM-Gen Ent EPG (2)'!$C:$C,0),2)</f>
        <v>4</v>
      </c>
      <c r="G10" t="str">
        <f>IF(AND($L10=0,$S10=0),"Not needed",(IF($B10="Not available",0,((INDEX('O&amp;O - Revenues &amp; viewing'!$B$6:$Z$237,MATCH($B10,'O&amp;O - Revenues &amp; viewing'!$B$6:$B$237,0),21))/1000000))))</f>
        <v>Not needed</v>
      </c>
      <c r="H10" t="str">
        <f>IF(AND($L10=0,$S10=0),"Not needed",(IF($B10="Not available",0,((INDEX('O&amp;O - Revenues &amp; viewing'!$B$6:$Z$237,MATCH($B10,'O&amp;O - Revenues &amp; viewing'!$B$6:$B$237,0),25))/1000000))))</f>
        <v>Not needed</v>
      </c>
      <c r="I10" t="str">
        <f>IF(OR(N10&gt;0,U10&gt;0),(INDEX('O&amp;O - Revenues &amp; viewing'!$B$6:$AD$237,MATCH('Impacts - VM'!B10,'O&amp;O - Revenues &amp; viewing'!$B$6:$B$237,0),27))/1000000,"Not needed")</f>
        <v>Not needed</v>
      </c>
      <c r="J10">
        <f>INDEX('VM-Gen Ent EPG (2)'!$F:$H,MATCH($C10,'VM-Gen Ent EPG (2)'!$H:$H,0),1)</f>
        <v>104</v>
      </c>
      <c r="K10">
        <f>INDEX('VM-Gen Ent EPG (2)'!$F:$H,MATCH($C10,'VM-Gen Ent EPG (2)'!$H:$H,0),2)</f>
        <v>4</v>
      </c>
      <c r="L10">
        <f>$F10-K10</f>
        <v>0</v>
      </c>
      <c r="M10">
        <f>IF(J10&lt;&gt;$E10,1,0)</f>
        <v>0</v>
      </c>
      <c r="N10" s="7">
        <f>IF($L10=0,0,G10*$L10*'O&amp;O - other input parameters'!$C$7)</f>
        <v>0</v>
      </c>
      <c r="O10" s="7">
        <f>IF($L10=0,0,H10*$L10*'O&amp;O - other input parameters'!$C$7)</f>
        <v>0</v>
      </c>
      <c r="Q10">
        <f>INDEX('VM-Gen Ent EPG (2)'!$K:$M,MATCH($C10,'VM-Gen Ent EPG (2)'!$M:$M,0),1)</f>
        <v>104</v>
      </c>
      <c r="R10">
        <f>INDEX('VM-Gen Ent EPG (2)'!$K:$M,MATCH($C10,'VM-Gen Ent EPG (2)'!$M:$M,0),2)</f>
        <v>4</v>
      </c>
      <c r="S10">
        <f t="shared" si="1"/>
        <v>0</v>
      </c>
      <c r="T10">
        <f t="shared" si="2"/>
        <v>0</v>
      </c>
      <c r="U10" s="7">
        <f>IF($S10=0,0,G10*$S10*'O&amp;O - other input parameters'!$C$7)</f>
        <v>0</v>
      </c>
      <c r="V10" s="7">
        <f>IF($S10=0,0,H10*$S10*'O&amp;O - other input parameters'!$C$7)</f>
        <v>0</v>
      </c>
    </row>
    <row r="11" spans="1:22" ht="14.65" thickBot="1" x14ac:dyDescent="0.5">
      <c r="B11" s="129" t="s">
        <v>346</v>
      </c>
      <c r="C11" t="str">
        <f>'VM-Gen Ent EPG (2)'!C13</f>
        <v>Channel 5</v>
      </c>
      <c r="D11">
        <f t="shared" si="0"/>
        <v>1</v>
      </c>
      <c r="E11">
        <f>INDEX('VM-Gen Ent EPG (2)'!$A:$C,MATCH($C11,'VM-Gen Ent EPG (2)'!$C:$C,0),1)</f>
        <v>105</v>
      </c>
      <c r="F11">
        <f>INDEX('VM-Gen Ent EPG (2)'!$A:$C,MATCH($C11,'VM-Gen Ent EPG (2)'!$C:$C,0),2)</f>
        <v>5</v>
      </c>
      <c r="G11" t="str">
        <f>IF(AND($L11=0,$S11=0),"Not needed",(IF($B11="Not available",0,((INDEX('O&amp;O - Revenues &amp; viewing'!$B$6:$Z$237,MATCH($B11,'O&amp;O - Revenues &amp; viewing'!$B$6:$B$237,0),21))/1000000))))</f>
        <v>Not needed</v>
      </c>
      <c r="H11" t="str">
        <f>IF(AND($L11=0,$S11=0),"Not needed",(IF($B11="Not available",0,((INDEX('O&amp;O - Revenues &amp; viewing'!$B$6:$Z$237,MATCH($B11,'O&amp;O - Revenues &amp; viewing'!$B$6:$B$237,0),25))/1000000))))</f>
        <v>Not needed</v>
      </c>
      <c r="I11" t="str">
        <f>IF(OR(N11&gt;0,U11&gt;0),(INDEX('O&amp;O - Revenues &amp; viewing'!$B$6:$AD$237,MATCH('Impacts - VM'!B11,'O&amp;O - Revenues &amp; viewing'!$B$6:$B$237,0),27))/1000000,"Not needed")</f>
        <v>Not needed</v>
      </c>
      <c r="J11">
        <f>INDEX('VM-Gen Ent EPG (2)'!$F:$H,MATCH($C11,'VM-Gen Ent EPG (2)'!$H:$H,0),1)</f>
        <v>105</v>
      </c>
      <c r="K11">
        <f>INDEX('VM-Gen Ent EPG (2)'!$F:$H,MATCH($C11,'VM-Gen Ent EPG (2)'!$H:$H,0),2)</f>
        <v>5</v>
      </c>
      <c r="L11">
        <f>$F11-K11</f>
        <v>0</v>
      </c>
      <c r="M11">
        <f t="shared" si="4"/>
        <v>0</v>
      </c>
      <c r="N11" s="7">
        <f>IF($L11=0,0,G11*$L11*'O&amp;O - other input parameters'!$C$7)</f>
        <v>0</v>
      </c>
      <c r="O11" s="7">
        <f>IF($L11=0,0,H11*$L11*'O&amp;O - other input parameters'!$C$7)</f>
        <v>0</v>
      </c>
      <c r="Q11">
        <f>INDEX('VM-Gen Ent EPG (2)'!$K:$M,MATCH($C11,'VM-Gen Ent EPG (2)'!$M:$M,0),1)</f>
        <v>105</v>
      </c>
      <c r="R11">
        <f>INDEX('VM-Gen Ent EPG (2)'!$K:$M,MATCH($C11,'VM-Gen Ent EPG (2)'!$M:$M,0),2)</f>
        <v>5</v>
      </c>
      <c r="S11">
        <f t="shared" si="1"/>
        <v>0</v>
      </c>
      <c r="T11">
        <f t="shared" si="2"/>
        <v>0</v>
      </c>
      <c r="U11" s="7">
        <f>IF($S11=0,0,G11*$S11*'O&amp;O - other input parameters'!$C$7)</f>
        <v>0</v>
      </c>
      <c r="V11" s="7">
        <f>IF($S11=0,0,H11*$S11*'O&amp;O - other input parameters'!$C$7)</f>
        <v>0</v>
      </c>
    </row>
    <row r="12" spans="1:22" ht="14.65" thickBot="1" x14ac:dyDescent="0.5">
      <c r="B12" s="129" t="s">
        <v>119</v>
      </c>
      <c r="C12" t="str">
        <f>'VM-Gen Ent EPG (2)'!C14</f>
        <v>E4</v>
      </c>
      <c r="D12">
        <f t="shared" si="0"/>
        <v>1</v>
      </c>
      <c r="E12">
        <f>INDEX('VM-Gen Ent EPG (2)'!$A:$C,MATCH($C12,'VM-Gen Ent EPG (2)'!$C:$C,0),1)</f>
        <v>106</v>
      </c>
      <c r="F12">
        <f>INDEX('VM-Gen Ent EPG (2)'!$A:$C,MATCH($C12,'VM-Gen Ent EPG (2)'!$C:$C,0),2)</f>
        <v>6</v>
      </c>
      <c r="G12" t="str">
        <f>IF(AND($L12=0,$S12=0),"Not needed",(IF($B12="Not available",0,((INDEX('O&amp;O - Revenues &amp; viewing'!$B$6:$Z$237,MATCH($B12,'O&amp;O - Revenues &amp; viewing'!$B$6:$B$237,0),21))/1000000))))</f>
        <v>Not needed</v>
      </c>
      <c r="H12" t="str">
        <f>IF(AND($L12=0,$S12=0),"Not needed",(IF($B12="Not available",0,((INDEX('O&amp;O - Revenues &amp; viewing'!$B$6:$Z$237,MATCH($B12,'O&amp;O - Revenues &amp; viewing'!$B$6:$B$237,0),25))/1000000))))</f>
        <v>Not needed</v>
      </c>
      <c r="I12" t="str">
        <f>IF(OR(N12&gt;0,U12&gt;0),(INDEX('O&amp;O - Revenues &amp; viewing'!$B$6:$AD$237,MATCH('Impacts - VM'!B12,'O&amp;O - Revenues &amp; viewing'!$B$6:$B$237,0),27))/1000000,"Not needed")</f>
        <v>Not needed</v>
      </c>
      <c r="J12">
        <f>INDEX('VM-Gen Ent EPG (2)'!$F:$H,MATCH($C12,'VM-Gen Ent EPG (2)'!$H:$H,0),1)</f>
        <v>106</v>
      </c>
      <c r="K12">
        <f>INDEX('VM-Gen Ent EPG (2)'!$F:$H,MATCH($C12,'VM-Gen Ent EPG (2)'!$H:$H,0),2)</f>
        <v>6</v>
      </c>
      <c r="L12">
        <f t="shared" si="3"/>
        <v>0</v>
      </c>
      <c r="M12">
        <f t="shared" si="4"/>
        <v>0</v>
      </c>
      <c r="N12" s="7">
        <f>IF($L12=0,0,G12*$L12*'O&amp;O - other input parameters'!$C$7)</f>
        <v>0</v>
      </c>
      <c r="O12" s="7">
        <f>IF($L12=0,0,H12*$L12*'O&amp;O - other input parameters'!$C$7)</f>
        <v>0</v>
      </c>
      <c r="Q12">
        <f>INDEX('VM-Gen Ent EPG (2)'!$K:$M,MATCH($C12,'VM-Gen Ent EPG (2)'!$M:$M,0),1)</f>
        <v>106</v>
      </c>
      <c r="R12">
        <f>INDEX('VM-Gen Ent EPG (2)'!$K:$M,MATCH($C12,'VM-Gen Ent EPG (2)'!$M:$M,0),2)</f>
        <v>6</v>
      </c>
      <c r="S12">
        <f t="shared" si="1"/>
        <v>0</v>
      </c>
      <c r="T12">
        <f t="shared" si="2"/>
        <v>0</v>
      </c>
      <c r="U12" s="7">
        <f>IF($S12=0,0,G12*$S12*'O&amp;O - other input parameters'!$C$7)</f>
        <v>0</v>
      </c>
      <c r="V12" s="7">
        <f>IF($S12=0,0,H12*$S12*'O&amp;O - other input parameters'!$C$7)</f>
        <v>0</v>
      </c>
    </row>
    <row r="13" spans="1:22" ht="14.65" thickBot="1" x14ac:dyDescent="0.5">
      <c r="B13" s="129" t="s">
        <v>355</v>
      </c>
      <c r="C13" t="str">
        <f>'VM-Gen Ent EPG (2)'!C15</f>
        <v>BBC Four HD</v>
      </c>
      <c r="D13">
        <f t="shared" si="0"/>
        <v>0</v>
      </c>
      <c r="E13">
        <f>INDEX('VM-Gen Ent EPG (2)'!$A:$C,MATCH($C13,'VM-Gen Ent EPG (2)'!$C:$C,0),1)</f>
        <v>107</v>
      </c>
      <c r="F13">
        <f>INDEX('VM-Gen Ent EPG (2)'!$A:$C,MATCH($C13,'VM-Gen Ent EPG (2)'!$C:$C,0),2)</f>
        <v>7</v>
      </c>
      <c r="G13" t="str">
        <f>IF(AND($L13=0,$S13=0),"Not needed",(IF($B13="Not available",0,((INDEX('O&amp;O - Revenues &amp; viewing'!$B$6:$Z$237,MATCH($B13,'O&amp;O - Revenues &amp; viewing'!$B$6:$B$237,0),21))/1000000))))</f>
        <v>Not needed</v>
      </c>
      <c r="H13" t="str">
        <f>IF(AND($L13=0,$S13=0),"Not needed",(IF($B13="Not available",0,((INDEX('O&amp;O - Revenues &amp; viewing'!$B$6:$Z$237,MATCH($B13,'O&amp;O - Revenues &amp; viewing'!$B$6:$B$237,0),25))/1000000))))</f>
        <v>Not needed</v>
      </c>
      <c r="I13" t="str">
        <f>IF(OR(N13&gt;0,U13&gt;0),(INDEX('O&amp;O - Revenues &amp; viewing'!$B$6:$AD$237,MATCH('Impacts - VM'!B13,'O&amp;O - Revenues &amp; viewing'!$B$6:$B$237,0),27))/1000000,"Not needed")</f>
        <v>Not needed</v>
      </c>
      <c r="J13">
        <f>INDEX('VM-Gen Ent EPG (2)'!$F:$H,MATCH($C13,'VM-Gen Ent EPG (2)'!$H:$H,0),1)</f>
        <v>107</v>
      </c>
      <c r="K13">
        <f>INDEX('VM-Gen Ent EPG (2)'!$F:$H,MATCH($C13,'VM-Gen Ent EPG (2)'!$H:$H,0),2)</f>
        <v>7</v>
      </c>
      <c r="L13">
        <f t="shared" si="3"/>
        <v>0</v>
      </c>
      <c r="M13">
        <f t="shared" si="4"/>
        <v>0</v>
      </c>
      <c r="N13" s="7">
        <f>IF($L13=0,0,G13*$L13*'O&amp;O - other input parameters'!$C$7)</f>
        <v>0</v>
      </c>
      <c r="O13" s="7">
        <f>IF($L13=0,0,H13*$L13*'O&amp;O - other input parameters'!$C$7)</f>
        <v>0</v>
      </c>
      <c r="Q13">
        <f>INDEX('VM-Gen Ent EPG (2)'!$K:$M,MATCH($C13,'VM-Gen Ent EPG (2)'!$M:$M,0),1)</f>
        <v>107</v>
      </c>
      <c r="R13">
        <f>INDEX('VM-Gen Ent EPG (2)'!$K:$M,MATCH($C13,'VM-Gen Ent EPG (2)'!$M:$M,0),2)</f>
        <v>7</v>
      </c>
      <c r="S13">
        <f t="shared" si="1"/>
        <v>0</v>
      </c>
      <c r="T13">
        <f t="shared" si="2"/>
        <v>0</v>
      </c>
      <c r="U13" s="7">
        <f>IF($S13=0,0,G13*$S13*'O&amp;O - other input parameters'!$C$7)</f>
        <v>0</v>
      </c>
      <c r="V13" s="7">
        <f>IF($S13=0,0,H13*$S13*'O&amp;O - other input parameters'!$C$7)</f>
        <v>0</v>
      </c>
    </row>
    <row r="14" spans="1:22" ht="14.65" thickBot="1" x14ac:dyDescent="0.5">
      <c r="B14" s="129" t="s">
        <v>643</v>
      </c>
      <c r="C14" t="str">
        <f>'VM-Gen Ent EPG (2)'!C16</f>
        <v>BBC One HD/BBC Scotland HD*</v>
      </c>
      <c r="D14">
        <f t="shared" si="0"/>
        <v>0</v>
      </c>
      <c r="E14">
        <f>INDEX('VM-Gen Ent EPG (2)'!$A:$C,MATCH($C14,'VM-Gen Ent EPG (2)'!$C:$C,0),1)</f>
        <v>108</v>
      </c>
      <c r="F14">
        <f>INDEX('VM-Gen Ent EPG (2)'!$A:$C,MATCH($C14,'VM-Gen Ent EPG (2)'!$C:$C,0),2)</f>
        <v>8</v>
      </c>
      <c r="G14" t="str">
        <f>IF(AND($L14=0,$S14=0),"Not needed",(IF($B14="Not available",0,((INDEX('O&amp;O - Revenues &amp; viewing'!$B$6:$Z$237,MATCH($B14,'O&amp;O - Revenues &amp; viewing'!$B$6:$B$237,0),21))/1000000))))</f>
        <v>Not needed</v>
      </c>
      <c r="H14" t="str">
        <f>IF(AND($L14=0,$S14=0),"Not needed",(IF($B14="Not available",0,((INDEX('O&amp;O - Revenues &amp; viewing'!$B$6:$Z$237,MATCH($B14,'O&amp;O - Revenues &amp; viewing'!$B$6:$B$237,0),25))/1000000))))</f>
        <v>Not needed</v>
      </c>
      <c r="I14" t="str">
        <f>IF(OR(N14&gt;0,U14&gt;0),(INDEX('O&amp;O - Revenues &amp; viewing'!$B$6:$AD$237,MATCH('Impacts - VM'!B14,'O&amp;O - Revenues &amp; viewing'!$B$6:$B$237,0),27))/1000000,"Not needed")</f>
        <v>Not needed</v>
      </c>
      <c r="J14">
        <f>INDEX('VM-Gen Ent EPG (2)'!$F:$H,MATCH($C14,'VM-Gen Ent EPG (2)'!$H:$H,0),1)</f>
        <v>108</v>
      </c>
      <c r="K14">
        <f>INDEX('VM-Gen Ent EPG (2)'!$F:$H,MATCH($C14,'VM-Gen Ent EPG (2)'!$H:$H,0),2)</f>
        <v>8</v>
      </c>
      <c r="L14">
        <f t="shared" si="3"/>
        <v>0</v>
      </c>
      <c r="M14">
        <f t="shared" si="4"/>
        <v>0</v>
      </c>
      <c r="N14" s="7">
        <f>IF($L14=0,0,G14*$L14*'O&amp;O - other input parameters'!$C$7)</f>
        <v>0</v>
      </c>
      <c r="O14" s="7">
        <f>IF($L14=0,0,H14*$L14*'O&amp;O - other input parameters'!$C$7)</f>
        <v>0</v>
      </c>
      <c r="Q14">
        <f>INDEX('VM-Gen Ent EPG (2)'!$K:$M,MATCH($C14,'VM-Gen Ent EPG (2)'!$M:$M,0),1)</f>
        <v>108</v>
      </c>
      <c r="R14">
        <f>INDEX('VM-Gen Ent EPG (2)'!$K:$M,MATCH($C14,'VM-Gen Ent EPG (2)'!$M:$M,0),2)</f>
        <v>8</v>
      </c>
      <c r="S14">
        <f t="shared" si="1"/>
        <v>0</v>
      </c>
      <c r="T14">
        <f t="shared" si="2"/>
        <v>0</v>
      </c>
      <c r="U14" s="7">
        <f>IF($S14=0,0,G14*$S14*'O&amp;O - other input parameters'!$C$7)</f>
        <v>0</v>
      </c>
      <c r="V14" s="7">
        <f>IF($S14=0,0,H14*$S14*'O&amp;O - other input parameters'!$C$7)</f>
        <v>0</v>
      </c>
    </row>
    <row r="15" spans="1:22" ht="14.65" thickBot="1" x14ac:dyDescent="0.5">
      <c r="B15" s="129" t="s">
        <v>643</v>
      </c>
      <c r="C15" t="str">
        <f>'VM-Gen Ent EPG (2)'!C17</f>
        <v>Sky One HD</v>
      </c>
      <c r="D15">
        <f t="shared" si="0"/>
        <v>1</v>
      </c>
      <c r="E15">
        <f>INDEX('VM-Gen Ent EPG (2)'!$A:$C,MATCH($C15,'VM-Gen Ent EPG (2)'!$C:$C,0),1)</f>
        <v>109</v>
      </c>
      <c r="F15">
        <f>INDEX('VM-Gen Ent EPG (2)'!$A:$C,MATCH($C15,'VM-Gen Ent EPG (2)'!$C:$C,0),2)</f>
        <v>9</v>
      </c>
      <c r="G15" t="str">
        <f>IF(AND($L15=0,$S15=0),"Not needed",(IF($B15="Not available",0,((INDEX('O&amp;O - Revenues &amp; viewing'!$B$6:$Z$237,MATCH($B15,'O&amp;O - Revenues &amp; viewing'!$B$6:$B$237,0),21))/1000000))))</f>
        <v>Not needed</v>
      </c>
      <c r="H15" t="str">
        <f>IF(AND($L15=0,$S15=0),"Not needed",(IF($B15="Not available",0,((INDEX('O&amp;O - Revenues &amp; viewing'!$B$6:$Z$237,MATCH($B15,'O&amp;O - Revenues &amp; viewing'!$B$6:$B$237,0),25))/1000000))))</f>
        <v>Not needed</v>
      </c>
      <c r="I15" t="str">
        <f>IF(OR(N15&gt;0,U15&gt;0),(INDEX('O&amp;O - Revenues &amp; viewing'!$B$6:$AD$237,MATCH('Impacts - VM'!B15,'O&amp;O - Revenues &amp; viewing'!$B$6:$B$237,0),27))/1000000,"Not needed")</f>
        <v>Not needed</v>
      </c>
      <c r="J15">
        <f>INDEX('VM-Gen Ent EPG (2)'!$F:$H,MATCH($C15,'VM-Gen Ent EPG (2)'!$H:$H,0),1)</f>
        <v>109</v>
      </c>
      <c r="K15">
        <f>INDEX('VM-Gen Ent EPG (2)'!$F:$H,MATCH($C15,'VM-Gen Ent EPG (2)'!$H:$H,0),2)</f>
        <v>9</v>
      </c>
      <c r="L15">
        <f t="shared" si="3"/>
        <v>0</v>
      </c>
      <c r="M15">
        <f t="shared" si="4"/>
        <v>0</v>
      </c>
      <c r="N15" s="7">
        <f>IF($L15=0,0,G15*$L15*'O&amp;O - other input parameters'!$C$7)</f>
        <v>0</v>
      </c>
      <c r="O15" s="7">
        <f>IF($L15=0,0,H15*$L15*'O&amp;O - other input parameters'!$C$7)</f>
        <v>0</v>
      </c>
      <c r="Q15">
        <f>INDEX('VM-Gen Ent EPG (2)'!$K:$M,MATCH($C15,'VM-Gen Ent EPG (2)'!$M:$M,0),1)</f>
        <v>109</v>
      </c>
      <c r="R15">
        <f>INDEX('VM-Gen Ent EPG (2)'!$K:$M,MATCH($C15,'VM-Gen Ent EPG (2)'!$M:$M,0),2)</f>
        <v>9</v>
      </c>
      <c r="S15">
        <f t="shared" si="1"/>
        <v>0</v>
      </c>
      <c r="T15">
        <f t="shared" si="2"/>
        <v>0</v>
      </c>
      <c r="U15" s="7">
        <f>IF($S15=0,0,G15*$S15*'O&amp;O - other input parameters'!$C$7)</f>
        <v>0</v>
      </c>
      <c r="V15" s="7">
        <f>IF($S15=0,0,H15*$S15*'O&amp;O - other input parameters'!$C$7)</f>
        <v>0</v>
      </c>
    </row>
    <row r="16" spans="1:22" ht="14.65" thickBot="1" x14ac:dyDescent="0.5">
      <c r="B16" s="129" t="s">
        <v>358</v>
      </c>
      <c r="C16" t="str">
        <f>'VM-Gen Ent EPG (2)'!C18</f>
        <v>Sky One</v>
      </c>
      <c r="D16">
        <f t="shared" si="0"/>
        <v>1</v>
      </c>
      <c r="E16">
        <f>INDEX('VM-Gen Ent EPG (2)'!$A:$C,MATCH($C16,'VM-Gen Ent EPG (2)'!$C:$C,0),1)</f>
        <v>110</v>
      </c>
      <c r="F16">
        <f>INDEX('VM-Gen Ent EPG (2)'!$A:$C,MATCH($C16,'VM-Gen Ent EPG (2)'!$C:$C,0),2)</f>
        <v>10</v>
      </c>
      <c r="G16" t="str">
        <f>IF(AND($L16=0,$S16=0),"Not needed",(IF($B16="Not available",0,((INDEX('O&amp;O - Revenues &amp; viewing'!$B$6:$Z$237,MATCH($B16,'O&amp;O - Revenues &amp; viewing'!$B$6:$B$237,0),21))/1000000))))</f>
        <v>Not needed</v>
      </c>
      <c r="H16" t="str">
        <f>IF(AND($L16=0,$S16=0),"Not needed",(IF($B16="Not available",0,((INDEX('O&amp;O - Revenues &amp; viewing'!$B$6:$Z$237,MATCH($B16,'O&amp;O - Revenues &amp; viewing'!$B$6:$B$237,0),25))/1000000))))</f>
        <v>Not needed</v>
      </c>
      <c r="I16" t="str">
        <f>IF(OR(N16&gt;0,U16&gt;0),(INDEX('O&amp;O - Revenues &amp; viewing'!$B$6:$AD$237,MATCH('Impacts - VM'!B16,'O&amp;O - Revenues &amp; viewing'!$B$6:$B$237,0),27))/1000000,"Not needed")</f>
        <v>Not needed</v>
      </c>
      <c r="J16">
        <f>INDEX('VM-Gen Ent EPG (2)'!$F:$H,MATCH($C16,'VM-Gen Ent EPG (2)'!$H:$H,0),1)</f>
        <v>110</v>
      </c>
      <c r="K16">
        <f>INDEX('VM-Gen Ent EPG (2)'!$F:$H,MATCH($C16,'VM-Gen Ent EPG (2)'!$H:$H,0),2)</f>
        <v>10</v>
      </c>
      <c r="L16">
        <f t="shared" si="3"/>
        <v>0</v>
      </c>
      <c r="M16">
        <f t="shared" si="4"/>
        <v>0</v>
      </c>
      <c r="N16" s="7">
        <f>IF($L16=0,0,G16*$L16*'O&amp;O - other input parameters'!$C$7)</f>
        <v>0</v>
      </c>
      <c r="O16" s="7">
        <f>IF($L16=0,0,H16*$L16*'O&amp;O - other input parameters'!$C$7)</f>
        <v>0</v>
      </c>
      <c r="Q16">
        <f>INDEX('VM-Gen Ent EPG (2)'!$K:$M,MATCH($C16,'VM-Gen Ent EPG (2)'!$M:$M,0),1)</f>
        <v>110</v>
      </c>
      <c r="R16">
        <f>INDEX('VM-Gen Ent EPG (2)'!$K:$M,MATCH($C16,'VM-Gen Ent EPG (2)'!$M:$M,0),2)</f>
        <v>10</v>
      </c>
      <c r="S16">
        <f t="shared" si="1"/>
        <v>0</v>
      </c>
      <c r="T16">
        <f t="shared" si="2"/>
        <v>0</v>
      </c>
      <c r="U16" s="7">
        <f>IF($S16=0,0,G16*$S16*'O&amp;O - other input parameters'!$C$7)</f>
        <v>0</v>
      </c>
      <c r="V16" s="7">
        <f>IF($S16=0,0,H16*$S16*'O&amp;O - other input parameters'!$C$7)</f>
        <v>0</v>
      </c>
    </row>
    <row r="17" spans="1:22" ht="14.65" thickBot="1" x14ac:dyDescent="0.5">
      <c r="B17" s="129" t="s">
        <v>643</v>
      </c>
      <c r="C17" t="str">
        <f>'VM-Gen Ent EPG (2)'!C19</f>
        <v>Sky Witness HD</v>
      </c>
      <c r="D17">
        <f t="shared" si="0"/>
        <v>1</v>
      </c>
      <c r="E17">
        <f>INDEX('VM-Gen Ent EPG (2)'!$A:$C,MATCH($C17,'VM-Gen Ent EPG (2)'!$C:$C,0),1)</f>
        <v>111</v>
      </c>
      <c r="F17">
        <f>INDEX('VM-Gen Ent EPG (2)'!$A:$C,MATCH($C17,'VM-Gen Ent EPG (2)'!$C:$C,0),2)</f>
        <v>11</v>
      </c>
      <c r="G17" t="str">
        <f>IF(AND($L17=0,$S17=0),"Not needed",(IF($B17="Not available",0,((INDEX('O&amp;O - Revenues &amp; viewing'!$B$6:$Z$237,MATCH($B17,'O&amp;O - Revenues &amp; viewing'!$B$6:$B$237,0),21))/1000000))))</f>
        <v>Not needed</v>
      </c>
      <c r="H17" t="str">
        <f>IF(AND($L17=0,$S17=0),"Not needed",(IF($B17="Not available",0,((INDEX('O&amp;O - Revenues &amp; viewing'!$B$6:$Z$237,MATCH($B17,'O&amp;O - Revenues &amp; viewing'!$B$6:$B$237,0),25))/1000000))))</f>
        <v>Not needed</v>
      </c>
      <c r="I17" t="str">
        <f>IF(OR(N17&gt;0,U17&gt;0),(INDEX('O&amp;O - Revenues &amp; viewing'!$B$6:$AD$237,MATCH('Impacts - VM'!B17,'O&amp;O - Revenues &amp; viewing'!$B$6:$B$237,0),27))/1000000,"Not needed")</f>
        <v>Not needed</v>
      </c>
      <c r="J17">
        <f>INDEX('VM-Gen Ent EPG (2)'!$F:$H,MATCH($C17,'VM-Gen Ent EPG (2)'!$H:$H,0),1)</f>
        <v>111</v>
      </c>
      <c r="K17">
        <f>INDEX('VM-Gen Ent EPG (2)'!$F:$H,MATCH($C17,'VM-Gen Ent EPG (2)'!$H:$H,0),2)</f>
        <v>11</v>
      </c>
      <c r="L17">
        <f t="shared" si="3"/>
        <v>0</v>
      </c>
      <c r="M17">
        <f t="shared" si="4"/>
        <v>0</v>
      </c>
      <c r="N17" s="7">
        <f>IF($L17=0,0,G17*$L17*'O&amp;O - other input parameters'!$C$7)</f>
        <v>0</v>
      </c>
      <c r="O17" s="7">
        <f>IF($L17=0,0,H17*$L17*'O&amp;O - other input parameters'!$C$7)</f>
        <v>0</v>
      </c>
      <c r="Q17">
        <f>INDEX('VM-Gen Ent EPG (2)'!$K:$M,MATCH($C17,'VM-Gen Ent EPG (2)'!$M:$M,0),1)</f>
        <v>111</v>
      </c>
      <c r="R17">
        <f>INDEX('VM-Gen Ent EPG (2)'!$K:$M,MATCH($C17,'VM-Gen Ent EPG (2)'!$M:$M,0),2)</f>
        <v>11</v>
      </c>
      <c r="S17">
        <f t="shared" si="1"/>
        <v>0</v>
      </c>
      <c r="T17">
        <f t="shared" si="2"/>
        <v>0</v>
      </c>
      <c r="U17" s="7">
        <f>IF($S17=0,0,G17*$S17*'O&amp;O - other input parameters'!$C$7)</f>
        <v>0</v>
      </c>
      <c r="V17" s="7">
        <f>IF($S17=0,0,H17*$S17*'O&amp;O - other input parameters'!$C$7)</f>
        <v>0</v>
      </c>
    </row>
    <row r="18" spans="1:22" ht="14.65" thickBot="1" x14ac:dyDescent="0.5">
      <c r="B18" s="129" t="s">
        <v>371</v>
      </c>
      <c r="C18" t="str">
        <f>'VM-Gen Ent EPG (2)'!C20</f>
        <v>Sky Witness</v>
      </c>
      <c r="D18">
        <f t="shared" si="0"/>
        <v>1</v>
      </c>
      <c r="E18">
        <f>INDEX('VM-Gen Ent EPG (2)'!$A:$C,MATCH($C18,'VM-Gen Ent EPG (2)'!$C:$C,0),1)</f>
        <v>112</v>
      </c>
      <c r="F18">
        <f>INDEX('VM-Gen Ent EPG (2)'!$A:$C,MATCH($C18,'VM-Gen Ent EPG (2)'!$C:$C,0),2)</f>
        <v>12</v>
      </c>
      <c r="G18" t="str">
        <f>IF(AND($L18=0,$S18=0),"Not needed",(IF($B18="Not available",0,((INDEX('O&amp;O - Revenues &amp; viewing'!$B$6:$Z$237,MATCH($B18,'O&amp;O - Revenues &amp; viewing'!$B$6:$B$237,0),21))/1000000))))</f>
        <v>Not needed</v>
      </c>
      <c r="H18" t="str">
        <f>IF(AND($L18=0,$S18=0),"Not needed",(IF($B18="Not available",0,((INDEX('O&amp;O - Revenues &amp; viewing'!$B$6:$Z$237,MATCH($B18,'O&amp;O - Revenues &amp; viewing'!$B$6:$B$237,0),25))/1000000))))</f>
        <v>Not needed</v>
      </c>
      <c r="I18" t="str">
        <f>IF(OR(N18&gt;0,U18&gt;0),(INDEX('O&amp;O - Revenues &amp; viewing'!$B$6:$AD$237,MATCH('Impacts - VM'!B18,'O&amp;O - Revenues &amp; viewing'!$B$6:$B$237,0),27))/1000000,"Not needed")</f>
        <v>Not needed</v>
      </c>
      <c r="J18">
        <f>INDEX('VM-Gen Ent EPG (2)'!$F:$H,MATCH($C18,'VM-Gen Ent EPG (2)'!$H:$H,0),1)</f>
        <v>112</v>
      </c>
      <c r="K18">
        <f>INDEX('VM-Gen Ent EPG (2)'!$F:$H,MATCH($C18,'VM-Gen Ent EPG (2)'!$H:$H,0),2)</f>
        <v>12</v>
      </c>
      <c r="L18">
        <f t="shared" si="3"/>
        <v>0</v>
      </c>
      <c r="M18">
        <f t="shared" si="4"/>
        <v>0</v>
      </c>
      <c r="N18" s="7">
        <f>IF($L18=0,0,G18*$L18*'O&amp;O - other input parameters'!$C$7)</f>
        <v>0</v>
      </c>
      <c r="O18" s="7">
        <f>IF($L18=0,0,H18*$L18*'O&amp;O - other input parameters'!$C$7)</f>
        <v>0</v>
      </c>
      <c r="Q18">
        <f>INDEX('VM-Gen Ent EPG (2)'!$K:$M,MATCH($C18,'VM-Gen Ent EPG (2)'!$M:$M,0),1)</f>
        <v>112</v>
      </c>
      <c r="R18">
        <f>INDEX('VM-Gen Ent EPG (2)'!$K:$M,MATCH($C18,'VM-Gen Ent EPG (2)'!$M:$M,0),2)</f>
        <v>12</v>
      </c>
      <c r="S18">
        <f t="shared" si="1"/>
        <v>0</v>
      </c>
      <c r="T18">
        <f t="shared" si="2"/>
        <v>0</v>
      </c>
      <c r="U18" s="7">
        <f>IF($S18=0,0,G18*$S18*'O&amp;O - other input parameters'!$C$7)</f>
        <v>0</v>
      </c>
      <c r="V18" s="7">
        <f>IF($S18=0,0,H18*$S18*'O&amp;O - other input parameters'!$C$7)</f>
        <v>0</v>
      </c>
    </row>
    <row r="19" spans="1:22" ht="14.65" thickBot="1" x14ac:dyDescent="0.5">
      <c r="B19" s="129" t="s">
        <v>347</v>
      </c>
      <c r="C19" t="str">
        <f>'VM-Gen Ent EPG (2)'!C21</f>
        <v>ITV HD*</v>
      </c>
      <c r="D19">
        <f t="shared" si="0"/>
        <v>1</v>
      </c>
      <c r="E19">
        <f>INDEX('VM-Gen Ent EPG (2)'!$A:$C,MATCH($C19,'VM-Gen Ent EPG (2)'!$C:$C,0),1)</f>
        <v>113</v>
      </c>
      <c r="F19">
        <f>INDEX('VM-Gen Ent EPG (2)'!$A:$C,MATCH($C19,'VM-Gen Ent EPG (2)'!$C:$C,0),2)</f>
        <v>13</v>
      </c>
      <c r="G19" t="str">
        <f>IF(AND($L19=0,$S19=0),"Not needed",(IF($B19="Not available",0,((INDEX('O&amp;O - Revenues &amp; viewing'!$B$6:$Z$237,MATCH($B19,'O&amp;O - Revenues &amp; viewing'!$B$6:$B$237,0),21))/1000000))))</f>
        <v>Not needed</v>
      </c>
      <c r="H19" t="str">
        <f>IF(AND($L19=0,$S19=0),"Not needed",(IF($B19="Not available",0,((INDEX('O&amp;O - Revenues &amp; viewing'!$B$6:$Z$237,MATCH($B19,'O&amp;O - Revenues &amp; viewing'!$B$6:$B$237,0),25))/1000000))))</f>
        <v>Not needed</v>
      </c>
      <c r="I19" t="str">
        <f>IF(OR(N19&gt;0,U19&gt;0),(INDEX('O&amp;O - Revenues &amp; viewing'!$B$6:$AD$237,MATCH('Impacts - VM'!B19,'O&amp;O - Revenues &amp; viewing'!$B$6:$B$237,0),27))/1000000,"Not needed")</f>
        <v>Not needed</v>
      </c>
      <c r="J19">
        <f>INDEX('VM-Gen Ent EPG (2)'!$F:$H,MATCH($C19,'VM-Gen Ent EPG (2)'!$H:$H,0),1)</f>
        <v>113</v>
      </c>
      <c r="K19">
        <f>INDEX('VM-Gen Ent EPG (2)'!$F:$H,MATCH($C19,'VM-Gen Ent EPG (2)'!$H:$H,0),2)</f>
        <v>13</v>
      </c>
      <c r="L19">
        <f t="shared" si="3"/>
        <v>0</v>
      </c>
      <c r="M19">
        <f t="shared" si="4"/>
        <v>0</v>
      </c>
      <c r="N19" s="7">
        <f>IF($L19=0,0,G19*$L19*'O&amp;O - other input parameters'!$C$7)</f>
        <v>0</v>
      </c>
      <c r="O19" s="7">
        <f>IF($L19=0,0,H19*$L19*'O&amp;O - other input parameters'!$C$7)</f>
        <v>0</v>
      </c>
      <c r="Q19">
        <f>INDEX('VM-Gen Ent EPG (2)'!$K:$M,MATCH($C19,'VM-Gen Ent EPG (2)'!$M:$M,0),1)</f>
        <v>113</v>
      </c>
      <c r="R19">
        <f>INDEX('VM-Gen Ent EPG (2)'!$K:$M,MATCH($C19,'VM-Gen Ent EPG (2)'!$M:$M,0),2)</f>
        <v>13</v>
      </c>
      <c r="S19">
        <f t="shared" si="1"/>
        <v>0</v>
      </c>
      <c r="T19">
        <f t="shared" si="2"/>
        <v>0</v>
      </c>
      <c r="U19" s="7">
        <f>IF($S19=0,0,G19*$S19*'O&amp;O - other input parameters'!$C$7)</f>
        <v>0</v>
      </c>
      <c r="V19" s="7">
        <f>IF($S19=0,0,H19*$S19*'O&amp;O - other input parameters'!$C$7)</f>
        <v>0</v>
      </c>
    </row>
    <row r="20" spans="1:22" ht="14.65" thickBot="1" x14ac:dyDescent="0.5">
      <c r="B20" s="129" t="s">
        <v>56</v>
      </c>
      <c r="C20" t="str">
        <f>'VM-Gen Ent EPG (2)'!C22</f>
        <v>ITV +1</v>
      </c>
      <c r="D20">
        <f t="shared" si="0"/>
        <v>1</v>
      </c>
      <c r="E20">
        <f>INDEX('VM-Gen Ent EPG (2)'!$A:$C,MATCH($C20,'VM-Gen Ent EPG (2)'!$C:$C,0),1)</f>
        <v>114</v>
      </c>
      <c r="F20">
        <f>INDEX('VM-Gen Ent EPG (2)'!$A:$C,MATCH($C20,'VM-Gen Ent EPG (2)'!$C:$C,0),2)</f>
        <v>14</v>
      </c>
      <c r="G20" t="str">
        <f>IF(AND($L20=0,$S20=0),"Not needed",(IF($B20="Not available",0,((INDEX('O&amp;O - Revenues &amp; viewing'!$B$6:$Z$237,MATCH($B20,'O&amp;O - Revenues &amp; viewing'!$B$6:$B$237,0),21))/1000000))))</f>
        <v>Not needed</v>
      </c>
      <c r="H20" t="str">
        <f>IF(AND($L20=0,$S20=0),"Not needed",(IF($B20="Not available",0,((INDEX('O&amp;O - Revenues &amp; viewing'!$B$6:$Z$237,MATCH($B20,'O&amp;O - Revenues &amp; viewing'!$B$6:$B$237,0),25))/1000000))))</f>
        <v>Not needed</v>
      </c>
      <c r="I20" t="str">
        <f>IF(OR(N20&gt;0,U20&gt;0),(INDEX('O&amp;O - Revenues &amp; viewing'!$B$6:$AD$237,MATCH('Impacts - VM'!B20,'O&amp;O - Revenues &amp; viewing'!$B$6:$B$237,0),27))/1000000,"Not needed")</f>
        <v>Not needed</v>
      </c>
      <c r="J20">
        <f>INDEX('VM-Gen Ent EPG (2)'!$F:$H,MATCH($C20,'VM-Gen Ent EPG (2)'!$H:$H,0),1)</f>
        <v>114</v>
      </c>
      <c r="K20">
        <f>INDEX('VM-Gen Ent EPG (2)'!$F:$H,MATCH($C20,'VM-Gen Ent EPG (2)'!$H:$H,0),2)</f>
        <v>14</v>
      </c>
      <c r="L20">
        <f t="shared" si="3"/>
        <v>0</v>
      </c>
      <c r="M20">
        <f t="shared" si="4"/>
        <v>0</v>
      </c>
      <c r="N20" s="7">
        <f>IF($L20=0,0,G20*$L20*'O&amp;O - other input parameters'!$C$7)</f>
        <v>0</v>
      </c>
      <c r="O20" s="7">
        <f>IF($L20=0,0,H20*$L20*'O&amp;O - other input parameters'!$C$7)</f>
        <v>0</v>
      </c>
      <c r="Q20">
        <f>INDEX('VM-Gen Ent EPG (2)'!$K:$M,MATCH($C20,'VM-Gen Ent EPG (2)'!$M:$M,0),1)</f>
        <v>114</v>
      </c>
      <c r="R20">
        <f>INDEX('VM-Gen Ent EPG (2)'!$K:$M,MATCH($C20,'VM-Gen Ent EPG (2)'!$M:$M,0),2)</f>
        <v>14</v>
      </c>
      <c r="S20">
        <f t="shared" si="1"/>
        <v>0</v>
      </c>
      <c r="T20">
        <f t="shared" si="2"/>
        <v>0</v>
      </c>
      <c r="U20" s="7">
        <f>IF($S20=0,0,G20*$S20*'O&amp;O - other input parameters'!$C$7)</f>
        <v>0</v>
      </c>
      <c r="V20" s="7">
        <f>IF($S20=0,0,H20*$S20*'O&amp;O - other input parameters'!$C$7)</f>
        <v>0</v>
      </c>
    </row>
    <row r="21" spans="1:22" ht="14.65" thickBot="1" x14ac:dyDescent="0.5">
      <c r="B21" s="129" t="s">
        <v>57</v>
      </c>
      <c r="C21" t="str">
        <f>'VM-Gen Ent EPG (2)'!C23</f>
        <v>ITV2</v>
      </c>
      <c r="D21">
        <f t="shared" si="0"/>
        <v>1</v>
      </c>
      <c r="E21">
        <f>INDEX('VM-Gen Ent EPG (2)'!$A:$C,MATCH($C21,'VM-Gen Ent EPG (2)'!$C:$C,0),1)</f>
        <v>115</v>
      </c>
      <c r="F21">
        <f>INDEX('VM-Gen Ent EPG (2)'!$A:$C,MATCH($C21,'VM-Gen Ent EPG (2)'!$C:$C,0),2)</f>
        <v>15</v>
      </c>
      <c r="G21" t="str">
        <f>IF(AND($L21=0,$S21=0),"Not needed",(IF($B21="Not available",0,((INDEX('O&amp;O - Revenues &amp; viewing'!$B$6:$Z$237,MATCH($B21,'O&amp;O - Revenues &amp; viewing'!$B$6:$B$237,0),21))/1000000))))</f>
        <v>Not needed</v>
      </c>
      <c r="H21" t="str">
        <f>IF(AND($L21=0,$S21=0),"Not needed",(IF($B21="Not available",0,((INDEX('O&amp;O - Revenues &amp; viewing'!$B$6:$Z$237,MATCH($B21,'O&amp;O - Revenues &amp; viewing'!$B$6:$B$237,0),25))/1000000))))</f>
        <v>Not needed</v>
      </c>
      <c r="I21" t="str">
        <f>IF(OR(N21&gt;0,U21&gt;0),(INDEX('O&amp;O - Revenues &amp; viewing'!$B$6:$AD$237,MATCH('Impacts - VM'!B21,'O&amp;O - Revenues &amp; viewing'!$B$6:$B$237,0),27))/1000000,"Not needed")</f>
        <v>Not needed</v>
      </c>
      <c r="J21">
        <f>INDEX('VM-Gen Ent EPG (2)'!$F:$H,MATCH($C21,'VM-Gen Ent EPG (2)'!$H:$H,0),1)</f>
        <v>115</v>
      </c>
      <c r="K21">
        <f>INDEX('VM-Gen Ent EPG (2)'!$F:$H,MATCH($C21,'VM-Gen Ent EPG (2)'!$H:$H,0),2)</f>
        <v>15</v>
      </c>
      <c r="L21">
        <f t="shared" si="3"/>
        <v>0</v>
      </c>
      <c r="M21">
        <f t="shared" si="4"/>
        <v>0</v>
      </c>
      <c r="N21" s="7">
        <f>IF($L21=0,0,G21*$L21*'O&amp;O - other input parameters'!$C$7)</f>
        <v>0</v>
      </c>
      <c r="O21" s="7">
        <f>IF($L21=0,0,H21*$L21*'O&amp;O - other input parameters'!$C$7)</f>
        <v>0</v>
      </c>
      <c r="Q21">
        <f>INDEX('VM-Gen Ent EPG (2)'!$K:$M,MATCH($C21,'VM-Gen Ent EPG (2)'!$M:$M,0),1)</f>
        <v>115</v>
      </c>
      <c r="R21">
        <f>INDEX('VM-Gen Ent EPG (2)'!$K:$M,MATCH($C21,'VM-Gen Ent EPG (2)'!$M:$M,0),2)</f>
        <v>15</v>
      </c>
      <c r="S21">
        <f t="shared" si="1"/>
        <v>0</v>
      </c>
      <c r="T21">
        <f t="shared" si="2"/>
        <v>0</v>
      </c>
      <c r="U21" s="7">
        <f>IF($S21=0,0,G21*$S21*'O&amp;O - other input parameters'!$C$7)</f>
        <v>0</v>
      </c>
      <c r="V21" s="7">
        <f>IF($S21=0,0,H21*$S21*'O&amp;O - other input parameters'!$C$7)</f>
        <v>0</v>
      </c>
    </row>
    <row r="22" spans="1:22" ht="14.65" thickBot="1" x14ac:dyDescent="0.5">
      <c r="B22" s="129" t="s">
        <v>372</v>
      </c>
      <c r="C22" t="str">
        <f>'VM-Gen Ent EPG (2)'!C24</f>
        <v>ITV2 +1</v>
      </c>
      <c r="D22">
        <f t="shared" si="0"/>
        <v>1</v>
      </c>
      <c r="E22">
        <f>INDEX('VM-Gen Ent EPG (2)'!$A:$C,MATCH($C22,'VM-Gen Ent EPG (2)'!$C:$C,0),1)</f>
        <v>116</v>
      </c>
      <c r="F22">
        <f>INDEX('VM-Gen Ent EPG (2)'!$A:$C,MATCH($C22,'VM-Gen Ent EPG (2)'!$C:$C,0),2)</f>
        <v>16</v>
      </c>
      <c r="G22" t="str">
        <f>IF(AND($L22=0,$S22=0),"Not needed",(IF($B22="Not available",0,((INDEX('O&amp;O - Revenues &amp; viewing'!$B$6:$Z$237,MATCH($B22,'O&amp;O - Revenues &amp; viewing'!$B$6:$B$237,0),21))/1000000))))</f>
        <v>Not needed</v>
      </c>
      <c r="H22" t="str">
        <f>IF(AND($L22=0,$S22=0),"Not needed",(IF($B22="Not available",0,((INDEX('O&amp;O - Revenues &amp; viewing'!$B$6:$Z$237,MATCH($B22,'O&amp;O - Revenues &amp; viewing'!$B$6:$B$237,0),25))/1000000))))</f>
        <v>Not needed</v>
      </c>
      <c r="I22" t="str">
        <f>IF(OR(N22&gt;0,U22&gt;0),(INDEX('O&amp;O - Revenues &amp; viewing'!$B$6:$AD$237,MATCH('Impacts - VM'!B22,'O&amp;O - Revenues &amp; viewing'!$B$6:$B$237,0),27))/1000000,"Not needed")</f>
        <v>Not needed</v>
      </c>
      <c r="J22">
        <f>INDEX('VM-Gen Ent EPG (2)'!$F:$H,MATCH($C22,'VM-Gen Ent EPG (2)'!$H:$H,0),1)</f>
        <v>116</v>
      </c>
      <c r="K22">
        <f>INDEX('VM-Gen Ent EPG (2)'!$F:$H,MATCH($C22,'VM-Gen Ent EPG (2)'!$H:$H,0),2)</f>
        <v>16</v>
      </c>
      <c r="L22">
        <f t="shared" si="3"/>
        <v>0</v>
      </c>
      <c r="M22">
        <f t="shared" si="4"/>
        <v>0</v>
      </c>
      <c r="N22" s="7">
        <f>IF($L22=0,0,G22*$L22*'O&amp;O - other input parameters'!$C$7)</f>
        <v>0</v>
      </c>
      <c r="O22" s="7">
        <f>IF($L22=0,0,H22*$L22*'O&amp;O - other input parameters'!$C$7)</f>
        <v>0</v>
      </c>
      <c r="Q22">
        <f>INDEX('VM-Gen Ent EPG (2)'!$K:$M,MATCH($C22,'VM-Gen Ent EPG (2)'!$M:$M,0),1)</f>
        <v>116</v>
      </c>
      <c r="R22">
        <f>INDEX('VM-Gen Ent EPG (2)'!$K:$M,MATCH($C22,'VM-Gen Ent EPG (2)'!$M:$M,0),2)</f>
        <v>16</v>
      </c>
      <c r="S22">
        <f t="shared" si="1"/>
        <v>0</v>
      </c>
      <c r="T22">
        <f t="shared" si="2"/>
        <v>0</v>
      </c>
      <c r="U22" s="7">
        <f>IF($S22=0,0,G22*$S22*'O&amp;O - other input parameters'!$C$7)</f>
        <v>0</v>
      </c>
      <c r="V22" s="7">
        <f>IF($S22=0,0,H22*$S22*'O&amp;O - other input parameters'!$C$7)</f>
        <v>0</v>
      </c>
    </row>
    <row r="23" spans="1:22" ht="14.65" thickBot="1" x14ac:dyDescent="0.5">
      <c r="B23" s="129" t="s">
        <v>59</v>
      </c>
      <c r="C23" t="str">
        <f>'VM-Gen Ent EPG (2)'!C25</f>
        <v>ITV3</v>
      </c>
      <c r="D23">
        <f t="shared" si="0"/>
        <v>1</v>
      </c>
      <c r="E23">
        <f>INDEX('VM-Gen Ent EPG (2)'!$A:$C,MATCH($C23,'VM-Gen Ent EPG (2)'!$C:$C,0),1)</f>
        <v>117</v>
      </c>
      <c r="F23">
        <f>INDEX('VM-Gen Ent EPG (2)'!$A:$C,MATCH($C23,'VM-Gen Ent EPG (2)'!$C:$C,0),2)</f>
        <v>17</v>
      </c>
      <c r="G23" t="str">
        <f>IF(AND($L23=0,$S23=0),"Not needed",(IF($B23="Not available",0,((INDEX('O&amp;O - Revenues &amp; viewing'!$B$6:$Z$237,MATCH($B23,'O&amp;O - Revenues &amp; viewing'!$B$6:$B$237,0),21))/1000000))))</f>
        <v>Not needed</v>
      </c>
      <c r="H23" t="str">
        <f>IF(AND($L23=0,$S23=0),"Not needed",(IF($B23="Not available",0,((INDEX('O&amp;O - Revenues &amp; viewing'!$B$6:$Z$237,MATCH($B23,'O&amp;O - Revenues &amp; viewing'!$B$6:$B$237,0),25))/1000000))))</f>
        <v>Not needed</v>
      </c>
      <c r="I23" t="str">
        <f>IF(OR(N23&gt;0,U23&gt;0),(INDEX('O&amp;O - Revenues &amp; viewing'!$B$6:$AD$237,MATCH('Impacts - VM'!B23,'O&amp;O - Revenues &amp; viewing'!$B$6:$B$237,0),27))/1000000,"Not needed")</f>
        <v>Not needed</v>
      </c>
      <c r="J23">
        <f>INDEX('VM-Gen Ent EPG (2)'!$F:$H,MATCH($C23,'VM-Gen Ent EPG (2)'!$H:$H,0),1)</f>
        <v>117</v>
      </c>
      <c r="K23">
        <f>INDEX('VM-Gen Ent EPG (2)'!$F:$H,MATCH($C23,'VM-Gen Ent EPG (2)'!$H:$H,0),2)</f>
        <v>17</v>
      </c>
      <c r="L23">
        <f t="shared" si="3"/>
        <v>0</v>
      </c>
      <c r="M23">
        <f t="shared" si="4"/>
        <v>0</v>
      </c>
      <c r="N23" s="7">
        <f>IF($L23=0,0,G23*$L23*'O&amp;O - other input parameters'!$C$7)</f>
        <v>0</v>
      </c>
      <c r="O23" s="7">
        <f>IF($L23=0,0,H23*$L23*'O&amp;O - other input parameters'!$C$7)</f>
        <v>0</v>
      </c>
      <c r="Q23">
        <f>INDEX('VM-Gen Ent EPG (2)'!$K:$M,MATCH($C23,'VM-Gen Ent EPG (2)'!$M:$M,0),1)</f>
        <v>117</v>
      </c>
      <c r="R23">
        <f>INDEX('VM-Gen Ent EPG (2)'!$K:$M,MATCH($C23,'VM-Gen Ent EPG (2)'!$M:$M,0),2)</f>
        <v>17</v>
      </c>
      <c r="S23">
        <f t="shared" si="1"/>
        <v>0</v>
      </c>
      <c r="T23">
        <f t="shared" si="2"/>
        <v>0</v>
      </c>
      <c r="U23" s="7">
        <f>IF($S23=0,0,G23*$S23*'O&amp;O - other input parameters'!$C$7)</f>
        <v>0</v>
      </c>
      <c r="V23" s="7">
        <f>IF($S23=0,0,H23*$S23*'O&amp;O - other input parameters'!$C$7)</f>
        <v>0</v>
      </c>
    </row>
    <row r="24" spans="1:22" ht="14.65" thickBot="1" x14ac:dyDescent="0.5">
      <c r="B24" s="129" t="s">
        <v>60</v>
      </c>
      <c r="C24" t="str">
        <f>'VM-Gen Ent EPG (2)'!C26</f>
        <v>ITV4</v>
      </c>
      <c r="D24">
        <f t="shared" si="0"/>
        <v>1</v>
      </c>
      <c r="E24">
        <f>INDEX('VM-Gen Ent EPG (2)'!$A:$C,MATCH($C24,'VM-Gen Ent EPG (2)'!$C:$C,0),1)</f>
        <v>118</v>
      </c>
      <c r="F24">
        <f>INDEX('VM-Gen Ent EPG (2)'!$A:$C,MATCH($C24,'VM-Gen Ent EPG (2)'!$C:$C,0),2)</f>
        <v>18</v>
      </c>
      <c r="G24" t="str">
        <f>IF(AND($L24=0,$S24=0),"Not needed",(IF($B24="Not available",0,((INDEX('O&amp;O - Revenues &amp; viewing'!$B$6:$Z$237,MATCH($B24,'O&amp;O - Revenues &amp; viewing'!$B$6:$B$237,0),21))/1000000))))</f>
        <v>Not needed</v>
      </c>
      <c r="H24" t="str">
        <f>IF(AND($L24=0,$S24=0),"Not needed",(IF($B24="Not available",0,((INDEX('O&amp;O - Revenues &amp; viewing'!$B$6:$Z$237,MATCH($B24,'O&amp;O - Revenues &amp; viewing'!$B$6:$B$237,0),25))/1000000))))</f>
        <v>Not needed</v>
      </c>
      <c r="I24" t="str">
        <f>IF(OR(N24&gt;0,U24&gt;0),(INDEX('O&amp;O - Revenues &amp; viewing'!$B$6:$AD$237,MATCH('Impacts - VM'!B24,'O&amp;O - Revenues &amp; viewing'!$B$6:$B$237,0),27))/1000000,"Not needed")</f>
        <v>Not needed</v>
      </c>
      <c r="J24">
        <f>INDEX('VM-Gen Ent EPG (2)'!$F:$H,MATCH($C24,'VM-Gen Ent EPG (2)'!$H:$H,0),1)</f>
        <v>118</v>
      </c>
      <c r="K24">
        <f>INDEX('VM-Gen Ent EPG (2)'!$F:$H,MATCH($C24,'VM-Gen Ent EPG (2)'!$H:$H,0),2)</f>
        <v>18</v>
      </c>
      <c r="L24">
        <f t="shared" si="3"/>
        <v>0</v>
      </c>
      <c r="M24">
        <f t="shared" si="4"/>
        <v>0</v>
      </c>
      <c r="N24" s="7">
        <f>IF($L24=0,0,G24*$L24*'O&amp;O - other input parameters'!$C$7)</f>
        <v>0</v>
      </c>
      <c r="O24" s="7">
        <f>IF($L24=0,0,H24*$L24*'O&amp;O - other input parameters'!$C$7)</f>
        <v>0</v>
      </c>
      <c r="Q24">
        <f>INDEX('VM-Gen Ent EPG (2)'!$K:$M,MATCH($C24,'VM-Gen Ent EPG (2)'!$M:$M,0),1)</f>
        <v>118</v>
      </c>
      <c r="R24">
        <f>INDEX('VM-Gen Ent EPG (2)'!$K:$M,MATCH($C24,'VM-Gen Ent EPG (2)'!$M:$M,0),2)</f>
        <v>18</v>
      </c>
      <c r="S24">
        <f t="shared" si="1"/>
        <v>0</v>
      </c>
      <c r="T24">
        <f t="shared" si="2"/>
        <v>0</v>
      </c>
      <c r="U24" s="7">
        <f>IF($S24=0,0,G24*$S24*'O&amp;O - other input parameters'!$C$7)</f>
        <v>0</v>
      </c>
      <c r="V24" s="7">
        <f>IF($S24=0,0,H24*$S24*'O&amp;O - other input parameters'!$C$7)</f>
        <v>0</v>
      </c>
    </row>
    <row r="25" spans="1:22" ht="14.65" thickBot="1" x14ac:dyDescent="0.5">
      <c r="B25" s="129" t="s">
        <v>375</v>
      </c>
      <c r="C25" t="str">
        <f>'VM-Gen Ent EPG (2)'!C27</f>
        <v>ITVBe</v>
      </c>
      <c r="D25">
        <f t="shared" si="0"/>
        <v>1</v>
      </c>
      <c r="E25">
        <f>INDEX('VM-Gen Ent EPG (2)'!$A:$C,MATCH($C25,'VM-Gen Ent EPG (2)'!$C:$C,0),1)</f>
        <v>119</v>
      </c>
      <c r="F25">
        <f>INDEX('VM-Gen Ent EPG (2)'!$A:$C,MATCH($C25,'VM-Gen Ent EPG (2)'!$C:$C,0),2)</f>
        <v>19</v>
      </c>
      <c r="G25" t="str">
        <f>IF(AND($L25=0,$S25=0),"Not needed",(IF($B25="Not available",0,((INDEX('O&amp;O - Revenues &amp; viewing'!$B$6:$Z$237,MATCH($B25,'O&amp;O - Revenues &amp; viewing'!$B$6:$B$237,0),21))/1000000))))</f>
        <v>Not needed</v>
      </c>
      <c r="H25" t="str">
        <f>IF(AND($L25=0,$S25=0),"Not needed",(IF($B25="Not available",0,((INDEX('O&amp;O - Revenues &amp; viewing'!$B$6:$Z$237,MATCH($B25,'O&amp;O - Revenues &amp; viewing'!$B$6:$B$237,0),25))/1000000))))</f>
        <v>Not needed</v>
      </c>
      <c r="I25" t="str">
        <f>IF(OR(N25&gt;0,U25&gt;0),(INDEX('O&amp;O - Revenues &amp; viewing'!$B$6:$AD$237,MATCH('Impacts - VM'!B25,'O&amp;O - Revenues &amp; viewing'!$B$6:$B$237,0),27))/1000000,"Not needed")</f>
        <v>Not needed</v>
      </c>
      <c r="J25">
        <f>INDEX('VM-Gen Ent EPG (2)'!$F:$H,MATCH($C25,'VM-Gen Ent EPG (2)'!$H:$H,0),1)</f>
        <v>119</v>
      </c>
      <c r="K25">
        <f>INDEX('VM-Gen Ent EPG (2)'!$F:$H,MATCH($C25,'VM-Gen Ent EPG (2)'!$H:$H,0),2)</f>
        <v>19</v>
      </c>
      <c r="L25">
        <f t="shared" si="3"/>
        <v>0</v>
      </c>
      <c r="M25">
        <f t="shared" si="4"/>
        <v>0</v>
      </c>
      <c r="N25" s="7">
        <f>IF($L25=0,0,G25*$L25*'O&amp;O - other input parameters'!$C$7)</f>
        <v>0</v>
      </c>
      <c r="O25" s="7">
        <f>IF($L25=0,0,H25*$L25*'O&amp;O - other input parameters'!$C$7)</f>
        <v>0</v>
      </c>
      <c r="Q25">
        <f>INDEX('VM-Gen Ent EPG (2)'!$K:$M,MATCH($C25,'VM-Gen Ent EPG (2)'!$M:$M,0),1)</f>
        <v>119</v>
      </c>
      <c r="R25">
        <f>INDEX('VM-Gen Ent EPG (2)'!$K:$M,MATCH($C25,'VM-Gen Ent EPG (2)'!$M:$M,0),2)</f>
        <v>19</v>
      </c>
      <c r="S25">
        <f t="shared" si="1"/>
        <v>0</v>
      </c>
      <c r="T25">
        <f t="shared" si="2"/>
        <v>0</v>
      </c>
      <c r="U25" s="7">
        <f>IF($S25=0,0,G25*$S25*'O&amp;O - other input parameters'!$C$7)</f>
        <v>0</v>
      </c>
      <c r="V25" s="7">
        <f>IF($S25=0,0,H25*$S25*'O&amp;O - other input parameters'!$C$7)</f>
        <v>0</v>
      </c>
    </row>
    <row r="26" spans="1:22" ht="14.65" thickBot="1" x14ac:dyDescent="0.5">
      <c r="B26" s="129" t="s">
        <v>643</v>
      </c>
      <c r="C26" t="str">
        <f>'VM-Gen Ent EPG (2)'!C28</f>
        <v>ITV Be +1</v>
      </c>
      <c r="D26">
        <f t="shared" si="0"/>
        <v>1</v>
      </c>
      <c r="E26">
        <f>INDEX('VM-Gen Ent EPG (2)'!$A:$C,MATCH($C26,'VM-Gen Ent EPG (2)'!$C:$C,0),1)</f>
        <v>120</v>
      </c>
      <c r="F26">
        <f>INDEX('VM-Gen Ent EPG (2)'!$A:$C,MATCH($C26,'VM-Gen Ent EPG (2)'!$C:$C,0),2)</f>
        <v>20</v>
      </c>
      <c r="G26" t="str">
        <f>IF(AND($L26=0,$S26=0),"Not needed",(IF($B26="Not available",0,((INDEX('O&amp;O - Revenues &amp; viewing'!$B$6:$Z$237,MATCH($B26,'O&amp;O - Revenues &amp; viewing'!$B$6:$B$237,0),21))/1000000))))</f>
        <v>Not needed</v>
      </c>
      <c r="H26" t="str">
        <f>IF(AND($L26=0,$S26=0),"Not needed",(IF($B26="Not available",0,((INDEX('O&amp;O - Revenues &amp; viewing'!$B$6:$Z$237,MATCH($B26,'O&amp;O - Revenues &amp; viewing'!$B$6:$B$237,0),25))/1000000))))</f>
        <v>Not needed</v>
      </c>
      <c r="I26" t="str">
        <f>IF(OR(N26&gt;0,U26&gt;0),(INDEX('O&amp;O - Revenues &amp; viewing'!$B$6:$AD$237,MATCH('Impacts - VM'!B26,'O&amp;O - Revenues &amp; viewing'!$B$6:$B$237,0),27))/1000000,"Not needed")</f>
        <v>Not needed</v>
      </c>
      <c r="J26">
        <f>INDEX('VM-Gen Ent EPG (2)'!$F:$H,MATCH($C26,'VM-Gen Ent EPG (2)'!$H:$H,0),1)</f>
        <v>120</v>
      </c>
      <c r="K26">
        <f>INDEX('VM-Gen Ent EPG (2)'!$F:$H,MATCH($C26,'VM-Gen Ent EPG (2)'!$H:$H,0),2)</f>
        <v>20</v>
      </c>
      <c r="L26">
        <f t="shared" si="3"/>
        <v>0</v>
      </c>
      <c r="M26">
        <f t="shared" si="4"/>
        <v>0</v>
      </c>
      <c r="N26" s="7">
        <f>IF($L26=0,0,G26*$L26*'O&amp;O - other input parameters'!$C$7)</f>
        <v>0</v>
      </c>
      <c r="O26" s="7">
        <f>IF($L26=0,0,H26*$L26*'O&amp;O - other input parameters'!$C$7)</f>
        <v>0</v>
      </c>
      <c r="Q26">
        <f>INDEX('VM-Gen Ent EPG (2)'!$K:$M,MATCH($C26,'VM-Gen Ent EPG (2)'!$M:$M,0),1)</f>
        <v>120</v>
      </c>
      <c r="R26">
        <f>INDEX('VM-Gen Ent EPG (2)'!$K:$M,MATCH($C26,'VM-Gen Ent EPG (2)'!$M:$M,0),2)</f>
        <v>20</v>
      </c>
      <c r="S26">
        <f t="shared" si="1"/>
        <v>0</v>
      </c>
      <c r="T26">
        <f t="shared" si="2"/>
        <v>0</v>
      </c>
      <c r="U26" s="7">
        <f>IF($S26=0,0,G26*$S26*'O&amp;O - other input parameters'!$C$7)</f>
        <v>0</v>
      </c>
      <c r="V26" s="7">
        <f>IF($S26=0,0,H26*$S26*'O&amp;O - other input parameters'!$C$7)</f>
        <v>0</v>
      </c>
    </row>
    <row r="27" spans="1:22" ht="14.65" thickBot="1" x14ac:dyDescent="0.5">
      <c r="B27" s="129" t="s">
        <v>414</v>
      </c>
      <c r="C27" t="str">
        <f>'VM-Gen Ent EPG (2)'!C29</f>
        <v>Sky Two</v>
      </c>
      <c r="D27">
        <f t="shared" si="0"/>
        <v>1</v>
      </c>
      <c r="E27">
        <f>INDEX('VM-Gen Ent EPG (2)'!$A:$C,MATCH($C27,'VM-Gen Ent EPG (2)'!$C:$C,0),1)</f>
        <v>121</v>
      </c>
      <c r="F27">
        <f>INDEX('VM-Gen Ent EPG (2)'!$A:$C,MATCH($C27,'VM-Gen Ent EPG (2)'!$C:$C,0),2)</f>
        <v>21</v>
      </c>
      <c r="G27" t="str">
        <f>IF(AND($L27=0,$S27=0),"Not needed",(IF($B27="Not available",0,((INDEX('O&amp;O - Revenues &amp; viewing'!$B$6:$Z$237,MATCH($B27,'O&amp;O - Revenues &amp; viewing'!$B$6:$B$237,0),21))/1000000))))</f>
        <v>Not needed</v>
      </c>
      <c r="H27" t="str">
        <f>IF(AND($L27=0,$S27=0),"Not needed",(IF($B27="Not available",0,((INDEX('O&amp;O - Revenues &amp; viewing'!$B$6:$Z$237,MATCH($B27,'O&amp;O - Revenues &amp; viewing'!$B$6:$B$237,0),25))/1000000))))</f>
        <v>Not needed</v>
      </c>
      <c r="I27" t="str">
        <f>IF(OR(N27&gt;0,U27&gt;0),(INDEX('O&amp;O - Revenues &amp; viewing'!$B$6:$AD$237,MATCH('Impacts - VM'!B27,'O&amp;O - Revenues &amp; viewing'!$B$6:$B$237,0),27))/1000000,"Not needed")</f>
        <v>Not needed</v>
      </c>
      <c r="J27">
        <f>INDEX('VM-Gen Ent EPG (2)'!$F:$H,MATCH($C27,'VM-Gen Ent EPG (2)'!$H:$H,0),1)</f>
        <v>121</v>
      </c>
      <c r="K27">
        <f>INDEX('VM-Gen Ent EPG (2)'!$F:$H,MATCH($C27,'VM-Gen Ent EPG (2)'!$H:$H,0),2)</f>
        <v>21</v>
      </c>
      <c r="L27">
        <f t="shared" si="3"/>
        <v>0</v>
      </c>
      <c r="M27">
        <f t="shared" si="4"/>
        <v>0</v>
      </c>
      <c r="N27" s="7">
        <f>IF($L27=0,0,G27*$L27*'O&amp;O - other input parameters'!$C$7)</f>
        <v>0</v>
      </c>
      <c r="O27" s="7">
        <f>IF($L27=0,0,H27*$L27*'O&amp;O - other input parameters'!$C$7)</f>
        <v>0</v>
      </c>
      <c r="Q27">
        <f>INDEX('VM-Gen Ent EPG (2)'!$K:$M,MATCH($C27,'VM-Gen Ent EPG (2)'!$M:$M,0),1)</f>
        <v>121</v>
      </c>
      <c r="R27">
        <f>INDEX('VM-Gen Ent EPG (2)'!$K:$M,MATCH($C27,'VM-Gen Ent EPG (2)'!$M:$M,0),2)</f>
        <v>21</v>
      </c>
      <c r="S27">
        <f t="shared" si="1"/>
        <v>0</v>
      </c>
      <c r="T27">
        <f t="shared" si="2"/>
        <v>0</v>
      </c>
      <c r="U27" s="7">
        <f>IF($S27=0,0,G27*$S27*'O&amp;O - other input parameters'!$C$7)</f>
        <v>0</v>
      </c>
      <c r="V27" s="7">
        <f>IF($S27=0,0,H27*$S27*'O&amp;O - other input parameters'!$C$7)</f>
        <v>0</v>
      </c>
    </row>
    <row r="28" spans="1:22" ht="14.65" thickBot="1" x14ac:dyDescent="0.5">
      <c r="B28" s="129" t="s">
        <v>406</v>
      </c>
      <c r="C28" t="str">
        <f>'VM-Gen Ent EPG (2)'!C30</f>
        <v>Sky Arts</v>
      </c>
      <c r="D28">
        <f t="shared" si="0"/>
        <v>1</v>
      </c>
      <c r="E28">
        <f>INDEX('VM-Gen Ent EPG (2)'!$A:$C,MATCH($C28,'VM-Gen Ent EPG (2)'!$C:$C,0),1)</f>
        <v>122</v>
      </c>
      <c r="F28">
        <f>INDEX('VM-Gen Ent EPG (2)'!$A:$C,MATCH($C28,'VM-Gen Ent EPG (2)'!$C:$C,0),2)</f>
        <v>22</v>
      </c>
      <c r="G28" s="73">
        <f>IF(AND($L28=0,$S28=0),"Not needed",(IF($B28="Not available",0,((INDEX('O&amp;O - Revenues &amp; viewing'!$B$6:$Z$237,MATCH($B28,'O&amp;O - Revenues &amp; viewing'!$B$6:$B$237,0),21))/1000000))))</f>
        <v>29.582519999999999</v>
      </c>
      <c r="H28" s="73">
        <f>IF(AND($L28=0,$S28=0),"Not needed",(IF($B28="Not available",0,((INDEX('O&amp;O - Revenues &amp; viewing'!$B$6:$Z$237,MATCH($B28,'O&amp;O - Revenues &amp; viewing'!$B$6:$B$237,0),25))/1000000))))</f>
        <v>3.4695028175018456</v>
      </c>
      <c r="I28" t="str">
        <f>IF(OR(N28&gt;0,U28&gt;0),(INDEX('O&amp;O - Revenues &amp; viewing'!$B$6:$AD$237,MATCH('Impacts - VM'!B28,'O&amp;O - Revenues &amp; viewing'!$B$6:$B$237,0),27))/1000000,"Not needed")</f>
        <v>Not needed</v>
      </c>
      <c r="J28">
        <f>INDEX('VM-Gen Ent EPG (2)'!$F:$H,MATCH($C28,'VM-Gen Ent EPG (2)'!$H:$H,0),1)</f>
        <v>122</v>
      </c>
      <c r="K28">
        <f>INDEX('VM-Gen Ent EPG (2)'!$F:$H,MATCH($C28,'VM-Gen Ent EPG (2)'!$H:$H,0),2)</f>
        <v>22</v>
      </c>
      <c r="L28">
        <f t="shared" si="3"/>
        <v>0</v>
      </c>
      <c r="M28">
        <f t="shared" si="4"/>
        <v>0</v>
      </c>
      <c r="N28" s="7">
        <f>IF($L28=0,0,G28*$L28*'O&amp;O - other input parameters'!$C$7)</f>
        <v>0</v>
      </c>
      <c r="O28" s="7">
        <f>IF($L28=0,0,H28*$L28*'O&amp;O - other input parameters'!$C$7)</f>
        <v>0</v>
      </c>
      <c r="Q28">
        <f>INDEX('VM-Gen Ent EPG (2)'!$K:$M,MATCH($C28,'VM-Gen Ent EPG (2)'!$M:$M,0),1)</f>
        <v>125</v>
      </c>
      <c r="R28">
        <f>INDEX('VM-Gen Ent EPG (2)'!$K:$M,MATCH($C28,'VM-Gen Ent EPG (2)'!$M:$M,0),2)</f>
        <v>25</v>
      </c>
      <c r="S28">
        <f t="shared" si="1"/>
        <v>-3</v>
      </c>
      <c r="T28">
        <f t="shared" si="2"/>
        <v>1</v>
      </c>
      <c r="U28" s="7">
        <f>IF($S28=0,0,G28*$S28*'O&amp;O - other input parameters'!$C$7)</f>
        <v>-1.3154330903199203</v>
      </c>
      <c r="V28" s="7">
        <f>IF($S28=0,0,H28*$S28*'O&amp;O - other input parameters'!$C$7)</f>
        <v>-0.15427687746345217</v>
      </c>
    </row>
    <row r="29" spans="1:22" ht="14.65" thickBot="1" x14ac:dyDescent="0.5">
      <c r="A29" t="s">
        <v>644</v>
      </c>
      <c r="B29" s="129" t="s">
        <v>357</v>
      </c>
      <c r="C29" t="str">
        <f>'VM-Gen Ent EPG (2)'!C31</f>
        <v>Pick</v>
      </c>
      <c r="D29">
        <f t="shared" si="0"/>
        <v>1</v>
      </c>
      <c r="E29">
        <f>INDEX('VM-Gen Ent EPG (2)'!$A:$C,MATCH($C29,'VM-Gen Ent EPG (2)'!$C:$C,0),1)</f>
        <v>123</v>
      </c>
      <c r="F29">
        <f>INDEX('VM-Gen Ent EPG (2)'!$A:$C,MATCH($C29,'VM-Gen Ent EPG (2)'!$C:$C,0),2)</f>
        <v>23</v>
      </c>
      <c r="G29" s="73">
        <f>IF(AND($L29=0,$S29=0),"Not needed",(IF($B29="Not available",0,((INDEX('O&amp;O - Revenues &amp; viewing'!$B$6:$Z$237,MATCH($B29,'O&amp;O - Revenues &amp; viewing'!$B$6:$B$237,0),21))/1000000))))</f>
        <v>80.197799999999987</v>
      </c>
      <c r="H29" s="73">
        <f>IF(AND($L29=0,$S29=0),"Not needed",(IF($B29="Not available",0,((INDEX('O&amp;O - Revenues &amp; viewing'!$B$6:$Z$237,MATCH($B29,'O&amp;O - Revenues &amp; viewing'!$B$6:$B$237,0),25))/1000000))))</f>
        <v>4.0214624787507134</v>
      </c>
      <c r="I29" t="str">
        <f>IF(OR(N29&gt;0,U29&gt;0),(INDEX('O&amp;O - Revenues &amp; viewing'!$B$6:$AD$237,MATCH('Impacts - VM'!B29,'O&amp;O - Revenues &amp; viewing'!$B$6:$B$237,0),27))/1000000,"Not needed")</f>
        <v>Not needed</v>
      </c>
      <c r="J29">
        <f>INDEX('VM-Gen Ent EPG (2)'!$F:$H,MATCH($C29,'VM-Gen Ent EPG (2)'!$H:$H,0),1)</f>
        <v>125</v>
      </c>
      <c r="K29">
        <f>INDEX('VM-Gen Ent EPG (2)'!$F:$H,MATCH($C29,'VM-Gen Ent EPG (2)'!$H:$H,0),2)</f>
        <v>25</v>
      </c>
      <c r="L29">
        <f t="shared" si="3"/>
        <v>-2</v>
      </c>
      <c r="M29">
        <f t="shared" si="4"/>
        <v>1</v>
      </c>
      <c r="N29" s="7">
        <f>IF($L29=0,0,G29*$L29*'O&amp;O - other input parameters'!$C$7)</f>
        <v>-2.3774138667217195</v>
      </c>
      <c r="O29" s="7">
        <f>IF($L29=0,0,H29*$L29*'O&amp;O - other input parameters'!$C$7)</f>
        <v>-0.11921375226606024</v>
      </c>
      <c r="Q29">
        <f>INDEX('VM-Gen Ent EPG (2)'!$K:$M,MATCH($C29,'VM-Gen Ent EPG (2)'!$M:$M,0),1)</f>
        <v>126</v>
      </c>
      <c r="R29">
        <f>INDEX('VM-Gen Ent EPG (2)'!$K:$M,MATCH($C29,'VM-Gen Ent EPG (2)'!$M:$M,0),2)</f>
        <v>26</v>
      </c>
      <c r="S29">
        <f t="shared" si="1"/>
        <v>-3</v>
      </c>
      <c r="T29">
        <f t="shared" si="2"/>
        <v>1</v>
      </c>
      <c r="U29" s="7">
        <f>IF($S29=0,0,G29*$S29*'O&amp;O - other input parameters'!$C$7)</f>
        <v>-3.5661208000825795</v>
      </c>
      <c r="V29" s="7">
        <f>IF($S29=0,0,H29*$S29*'O&amp;O - other input parameters'!$C$7)</f>
        <v>-0.17882062839909035</v>
      </c>
    </row>
    <row r="30" spans="1:22" ht="14.65" thickBot="1" x14ac:dyDescent="0.5">
      <c r="B30" s="129" t="s">
        <v>370</v>
      </c>
      <c r="C30" t="str">
        <f>'VM-Gen Ent EPG (2)'!C32</f>
        <v>Gold HD</v>
      </c>
      <c r="D30">
        <f t="shared" si="0"/>
        <v>1</v>
      </c>
      <c r="E30">
        <f>INDEX('VM-Gen Ent EPG (2)'!$A:$C,MATCH($C30,'VM-Gen Ent EPG (2)'!$C:$C,0),1)</f>
        <v>124</v>
      </c>
      <c r="F30">
        <f>INDEX('VM-Gen Ent EPG (2)'!$A:$C,MATCH($C30,'VM-Gen Ent EPG (2)'!$C:$C,0),2)</f>
        <v>24</v>
      </c>
      <c r="G30" s="73">
        <f>IF(AND($L30=0,$S30=0),"Not needed",(IF($B30="Not available",0,((INDEX('O&amp;O - Revenues &amp; viewing'!$B$6:$Z$237,MATCH($B30,'O&amp;O - Revenues &amp; viewing'!$B$6:$B$237,0),21))/1000000))))</f>
        <v>94.616759999999999</v>
      </c>
      <c r="H30" s="73">
        <f>IF(AND($L30=0,$S30=0),"Not needed",(IF($B30="Not available",0,((INDEX('O&amp;O - Revenues &amp; viewing'!$B$6:$Z$237,MATCH($B30,'O&amp;O - Revenues &amp; viewing'!$B$6:$B$237,0),25))/1000000))))</f>
        <v>4.7444911232098805</v>
      </c>
      <c r="I30" t="str">
        <f>IF(OR(N30&gt;0,U30&gt;0),(INDEX('O&amp;O - Revenues &amp; viewing'!$B$6:$AD$237,MATCH('Impacts - VM'!B30,'O&amp;O - Revenues &amp; viewing'!$B$6:$B$237,0),27))/1000000,"Not needed")</f>
        <v>Not needed</v>
      </c>
      <c r="J30">
        <f>INDEX('VM-Gen Ent EPG (2)'!$F:$H,MATCH($C30,'VM-Gen Ent EPG (2)'!$H:$H,0),1)</f>
        <v>126</v>
      </c>
      <c r="K30">
        <f>INDEX('VM-Gen Ent EPG (2)'!$F:$H,MATCH($C30,'VM-Gen Ent EPG (2)'!$H:$H,0),2)</f>
        <v>26</v>
      </c>
      <c r="L30">
        <f t="shared" si="3"/>
        <v>-2</v>
      </c>
      <c r="M30">
        <f t="shared" si="4"/>
        <v>1</v>
      </c>
      <c r="N30" s="7">
        <f>IF($L30=0,0,G30*$L30*'O&amp;O - other input parameters'!$C$7)</f>
        <v>-2.8048549617106819</v>
      </c>
      <c r="O30" s="7">
        <f>IF($L30=0,0,H30*$L30*'O&amp;O - other input parameters'!$C$7)</f>
        <v>-0.14064748642552885</v>
      </c>
      <c r="Q30">
        <f>INDEX('VM-Gen Ent EPG (2)'!$K:$M,MATCH($C30,'VM-Gen Ent EPG (2)'!$M:$M,0),1)</f>
        <v>127</v>
      </c>
      <c r="R30">
        <f>INDEX('VM-Gen Ent EPG (2)'!$K:$M,MATCH($C30,'VM-Gen Ent EPG (2)'!$M:$M,0),2)</f>
        <v>27</v>
      </c>
      <c r="S30">
        <f t="shared" si="1"/>
        <v>-3</v>
      </c>
      <c r="T30">
        <f t="shared" si="2"/>
        <v>1</v>
      </c>
      <c r="U30" s="7">
        <f>IF($S30=0,0,G30*$S30*'O&amp;O - other input parameters'!$C$7)</f>
        <v>-4.2072824425660231</v>
      </c>
      <c r="V30" s="7">
        <f>IF($S30=0,0,H30*$S30*'O&amp;O - other input parameters'!$C$7)</f>
        <v>-0.21097122963829329</v>
      </c>
    </row>
    <row r="31" spans="1:22" ht="14.65" thickBot="1" x14ac:dyDescent="0.5">
      <c r="B31" s="129" t="s">
        <v>64</v>
      </c>
      <c r="C31" t="str">
        <f>'VM-Gen Ent EPG (2)'!C33</f>
        <v>W</v>
      </c>
      <c r="D31">
        <f t="shared" si="0"/>
        <v>1</v>
      </c>
      <c r="E31">
        <f>INDEX('VM-Gen Ent EPG (2)'!$A:$C,MATCH($C31,'VM-Gen Ent EPG (2)'!$C:$C,0),1)</f>
        <v>125</v>
      </c>
      <c r="F31">
        <f>INDEX('VM-Gen Ent EPG (2)'!$A:$C,MATCH($C31,'VM-Gen Ent EPG (2)'!$C:$C,0),2)</f>
        <v>25</v>
      </c>
      <c r="G31" s="73">
        <f>IF(AND($L31=0,$S31=0),"Not needed",(IF($B31="Not available",0,((INDEX('O&amp;O - Revenues &amp; viewing'!$B$6:$Z$237,MATCH($B31,'O&amp;O - Revenues &amp; viewing'!$B$6:$B$237,0),21))/1000000))))</f>
        <v>56.221679999999999</v>
      </c>
      <c r="H31" s="73">
        <f>IF(AND($L31=0,$S31=0),"Not needed",(IF($B31="Not available",0,((INDEX('O&amp;O - Revenues &amp; viewing'!$B$6:$Z$237,MATCH($B31,'O&amp;O - Revenues &amp; viewing'!$B$6:$B$237,0),25))/1000000))))</f>
        <v>2.819196743705306</v>
      </c>
      <c r="I31" t="str">
        <f>IF(OR(N31&gt;0,U31&gt;0),(INDEX('O&amp;O - Revenues &amp; viewing'!$B$6:$AD$237,MATCH('Impacts - VM'!B31,'O&amp;O - Revenues &amp; viewing'!$B$6:$B$237,0),27))/1000000,"Not needed")</f>
        <v>Not needed</v>
      </c>
      <c r="J31">
        <f>INDEX('VM-Gen Ent EPG (2)'!$F:$H,MATCH($C31,'VM-Gen Ent EPG (2)'!$H:$H,0),1)</f>
        <v>127</v>
      </c>
      <c r="K31">
        <f>INDEX('VM-Gen Ent EPG (2)'!$F:$H,MATCH($C31,'VM-Gen Ent EPG (2)'!$H:$H,0),2)</f>
        <v>27</v>
      </c>
      <c r="L31">
        <f t="shared" si="3"/>
        <v>-2</v>
      </c>
      <c r="M31">
        <f t="shared" si="4"/>
        <v>1</v>
      </c>
      <c r="N31" s="7">
        <f>IF($L31=0,0,G31*$L31*'O&amp;O - other input parameters'!$C$7)</f>
        <v>-1.6666567118099396</v>
      </c>
      <c r="O31" s="7">
        <f>IF($L31=0,0,H31*$L31*'O&amp;O - other input parameters'!$C$7)</f>
        <v>-8.3573332828353303E-2</v>
      </c>
      <c r="Q31">
        <f>INDEX('VM-Gen Ent EPG (2)'!$K:$M,MATCH($C31,'VM-Gen Ent EPG (2)'!$M:$M,0),1)</f>
        <v>128</v>
      </c>
      <c r="R31">
        <f>INDEX('VM-Gen Ent EPG (2)'!$K:$M,MATCH($C31,'VM-Gen Ent EPG (2)'!$M:$M,0),2)</f>
        <v>28</v>
      </c>
      <c r="S31">
        <f t="shared" si="1"/>
        <v>-3</v>
      </c>
      <c r="T31">
        <f t="shared" si="2"/>
        <v>1</v>
      </c>
      <c r="U31" s="7">
        <f>IF($S31=0,0,G31*$S31*'O&amp;O - other input parameters'!$C$7)</f>
        <v>-2.4999850677149094</v>
      </c>
      <c r="V31" s="7">
        <f>IF($S31=0,0,H31*$S31*'O&amp;O - other input parameters'!$C$7)</f>
        <v>-0.12535999924252997</v>
      </c>
    </row>
    <row r="32" spans="1:22" ht="14.65" thickBot="1" x14ac:dyDescent="0.5">
      <c r="B32" s="129" t="s">
        <v>383</v>
      </c>
      <c r="C32" t="str">
        <f>'VM-Gen Ent EPG (2)'!C34</f>
        <v>alibi</v>
      </c>
      <c r="D32">
        <f t="shared" si="0"/>
        <v>1</v>
      </c>
      <c r="E32">
        <f>INDEX('VM-Gen Ent EPG (2)'!$A:$C,MATCH($C32,'VM-Gen Ent EPG (2)'!$C:$C,0),1)</f>
        <v>126</v>
      </c>
      <c r="F32">
        <f>INDEX('VM-Gen Ent EPG (2)'!$A:$C,MATCH($C32,'VM-Gen Ent EPG (2)'!$C:$C,0),2)</f>
        <v>26</v>
      </c>
      <c r="G32" s="73">
        <f>IF(AND($L32=0,$S32=0),"Not needed",(IF($B32="Not available",0,((INDEX('O&amp;O - Revenues &amp; viewing'!$B$6:$Z$237,MATCH($B32,'O&amp;O - Revenues &amp; viewing'!$B$6:$B$237,0),21))/1000000))))</f>
        <v>77.105519999999984</v>
      </c>
      <c r="H32" s="73">
        <f>IF(AND($L32=0,$S32=0),"Not needed",(IF($B32="Not available",0,((INDEX('O&amp;O - Revenues &amp; viewing'!$B$6:$Z$237,MATCH($B32,'O&amp;O - Revenues &amp; viewing'!$B$6:$B$237,0),25))/1000000))))</f>
        <v>3.866402265206311</v>
      </c>
      <c r="I32" t="str">
        <f>IF(OR(N32&gt;0,U32&gt;0),(INDEX('O&amp;O - Revenues &amp; viewing'!$B$6:$AD$237,MATCH('Impacts - VM'!B32,'O&amp;O - Revenues &amp; viewing'!$B$6:$B$237,0),27))/1000000,"Not needed")</f>
        <v>Not needed</v>
      </c>
      <c r="J32">
        <f>INDEX('VM-Gen Ent EPG (2)'!$F:$H,MATCH($C32,'VM-Gen Ent EPG (2)'!$H:$H,0),1)</f>
        <v>128</v>
      </c>
      <c r="K32">
        <f>INDEX('VM-Gen Ent EPG (2)'!$F:$H,MATCH($C32,'VM-Gen Ent EPG (2)'!$H:$H,0),2)</f>
        <v>28</v>
      </c>
      <c r="L32">
        <f t="shared" si="3"/>
        <v>-2</v>
      </c>
      <c r="M32">
        <f t="shared" si="4"/>
        <v>1</v>
      </c>
      <c r="N32" s="7">
        <f>IF($L32=0,0,G32*$L32*'O&amp;O - other input parameters'!$C$7)</f>
        <v>-2.285745150724694</v>
      </c>
      <c r="O32" s="7">
        <f>IF($L32=0,0,H32*$L32*'O&amp;O - other input parameters'!$C$7)</f>
        <v>-0.11461708874340383</v>
      </c>
      <c r="Q32">
        <f>INDEX('VM-Gen Ent EPG (2)'!$K:$M,MATCH($C32,'VM-Gen Ent EPG (2)'!$M:$M,0),1)</f>
        <v>129</v>
      </c>
      <c r="R32">
        <f>INDEX('VM-Gen Ent EPG (2)'!$K:$M,MATCH($C32,'VM-Gen Ent EPG (2)'!$M:$M,0),2)</f>
        <v>29</v>
      </c>
      <c r="S32">
        <f t="shared" si="1"/>
        <v>-3</v>
      </c>
      <c r="T32">
        <f t="shared" si="2"/>
        <v>1</v>
      </c>
      <c r="U32" s="7">
        <f>IF($S32=0,0,G32*$S32*'O&amp;O - other input parameters'!$C$7)</f>
        <v>-3.4286177260870407</v>
      </c>
      <c r="V32" s="7">
        <f>IF($S32=0,0,H32*$S32*'O&amp;O - other input parameters'!$C$7)</f>
        <v>-0.17192563311510575</v>
      </c>
    </row>
    <row r="33" spans="2:22" ht="14.65" thickBot="1" x14ac:dyDescent="0.5">
      <c r="B33" s="129" t="s">
        <v>352</v>
      </c>
      <c r="C33" t="str">
        <f>'VM-Gen Ent EPG (2)'!C35</f>
        <v>Dave</v>
      </c>
      <c r="D33">
        <f t="shared" si="0"/>
        <v>1</v>
      </c>
      <c r="E33">
        <f>INDEX('VM-Gen Ent EPG (2)'!$A:$C,MATCH($C33,'VM-Gen Ent EPG (2)'!$C:$C,0),1)</f>
        <v>127</v>
      </c>
      <c r="F33">
        <f>INDEX('VM-Gen Ent EPG (2)'!$A:$C,MATCH($C33,'VM-Gen Ent EPG (2)'!$C:$C,0),2)</f>
        <v>27</v>
      </c>
      <c r="G33" s="73">
        <f>IF(AND($L33=0,$S33=0),"Not needed",(IF($B33="Not available",0,((INDEX('O&amp;O - Revenues &amp; viewing'!$B$6:$Z$237,MATCH($B33,'O&amp;O - Revenues &amp; viewing'!$B$6:$B$237,0),21))/1000000))))</f>
        <v>102.70223999999999</v>
      </c>
      <c r="H33" s="73">
        <f>IF(AND($L33=0,$S33=0),"Not needed",(IF($B33="Not available",0,((INDEX('O&amp;O - Revenues &amp; viewing'!$B$6:$Z$237,MATCH($B33,'O&amp;O - Revenues &amp; viewing'!$B$6:$B$237,0),25))/1000000))))</f>
        <v>5.1499318515426937</v>
      </c>
      <c r="I33" t="str">
        <f>IF(OR(N33&gt;0,U33&gt;0),(INDEX('O&amp;O - Revenues &amp; viewing'!$B$6:$AD$237,MATCH('Impacts - VM'!B33,'O&amp;O - Revenues &amp; viewing'!$B$6:$B$237,0),27))/1000000,"Not needed")</f>
        <v>Not needed</v>
      </c>
      <c r="J33">
        <f>INDEX('VM-Gen Ent EPG (2)'!$F:$H,MATCH($C33,'VM-Gen Ent EPG (2)'!$H:$H,0),1)</f>
        <v>129</v>
      </c>
      <c r="K33">
        <f>INDEX('VM-Gen Ent EPG (2)'!$F:$H,MATCH($C33,'VM-Gen Ent EPG (2)'!$H:$H,0),2)</f>
        <v>29</v>
      </c>
      <c r="L33">
        <f t="shared" si="3"/>
        <v>-2</v>
      </c>
      <c r="M33">
        <f t="shared" si="4"/>
        <v>1</v>
      </c>
      <c r="N33" s="7">
        <f>IF($L33=0,0,G33*$L33*'O&amp;O - other input parameters'!$C$7)</f>
        <v>-3.044543983991856</v>
      </c>
      <c r="O33" s="7">
        <f>IF($L33=0,0,H33*$L33*'O&amp;O - other input parameters'!$C$7)</f>
        <v>-0.15266652447485418</v>
      </c>
      <c r="Q33">
        <f>INDEX('VM-Gen Ent EPG (2)'!$K:$M,MATCH($C33,'VM-Gen Ent EPG (2)'!$M:$M,0),1)</f>
        <v>130</v>
      </c>
      <c r="R33">
        <f>INDEX('VM-Gen Ent EPG (2)'!$K:$M,MATCH($C33,'VM-Gen Ent EPG (2)'!$M:$M,0),2)</f>
        <v>30</v>
      </c>
      <c r="S33">
        <f t="shared" si="1"/>
        <v>-3</v>
      </c>
      <c r="T33">
        <f t="shared" si="2"/>
        <v>1</v>
      </c>
      <c r="U33" s="7">
        <f>IF($S33=0,0,G33*$S33*'O&amp;O - other input parameters'!$C$7)</f>
        <v>-4.566815975987784</v>
      </c>
      <c r="V33" s="7">
        <f>IF($S33=0,0,H33*$S33*'O&amp;O - other input parameters'!$C$7)</f>
        <v>-0.2289997867122813</v>
      </c>
    </row>
    <row r="34" spans="2:22" ht="14.65" thickBot="1" x14ac:dyDescent="0.5">
      <c r="B34" s="129" t="s">
        <v>362</v>
      </c>
      <c r="C34" t="str">
        <f>'VM-Gen Ent EPG (2)'!C36</f>
        <v>Really</v>
      </c>
      <c r="D34">
        <f t="shared" si="0"/>
        <v>1</v>
      </c>
      <c r="E34">
        <f>INDEX('VM-Gen Ent EPG (2)'!$A:$C,MATCH($C34,'VM-Gen Ent EPG (2)'!$C:$C,0),1)</f>
        <v>128</v>
      </c>
      <c r="F34">
        <f>INDEX('VM-Gen Ent EPG (2)'!$A:$C,MATCH($C34,'VM-Gen Ent EPG (2)'!$C:$C,0),2)</f>
        <v>28</v>
      </c>
      <c r="G34" s="73">
        <f>IF(AND($L34=0,$S34=0),"Not needed",(IF($B34="Not available",0,((INDEX('O&amp;O - Revenues &amp; viewing'!$B$6:$Z$237,MATCH($B34,'O&amp;O - Revenues &amp; viewing'!$B$6:$B$237,0),21))/1000000))))</f>
        <v>69.598200000000006</v>
      </c>
      <c r="H34" s="73">
        <f>IF(AND($L34=0,$S34=0),"Not needed",(IF($B34="Not available",0,((INDEX('O&amp;O - Revenues &amp; viewing'!$B$6:$Z$237,MATCH($B34,'O&amp;O - Revenues &amp; viewing'!$B$6:$B$237,0),25))/1000000))))</f>
        <v>3.4899529649016294</v>
      </c>
      <c r="I34" t="str">
        <f>IF(OR(N34&gt;0,U34&gt;0),(INDEX('O&amp;O - Revenues &amp; viewing'!$B$6:$AD$237,MATCH('Impacts - VM'!B34,'O&amp;O - Revenues &amp; viewing'!$B$6:$B$237,0),27))/1000000,"Not needed")</f>
        <v>Not needed</v>
      </c>
      <c r="J34">
        <f>INDEX('VM-Gen Ent EPG (2)'!$F:$H,MATCH($C34,'VM-Gen Ent EPG (2)'!$H:$H,0),1)</f>
        <v>130</v>
      </c>
      <c r="K34">
        <f>INDEX('VM-Gen Ent EPG (2)'!$F:$H,MATCH($C34,'VM-Gen Ent EPG (2)'!$H:$H,0),2)</f>
        <v>30</v>
      </c>
      <c r="L34">
        <f t="shared" si="3"/>
        <v>-2</v>
      </c>
      <c r="M34">
        <f t="shared" si="4"/>
        <v>1</v>
      </c>
      <c r="N34" s="7">
        <f>IF($L34=0,0,G34*$L34*'O&amp;O - other input parameters'!$C$7)</f>
        <v>-2.0631953218027377</v>
      </c>
      <c r="O34" s="7">
        <f>IF($L34=0,0,H34*$L34*'O&amp;O - other input parameters'!$C$7)</f>
        <v>-0.10345748353400858</v>
      </c>
      <c r="Q34">
        <f>INDEX('VM-Gen Ent EPG (2)'!$K:$M,MATCH($C34,'VM-Gen Ent EPG (2)'!$M:$M,0),1)</f>
        <v>131</v>
      </c>
      <c r="R34">
        <f>INDEX('VM-Gen Ent EPG (2)'!$K:$M,MATCH($C34,'VM-Gen Ent EPG (2)'!$M:$M,0),2)</f>
        <v>31</v>
      </c>
      <c r="S34">
        <f t="shared" si="1"/>
        <v>-3</v>
      </c>
      <c r="T34">
        <f t="shared" si="2"/>
        <v>1</v>
      </c>
      <c r="U34" s="7">
        <f>IF($S34=0,0,G34*$S34*'O&amp;O - other input parameters'!$C$7)</f>
        <v>-3.0947929827041065</v>
      </c>
      <c r="V34" s="7">
        <f>IF($S34=0,0,H34*$S34*'O&amp;O - other input parameters'!$C$7)</f>
        <v>-0.15518622530101286</v>
      </c>
    </row>
    <row r="35" spans="2:22" ht="14.65" thickBot="1" x14ac:dyDescent="0.5">
      <c r="B35" s="129" t="s">
        <v>364</v>
      </c>
      <c r="C35" t="str">
        <f>'VM-Gen Ent EPG (2)'!C37</f>
        <v>Yesterday</v>
      </c>
      <c r="D35">
        <f t="shared" si="0"/>
        <v>1</v>
      </c>
      <c r="E35">
        <f>INDEX('VM-Gen Ent EPG (2)'!$A:$C,MATCH($C35,'VM-Gen Ent EPG (2)'!$C:$C,0),1)</f>
        <v>129</v>
      </c>
      <c r="F35">
        <f>INDEX('VM-Gen Ent EPG (2)'!$A:$C,MATCH($C35,'VM-Gen Ent EPG (2)'!$C:$C,0),2)</f>
        <v>29</v>
      </c>
      <c r="G35" s="73">
        <f>IF(AND($L35=0,$S35=0),"Not needed",(IF($B35="Not available",0,((INDEX('O&amp;O - Revenues &amp; viewing'!$B$6:$Z$237,MATCH($B35,'O&amp;O - Revenues &amp; viewing'!$B$6:$B$237,0),21))/1000000))))</f>
        <v>32.911320000000003</v>
      </c>
      <c r="H35" s="73">
        <f>IF(AND($L35=0,$S35=0),"Not needed",(IF($B35="Not available",0,((INDEX('O&amp;O - Revenues &amp; viewing'!$B$6:$Z$237,MATCH($B35,'O&amp;O - Revenues &amp; viewing'!$B$6:$B$237,0),25))/1000000))))</f>
        <v>1.6503150772983541</v>
      </c>
      <c r="I35" t="str">
        <f>IF(OR(N35&gt;0,U35&gt;0),(INDEX('O&amp;O - Revenues &amp; viewing'!$B$6:$AD$237,MATCH('Impacts - VM'!B35,'O&amp;O - Revenues &amp; viewing'!$B$6:$B$237,0),27))/1000000,"Not needed")</f>
        <v>Not needed</v>
      </c>
      <c r="J35">
        <f>INDEX('VM-Gen Ent EPG (2)'!$F:$H,MATCH($C35,'VM-Gen Ent EPG (2)'!$H:$H,0),1)</f>
        <v>131</v>
      </c>
      <c r="K35">
        <f>INDEX('VM-Gen Ent EPG (2)'!$F:$H,MATCH($C35,'VM-Gen Ent EPG (2)'!$H:$H,0),2)</f>
        <v>31</v>
      </c>
      <c r="L35">
        <f t="shared" si="3"/>
        <v>-2</v>
      </c>
      <c r="M35">
        <f t="shared" si="4"/>
        <v>1</v>
      </c>
      <c r="N35" s="7">
        <f>IF($L35=0,0,G35*$L35*'O&amp;O - other input parameters'!$C$7)</f>
        <v>-0.97563559773604613</v>
      </c>
      <c r="O35" s="7">
        <f>IF($L35=0,0,H35*$L35*'O&amp;O - other input parameters'!$C$7)</f>
        <v>-4.8922563327535591E-2</v>
      </c>
      <c r="Q35">
        <f>INDEX('VM-Gen Ent EPG (2)'!$K:$M,MATCH($C35,'VM-Gen Ent EPG (2)'!$M:$M,0),1)</f>
        <v>132</v>
      </c>
      <c r="R35">
        <f>INDEX('VM-Gen Ent EPG (2)'!$K:$M,MATCH($C35,'VM-Gen Ent EPG (2)'!$M:$M,0),2)</f>
        <v>32</v>
      </c>
      <c r="S35">
        <f t="shared" si="1"/>
        <v>-3</v>
      </c>
      <c r="T35">
        <f t="shared" si="2"/>
        <v>1</v>
      </c>
      <c r="U35" s="7">
        <f>IF($S35=0,0,G35*$S35*'O&amp;O - other input parameters'!$C$7)</f>
        <v>-1.4634533966040693</v>
      </c>
      <c r="V35" s="7">
        <f>IF($S35=0,0,H35*$S35*'O&amp;O - other input parameters'!$C$7)</f>
        <v>-7.338384499130339E-2</v>
      </c>
    </row>
    <row r="36" spans="2:22" ht="14.65" thickBot="1" x14ac:dyDescent="0.5">
      <c r="B36" s="129" t="s">
        <v>349</v>
      </c>
      <c r="C36" t="str">
        <f>'VM-Gen Ent EPG (2)'!C38</f>
        <v>Drama</v>
      </c>
      <c r="D36">
        <f t="shared" si="0"/>
        <v>1</v>
      </c>
      <c r="E36">
        <f>INDEX('VM-Gen Ent EPG (2)'!$A:$C,MATCH($C36,'VM-Gen Ent EPG (2)'!$C:$C,0),1)</f>
        <v>130</v>
      </c>
      <c r="F36">
        <f>INDEX('VM-Gen Ent EPG (2)'!$A:$C,MATCH($C36,'VM-Gen Ent EPG (2)'!$C:$C,0),2)</f>
        <v>30</v>
      </c>
      <c r="G36" s="73">
        <f>IF(AND($L36=0,$S36=0),"Not needed",(IF($B36="Not available",0,((INDEX('O&amp;O - Revenues &amp; viewing'!$B$6:$Z$237,MATCH($B36,'O&amp;O - Revenues &amp; viewing'!$B$6:$B$237,0),21))/1000000))))</f>
        <v>99.723839999999996</v>
      </c>
      <c r="H36" s="73">
        <f>IF(AND($L36=0,$S36=0),"Not needed",(IF($B36="Not available",0,((INDEX('O&amp;O - Revenues &amp; viewing'!$B$6:$Z$237,MATCH($B36,'O&amp;O - Revenues &amp; viewing'!$B$6:$B$237,0),25))/1000000))))</f>
        <v>5.0005820707917117</v>
      </c>
      <c r="I36" t="str">
        <f>IF(OR(N36&gt;0,U36&gt;0),(INDEX('O&amp;O - Revenues &amp; viewing'!$B$6:$AD$237,MATCH('Impacts - VM'!B36,'O&amp;O - Revenues &amp; viewing'!$B$6:$B$237,0),27))/1000000,"Not needed")</f>
        <v>Not needed</v>
      </c>
      <c r="J36">
        <f>INDEX('VM-Gen Ent EPG (2)'!$F:$H,MATCH($C36,'VM-Gen Ent EPG (2)'!$H:$H,0),1)</f>
        <v>132</v>
      </c>
      <c r="K36">
        <f>INDEX('VM-Gen Ent EPG (2)'!$F:$H,MATCH($C36,'VM-Gen Ent EPG (2)'!$H:$H,0),2)</f>
        <v>32</v>
      </c>
      <c r="L36">
        <f t="shared" si="3"/>
        <v>-2</v>
      </c>
      <c r="M36">
        <f t="shared" si="4"/>
        <v>1</v>
      </c>
      <c r="N36" s="7">
        <f>IF($L36=0,0,G36*$L36*'O&amp;O - other input parameters'!$C$7)</f>
        <v>-2.9562511697171008</v>
      </c>
      <c r="O36" s="7">
        <f>IF($L36=0,0,H36*$L36*'O&amp;O - other input parameters'!$C$7)</f>
        <v>-0.14823914317824463</v>
      </c>
      <c r="Q36">
        <f>INDEX('VM-Gen Ent EPG (2)'!$K:$M,MATCH($C36,'VM-Gen Ent EPG (2)'!$M:$M,0),1)</f>
        <v>133</v>
      </c>
      <c r="R36">
        <f>INDEX('VM-Gen Ent EPG (2)'!$K:$M,MATCH($C36,'VM-Gen Ent EPG (2)'!$M:$M,0),2)</f>
        <v>33</v>
      </c>
      <c r="S36">
        <f t="shared" si="1"/>
        <v>-3</v>
      </c>
      <c r="T36">
        <f t="shared" si="2"/>
        <v>1</v>
      </c>
      <c r="U36" s="7">
        <f>IF($S36=0,0,G36*$S36*'O&amp;O - other input parameters'!$C$7)</f>
        <v>-4.4343767545756512</v>
      </c>
      <c r="V36" s="7">
        <f>IF($S36=0,0,H36*$S36*'O&amp;O - other input parameters'!$C$7)</f>
        <v>-0.22235871476736696</v>
      </c>
    </row>
    <row r="37" spans="2:22" ht="14.65" thickBot="1" x14ac:dyDescent="0.5">
      <c r="B37" s="129" t="s">
        <v>413</v>
      </c>
      <c r="C37" t="str">
        <f>'VM-Gen Ent EPG (2)'!C39</f>
        <v>Dave ja vu</v>
      </c>
      <c r="D37">
        <f t="shared" si="0"/>
        <v>1</v>
      </c>
      <c r="E37">
        <f>INDEX('VM-Gen Ent EPG (2)'!$A:$C,MATCH($C37,'VM-Gen Ent EPG (2)'!$C:$C,0),1)</f>
        <v>131</v>
      </c>
      <c r="F37">
        <f>INDEX('VM-Gen Ent EPG (2)'!$A:$C,MATCH($C37,'VM-Gen Ent EPG (2)'!$C:$C,0),2)</f>
        <v>31</v>
      </c>
      <c r="G37" s="73">
        <f>IF(AND($L37=0,$S37=0),"Not needed",(IF($B37="Not available",0,((INDEX('O&amp;O - Revenues &amp; viewing'!$B$6:$Z$237,MATCH($B37,'O&amp;O - Revenues &amp; viewing'!$B$6:$B$237,0),21))/1000000))))</f>
        <v>10.93248</v>
      </c>
      <c r="H37" s="73">
        <f>IF(AND($L37=0,$S37=0),"Not needed",(IF($B37="Not available",0,((INDEX('O&amp;O - Revenues &amp; viewing'!$B$6:$Z$237,MATCH($B37,'O&amp;O - Revenues &amp; viewing'!$B$6:$B$237,0),25))/1000000))))</f>
        <v>0.53488000257282853</v>
      </c>
      <c r="I37" t="str">
        <f>IF(OR(N37&gt;0,U37&gt;0),(INDEX('O&amp;O - Revenues &amp; viewing'!$B$6:$AD$237,MATCH('Impacts - VM'!B37,'O&amp;O - Revenues &amp; viewing'!$B$6:$B$237,0),27))/1000000,"Not needed")</f>
        <v>Not needed</v>
      </c>
      <c r="J37">
        <f>INDEX('VM-Gen Ent EPG (2)'!$F:$H,MATCH($C37,'VM-Gen Ent EPG (2)'!$H:$H,0),1)</f>
        <v>133</v>
      </c>
      <c r="K37">
        <f>INDEX('VM-Gen Ent EPG (2)'!$F:$H,MATCH($C37,'VM-Gen Ent EPG (2)'!$H:$H,0),2)</f>
        <v>33</v>
      </c>
      <c r="L37">
        <f t="shared" si="3"/>
        <v>-2</v>
      </c>
      <c r="M37">
        <f t="shared" si="4"/>
        <v>1</v>
      </c>
      <c r="N37" s="7">
        <f>IF($L37=0,0,G37*$L37*'O&amp;O - other input parameters'!$C$7)</f>
        <v>-0.32408656533792529</v>
      </c>
      <c r="O37" s="7">
        <f>IF($L37=0,0,H37*$L37*'O&amp;O - other input parameters'!$C$7)</f>
        <v>-1.5856184772509864E-2</v>
      </c>
      <c r="Q37">
        <f>INDEX('VM-Gen Ent EPG (2)'!$K:$M,MATCH($C37,'VM-Gen Ent EPG (2)'!$M:$M,0),1)</f>
        <v>134</v>
      </c>
      <c r="R37">
        <f>INDEX('VM-Gen Ent EPG (2)'!$K:$M,MATCH($C37,'VM-Gen Ent EPG (2)'!$M:$M,0),2)</f>
        <v>34</v>
      </c>
      <c r="S37">
        <f t="shared" si="1"/>
        <v>-3</v>
      </c>
      <c r="T37">
        <f t="shared" si="2"/>
        <v>1</v>
      </c>
      <c r="U37" s="7">
        <f>IF($S37=0,0,G37*$S37*'O&amp;O - other input parameters'!$C$7)</f>
        <v>-0.48612984800688802</v>
      </c>
      <c r="V37" s="7">
        <f>IF($S37=0,0,H37*$S37*'O&amp;O - other input parameters'!$C$7)</f>
        <v>-2.3784277158764799E-2</v>
      </c>
    </row>
    <row r="38" spans="2:22" ht="14.65" thickBot="1" x14ac:dyDescent="0.5">
      <c r="B38" s="129" t="s">
        <v>374</v>
      </c>
      <c r="C38" t="str">
        <f>'VM-Gen Ent EPG (2)'!C40</f>
        <v>Comedy Central</v>
      </c>
      <c r="D38">
        <f t="shared" si="0"/>
        <v>1</v>
      </c>
      <c r="E38">
        <f>INDEX('VM-Gen Ent EPG (2)'!$A:$C,MATCH($C38,'VM-Gen Ent EPG (2)'!$C:$C,0),1)</f>
        <v>132</v>
      </c>
      <c r="F38">
        <f>INDEX('VM-Gen Ent EPG (2)'!$A:$C,MATCH($C38,'VM-Gen Ent EPG (2)'!$C:$C,0),2)</f>
        <v>32</v>
      </c>
      <c r="G38" s="73">
        <f>IF(AND($L38=0,$S38=0),"Not needed",(IF($B38="Not available",0,((INDEX('O&amp;O - Revenues &amp; viewing'!$B$6:$Z$237,MATCH($B38,'O&amp;O - Revenues &amp; viewing'!$B$6:$B$237,0),21))/1000000))))</f>
        <v>77.569800000000001</v>
      </c>
      <c r="H38" s="73">
        <f>IF(AND($L38=0,$S38=0),"Not needed",(IF($B38="Not available",0,((INDEX('O&amp;O - Revenues &amp; viewing'!$B$6:$Z$237,MATCH($B38,'O&amp;O - Revenues &amp; viewing'!$B$6:$B$237,0),25))/1000000))))</f>
        <v>3.7951621977423047</v>
      </c>
      <c r="I38" t="str">
        <f>IF(OR(N38&gt;0,U38&gt;0),(INDEX('O&amp;O - Revenues &amp; viewing'!$B$6:$AD$237,MATCH('Impacts - VM'!B38,'O&amp;O - Revenues &amp; viewing'!$B$6:$B$237,0),27))/1000000,"Not needed")</f>
        <v>Not needed</v>
      </c>
      <c r="J38">
        <f>INDEX('VM-Gen Ent EPG (2)'!$F:$H,MATCH($C38,'VM-Gen Ent EPG (2)'!$H:$H,0),1)</f>
        <v>134</v>
      </c>
      <c r="K38">
        <f>INDEX('VM-Gen Ent EPG (2)'!$F:$H,MATCH($C38,'VM-Gen Ent EPG (2)'!$H:$H,0),2)</f>
        <v>34</v>
      </c>
      <c r="L38">
        <f t="shared" si="3"/>
        <v>-2</v>
      </c>
      <c r="M38">
        <f t="shared" si="4"/>
        <v>1</v>
      </c>
      <c r="N38" s="7">
        <f>IF($L38=0,0,G38*$L38*'O&amp;O - other input parameters'!$C$7)</f>
        <v>-2.2995084423616414</v>
      </c>
      <c r="O38" s="7">
        <f>IF($L38=0,0,H38*$L38*'O&amp;O - other input parameters'!$C$7)</f>
        <v>-0.11250522128251189</v>
      </c>
      <c r="Q38">
        <f>INDEX('VM-Gen Ent EPG (2)'!$K:$M,MATCH($C38,'VM-Gen Ent EPG (2)'!$M:$M,0),1)</f>
        <v>135</v>
      </c>
      <c r="R38">
        <f>INDEX('VM-Gen Ent EPG (2)'!$K:$M,MATCH($C38,'VM-Gen Ent EPG (2)'!$M:$M,0),2)</f>
        <v>35</v>
      </c>
      <c r="S38">
        <f t="shared" si="1"/>
        <v>-3</v>
      </c>
      <c r="T38">
        <f t="shared" si="2"/>
        <v>1</v>
      </c>
      <c r="U38" s="7">
        <f>IF($S38=0,0,G38*$S38*'O&amp;O - other input parameters'!$C$7)</f>
        <v>-3.4492626635424628</v>
      </c>
      <c r="V38" s="7">
        <f>IF($S38=0,0,H38*$S38*'O&amp;O - other input parameters'!$C$7)</f>
        <v>-0.16875783192376786</v>
      </c>
    </row>
    <row r="39" spans="2:22" ht="14.65" thickBot="1" x14ac:dyDescent="0.5">
      <c r="B39" s="129" t="s">
        <v>411</v>
      </c>
      <c r="C39" t="str">
        <f>'VM-Gen Ent EPG (2)'!C41</f>
        <v>Comedy Central +1</v>
      </c>
      <c r="D39">
        <f t="shared" si="0"/>
        <v>1</v>
      </c>
      <c r="E39">
        <f>INDEX('VM-Gen Ent EPG (2)'!$A:$C,MATCH($C39,'VM-Gen Ent EPG (2)'!$C:$C,0),1)</f>
        <v>133</v>
      </c>
      <c r="F39">
        <f>INDEX('VM-Gen Ent EPG (2)'!$A:$C,MATCH($C39,'VM-Gen Ent EPG (2)'!$C:$C,0),2)</f>
        <v>33</v>
      </c>
      <c r="G39" s="73">
        <f>IF(AND($L39=0,$S39=0),"Not needed",(IF($B39="Not available",0,((INDEX('O&amp;O - Revenues &amp; viewing'!$B$6:$Z$237,MATCH($B39,'O&amp;O - Revenues &amp; viewing'!$B$6:$B$237,0),21))/1000000))))</f>
        <v>27.865559999999995</v>
      </c>
      <c r="H39" s="73">
        <f>IF(AND($L39=0,$S39=0),"Not needed",(IF($B39="Not available",0,((INDEX('O&amp;O - Revenues &amp; viewing'!$B$6:$Z$237,MATCH($B39,'O&amp;O - Revenues &amp; viewing'!$B$6:$B$237,0),25))/1000000))))</f>
        <v>1.3633439809168006</v>
      </c>
      <c r="I39" t="str">
        <f>IF(OR(N39&gt;0,U39&gt;0),(INDEX('O&amp;O - Revenues &amp; viewing'!$B$6:$AD$237,MATCH('Impacts - VM'!B39,'O&amp;O - Revenues &amp; viewing'!$B$6:$B$237,0),27))/1000000,"Not needed")</f>
        <v>Not needed</v>
      </c>
      <c r="J39">
        <f>INDEX('VM-Gen Ent EPG (2)'!$F:$H,MATCH($C39,'VM-Gen Ent EPG (2)'!$H:$H,0),1)</f>
        <v>135</v>
      </c>
      <c r="K39">
        <f>INDEX('VM-Gen Ent EPG (2)'!$F:$H,MATCH($C39,'VM-Gen Ent EPG (2)'!$H:$H,0),2)</f>
        <v>35</v>
      </c>
      <c r="L39">
        <f t="shared" si="3"/>
        <v>-2</v>
      </c>
      <c r="M39">
        <f t="shared" si="4"/>
        <v>1</v>
      </c>
      <c r="N39" s="7">
        <f>IF($L39=0,0,G39*$L39*'O&amp;O - other input parameters'!$C$7)</f>
        <v>-0.82605718296469566</v>
      </c>
      <c r="O39" s="7">
        <f>IF($L39=0,0,H39*$L39*'O&amp;O - other input parameters'!$C$7)</f>
        <v>-4.0415483783136114E-2</v>
      </c>
      <c r="Q39">
        <f>INDEX('VM-Gen Ent EPG (2)'!$K:$M,MATCH($C39,'VM-Gen Ent EPG (2)'!$M:$M,0),1)</f>
        <v>136</v>
      </c>
      <c r="R39">
        <f>INDEX('VM-Gen Ent EPG (2)'!$K:$M,MATCH($C39,'VM-Gen Ent EPG (2)'!$M:$M,0),2)</f>
        <v>36</v>
      </c>
      <c r="S39">
        <f t="shared" si="1"/>
        <v>-3</v>
      </c>
      <c r="T39">
        <f t="shared" si="2"/>
        <v>1</v>
      </c>
      <c r="U39" s="7">
        <f>IF($S39=0,0,G39*$S39*'O&amp;O - other input parameters'!$C$7)</f>
        <v>-1.2390857744470436</v>
      </c>
      <c r="V39" s="7">
        <f>IF($S39=0,0,H39*$S39*'O&amp;O - other input parameters'!$C$7)</f>
        <v>-6.062322567470417E-2</v>
      </c>
    </row>
    <row r="40" spans="2:22" ht="14.65" thickBot="1" x14ac:dyDescent="0.5">
      <c r="B40" s="129" t="s">
        <v>643</v>
      </c>
      <c r="C40" t="str">
        <f>'VM-Gen Ent EPG (2)'!C42</f>
        <v>MTV</v>
      </c>
      <c r="D40">
        <f t="shared" si="0"/>
        <v>1</v>
      </c>
      <c r="E40">
        <f>INDEX('VM-Gen Ent EPG (2)'!$A:$C,MATCH($C40,'VM-Gen Ent EPG (2)'!$C:$C,0),1)</f>
        <v>134</v>
      </c>
      <c r="F40">
        <f>INDEX('VM-Gen Ent EPG (2)'!$A:$C,MATCH($C40,'VM-Gen Ent EPG (2)'!$C:$C,0),2)</f>
        <v>34</v>
      </c>
      <c r="G40" s="73">
        <f>IF(AND($L40=0,$S40=0),"Not needed",(IF($B40="Not available",0,((INDEX('O&amp;O - Revenues &amp; viewing'!$B$6:$Z$237,MATCH($B40,'O&amp;O - Revenues &amp; viewing'!$B$6:$B$237,0),21))/1000000))))</f>
        <v>0</v>
      </c>
      <c r="H40" s="73">
        <f>IF(AND($L40=0,$S40=0),"Not needed",(IF($B40="Not available",0,((INDEX('O&amp;O - Revenues &amp; viewing'!$B$6:$Z$237,MATCH($B40,'O&amp;O - Revenues &amp; viewing'!$B$6:$B$237,0),25))/1000000))))</f>
        <v>0</v>
      </c>
      <c r="I40" t="str">
        <f>IF(OR(N40&gt;0,U40&gt;0),(INDEX('O&amp;O - Revenues &amp; viewing'!$B$6:$AD$237,MATCH('Impacts - VM'!B40,'O&amp;O - Revenues &amp; viewing'!$B$6:$B$237,0),27))/1000000,"Not needed")</f>
        <v>Not needed</v>
      </c>
      <c r="J40">
        <f>INDEX('VM-Gen Ent EPG (2)'!$F:$H,MATCH($C40,'VM-Gen Ent EPG (2)'!$H:$H,0),1)</f>
        <v>136</v>
      </c>
      <c r="K40">
        <f>INDEX('VM-Gen Ent EPG (2)'!$F:$H,MATCH($C40,'VM-Gen Ent EPG (2)'!$H:$H,0),2)</f>
        <v>36</v>
      </c>
      <c r="L40">
        <f t="shared" si="3"/>
        <v>-2</v>
      </c>
      <c r="M40">
        <f t="shared" si="4"/>
        <v>1</v>
      </c>
      <c r="N40" s="7">
        <f>IF($L40=0,0,G40*$L40*'O&amp;O - other input parameters'!$C$7)</f>
        <v>0</v>
      </c>
      <c r="O40" s="7">
        <f>IF($L40=0,0,H40*$L40*'O&amp;O - other input parameters'!$C$7)</f>
        <v>0</v>
      </c>
      <c r="Q40">
        <f>INDEX('VM-Gen Ent EPG (2)'!$K:$M,MATCH($C40,'VM-Gen Ent EPG (2)'!$M:$M,0),1)</f>
        <v>137</v>
      </c>
      <c r="R40">
        <f>INDEX('VM-Gen Ent EPG (2)'!$K:$M,MATCH($C40,'VM-Gen Ent EPG (2)'!$M:$M,0),2)</f>
        <v>37</v>
      </c>
      <c r="S40">
        <f t="shared" si="1"/>
        <v>-3</v>
      </c>
      <c r="T40">
        <f t="shared" si="2"/>
        <v>1</v>
      </c>
      <c r="U40" s="7">
        <f>IF($S40=0,0,G40*$S40*'O&amp;O - other input parameters'!$C$7)</f>
        <v>0</v>
      </c>
      <c r="V40" s="7">
        <f>IF($S40=0,0,H40*$S40*'O&amp;O - other input parameters'!$C$7)</f>
        <v>0</v>
      </c>
    </row>
    <row r="41" spans="2:22" ht="14.65" thickBot="1" x14ac:dyDescent="0.5">
      <c r="B41" s="129" t="s">
        <v>136</v>
      </c>
      <c r="C41" t="str">
        <f>'VM-Gen Ent EPG (2)'!C43</f>
        <v>SYFY</v>
      </c>
      <c r="D41">
        <f t="shared" si="0"/>
        <v>1</v>
      </c>
      <c r="E41">
        <f>INDEX('VM-Gen Ent EPG (2)'!$A:$C,MATCH($C41,'VM-Gen Ent EPG (2)'!$C:$C,0),1)</f>
        <v>135</v>
      </c>
      <c r="F41">
        <f>INDEX('VM-Gen Ent EPG (2)'!$A:$C,MATCH($C41,'VM-Gen Ent EPG (2)'!$C:$C,0),2)</f>
        <v>35</v>
      </c>
      <c r="G41" s="73">
        <f>IF(AND($L41=0,$S41=0),"Not needed",(IF($B41="Not available",0,((INDEX('O&amp;O - Revenues &amp; viewing'!$B$6:$Z$237,MATCH($B41,'O&amp;O - Revenues &amp; viewing'!$B$6:$B$237,0),21))/1000000))))</f>
        <v>40.707720000000002</v>
      </c>
      <c r="H41" s="73">
        <f>IF(AND($L41=0,$S41=0),"Not needed",(IF($B41="Not available",0,((INDEX('O&amp;O - Revenues &amp; viewing'!$B$6:$Z$237,MATCH($B41,'O&amp;O - Revenues &amp; viewing'!$B$6:$B$237,0),25))/1000000))))</f>
        <v>1.991656548041614</v>
      </c>
      <c r="I41" t="str">
        <f>IF(OR(N41&gt;0,U41&gt;0),(INDEX('O&amp;O - Revenues &amp; viewing'!$B$6:$AD$237,MATCH('Impacts - VM'!B41,'O&amp;O - Revenues &amp; viewing'!$B$6:$B$237,0),27))/1000000,"Not needed")</f>
        <v>Not needed</v>
      </c>
      <c r="J41">
        <f>INDEX('VM-Gen Ent EPG (2)'!$F:$H,MATCH($C41,'VM-Gen Ent EPG (2)'!$H:$H,0),1)</f>
        <v>137</v>
      </c>
      <c r="K41">
        <f>INDEX('VM-Gen Ent EPG (2)'!$F:$H,MATCH($C41,'VM-Gen Ent EPG (2)'!$H:$H,0),2)</f>
        <v>37</v>
      </c>
      <c r="L41">
        <f t="shared" si="3"/>
        <v>-2</v>
      </c>
      <c r="M41">
        <f t="shared" si="4"/>
        <v>1</v>
      </c>
      <c r="N41" s="7">
        <f>IF($L41=0,0,G41*$L41*'O&amp;O - other input parameters'!$C$7)</f>
        <v>-1.2067550233376114</v>
      </c>
      <c r="O41" s="7">
        <f>IF($L41=0,0,H41*$L41*'O&amp;O - other input parameters'!$C$7)</f>
        <v>-5.9041418780331208E-2</v>
      </c>
      <c r="Q41">
        <f>INDEX('VM-Gen Ent EPG (2)'!$K:$M,MATCH($C41,'VM-Gen Ent EPG (2)'!$M:$M,0),1)</f>
        <v>138</v>
      </c>
      <c r="R41">
        <f>INDEX('VM-Gen Ent EPG (2)'!$K:$M,MATCH($C41,'VM-Gen Ent EPG (2)'!$M:$M,0),2)</f>
        <v>38</v>
      </c>
      <c r="S41">
        <f t="shared" si="1"/>
        <v>-3</v>
      </c>
      <c r="T41">
        <f t="shared" si="2"/>
        <v>1</v>
      </c>
      <c r="U41" s="7">
        <f>IF($S41=0,0,G41*$S41*'O&amp;O - other input parameters'!$C$7)</f>
        <v>-1.8101325350064172</v>
      </c>
      <c r="V41" s="7">
        <f>IF($S41=0,0,H41*$S41*'O&amp;O - other input parameters'!$C$7)</f>
        <v>-8.8562128170496815E-2</v>
      </c>
    </row>
    <row r="42" spans="2:22" ht="14.65" thickBot="1" x14ac:dyDescent="0.5">
      <c r="B42" s="129" t="s">
        <v>449</v>
      </c>
      <c r="C42" t="str">
        <f>'VM-Gen Ent EPG (2)'!C44</f>
        <v>SYFY +1</v>
      </c>
      <c r="D42">
        <f t="shared" si="0"/>
        <v>1</v>
      </c>
      <c r="E42">
        <f>INDEX('VM-Gen Ent EPG (2)'!$A:$C,MATCH($C42,'VM-Gen Ent EPG (2)'!$C:$C,0),1)</f>
        <v>136</v>
      </c>
      <c r="F42">
        <f>INDEX('VM-Gen Ent EPG (2)'!$A:$C,MATCH($C42,'VM-Gen Ent EPG (2)'!$C:$C,0),2)</f>
        <v>36</v>
      </c>
      <c r="G42" s="73">
        <f>IF(AND($L42=0,$S42=0),"Not needed",(IF($B42="Not available",0,((INDEX('O&amp;O - Revenues &amp; viewing'!$B$6:$Z$237,MATCH($B42,'O&amp;O - Revenues &amp; viewing'!$B$6:$B$237,0),21))/1000000))))</f>
        <v>12.430439999999997</v>
      </c>
      <c r="H42" s="73">
        <f>IF(AND($L42=0,$S42=0),"Not needed",(IF($B42="Not available",0,((INDEX('O&amp;O - Revenues &amp; viewing'!$B$6:$Z$237,MATCH($B42,'O&amp;O - Revenues &amp; viewing'!$B$6:$B$237,0),25))/1000000))))</f>
        <v>0.60816884907920155</v>
      </c>
      <c r="I42" t="str">
        <f>IF(OR(N42&gt;0,U42&gt;0),(INDEX('O&amp;O - Revenues &amp; viewing'!$B$6:$AD$237,MATCH('Impacts - VM'!B42,'O&amp;O - Revenues &amp; viewing'!$B$6:$B$237,0),27))/1000000,"Not needed")</f>
        <v>Not needed</v>
      </c>
      <c r="J42">
        <f>INDEX('VM-Gen Ent EPG (2)'!$F:$H,MATCH($C42,'VM-Gen Ent EPG (2)'!$H:$H,0),1)</f>
        <v>138</v>
      </c>
      <c r="K42">
        <f>INDEX('VM-Gen Ent EPG (2)'!$F:$H,MATCH($C42,'VM-Gen Ent EPG (2)'!$H:$H,0),2)</f>
        <v>38</v>
      </c>
      <c r="L42">
        <f t="shared" si="3"/>
        <v>-2</v>
      </c>
      <c r="M42">
        <f t="shared" si="4"/>
        <v>1</v>
      </c>
      <c r="N42" s="7">
        <f>IF($L42=0,0,G42*$L42*'O&amp;O - other input parameters'!$C$7)</f>
        <v>-0.36849265722316982</v>
      </c>
      <c r="O42" s="7">
        <f>IF($L42=0,0,H42*$L42*'O&amp;O - other input parameters'!$C$7)</f>
        <v>-1.8028787012973953E-2</v>
      </c>
      <c r="Q42">
        <f>INDEX('VM-Gen Ent EPG (2)'!$K:$M,MATCH($C42,'VM-Gen Ent EPG (2)'!$M:$M,0),1)</f>
        <v>139</v>
      </c>
      <c r="R42">
        <f>INDEX('VM-Gen Ent EPG (2)'!$K:$M,MATCH($C42,'VM-Gen Ent EPG (2)'!$M:$M,0),2)</f>
        <v>39</v>
      </c>
      <c r="S42">
        <f t="shared" si="1"/>
        <v>-3</v>
      </c>
      <c r="T42">
        <f t="shared" si="2"/>
        <v>1</v>
      </c>
      <c r="U42" s="7">
        <f>IF($S42=0,0,G42*$S42*'O&amp;O - other input parameters'!$C$7)</f>
        <v>-0.55273898583475467</v>
      </c>
      <c r="V42" s="7">
        <f>IF($S42=0,0,H42*$S42*'O&amp;O - other input parameters'!$C$7)</f>
        <v>-2.7043180519460929E-2</v>
      </c>
    </row>
    <row r="43" spans="2:22" ht="14.65" thickBot="1" x14ac:dyDescent="0.5">
      <c r="B43" s="129" t="s">
        <v>378</v>
      </c>
      <c r="C43" t="str">
        <f>'VM-Gen Ent EPG (2)'!C45</f>
        <v>Universal TV</v>
      </c>
      <c r="D43">
        <f t="shared" si="0"/>
        <v>1</v>
      </c>
      <c r="E43">
        <f>INDEX('VM-Gen Ent EPG (2)'!$A:$C,MATCH($C43,'VM-Gen Ent EPG (2)'!$C:$C,0),1)</f>
        <v>137</v>
      </c>
      <c r="F43">
        <f>INDEX('VM-Gen Ent EPG (2)'!$A:$C,MATCH($C43,'VM-Gen Ent EPG (2)'!$C:$C,0),2)</f>
        <v>37</v>
      </c>
      <c r="G43" s="73">
        <f>IF(AND($L43=0,$S43=0),"Not needed",(IF($B43="Not available",0,((INDEX('O&amp;O - Revenues &amp; viewing'!$B$6:$Z$237,MATCH($B43,'O&amp;O - Revenues &amp; viewing'!$B$6:$B$237,0),21))/1000000))))</f>
        <v>65.603639999999999</v>
      </c>
      <c r="H43" s="73">
        <f>IF(AND($L43=0,$S43=0),"Not needed",(IF($B43="Not available",0,((INDEX('O&amp;O - Revenues &amp; viewing'!$B$6:$Z$237,MATCH($B43,'O&amp;O - Revenues &amp; viewing'!$B$6:$B$237,0),25))/1000000))))</f>
        <v>3.2097086051826222</v>
      </c>
      <c r="I43" t="str">
        <f>IF(OR(N43&gt;0,U43&gt;0),(INDEX('O&amp;O - Revenues &amp; viewing'!$B$6:$AD$237,MATCH('Impacts - VM'!B43,'O&amp;O - Revenues &amp; viewing'!$B$6:$B$237,0),27))/1000000,"Not needed")</f>
        <v>Not needed</v>
      </c>
      <c r="J43">
        <f>INDEX('VM-Gen Ent EPG (2)'!$F:$H,MATCH($C43,'VM-Gen Ent EPG (2)'!$H:$H,0),1)</f>
        <v>139</v>
      </c>
      <c r="K43">
        <f>INDEX('VM-Gen Ent EPG (2)'!$F:$H,MATCH($C43,'VM-Gen Ent EPG (2)'!$H:$H,0),2)</f>
        <v>39</v>
      </c>
      <c r="L43">
        <f t="shared" si="3"/>
        <v>-2</v>
      </c>
      <c r="M43">
        <f t="shared" si="4"/>
        <v>1</v>
      </c>
      <c r="N43" s="7">
        <f>IF($L43=0,0,G43*$L43*'O&amp;O - other input parameters'!$C$7)</f>
        <v>-1.9447790767754187</v>
      </c>
      <c r="O43" s="7">
        <f>IF($L43=0,0,H43*$L43*'O&amp;O - other input parameters'!$C$7)</f>
        <v>-9.5149813911319214E-2</v>
      </c>
      <c r="Q43">
        <f>INDEX('VM-Gen Ent EPG (2)'!$K:$M,MATCH($C43,'VM-Gen Ent EPG (2)'!$M:$M,0),1)</f>
        <v>140</v>
      </c>
      <c r="R43">
        <f>INDEX('VM-Gen Ent EPG (2)'!$K:$M,MATCH($C43,'VM-Gen Ent EPG (2)'!$M:$M,0),2)</f>
        <v>40</v>
      </c>
      <c r="S43">
        <f t="shared" si="1"/>
        <v>-3</v>
      </c>
      <c r="T43">
        <f t="shared" si="2"/>
        <v>1</v>
      </c>
      <c r="U43" s="7">
        <f>IF($S43=0,0,G43*$S43*'O&amp;O - other input parameters'!$C$7)</f>
        <v>-2.9171686151631282</v>
      </c>
      <c r="V43" s="7">
        <f>IF($S43=0,0,H43*$S43*'O&amp;O - other input parameters'!$C$7)</f>
        <v>-0.14272472086697879</v>
      </c>
    </row>
    <row r="44" spans="2:22" ht="14.65" thickBot="1" x14ac:dyDescent="0.5">
      <c r="B44" s="129" t="s">
        <v>420</v>
      </c>
      <c r="C44" t="str">
        <f>'VM-Gen Ent EPG (2)'!C46</f>
        <v>Universal TV +1</v>
      </c>
      <c r="D44">
        <f t="shared" si="0"/>
        <v>1</v>
      </c>
      <c r="E44">
        <f>INDEX('VM-Gen Ent EPG (2)'!$A:$C,MATCH($C44,'VM-Gen Ent EPG (2)'!$C:$C,0),1)</f>
        <v>138</v>
      </c>
      <c r="F44">
        <f>INDEX('VM-Gen Ent EPG (2)'!$A:$C,MATCH($C44,'VM-Gen Ent EPG (2)'!$C:$C,0),2)</f>
        <v>38</v>
      </c>
      <c r="G44" s="73">
        <f>IF(AND($L44=0,$S44=0),"Not needed",(IF($B44="Not available",0,((INDEX('O&amp;O - Revenues &amp; viewing'!$B$6:$Z$237,MATCH($B44,'O&amp;O - Revenues &amp; viewing'!$B$6:$B$237,0),21))/1000000))))</f>
        <v>28.785360000000001</v>
      </c>
      <c r="H44" s="73">
        <f>IF(AND($L44=0,$S44=0),"Not needed",(IF($B44="Not available",0,((INDEX('O&amp;O - Revenues &amp; viewing'!$B$6:$Z$237,MATCH($B44,'O&amp;O - Revenues &amp; viewing'!$B$6:$B$237,0),25))/1000000))))</f>
        <v>1.408345904210188</v>
      </c>
      <c r="I44" t="str">
        <f>IF(OR(N44&gt;0,U44&gt;0),(INDEX('O&amp;O - Revenues &amp; viewing'!$B$6:$AD$237,MATCH('Impacts - VM'!B44,'O&amp;O - Revenues &amp; viewing'!$B$6:$B$237,0),27))/1000000,"Not needed")</f>
        <v>Not needed</v>
      </c>
      <c r="J44">
        <f>INDEX('VM-Gen Ent EPG (2)'!$F:$H,MATCH($C44,'VM-Gen Ent EPG (2)'!$H:$H,0),1)</f>
        <v>140</v>
      </c>
      <c r="K44">
        <f>INDEX('VM-Gen Ent EPG (2)'!$F:$H,MATCH($C44,'VM-Gen Ent EPG (2)'!$H:$H,0),2)</f>
        <v>40</v>
      </c>
      <c r="L44">
        <f t="shared" si="3"/>
        <v>-2</v>
      </c>
      <c r="M44">
        <f t="shared" si="4"/>
        <v>1</v>
      </c>
      <c r="N44" s="7">
        <f>IF($L44=0,0,G44*$L44*'O&amp;O - other input parameters'!$C$7)</f>
        <v>-0.85332408149072325</v>
      </c>
      <c r="O44" s="7">
        <f>IF($L44=0,0,H44*$L44*'O&amp;O - other input parameters'!$C$7)</f>
        <v>-4.1749537790438641E-2</v>
      </c>
      <c r="Q44">
        <f>INDEX('VM-Gen Ent EPG (2)'!$K:$M,MATCH($C44,'VM-Gen Ent EPG (2)'!$M:$M,0),1)</f>
        <v>141</v>
      </c>
      <c r="R44">
        <f>INDEX('VM-Gen Ent EPG (2)'!$K:$M,MATCH($C44,'VM-Gen Ent EPG (2)'!$M:$M,0),2)</f>
        <v>41</v>
      </c>
      <c r="S44">
        <f t="shared" si="1"/>
        <v>-3</v>
      </c>
      <c r="T44">
        <f t="shared" si="2"/>
        <v>1</v>
      </c>
      <c r="U44" s="7">
        <f>IF($S44=0,0,G44*$S44*'O&amp;O - other input parameters'!$C$7)</f>
        <v>-1.2799861222360849</v>
      </c>
      <c r="V44" s="7">
        <f>IF($S44=0,0,H44*$S44*'O&amp;O - other input parameters'!$C$7)</f>
        <v>-6.2624306685657952E-2</v>
      </c>
    </row>
    <row r="45" spans="2:22" ht="14.65" thickBot="1" x14ac:dyDescent="0.5">
      <c r="B45" s="129" t="s">
        <v>363</v>
      </c>
      <c r="C45" t="str">
        <f>'VM-Gen Ent EPG (2)'!C47</f>
        <v>Challenge</v>
      </c>
      <c r="D45">
        <f t="shared" si="0"/>
        <v>1</v>
      </c>
      <c r="E45">
        <f>INDEX('VM-Gen Ent EPG (2)'!$A:$C,MATCH($C45,'VM-Gen Ent EPG (2)'!$C:$C,0),1)</f>
        <v>139</v>
      </c>
      <c r="F45">
        <f>INDEX('VM-Gen Ent EPG (2)'!$A:$C,MATCH($C45,'VM-Gen Ent EPG (2)'!$C:$C,0),2)</f>
        <v>39</v>
      </c>
      <c r="G45" s="73">
        <f>IF(AND($L45=0,$S45=0),"Not needed",(IF($B45="Not available",0,((INDEX('O&amp;O - Revenues &amp; viewing'!$B$6:$Z$237,MATCH($B45,'O&amp;O - Revenues &amp; viewing'!$B$6:$B$237,0),21))/1000000))))</f>
        <v>58.087560000000011</v>
      </c>
      <c r="H45" s="73">
        <f>IF(AND($L45=0,$S45=0),"Not needed",(IF($B45="Not available",0,((INDEX('O&amp;O - Revenues &amp; viewing'!$B$6:$Z$237,MATCH($B45,'O&amp;O - Revenues &amp; viewing'!$B$6:$B$237,0),25))/1000000))))</f>
        <v>2.841978603413803</v>
      </c>
      <c r="I45" t="str">
        <f>IF(OR(N45&gt;0,U45&gt;0),(INDEX('O&amp;O - Revenues &amp; viewing'!$B$6:$AD$237,MATCH('Impacts - VM'!B45,'O&amp;O - Revenues &amp; viewing'!$B$6:$B$237,0),27))/1000000,"Not needed")</f>
        <v>Not needed</v>
      </c>
      <c r="J45">
        <f>INDEX('VM-Gen Ent EPG (2)'!$F:$H,MATCH($C45,'VM-Gen Ent EPG (2)'!$H:$H,0),1)</f>
        <v>141</v>
      </c>
      <c r="K45">
        <f>INDEX('VM-Gen Ent EPG (2)'!$F:$H,MATCH($C45,'VM-Gen Ent EPG (2)'!$H:$H,0),2)</f>
        <v>41</v>
      </c>
      <c r="L45">
        <f t="shared" si="3"/>
        <v>-2</v>
      </c>
      <c r="M45">
        <f t="shared" si="4"/>
        <v>1</v>
      </c>
      <c r="N45" s="7">
        <f>IF($L45=0,0,G45*$L45*'O&amp;O - other input parameters'!$C$7)</f>
        <v>-1.7219695631055956</v>
      </c>
      <c r="O45" s="7">
        <f>IF($L45=0,0,H45*$L45*'O&amp;O - other input parameters'!$C$7)</f>
        <v>-8.4248686880218693E-2</v>
      </c>
      <c r="Q45">
        <f>INDEX('VM-Gen Ent EPG (2)'!$K:$M,MATCH($C45,'VM-Gen Ent EPG (2)'!$M:$M,0),1)</f>
        <v>142</v>
      </c>
      <c r="R45">
        <f>INDEX('VM-Gen Ent EPG (2)'!$K:$M,MATCH($C45,'VM-Gen Ent EPG (2)'!$M:$M,0),2)</f>
        <v>42</v>
      </c>
      <c r="S45">
        <f t="shared" si="1"/>
        <v>-3</v>
      </c>
      <c r="T45">
        <f t="shared" si="2"/>
        <v>1</v>
      </c>
      <c r="U45" s="7">
        <f>IF($S45=0,0,G45*$S45*'O&amp;O - other input parameters'!$C$7)</f>
        <v>-2.5829543446583934</v>
      </c>
      <c r="V45" s="7">
        <f>IF($S45=0,0,H45*$S45*'O&amp;O - other input parameters'!$C$7)</f>
        <v>-0.12637303032032804</v>
      </c>
    </row>
    <row r="46" spans="2:22" ht="14.65" thickBot="1" x14ac:dyDescent="0.5">
      <c r="B46" s="129" t="s">
        <v>422</v>
      </c>
      <c r="C46" t="str">
        <f>'VM-Gen Ent EPG (2)'!C48</f>
        <v>Sky Witness +1</v>
      </c>
      <c r="D46">
        <f t="shared" si="0"/>
        <v>1</v>
      </c>
      <c r="E46">
        <f>INDEX('VM-Gen Ent EPG (2)'!$A:$C,MATCH($C46,'VM-Gen Ent EPG (2)'!$C:$C,0),1)</f>
        <v>140</v>
      </c>
      <c r="F46">
        <f>INDEX('VM-Gen Ent EPG (2)'!$A:$C,MATCH($C46,'VM-Gen Ent EPG (2)'!$C:$C,0),2)</f>
        <v>40</v>
      </c>
      <c r="G46" s="73">
        <f>IF(AND($L46=0,$S46=0),"Not needed",(IF($B46="Not available",0,((INDEX('O&amp;O - Revenues &amp; viewing'!$B$6:$Z$237,MATCH($B46,'O&amp;O - Revenues &amp; viewing'!$B$6:$B$237,0),21))/1000000))))</f>
        <v>11.9574</v>
      </c>
      <c r="H46" s="73">
        <f>IF(AND($L46=0,$S46=0),"Not needed",(IF($B46="Not available",0,((INDEX('O&amp;O - Revenues &amp; viewing'!$B$6:$Z$237,MATCH($B46,'O&amp;O - Revenues &amp; viewing'!$B$6:$B$237,0),25))/1000000))))</f>
        <v>1.4023900935416109</v>
      </c>
      <c r="I46" t="str">
        <f>IF(OR(N46&gt;0,U46&gt;0),(INDEX('O&amp;O - Revenues &amp; viewing'!$B$6:$AD$237,MATCH('Impacts - VM'!B46,'O&amp;O - Revenues &amp; viewing'!$B$6:$B$237,0),27))/1000000,"Not needed")</f>
        <v>Not needed</v>
      </c>
      <c r="J46">
        <f>INDEX('VM-Gen Ent EPG (2)'!$F:$H,MATCH($C46,'VM-Gen Ent EPG (2)'!$H:$H,0),1)</f>
        <v>142</v>
      </c>
      <c r="K46">
        <f>INDEX('VM-Gen Ent EPG (2)'!$F:$H,MATCH($C46,'VM-Gen Ent EPG (2)'!$H:$H,0),2)</f>
        <v>42</v>
      </c>
      <c r="L46">
        <f t="shared" si="3"/>
        <v>-2</v>
      </c>
      <c r="M46">
        <f t="shared" si="4"/>
        <v>1</v>
      </c>
      <c r="N46" s="7">
        <f>IF($L46=0,0,G46*$L46*'O&amp;O - other input parameters'!$C$7)</f>
        <v>-0.35446968083835578</v>
      </c>
      <c r="O46" s="7">
        <f>IF($L46=0,0,H46*$L46*'O&amp;O - other input parameters'!$C$7)</f>
        <v>-4.1572981490003408E-2</v>
      </c>
      <c r="Q46">
        <f>INDEX('VM-Gen Ent EPG (2)'!$K:$M,MATCH($C46,'VM-Gen Ent EPG (2)'!$M:$M,0),1)</f>
        <v>143</v>
      </c>
      <c r="R46">
        <f>INDEX('VM-Gen Ent EPG (2)'!$K:$M,MATCH($C46,'VM-Gen Ent EPG (2)'!$M:$M,0),2)</f>
        <v>43</v>
      </c>
      <c r="S46">
        <f t="shared" si="1"/>
        <v>-3</v>
      </c>
      <c r="T46">
        <f t="shared" si="2"/>
        <v>1</v>
      </c>
      <c r="U46" s="7">
        <f>IF($S46=0,0,G46*$S46*'O&amp;O - other input parameters'!$C$7)</f>
        <v>-0.53170452125753376</v>
      </c>
      <c r="V46" s="7">
        <f>IF($S46=0,0,H46*$S46*'O&amp;O - other input parameters'!$C$7)</f>
        <v>-6.2359472235005126E-2</v>
      </c>
    </row>
    <row r="47" spans="2:22" ht="14.65" thickBot="1" x14ac:dyDescent="0.5">
      <c r="B47" s="129" t="s">
        <v>643</v>
      </c>
      <c r="C47" t="str">
        <f>'VM-Gen Ent EPG (2)'!C49</f>
        <v>Channel 4 HD</v>
      </c>
      <c r="D47">
        <f t="shared" si="0"/>
        <v>1</v>
      </c>
      <c r="E47">
        <f>INDEX('VM-Gen Ent EPG (2)'!$A:$C,MATCH($C47,'VM-Gen Ent EPG (2)'!$C:$C,0),1)</f>
        <v>141</v>
      </c>
      <c r="F47">
        <f>INDEX('VM-Gen Ent EPG (2)'!$A:$C,MATCH($C47,'VM-Gen Ent EPG (2)'!$C:$C,0),2)</f>
        <v>41</v>
      </c>
      <c r="G47" s="73">
        <f>IF(AND($L47=0,$S47=0),"Not needed",(IF($B47="Not available",0,((INDEX('O&amp;O - Revenues &amp; viewing'!$B$6:$Z$237,MATCH($B47,'O&amp;O - Revenues &amp; viewing'!$B$6:$B$237,0),21))/1000000))))</f>
        <v>0</v>
      </c>
      <c r="H47" s="73">
        <f>IF(AND($L47=0,$S47=0),"Not needed",(IF($B47="Not available",0,((INDEX('O&amp;O - Revenues &amp; viewing'!$B$6:$Z$237,MATCH($B47,'O&amp;O - Revenues &amp; viewing'!$B$6:$B$237,0),25))/1000000))))</f>
        <v>0</v>
      </c>
      <c r="I47" t="str">
        <f>IF(OR(N47&gt;0,U47&gt;0),(INDEX('O&amp;O - Revenues &amp; viewing'!$B$6:$AD$237,MATCH('Impacts - VM'!B47,'O&amp;O - Revenues &amp; viewing'!$B$6:$B$237,0),27))/1000000,"Not needed")</f>
        <v>Not needed</v>
      </c>
      <c r="J47">
        <f>INDEX('VM-Gen Ent EPG (2)'!$F:$H,MATCH($C47,'VM-Gen Ent EPG (2)'!$H:$H,0),1)</f>
        <v>143</v>
      </c>
      <c r="K47">
        <f>INDEX('VM-Gen Ent EPG (2)'!$F:$H,MATCH($C47,'VM-Gen Ent EPG (2)'!$H:$H,0),2)</f>
        <v>43</v>
      </c>
      <c r="L47">
        <f t="shared" si="3"/>
        <v>-2</v>
      </c>
      <c r="M47">
        <f t="shared" si="4"/>
        <v>1</v>
      </c>
      <c r="N47" s="7">
        <f>IF($L47=0,0,G47*$L47*'O&amp;O - other input parameters'!$C$7)</f>
        <v>0</v>
      </c>
      <c r="O47" s="7">
        <f>IF($L47=0,0,H47*$L47*'O&amp;O - other input parameters'!$C$7)</f>
        <v>0</v>
      </c>
      <c r="Q47">
        <f>INDEX('VM-Gen Ent EPG (2)'!$K:$M,MATCH($C47,'VM-Gen Ent EPG (2)'!$M:$M,0),1)</f>
        <v>145</v>
      </c>
      <c r="R47">
        <f>INDEX('VM-Gen Ent EPG (2)'!$K:$M,MATCH($C47,'VM-Gen Ent EPG (2)'!$M:$M,0),2)</f>
        <v>44</v>
      </c>
      <c r="S47">
        <f t="shared" si="1"/>
        <v>-3</v>
      </c>
      <c r="T47">
        <f t="shared" si="2"/>
        <v>1</v>
      </c>
      <c r="U47" s="7">
        <f>IF($S47=0,0,G47*$S47*'O&amp;O - other input parameters'!$C$7)</f>
        <v>0</v>
      </c>
      <c r="V47" s="7">
        <f>IF($S47=0,0,H47*$S47*'O&amp;O - other input parameters'!$C$7)</f>
        <v>0</v>
      </c>
    </row>
    <row r="48" spans="2:22" ht="14.65" thickBot="1" x14ac:dyDescent="0.5">
      <c r="B48" s="129" t="s">
        <v>360</v>
      </c>
      <c r="C48" t="str">
        <f>'VM-Gen Ent EPG (2)'!C50</f>
        <v>Channel 4 +1</v>
      </c>
      <c r="D48">
        <f t="shared" si="0"/>
        <v>1</v>
      </c>
      <c r="E48">
        <f>INDEX('VM-Gen Ent EPG (2)'!$A:$C,MATCH($C48,'VM-Gen Ent EPG (2)'!$C:$C,0),1)</f>
        <v>142</v>
      </c>
      <c r="F48">
        <f>INDEX('VM-Gen Ent EPG (2)'!$A:$C,MATCH($C48,'VM-Gen Ent EPG (2)'!$C:$C,0),2)</f>
        <v>42</v>
      </c>
      <c r="G48" s="73">
        <f>IF(AND($L48=0,$S48=0),"Not needed",(IF($B48="Not available",0,((INDEX('O&amp;O - Revenues &amp; viewing'!$B$6:$Z$237,MATCH($B48,'O&amp;O - Revenues &amp; viewing'!$B$6:$B$237,0),21))/1000000))))</f>
        <v>55.039079999999998</v>
      </c>
      <c r="H48" s="73">
        <f>IF(AND($L48=0,$S48=0),"Not needed",(IF($B48="Not available",0,((INDEX('O&amp;O - Revenues &amp; viewing'!$B$6:$Z$237,MATCH($B48,'O&amp;O - Revenues &amp; viewing'!$B$6:$B$237,0),25))/1000000))))</f>
        <v>7.5033567736227997</v>
      </c>
      <c r="I48" t="str">
        <f>IF(OR(N48&gt;0,U48&gt;0),(INDEX('O&amp;O - Revenues &amp; viewing'!$B$6:$AD$237,MATCH('Impacts - VM'!B48,'O&amp;O - Revenues &amp; viewing'!$B$6:$B$237,0),27))/1000000,"Not needed")</f>
        <v>Not needed</v>
      </c>
      <c r="J48">
        <f>INDEX('VM-Gen Ent EPG (2)'!$F:$H,MATCH($C48,'VM-Gen Ent EPG (2)'!$H:$H,0),1)</f>
        <v>145</v>
      </c>
      <c r="K48">
        <f>INDEX('VM-Gen Ent EPG (2)'!$F:$H,MATCH($C48,'VM-Gen Ent EPG (2)'!$H:$H,0),2)</f>
        <v>44</v>
      </c>
      <c r="L48">
        <f t="shared" si="3"/>
        <v>-2</v>
      </c>
      <c r="M48">
        <f t="shared" si="4"/>
        <v>1</v>
      </c>
      <c r="N48" s="7">
        <f>IF($L48=0,0,G48*$L48*'O&amp;O - other input parameters'!$C$7)</f>
        <v>-1.6315992708479043</v>
      </c>
      <c r="O48" s="7">
        <f>IF($L48=0,0,H48*$L48*'O&amp;O - other input parameters'!$C$7)</f>
        <v>-0.22243234154267558</v>
      </c>
      <c r="Q48">
        <f>INDEX('VM-Gen Ent EPG (2)'!$K:$M,MATCH($C48,'VM-Gen Ent EPG (2)'!$M:$M,0),1)</f>
        <v>146</v>
      </c>
      <c r="R48">
        <f>INDEX('VM-Gen Ent EPG (2)'!$K:$M,MATCH($C48,'VM-Gen Ent EPG (2)'!$M:$M,0),2)</f>
        <v>45</v>
      </c>
      <c r="S48">
        <f t="shared" si="1"/>
        <v>-3</v>
      </c>
      <c r="T48">
        <f t="shared" si="2"/>
        <v>1</v>
      </c>
      <c r="U48" s="7">
        <f>IF($S48=0,0,G48*$S48*'O&amp;O - other input parameters'!$C$7)</f>
        <v>-2.4473989062718564</v>
      </c>
      <c r="V48" s="7">
        <f>IF($S48=0,0,H48*$S48*'O&amp;O - other input parameters'!$C$7)</f>
        <v>-0.33364851231401338</v>
      </c>
    </row>
    <row r="49" spans="1:22" ht="14.65" thickBot="1" x14ac:dyDescent="0.5">
      <c r="B49" s="129" t="s">
        <v>376</v>
      </c>
      <c r="C49" t="str">
        <f>'VM-Gen Ent EPG (2)'!C51</f>
        <v>4Seven</v>
      </c>
      <c r="D49">
        <f t="shared" si="0"/>
        <v>1</v>
      </c>
      <c r="E49">
        <f>INDEX('VM-Gen Ent EPG (2)'!$A:$C,MATCH($C49,'VM-Gen Ent EPG (2)'!$C:$C,0),1)</f>
        <v>143</v>
      </c>
      <c r="F49">
        <f>INDEX('VM-Gen Ent EPG (2)'!$A:$C,MATCH($C49,'VM-Gen Ent EPG (2)'!$C:$C,0),2)</f>
        <v>43</v>
      </c>
      <c r="G49" s="73">
        <f>IF(AND($L49=0,$S49=0),"Not needed",(IF($B49="Not available",0,((INDEX('O&amp;O - Revenues &amp; viewing'!$B$6:$Z$237,MATCH($B49,'O&amp;O - Revenues &amp; viewing'!$B$6:$B$237,0),21))/1000000))))</f>
        <v>53.567399999999992</v>
      </c>
      <c r="H49" s="73">
        <f>IF(AND($L49=0,$S49=0),"Not needed",(IF($B49="Not available",0,((INDEX('O&amp;O - Revenues &amp; viewing'!$B$6:$Z$237,MATCH($B49,'O&amp;O - Revenues &amp; viewing'!$B$6:$B$237,0),25))/1000000))))</f>
        <v>4.4007273504611941</v>
      </c>
      <c r="I49" t="str">
        <f>IF(OR(N49&gt;0,U49&gt;0),(INDEX('O&amp;O - Revenues &amp; viewing'!$B$6:$AD$237,MATCH('Impacts - VM'!B49,'O&amp;O - Revenues &amp; viewing'!$B$6:$B$237,0),27))/1000000,"Not needed")</f>
        <v>Not needed</v>
      </c>
      <c r="J49">
        <f>INDEX('VM-Gen Ent EPG (2)'!$F:$H,MATCH($C49,'VM-Gen Ent EPG (2)'!$H:$H,0),1)</f>
        <v>146</v>
      </c>
      <c r="K49">
        <f>INDEX('VM-Gen Ent EPG (2)'!$F:$H,MATCH($C49,'VM-Gen Ent EPG (2)'!$H:$H,0),2)</f>
        <v>45</v>
      </c>
      <c r="L49">
        <f t="shared" si="3"/>
        <v>-2</v>
      </c>
      <c r="M49">
        <f t="shared" si="4"/>
        <v>1</v>
      </c>
      <c r="N49" s="7">
        <f>IF($L49=0,0,G49*$L49*'O&amp;O - other input parameters'!$C$7)</f>
        <v>-1.5879722332062605</v>
      </c>
      <c r="O49" s="7">
        <f>IF($L49=0,0,H49*$L49*'O&amp;O - other input parameters'!$C$7)</f>
        <v>-0.130456823337398</v>
      </c>
      <c r="Q49">
        <f>INDEX('VM-Gen Ent EPG (2)'!$K:$M,MATCH($C49,'VM-Gen Ent EPG (2)'!$M:$M,0),1)</f>
        <v>147</v>
      </c>
      <c r="R49">
        <f>INDEX('VM-Gen Ent EPG (2)'!$K:$M,MATCH($C49,'VM-Gen Ent EPG (2)'!$M:$M,0),2)</f>
        <v>46</v>
      </c>
      <c r="S49">
        <f t="shared" si="1"/>
        <v>-3</v>
      </c>
      <c r="T49">
        <f t="shared" si="2"/>
        <v>1</v>
      </c>
      <c r="U49" s="7">
        <f>IF($S49=0,0,G49*$S49*'O&amp;O - other input parameters'!$C$7)</f>
        <v>-2.3819583498093908</v>
      </c>
      <c r="V49" s="7">
        <f>IF($S49=0,0,H49*$S49*'O&amp;O - other input parameters'!$C$7)</f>
        <v>-0.19568523500609697</v>
      </c>
    </row>
    <row r="50" spans="1:22" ht="14.65" thickBot="1" x14ac:dyDescent="0.5">
      <c r="B50" s="129" t="s">
        <v>643</v>
      </c>
      <c r="C50" t="str">
        <f>'VM-Gen Ent EPG (2)'!C52</f>
        <v>E4 HD</v>
      </c>
      <c r="D50">
        <f t="shared" si="0"/>
        <v>1</v>
      </c>
      <c r="E50">
        <f>INDEX('VM-Gen Ent EPG (2)'!$A:$C,MATCH($C50,'VM-Gen Ent EPG (2)'!$C:$C,0),1)</f>
        <v>145</v>
      </c>
      <c r="F50">
        <f>INDEX('VM-Gen Ent EPG (2)'!$A:$C,MATCH($C50,'VM-Gen Ent EPG (2)'!$C:$C,0),2)</f>
        <v>44</v>
      </c>
      <c r="G50" s="73">
        <f>IF(AND($L50=0,$S50=0),"Not needed",(IF($B50="Not available",0,((INDEX('O&amp;O - Revenues &amp; viewing'!$B$6:$Z$237,MATCH($B50,'O&amp;O - Revenues &amp; viewing'!$B$6:$B$237,0),21))/1000000))))</f>
        <v>0</v>
      </c>
      <c r="H50" s="73">
        <f>IF(AND($L50=0,$S50=0),"Not needed",(IF($B50="Not available",0,((INDEX('O&amp;O - Revenues &amp; viewing'!$B$6:$Z$237,MATCH($B50,'O&amp;O - Revenues &amp; viewing'!$B$6:$B$237,0),25))/1000000))))</f>
        <v>0</v>
      </c>
      <c r="I50" t="str">
        <f>IF(OR(N50&gt;0,U50&gt;0),(INDEX('O&amp;O - Revenues &amp; viewing'!$B$6:$AD$237,MATCH('Impacts - VM'!B50,'O&amp;O - Revenues &amp; viewing'!$B$6:$B$237,0),27))/1000000,"Not needed")</f>
        <v>Not needed</v>
      </c>
      <c r="J50">
        <f>INDEX('VM-Gen Ent EPG (2)'!$F:$H,MATCH($C50,'VM-Gen Ent EPG (2)'!$H:$H,0),1)</f>
        <v>147</v>
      </c>
      <c r="K50">
        <f>INDEX('VM-Gen Ent EPG (2)'!$F:$H,MATCH($C50,'VM-Gen Ent EPG (2)'!$H:$H,0),2)</f>
        <v>46</v>
      </c>
      <c r="L50">
        <f t="shared" si="3"/>
        <v>-2</v>
      </c>
      <c r="M50">
        <f t="shared" si="4"/>
        <v>1</v>
      </c>
      <c r="N50" s="7">
        <f>IF($L50=0,0,G50*$L50*'O&amp;O - other input parameters'!$C$7)</f>
        <v>0</v>
      </c>
      <c r="O50" s="7">
        <f>IF($L50=0,0,H50*$L50*'O&amp;O - other input parameters'!$C$7)</f>
        <v>0</v>
      </c>
      <c r="Q50">
        <f>INDEX('VM-Gen Ent EPG (2)'!$K:$M,MATCH($C50,'VM-Gen Ent EPG (2)'!$M:$M,0),1)</f>
        <v>148</v>
      </c>
      <c r="R50">
        <f>INDEX('VM-Gen Ent EPG (2)'!$K:$M,MATCH($C50,'VM-Gen Ent EPG (2)'!$M:$M,0),2)</f>
        <v>47</v>
      </c>
      <c r="S50">
        <f t="shared" si="1"/>
        <v>-3</v>
      </c>
      <c r="T50">
        <f t="shared" si="2"/>
        <v>1</v>
      </c>
      <c r="U50" s="7">
        <f>IF($S50=0,0,G50*$S50*'O&amp;O - other input parameters'!$C$7)</f>
        <v>0</v>
      </c>
      <c r="V50" s="7">
        <f>IF($S50=0,0,H50*$S50*'O&amp;O - other input parameters'!$C$7)</f>
        <v>0</v>
      </c>
    </row>
    <row r="51" spans="1:22" ht="14.65" thickBot="1" x14ac:dyDescent="0.5">
      <c r="B51" s="129" t="s">
        <v>366</v>
      </c>
      <c r="C51" t="str">
        <f>'VM-Gen Ent EPG (2)'!C53</f>
        <v>E4 +1</v>
      </c>
      <c r="D51">
        <f t="shared" si="0"/>
        <v>1</v>
      </c>
      <c r="E51">
        <f>INDEX('VM-Gen Ent EPG (2)'!$A:$C,MATCH($C51,'VM-Gen Ent EPG (2)'!$C:$C,0),1)</f>
        <v>146</v>
      </c>
      <c r="F51">
        <f>INDEX('VM-Gen Ent EPG (2)'!$A:$C,MATCH($C51,'VM-Gen Ent EPG (2)'!$C:$C,0),2)</f>
        <v>45</v>
      </c>
      <c r="G51" s="73">
        <f>IF(AND($L51=0,$S51=0),"Not needed",(IF($B51="Not available",0,((INDEX('O&amp;O - Revenues &amp; viewing'!$B$6:$Z$237,MATCH($B51,'O&amp;O - Revenues &amp; viewing'!$B$6:$B$237,0),21))/1000000))))</f>
        <v>42.047999999999995</v>
      </c>
      <c r="H51" s="73">
        <f>IF(AND($L51=0,$S51=0),"Not needed",(IF($B51="Not available",0,((INDEX('O&amp;O - Revenues &amp; viewing'!$B$6:$Z$237,MATCH($B51,'O&amp;O - Revenues &amp; viewing'!$B$6:$B$237,0),25))/1000000))))</f>
        <v>3.4543730633219507</v>
      </c>
      <c r="I51" t="str">
        <f>IF(OR(N51&gt;0,U51&gt;0),(INDEX('O&amp;O - Revenues &amp; viewing'!$B$6:$AD$237,MATCH('Impacts - VM'!B51,'O&amp;O - Revenues &amp; viewing'!$B$6:$B$237,0),27))/1000000,"Not needed")</f>
        <v>Not needed</v>
      </c>
      <c r="J51">
        <f>INDEX('VM-Gen Ent EPG (2)'!$F:$H,MATCH($C51,'VM-Gen Ent EPG (2)'!$H:$H,0),1)</f>
        <v>148</v>
      </c>
      <c r="K51">
        <f>INDEX('VM-Gen Ent EPG (2)'!$F:$H,MATCH($C51,'VM-Gen Ent EPG (2)'!$H:$H,0),2)</f>
        <v>47</v>
      </c>
      <c r="L51">
        <f t="shared" si="3"/>
        <v>-2</v>
      </c>
      <c r="M51">
        <f t="shared" si="4"/>
        <v>1</v>
      </c>
      <c r="N51" s="7">
        <f>IF($L51=0,0,G51*$L51*'O&amp;O - other input parameters'!$C$7)</f>
        <v>-1.246486789761251</v>
      </c>
      <c r="O51" s="7">
        <f>IF($L51=0,0,H51*$L51*'O&amp;O - other input parameters'!$C$7)</f>
        <v>-0.10240273949624043</v>
      </c>
      <c r="Q51">
        <f>INDEX('VM-Gen Ent EPG (2)'!$K:$M,MATCH($C51,'VM-Gen Ent EPG (2)'!$M:$M,0),1)</f>
        <v>149</v>
      </c>
      <c r="R51">
        <f>INDEX('VM-Gen Ent EPG (2)'!$K:$M,MATCH($C51,'VM-Gen Ent EPG (2)'!$M:$M,0),2)</f>
        <v>48</v>
      </c>
      <c r="S51">
        <f t="shared" si="1"/>
        <v>-3</v>
      </c>
      <c r="T51">
        <f t="shared" si="2"/>
        <v>1</v>
      </c>
      <c r="U51" s="7">
        <f>IF($S51=0,0,G51*$S51*'O&amp;O - other input parameters'!$C$7)</f>
        <v>-1.8697301846418766</v>
      </c>
      <c r="V51" s="7">
        <f>IF($S51=0,0,H51*$S51*'O&amp;O - other input parameters'!$C$7)</f>
        <v>-0.15360410924436066</v>
      </c>
    </row>
    <row r="52" spans="1:22" ht="14.65" thickBot="1" x14ac:dyDescent="0.5">
      <c r="B52" s="129" t="s">
        <v>353</v>
      </c>
      <c r="C52" t="str">
        <f>'VM-Gen Ent EPG (2)'!C54</f>
        <v>More4</v>
      </c>
      <c r="D52">
        <f t="shared" si="0"/>
        <v>1</v>
      </c>
      <c r="E52">
        <f>INDEX('VM-Gen Ent EPG (2)'!$A:$C,MATCH($C52,'VM-Gen Ent EPG (2)'!$C:$C,0),1)</f>
        <v>147</v>
      </c>
      <c r="F52">
        <f>INDEX('VM-Gen Ent EPG (2)'!$A:$C,MATCH($C52,'VM-Gen Ent EPG (2)'!$C:$C,0),2)</f>
        <v>46</v>
      </c>
      <c r="G52" s="73">
        <f>IF(AND($L52=0,$S52=0),"Not needed",(IF($B52="Not available",0,((INDEX('O&amp;O - Revenues &amp; viewing'!$B$6:$Z$237,MATCH($B52,'O&amp;O - Revenues &amp; viewing'!$B$6:$B$237,0),21))/1000000))))</f>
        <v>73.724159999999998</v>
      </c>
      <c r="H52" s="73">
        <f>IF(AND($L52=0,$S52=0),"Not needed",(IF($B52="Not available",0,((INDEX('O&amp;O - Revenues &amp; viewing'!$B$6:$Z$237,MATCH($B52,'O&amp;O - Revenues &amp; viewing'!$B$6:$B$237,0),25))/1000000))))</f>
        <v>6.0566674376911545</v>
      </c>
      <c r="I52" t="str">
        <f>IF(OR(N52&gt;0,U52&gt;0),(INDEX('O&amp;O - Revenues &amp; viewing'!$B$6:$AD$237,MATCH('Impacts - VM'!B52,'O&amp;O - Revenues &amp; viewing'!$B$6:$B$237,0),27))/1000000,"Not needed")</f>
        <v>Not needed</v>
      </c>
      <c r="J52">
        <f>INDEX('VM-Gen Ent EPG (2)'!$F:$H,MATCH($C52,'VM-Gen Ent EPG (2)'!$H:$H,0),1)</f>
        <v>149</v>
      </c>
      <c r="K52">
        <f>INDEX('VM-Gen Ent EPG (2)'!$F:$H,MATCH($C52,'VM-Gen Ent EPG (2)'!$H:$H,0),2)</f>
        <v>48</v>
      </c>
      <c r="L52">
        <f t="shared" si="3"/>
        <v>-2</v>
      </c>
      <c r="M52">
        <f t="shared" si="4"/>
        <v>1</v>
      </c>
      <c r="N52" s="7">
        <f>IF($L52=0,0,G52*$L52*'O&amp;O - other input parameters'!$C$7)</f>
        <v>-2.1855068380480605</v>
      </c>
      <c r="O52" s="7">
        <f>IF($L52=0,0,H52*$L52*'O&amp;O - other input parameters'!$C$7)</f>
        <v>-0.17954613658340826</v>
      </c>
      <c r="Q52">
        <f>INDEX('VM-Gen Ent EPG (2)'!$K:$M,MATCH($C52,'VM-Gen Ent EPG (2)'!$M:$M,0),1)</f>
        <v>150</v>
      </c>
      <c r="R52">
        <f>INDEX('VM-Gen Ent EPG (2)'!$K:$M,MATCH($C52,'VM-Gen Ent EPG (2)'!$M:$M,0),2)</f>
        <v>49</v>
      </c>
      <c r="S52">
        <f t="shared" si="1"/>
        <v>-3</v>
      </c>
      <c r="T52">
        <f t="shared" si="2"/>
        <v>1</v>
      </c>
      <c r="U52" s="7">
        <f>IF($S52=0,0,G52*$S52*'O&amp;O - other input parameters'!$C$7)</f>
        <v>-3.2782602570720907</v>
      </c>
      <c r="V52" s="7">
        <f>IF($S52=0,0,H52*$S52*'O&amp;O - other input parameters'!$C$7)</f>
        <v>-0.26931920487511241</v>
      </c>
    </row>
    <row r="53" spans="1:22" ht="14.65" thickBot="1" x14ac:dyDescent="0.5">
      <c r="B53" s="129" t="s">
        <v>368</v>
      </c>
      <c r="C53" t="str">
        <f>'VM-Gen Ent EPG (2)'!C55</f>
        <v>CBS Reality</v>
      </c>
      <c r="D53">
        <f t="shared" si="0"/>
        <v>1</v>
      </c>
      <c r="E53">
        <f>INDEX('VM-Gen Ent EPG (2)'!$A:$C,MATCH($C53,'VM-Gen Ent EPG (2)'!$C:$C,0),1)</f>
        <v>148</v>
      </c>
      <c r="F53">
        <f>INDEX('VM-Gen Ent EPG (2)'!$A:$C,MATCH($C53,'VM-Gen Ent EPG (2)'!$C:$C,0),2)</f>
        <v>47</v>
      </c>
      <c r="G53" s="73">
        <f>IF(AND($L53=0,$S53=0),"Not needed",(IF($B53="Not available",0,((INDEX('O&amp;O - Revenues &amp; viewing'!$B$6:$Z$237,MATCH($B53,'O&amp;O - Revenues &amp; viewing'!$B$6:$B$237,0),21))/1000000))))</f>
        <v>39.665280000000003</v>
      </c>
      <c r="H53" s="73">
        <f>IF(AND($L53=0,$S53=0),"Not needed",(IF($B53="Not available",0,((INDEX('O&amp;O - Revenues &amp; viewing'!$B$6:$Z$237,MATCH($B53,'O&amp;O - Revenues &amp; viewing'!$B$6:$B$237,0),25))/1000000))))</f>
        <v>1.9406543683091086</v>
      </c>
      <c r="I53" t="str">
        <f>IF(OR(N53&gt;0,U53&gt;0),(INDEX('O&amp;O - Revenues &amp; viewing'!$B$6:$AD$237,MATCH('Impacts - VM'!B53,'O&amp;O - Revenues &amp; viewing'!$B$6:$B$237,0),27))/1000000,"Not needed")</f>
        <v>Not needed</v>
      </c>
      <c r="J53">
        <f>INDEX('VM-Gen Ent EPG (2)'!$F:$H,MATCH($C53,'VM-Gen Ent EPG (2)'!$H:$H,0),1)</f>
        <v>150</v>
      </c>
      <c r="K53">
        <f>INDEX('VM-Gen Ent EPG (2)'!$F:$H,MATCH($C53,'VM-Gen Ent EPG (2)'!$H:$H,0),2)</f>
        <v>49</v>
      </c>
      <c r="L53">
        <f t="shared" si="3"/>
        <v>-2</v>
      </c>
      <c r="M53">
        <f t="shared" si="4"/>
        <v>1</v>
      </c>
      <c r="N53" s="7">
        <f>IF($L53=0,0,G53*$L53*'O&amp;O - other input parameters'!$C$7)</f>
        <v>-1.1758525383414471</v>
      </c>
      <c r="O53" s="7">
        <f>IF($L53=0,0,H53*$L53*'O&amp;O - other input parameters'!$C$7)</f>
        <v>-5.7529490905388357E-2</v>
      </c>
      <c r="Q53">
        <f>INDEX('VM-Gen Ent EPG (2)'!$K:$M,MATCH($C53,'VM-Gen Ent EPG (2)'!$M:$M,0),1)</f>
        <v>151</v>
      </c>
      <c r="R53">
        <f>INDEX('VM-Gen Ent EPG (2)'!$K:$M,MATCH($C53,'VM-Gen Ent EPG (2)'!$M:$M,0),2)</f>
        <v>50</v>
      </c>
      <c r="S53">
        <f t="shared" si="1"/>
        <v>-3</v>
      </c>
      <c r="T53">
        <f t="shared" si="2"/>
        <v>1</v>
      </c>
      <c r="U53" s="7">
        <f>IF($S53=0,0,G53*$S53*'O&amp;O - other input parameters'!$C$7)</f>
        <v>-1.7637788075121708</v>
      </c>
      <c r="V53" s="7">
        <f>IF($S53=0,0,H53*$S53*'O&amp;O - other input parameters'!$C$7)</f>
        <v>-8.6294236358082532E-2</v>
      </c>
    </row>
    <row r="54" spans="1:22" ht="14.65" thickBot="1" x14ac:dyDescent="0.5">
      <c r="B54" s="129" t="s">
        <v>380</v>
      </c>
      <c r="C54" t="str">
        <f>'VM-Gen Ent EPG (2)'!C56</f>
        <v>Horror Channel</v>
      </c>
      <c r="D54">
        <f t="shared" si="0"/>
        <v>1</v>
      </c>
      <c r="E54">
        <f>INDEX('VM-Gen Ent EPG (2)'!$A:$C,MATCH($C54,'VM-Gen Ent EPG (2)'!$C:$C,0),1)</f>
        <v>149</v>
      </c>
      <c r="F54">
        <f>INDEX('VM-Gen Ent EPG (2)'!$A:$C,MATCH($C54,'VM-Gen Ent EPG (2)'!$C:$C,0),2)</f>
        <v>48</v>
      </c>
      <c r="G54" s="73">
        <f>IF(AND($L54=0,$S54=0),"Not needed",(IF($B54="Not available",0,((INDEX('O&amp;O - Revenues &amp; viewing'!$B$6:$Z$237,MATCH($B54,'O&amp;O - Revenues &amp; viewing'!$B$6:$B$237,0),21))/1000000))))</f>
        <v>26.490239999999996</v>
      </c>
      <c r="H54" s="73">
        <f>IF(AND($L54=0,$S54=0),"Not needed",(IF($B54="Not available",0,((INDEX('O&amp;O - Revenues &amp; viewing'!$B$6:$Z$237,MATCH($B54,'O&amp;O - Revenues &amp; viewing'!$B$6:$B$237,0),25))/1000000))))</f>
        <v>1.2960553908495458</v>
      </c>
      <c r="I54" t="str">
        <f>IF(OR(N54&gt;0,U54&gt;0),(INDEX('O&amp;O - Revenues &amp; viewing'!$B$6:$AD$237,MATCH('Impacts - VM'!B54,'O&amp;O - Revenues &amp; viewing'!$B$6:$B$237,0),27))/1000000,"Not needed")</f>
        <v>Not needed</v>
      </c>
      <c r="J54">
        <f>INDEX('VM-Gen Ent EPG (2)'!$F:$H,MATCH($C54,'VM-Gen Ent EPG (2)'!$H:$H,0),1)</f>
        <v>151</v>
      </c>
      <c r="K54">
        <f>INDEX('VM-Gen Ent EPG (2)'!$F:$H,MATCH($C54,'VM-Gen Ent EPG (2)'!$H:$H,0),2)</f>
        <v>50</v>
      </c>
      <c r="L54">
        <f t="shared" si="3"/>
        <v>-2</v>
      </c>
      <c r="M54">
        <f t="shared" si="4"/>
        <v>1</v>
      </c>
      <c r="N54" s="7">
        <f>IF($L54=0,0,G54*$L54*'O&amp;O - other input parameters'!$C$7)</f>
        <v>-0.78528667754958814</v>
      </c>
      <c r="O54" s="7">
        <f>IF($L54=0,0,H54*$L54*'O&amp;O - other input parameters'!$C$7)</f>
        <v>-3.8420755410312361E-2</v>
      </c>
      <c r="Q54">
        <f>INDEX('VM-Gen Ent EPG (2)'!$K:$M,MATCH($C54,'VM-Gen Ent EPG (2)'!$M:$M,0),1)</f>
        <v>152</v>
      </c>
      <c r="R54">
        <f>INDEX('VM-Gen Ent EPG (2)'!$K:$M,MATCH($C54,'VM-Gen Ent EPG (2)'!$M:$M,0),2)</f>
        <v>51</v>
      </c>
      <c r="S54">
        <f t="shared" si="1"/>
        <v>-3</v>
      </c>
      <c r="T54">
        <f t="shared" si="2"/>
        <v>1</v>
      </c>
      <c r="U54" s="7">
        <f>IF($S54=0,0,G54*$S54*'O&amp;O - other input parameters'!$C$7)</f>
        <v>-1.1779300163243822</v>
      </c>
      <c r="V54" s="7">
        <f>IF($S54=0,0,H54*$S54*'O&amp;O - other input parameters'!$C$7)</f>
        <v>-5.7631133115468539E-2</v>
      </c>
    </row>
    <row r="55" spans="1:22" ht="14.65" thickBot="1" x14ac:dyDescent="0.5">
      <c r="B55" s="129" t="s">
        <v>643</v>
      </c>
      <c r="C55" t="str">
        <f>'VM-Gen Ent EPG (2)'!C57</f>
        <v>Channel 5 HD</v>
      </c>
      <c r="D55">
        <f t="shared" si="0"/>
        <v>1</v>
      </c>
      <c r="E55">
        <f>INDEX('VM-Gen Ent EPG (2)'!$A:$C,MATCH($C55,'VM-Gen Ent EPG (2)'!$C:$C,0),1)</f>
        <v>150</v>
      </c>
      <c r="F55">
        <f>INDEX('VM-Gen Ent EPG (2)'!$A:$C,MATCH($C55,'VM-Gen Ent EPG (2)'!$C:$C,0),2)</f>
        <v>49</v>
      </c>
      <c r="G55" s="73">
        <f>IF(AND($L55=0,$S55=0),"Not needed",(IF($B55="Not available",0,((INDEX('O&amp;O - Revenues &amp; viewing'!$B$6:$Z$237,MATCH($B55,'O&amp;O - Revenues &amp; viewing'!$B$6:$B$237,0),21))/1000000))))</f>
        <v>0</v>
      </c>
      <c r="H55" s="73">
        <f>IF(AND($L55=0,$S55=0),"Not needed",(IF($B55="Not available",0,((INDEX('O&amp;O - Revenues &amp; viewing'!$B$6:$Z$237,MATCH($B55,'O&amp;O - Revenues &amp; viewing'!$B$6:$B$237,0),25))/1000000))))</f>
        <v>0</v>
      </c>
      <c r="I55" t="str">
        <f>IF(OR(N55&gt;0,U55&gt;0),(INDEX('O&amp;O - Revenues &amp; viewing'!$B$6:$AD$237,MATCH('Impacts - VM'!B55,'O&amp;O - Revenues &amp; viewing'!$B$6:$B$237,0),27))/1000000,"Not needed")</f>
        <v>Not needed</v>
      </c>
      <c r="J55">
        <f>INDEX('VM-Gen Ent EPG (2)'!$F:$H,MATCH($C55,'VM-Gen Ent EPG (2)'!$H:$H,0),1)</f>
        <v>152</v>
      </c>
      <c r="K55">
        <f>INDEX('VM-Gen Ent EPG (2)'!$F:$H,MATCH($C55,'VM-Gen Ent EPG (2)'!$H:$H,0),2)</f>
        <v>51</v>
      </c>
      <c r="L55">
        <f t="shared" si="3"/>
        <v>-2</v>
      </c>
      <c r="M55">
        <f t="shared" si="4"/>
        <v>1</v>
      </c>
      <c r="N55" s="7">
        <f>IF($L55=0,0,G55*$L55*'O&amp;O - other input parameters'!$C$7)</f>
        <v>0</v>
      </c>
      <c r="O55" s="7">
        <f>IF($L55=0,0,H55*$L55*'O&amp;O - other input parameters'!$C$7)</f>
        <v>0</v>
      </c>
      <c r="Q55">
        <f>INDEX('VM-Gen Ent EPG (2)'!$K:$M,MATCH($C55,'VM-Gen Ent EPG (2)'!$M:$M,0),1)</f>
        <v>153</v>
      </c>
      <c r="R55">
        <f>INDEX('VM-Gen Ent EPG (2)'!$K:$M,MATCH($C55,'VM-Gen Ent EPG (2)'!$M:$M,0),2)</f>
        <v>52</v>
      </c>
      <c r="S55">
        <f t="shared" si="1"/>
        <v>-3</v>
      </c>
      <c r="T55">
        <f t="shared" si="2"/>
        <v>1</v>
      </c>
      <c r="U55" s="7">
        <f>IF($S55=0,0,G55*$S55*'O&amp;O - other input parameters'!$C$7)</f>
        <v>0</v>
      </c>
      <c r="V55" s="7">
        <f>IF($S55=0,0,H55*$S55*'O&amp;O - other input parameters'!$C$7)</f>
        <v>0</v>
      </c>
    </row>
    <row r="56" spans="1:22" ht="14.65" thickBot="1" x14ac:dyDescent="0.5">
      <c r="B56" s="129" t="s">
        <v>83</v>
      </c>
      <c r="C56" t="str">
        <f>'VM-Gen Ent EPG (2)'!C58</f>
        <v>5Star</v>
      </c>
      <c r="D56">
        <f t="shared" si="0"/>
        <v>1</v>
      </c>
      <c r="E56">
        <f>INDEX('VM-Gen Ent EPG (2)'!$A:$C,MATCH($C56,'VM-Gen Ent EPG (2)'!$C:$C,0),1)</f>
        <v>151</v>
      </c>
      <c r="F56">
        <f>INDEX('VM-Gen Ent EPG (2)'!$A:$C,MATCH($C56,'VM-Gen Ent EPG (2)'!$C:$C,0),2)</f>
        <v>50</v>
      </c>
      <c r="G56" s="73">
        <f>IF(AND($L56=0,$S56=0),"Not needed",(IF($B56="Not available",0,((INDEX('O&amp;O - Revenues &amp; viewing'!$B$6:$Z$237,MATCH($B56,'O&amp;O - Revenues &amp; viewing'!$B$6:$B$237,0),21))/1000000))))</f>
        <v>50.186039999999998</v>
      </c>
      <c r="H56" s="73">
        <f>IF(AND($L56=0,$S56=0),"Not needed",(IF($B56="Not available",0,((INDEX('O&amp;O - Revenues &amp; viewing'!$B$6:$Z$237,MATCH($B56,'O&amp;O - Revenues &amp; viewing'!$B$6:$B$237,0),25))/1000000))))</f>
        <v>2.4553906528363254</v>
      </c>
      <c r="I56" t="str">
        <f>IF(OR(N56&gt;0,U56&gt;0),(INDEX('O&amp;O - Revenues &amp; viewing'!$B$6:$AD$237,MATCH('Impacts - VM'!B56,'O&amp;O - Revenues &amp; viewing'!$B$6:$B$237,0),27))/1000000,"Not needed")</f>
        <v>Not needed</v>
      </c>
      <c r="J56">
        <f>INDEX('VM-Gen Ent EPG (2)'!$F:$H,MATCH($C56,'VM-Gen Ent EPG (2)'!$H:$H,0),1)</f>
        <v>153</v>
      </c>
      <c r="K56">
        <f>INDEX('VM-Gen Ent EPG (2)'!$F:$H,MATCH($C56,'VM-Gen Ent EPG (2)'!$H:$H,0),2)</f>
        <v>52</v>
      </c>
      <c r="L56">
        <f t="shared" si="3"/>
        <v>-2</v>
      </c>
      <c r="M56">
        <f t="shared" si="4"/>
        <v>1</v>
      </c>
      <c r="N56" s="7">
        <f>IF($L56=0,0,G56*$L56*'O&amp;O - other input parameters'!$C$7)</f>
        <v>-1.4877339205296267</v>
      </c>
      <c r="O56" s="7">
        <f>IF($L56=0,0,H56*$L56*'O&amp;O - other input parameters'!$C$7)</f>
        <v>-7.278852769367708E-2</v>
      </c>
      <c r="Q56">
        <f>INDEX('VM-Gen Ent EPG (2)'!$K:$M,MATCH($C56,'VM-Gen Ent EPG (2)'!$M:$M,0),1)</f>
        <v>154</v>
      </c>
      <c r="R56">
        <f>INDEX('VM-Gen Ent EPG (2)'!$K:$M,MATCH($C56,'VM-Gen Ent EPG (2)'!$M:$M,0),2)</f>
        <v>53</v>
      </c>
      <c r="S56">
        <f t="shared" si="1"/>
        <v>-3</v>
      </c>
      <c r="T56">
        <f t="shared" si="2"/>
        <v>1</v>
      </c>
      <c r="U56" s="7">
        <f>IF($S56=0,0,G56*$S56*'O&amp;O - other input parameters'!$C$7)</f>
        <v>-2.2316008807944403</v>
      </c>
      <c r="V56" s="7">
        <f>IF($S56=0,0,H56*$S56*'O&amp;O - other input parameters'!$C$7)</f>
        <v>-0.10918279154051563</v>
      </c>
    </row>
    <row r="57" spans="1:22" ht="14.65" thickBot="1" x14ac:dyDescent="0.5">
      <c r="B57" s="129" t="s">
        <v>393</v>
      </c>
      <c r="C57" t="str">
        <f>'VM-Gen Ent EPG (2)'!C59</f>
        <v>5Select</v>
      </c>
      <c r="D57">
        <f t="shared" si="0"/>
        <v>1</v>
      </c>
      <c r="E57">
        <f>INDEX('VM-Gen Ent EPG (2)'!$A:$C,MATCH($C57,'VM-Gen Ent EPG (2)'!$C:$C,0),1)</f>
        <v>152</v>
      </c>
      <c r="F57">
        <f>INDEX('VM-Gen Ent EPG (2)'!$A:$C,MATCH($C57,'VM-Gen Ent EPG (2)'!$C:$C,0),2)</f>
        <v>51</v>
      </c>
      <c r="G57" s="73">
        <f>IF(AND($L57=0,$S57=0),"Not needed",(IF($B57="Not available",0,((INDEX('O&amp;O - Revenues &amp; viewing'!$B$6:$Z$237,MATCH($B57,'O&amp;O - Revenues &amp; viewing'!$B$6:$B$237,0),21))/1000000))))</f>
        <v>26.534040000000001</v>
      </c>
      <c r="H57" s="73">
        <f>IF(AND($L57=0,$S57=0),"Not needed",(IF($B57="Not available",0,((INDEX('O&amp;O - Revenues &amp; viewing'!$B$6:$Z$237,MATCH($B57,'O&amp;O - Revenues &amp; viewing'!$B$6:$B$237,0),25))/1000000))))</f>
        <v>1.2981983395778025</v>
      </c>
      <c r="I57" t="str">
        <f>IF(OR(N57&gt;0,U57&gt;0),(INDEX('O&amp;O - Revenues &amp; viewing'!$B$6:$AD$237,MATCH('Impacts - VM'!B57,'O&amp;O - Revenues &amp; viewing'!$B$6:$B$237,0),27))/1000000,"Not needed")</f>
        <v>Not needed</v>
      </c>
      <c r="J57">
        <f>INDEX('VM-Gen Ent EPG (2)'!$F:$H,MATCH($C57,'VM-Gen Ent EPG (2)'!$H:$H,0),1)</f>
        <v>154</v>
      </c>
      <c r="K57">
        <f>INDEX('VM-Gen Ent EPG (2)'!$F:$H,MATCH($C57,'VM-Gen Ent EPG (2)'!$H:$H,0),2)</f>
        <v>53</v>
      </c>
      <c r="L57">
        <f t="shared" si="3"/>
        <v>-2</v>
      </c>
      <c r="M57">
        <f t="shared" si="4"/>
        <v>1</v>
      </c>
      <c r="N57" s="7">
        <f>IF($L57=0,0,G57*$L57*'O&amp;O - other input parameters'!$C$7)</f>
        <v>-0.78658510128892289</v>
      </c>
      <c r="O57" s="7">
        <f>IF($L57=0,0,H57*$L57*'O&amp;O - other input parameters'!$C$7)</f>
        <v>-3.8484281791612486E-2</v>
      </c>
      <c r="Q57">
        <f>INDEX('VM-Gen Ent EPG (2)'!$K:$M,MATCH($C57,'VM-Gen Ent EPG (2)'!$M:$M,0),1)</f>
        <v>155</v>
      </c>
      <c r="R57">
        <f>INDEX('VM-Gen Ent EPG (2)'!$K:$M,MATCH($C57,'VM-Gen Ent EPG (2)'!$M:$M,0),2)</f>
        <v>54</v>
      </c>
      <c r="S57">
        <f t="shared" si="1"/>
        <v>-3</v>
      </c>
      <c r="T57">
        <f t="shared" si="2"/>
        <v>1</v>
      </c>
      <c r="U57" s="7">
        <f>IF($S57=0,0,G57*$S57*'O&amp;O - other input parameters'!$C$7)</f>
        <v>-1.1798776519333845</v>
      </c>
      <c r="V57" s="7">
        <f>IF($S57=0,0,H57*$S57*'O&amp;O - other input parameters'!$C$7)</f>
        <v>-5.7726422687418726E-2</v>
      </c>
    </row>
    <row r="58" spans="1:22" ht="14.65" thickBot="1" x14ac:dyDescent="0.5">
      <c r="B58" s="129" t="s">
        <v>85</v>
      </c>
      <c r="C58" t="str">
        <f>'VM-Gen Ent EPG (2)'!C60</f>
        <v>5 USA</v>
      </c>
      <c r="D58">
        <f t="shared" si="0"/>
        <v>1</v>
      </c>
      <c r="E58">
        <f>INDEX('VM-Gen Ent EPG (2)'!$A:$C,MATCH($C58,'VM-Gen Ent EPG (2)'!$C:$C,0),1)</f>
        <v>153</v>
      </c>
      <c r="F58">
        <f>INDEX('VM-Gen Ent EPG (2)'!$A:$C,MATCH($C58,'VM-Gen Ent EPG (2)'!$C:$C,0),2)</f>
        <v>52</v>
      </c>
      <c r="G58" s="73">
        <f>IF(AND($L58=0,$S58=0),"Not needed",(IF($B58="Not available",0,((INDEX('O&amp;O - Revenues &amp; viewing'!$B$6:$Z$237,MATCH($B58,'O&amp;O - Revenues &amp; viewing'!$B$6:$B$237,0),21))/1000000))))</f>
        <v>78.55968</v>
      </c>
      <c r="H58" s="73">
        <f>IF(AND($L58=0,$S58=0),"Not needed",(IF($B58="Not available",0,((INDEX('O&amp;O - Revenues &amp; viewing'!$B$6:$Z$237,MATCH($B58,'O&amp;O - Revenues &amp; viewing'!$B$6:$B$237,0),25))/1000000))))</f>
        <v>3.8435928390009027</v>
      </c>
      <c r="I58" t="str">
        <f>IF(OR(N58&gt;0,U58&gt;0),(INDEX('O&amp;O - Revenues &amp; viewing'!$B$6:$AD$237,MATCH('Impacts - VM'!B58,'O&amp;O - Revenues &amp; viewing'!$B$6:$B$237,0),27))/1000000,"Not needed")</f>
        <v>Not needed</v>
      </c>
      <c r="J58">
        <f>INDEX('VM-Gen Ent EPG (2)'!$F:$H,MATCH($C58,'VM-Gen Ent EPG (2)'!$H:$H,0),1)</f>
        <v>155</v>
      </c>
      <c r="K58">
        <f>INDEX('VM-Gen Ent EPG (2)'!$F:$H,MATCH($C58,'VM-Gen Ent EPG (2)'!$H:$H,0),2)</f>
        <v>54</v>
      </c>
      <c r="L58">
        <f t="shared" si="3"/>
        <v>-2</v>
      </c>
      <c r="M58">
        <f t="shared" si="4"/>
        <v>1</v>
      </c>
      <c r="N58" s="7">
        <f>IF($L58=0,0,G58*$L58*'O&amp;O - other input parameters'!$C$7)</f>
        <v>-2.3288528188706046</v>
      </c>
      <c r="O58" s="7">
        <f>IF($L58=0,0,H58*$L58*'O&amp;O - other input parameters'!$C$7)</f>
        <v>-0.11394091749989461</v>
      </c>
      <c r="Q58">
        <f>INDEX('VM-Gen Ent EPG (2)'!$K:$M,MATCH($C58,'VM-Gen Ent EPG (2)'!$M:$M,0),1)</f>
        <v>156</v>
      </c>
      <c r="R58">
        <f>INDEX('VM-Gen Ent EPG (2)'!$K:$M,MATCH($C58,'VM-Gen Ent EPG (2)'!$M:$M,0),2)</f>
        <v>55</v>
      </c>
      <c r="S58">
        <f t="shared" si="1"/>
        <v>-3</v>
      </c>
      <c r="T58">
        <f t="shared" si="2"/>
        <v>1</v>
      </c>
      <c r="U58" s="7">
        <f>IF($S58=0,0,G58*$S58*'O&amp;O - other input parameters'!$C$7)</f>
        <v>-3.4932792283059064</v>
      </c>
      <c r="V58" s="7">
        <f>IF($S58=0,0,H58*$S58*'O&amp;O - other input parameters'!$C$7)</f>
        <v>-0.17091137624984193</v>
      </c>
    </row>
    <row r="59" spans="1:22" ht="14.65" thickBot="1" x14ac:dyDescent="0.5">
      <c r="B59" s="129" t="s">
        <v>365</v>
      </c>
      <c r="C59" t="str">
        <f>'VM-Gen Ent EPG (2)'!C61</f>
        <v>5Spike</v>
      </c>
      <c r="D59">
        <f t="shared" si="0"/>
        <v>1</v>
      </c>
      <c r="E59">
        <f>INDEX('VM-Gen Ent EPG (2)'!$A:$C,MATCH($C59,'VM-Gen Ent EPG (2)'!$C:$C,0),1)</f>
        <v>154</v>
      </c>
      <c r="F59">
        <f>INDEX('VM-Gen Ent EPG (2)'!$A:$C,MATCH($C59,'VM-Gen Ent EPG (2)'!$C:$C,0),2)</f>
        <v>53</v>
      </c>
      <c r="G59" s="73">
        <f>IF(AND($L59=0,$S59=0),"Not needed",(IF($B59="Not available",0,((INDEX('O&amp;O - Revenues &amp; viewing'!$B$6:$Z$237,MATCH($B59,'O&amp;O - Revenues &amp; viewing'!$B$6:$B$237,0),21))/1000000))))</f>
        <v>49.213679999999997</v>
      </c>
      <c r="H59" s="73">
        <f>IF(AND($L59=0,$S59=0),"Not needed",(IF($B59="Not available",0,((INDEX('O&amp;O - Revenues &amp; viewing'!$B$6:$Z$237,MATCH($B59,'O&amp;O - Revenues &amp; viewing'!$B$6:$B$237,0),25))/1000000))))</f>
        <v>2.4078171910690309</v>
      </c>
      <c r="I59" t="str">
        <f>IF(OR(N59&gt;0,U59&gt;0),(INDEX('O&amp;O - Revenues &amp; viewing'!$B$6:$AD$237,MATCH('Impacts - VM'!B59,'O&amp;O - Revenues &amp; viewing'!$B$6:$B$237,0),27))/1000000,"Not needed")</f>
        <v>Not needed</v>
      </c>
      <c r="J59">
        <f>INDEX('VM-Gen Ent EPG (2)'!$F:$H,MATCH($C59,'VM-Gen Ent EPG (2)'!$H:$H,0),1)</f>
        <v>156</v>
      </c>
      <c r="K59">
        <f>INDEX('VM-Gen Ent EPG (2)'!$F:$H,MATCH($C59,'VM-Gen Ent EPG (2)'!$H:$H,0),2)</f>
        <v>55</v>
      </c>
      <c r="L59">
        <f t="shared" si="3"/>
        <v>-2</v>
      </c>
      <c r="M59">
        <f t="shared" si="4"/>
        <v>1</v>
      </c>
      <c r="N59" s="7">
        <f>IF($L59=0,0,G59*$L59*'O&amp;O - other input parameters'!$C$7)</f>
        <v>-1.4589089135163977</v>
      </c>
      <c r="O59" s="7">
        <f>IF($L59=0,0,H59*$L59*'O&amp;O - other input parameters'!$C$7)</f>
        <v>-7.1378242028814445E-2</v>
      </c>
      <c r="Q59">
        <f>INDEX('VM-Gen Ent EPG (2)'!$K:$M,MATCH($C59,'VM-Gen Ent EPG (2)'!$M:$M,0),1)</f>
        <v>157</v>
      </c>
      <c r="R59">
        <f>INDEX('VM-Gen Ent EPG (2)'!$K:$M,MATCH($C59,'VM-Gen Ent EPG (2)'!$M:$M,0),2)</f>
        <v>56</v>
      </c>
      <c r="S59">
        <f t="shared" si="1"/>
        <v>-3</v>
      </c>
      <c r="T59">
        <f t="shared" si="2"/>
        <v>1</v>
      </c>
      <c r="U59" s="7">
        <f>IF($S59=0,0,G59*$S59*'O&amp;O - other input parameters'!$C$7)</f>
        <v>-2.1883633702745962</v>
      </c>
      <c r="V59" s="7">
        <f>IF($S59=0,0,H59*$S59*'O&amp;O - other input parameters'!$C$7)</f>
        <v>-0.10706736304322166</v>
      </c>
    </row>
    <row r="60" spans="1:22" ht="14.65" thickBot="1" x14ac:dyDescent="0.5">
      <c r="B60" s="129" t="s">
        <v>382</v>
      </c>
      <c r="C60" t="str">
        <f>'VM-Gen Ent EPG (2)'!C62</f>
        <v>Channel 5 +1</v>
      </c>
      <c r="D60">
        <f t="shared" si="0"/>
        <v>1</v>
      </c>
      <c r="E60">
        <f>INDEX('VM-Gen Ent EPG (2)'!$A:$C,MATCH($C60,'VM-Gen Ent EPG (2)'!$C:$C,0),1)</f>
        <v>155</v>
      </c>
      <c r="F60">
        <f>INDEX('VM-Gen Ent EPG (2)'!$A:$C,MATCH($C60,'VM-Gen Ent EPG (2)'!$C:$C,0),2)</f>
        <v>54</v>
      </c>
      <c r="G60" s="73">
        <f>IF(AND($L60=0,$S60=0),"Not needed",(IF($B60="Not available",0,((INDEX('O&amp;O - Revenues &amp; viewing'!$B$6:$Z$237,MATCH($B60,'O&amp;O - Revenues &amp; viewing'!$B$6:$B$237,0),21))/1000000))))</f>
        <v>30.66</v>
      </c>
      <c r="H60" s="73">
        <f>IF(AND($L60=0,$S60=0),"Not needed",(IF($B60="Not available",0,((INDEX('O&amp;O - Revenues &amp; viewing'!$B$6:$Z$237,MATCH($B60,'O&amp;O - Revenues &amp; viewing'!$B$6:$B$237,0),25))/1000000))))</f>
        <v>1.5000641097795671</v>
      </c>
      <c r="I60" t="str">
        <f>IF(OR(N60&gt;0,U60&gt;0),(INDEX('O&amp;O - Revenues &amp; viewing'!$B$6:$AD$237,MATCH('Impacts - VM'!B60,'O&amp;O - Revenues &amp; viewing'!$B$6:$B$237,0),27))/1000000,"Not needed")</f>
        <v>Not needed</v>
      </c>
      <c r="J60">
        <f>INDEX('VM-Gen Ent EPG (2)'!$F:$H,MATCH($C60,'VM-Gen Ent EPG (2)'!$H:$H,0),1)</f>
        <v>157</v>
      </c>
      <c r="K60">
        <f>INDEX('VM-Gen Ent EPG (2)'!$F:$H,MATCH($C60,'VM-Gen Ent EPG (2)'!$H:$H,0),2)</f>
        <v>56</v>
      </c>
      <c r="L60">
        <f t="shared" si="3"/>
        <v>-2</v>
      </c>
      <c r="M60">
        <f t="shared" si="4"/>
        <v>1</v>
      </c>
      <c r="N60" s="7">
        <f>IF($L60=0,0,G60*$L60*'O&amp;O - other input parameters'!$C$7)</f>
        <v>-0.90889661753424567</v>
      </c>
      <c r="O60" s="7">
        <f>IF($L60=0,0,H60*$L60*'O&amp;O - other input parameters'!$C$7)</f>
        <v>-4.4468466910083757E-2</v>
      </c>
      <c r="Q60">
        <f>INDEX('VM-Gen Ent EPG (2)'!$K:$M,MATCH($C60,'VM-Gen Ent EPG (2)'!$M:$M,0),1)</f>
        <v>158</v>
      </c>
      <c r="R60">
        <f>INDEX('VM-Gen Ent EPG (2)'!$K:$M,MATCH($C60,'VM-Gen Ent EPG (2)'!$M:$M,0),2)</f>
        <v>57</v>
      </c>
      <c r="S60">
        <f t="shared" si="1"/>
        <v>-3</v>
      </c>
      <c r="T60">
        <f t="shared" si="2"/>
        <v>1</v>
      </c>
      <c r="U60" s="7">
        <f>IF($S60=0,0,G60*$S60*'O&amp;O - other input parameters'!$C$7)</f>
        <v>-1.3633449263013686</v>
      </c>
      <c r="V60" s="7">
        <f>IF($S60=0,0,H60*$S60*'O&amp;O - other input parameters'!$C$7)</f>
        <v>-6.6702700365125628E-2</v>
      </c>
    </row>
    <row r="61" spans="1:22" ht="14.65" thickBot="1" x14ac:dyDescent="0.5">
      <c r="B61" s="129" t="s">
        <v>86</v>
      </c>
      <c r="C61" t="str">
        <f>'VM-Gen Ent EPG (2)'!C63</f>
        <v>E!</v>
      </c>
      <c r="D61">
        <f t="shared" si="0"/>
        <v>1</v>
      </c>
      <c r="E61">
        <f>INDEX('VM-Gen Ent EPG (2)'!$A:$C,MATCH($C61,'VM-Gen Ent EPG (2)'!$C:$C,0),1)</f>
        <v>156</v>
      </c>
      <c r="F61">
        <f>INDEX('VM-Gen Ent EPG (2)'!$A:$C,MATCH($C61,'VM-Gen Ent EPG (2)'!$C:$C,0),2)</f>
        <v>55</v>
      </c>
      <c r="G61" s="73">
        <f>IF(AND($L61=0,$S61=0),"Not needed",(IF($B61="Not available",0,((INDEX('O&amp;O - Revenues &amp; viewing'!$B$6:$Z$237,MATCH($B61,'O&amp;O - Revenues &amp; viewing'!$B$6:$B$237,0),21))/1000000))))</f>
        <v>11.22156</v>
      </c>
      <c r="H61" s="73">
        <f>IF(AND($L61=0,$S61=0),"Not needed",(IF($B61="Not available",0,((INDEX('O&amp;O - Revenues &amp; viewing'!$B$6:$Z$237,MATCH($B61,'O&amp;O - Revenues &amp; viewing'!$B$6:$B$237,0),25))/1000000))))</f>
        <v>0.54902346417932157</v>
      </c>
      <c r="I61" t="str">
        <f>IF(OR(N61&gt;0,U61&gt;0),(INDEX('O&amp;O - Revenues &amp; viewing'!$B$6:$AD$237,MATCH('Impacts - VM'!B61,'O&amp;O - Revenues &amp; viewing'!$B$6:$B$237,0),27))/1000000,"Not needed")</f>
        <v>Not needed</v>
      </c>
      <c r="J61">
        <f>INDEX('VM-Gen Ent EPG (2)'!$F:$H,MATCH($C61,'VM-Gen Ent EPG (2)'!$H:$H,0),1)</f>
        <v>158</v>
      </c>
      <c r="K61">
        <f>INDEX('VM-Gen Ent EPG (2)'!$F:$H,MATCH($C61,'VM-Gen Ent EPG (2)'!$H:$H,0),2)</f>
        <v>57</v>
      </c>
      <c r="L61">
        <f t="shared" si="3"/>
        <v>-2</v>
      </c>
      <c r="M61">
        <f t="shared" si="4"/>
        <v>1</v>
      </c>
      <c r="N61" s="7">
        <f>IF($L61=0,0,G61*$L61*'O&amp;O - other input parameters'!$C$7)</f>
        <v>-0.33265616201753395</v>
      </c>
      <c r="O61" s="7">
        <f>IF($L61=0,0,H61*$L61*'O&amp;O - other input parameters'!$C$7)</f>
        <v>-1.6275458889090655E-2</v>
      </c>
      <c r="Q61">
        <f>INDEX('VM-Gen Ent EPG (2)'!$K:$M,MATCH($C61,'VM-Gen Ent EPG (2)'!$M:$M,0),1)</f>
        <v>159</v>
      </c>
      <c r="R61">
        <f>INDEX('VM-Gen Ent EPG (2)'!$K:$M,MATCH($C61,'VM-Gen Ent EPG (2)'!$M:$M,0),2)</f>
        <v>58</v>
      </c>
      <c r="S61">
        <f t="shared" si="1"/>
        <v>-3</v>
      </c>
      <c r="T61">
        <f t="shared" si="2"/>
        <v>1</v>
      </c>
      <c r="U61" s="7">
        <f>IF($S61=0,0,G61*$S61*'O&amp;O - other input parameters'!$C$7)</f>
        <v>-0.49898424302630096</v>
      </c>
      <c r="V61" s="7">
        <f>IF($S61=0,0,H61*$S61*'O&amp;O - other input parameters'!$C$7)</f>
        <v>-2.4413188333635979E-2</v>
      </c>
    </row>
    <row r="62" spans="1:22" ht="14.65" thickBot="1" x14ac:dyDescent="0.5">
      <c r="B62" s="129" t="s">
        <v>87</v>
      </c>
      <c r="C62" t="str">
        <f>'VM-Gen Ent EPG (2)'!C64</f>
        <v>FOX</v>
      </c>
      <c r="D62">
        <f t="shared" si="0"/>
        <v>1</v>
      </c>
      <c r="E62">
        <f>INDEX('VM-Gen Ent EPG (2)'!$A:$C,MATCH($C62,'VM-Gen Ent EPG (2)'!$C:$C,0),1)</f>
        <v>157</v>
      </c>
      <c r="F62">
        <f>INDEX('VM-Gen Ent EPG (2)'!$A:$C,MATCH($C62,'VM-Gen Ent EPG (2)'!$C:$C,0),2)</f>
        <v>56</v>
      </c>
      <c r="G62" s="73">
        <f>IF(AND($L62=0,$S62=0),"Not needed",(IF($B62="Not available",0,((INDEX('O&amp;O - Revenues &amp; viewing'!$B$6:$Z$237,MATCH($B62,'O&amp;O - Revenues &amp; viewing'!$B$6:$B$237,0),21))/1000000))))</f>
        <v>78.73487999999999</v>
      </c>
      <c r="H62" s="73">
        <f>IF(AND($L62=0,$S62=0),"Not needed",(IF($B62="Not available",0,((INDEX('O&amp;O - Revenues &amp; viewing'!$B$6:$Z$237,MATCH($B62,'O&amp;O - Revenues &amp; viewing'!$B$6:$B$237,0),25))/1000000))))</f>
        <v>3.8521646339139282</v>
      </c>
      <c r="I62" t="str">
        <f>IF(OR(N62&gt;0,U62&gt;0),(INDEX('O&amp;O - Revenues &amp; viewing'!$B$6:$AD$237,MATCH('Impacts - VM'!B62,'O&amp;O - Revenues &amp; viewing'!$B$6:$B$237,0),27))/1000000,"Not needed")</f>
        <v>Not needed</v>
      </c>
      <c r="J62">
        <f>INDEX('VM-Gen Ent EPG (2)'!$F:$H,MATCH($C62,'VM-Gen Ent EPG (2)'!$H:$H,0),1)</f>
        <v>160</v>
      </c>
      <c r="K62">
        <f>INDEX('VM-Gen Ent EPG (2)'!$F:$H,MATCH($C62,'VM-Gen Ent EPG (2)'!$H:$H,0),2)</f>
        <v>59</v>
      </c>
      <c r="L62">
        <f t="shared" si="3"/>
        <v>-3</v>
      </c>
      <c r="M62">
        <f t="shared" si="4"/>
        <v>1</v>
      </c>
      <c r="N62" s="7">
        <f>IF($L62=0,0,G62*$L62*'O&amp;O - other input parameters'!$C$7)</f>
        <v>-3.5010697707419141</v>
      </c>
      <c r="O62" s="7">
        <f>IF($L62=0,0,H62*$L62*'O&amp;O - other input parameters'!$C$7)</f>
        <v>-0.17129253453764262</v>
      </c>
      <c r="Q62">
        <f>INDEX('VM-Gen Ent EPG (2)'!$K:$M,MATCH($C62,'VM-Gen Ent EPG (2)'!$M:$M,0),1)</f>
        <v>160</v>
      </c>
      <c r="R62">
        <f>INDEX('VM-Gen Ent EPG (2)'!$K:$M,MATCH($C62,'VM-Gen Ent EPG (2)'!$M:$M,0),2)</f>
        <v>59</v>
      </c>
      <c r="S62">
        <f t="shared" si="1"/>
        <v>-3</v>
      </c>
      <c r="T62">
        <f t="shared" si="2"/>
        <v>1</v>
      </c>
      <c r="U62" s="7">
        <f>IF($S62=0,0,G62*$S62*'O&amp;O - other input parameters'!$C$7)</f>
        <v>-3.5010697707419141</v>
      </c>
      <c r="V62" s="7">
        <f>IF($S62=0,0,H62*$S62*'O&amp;O - other input parameters'!$C$7)</f>
        <v>-0.17129253453764262</v>
      </c>
    </row>
    <row r="63" spans="1:22" ht="14.65" thickBot="1" x14ac:dyDescent="0.5">
      <c r="B63" s="129" t="s">
        <v>643</v>
      </c>
      <c r="C63" t="str">
        <f>'VM-Gen Ent EPG (2)'!C65</f>
        <v>FOX +1</v>
      </c>
      <c r="D63">
        <f t="shared" si="0"/>
        <v>1</v>
      </c>
      <c r="E63">
        <f>INDEX('VM-Gen Ent EPG (2)'!$A:$C,MATCH($C63,'VM-Gen Ent EPG (2)'!$C:$C,0),1)</f>
        <v>158</v>
      </c>
      <c r="F63">
        <f>INDEX('VM-Gen Ent EPG (2)'!$A:$C,MATCH($C63,'VM-Gen Ent EPG (2)'!$C:$C,0),2)</f>
        <v>57</v>
      </c>
      <c r="G63" s="73">
        <f>IF(AND($L63=0,$S63=0),"Not needed",(IF($B63="Not available",0,((INDEX('O&amp;O - Revenues &amp; viewing'!$B$6:$Z$237,MATCH($B63,'O&amp;O - Revenues &amp; viewing'!$B$6:$B$237,0),21))/1000000))))</f>
        <v>0</v>
      </c>
      <c r="H63" s="73">
        <f>IF(AND($L63=0,$S63=0),"Not needed",(IF($B63="Not available",0,((INDEX('O&amp;O - Revenues &amp; viewing'!$B$6:$Z$237,MATCH($B63,'O&amp;O - Revenues &amp; viewing'!$B$6:$B$237,0),25))/1000000))))</f>
        <v>0</v>
      </c>
      <c r="I63" t="str">
        <f>IF(OR(N63&gt;0,U63&gt;0),(INDEX('O&amp;O - Revenues &amp; viewing'!$B$6:$AD$237,MATCH('Impacts - VM'!B63,'O&amp;O - Revenues &amp; viewing'!$B$6:$B$237,0),27))/1000000,"Not needed")</f>
        <v>Not needed</v>
      </c>
      <c r="J63">
        <f>INDEX('VM-Gen Ent EPG (2)'!$F:$H,MATCH($C63,'VM-Gen Ent EPG (2)'!$H:$H,0),1)</f>
        <v>161</v>
      </c>
      <c r="K63">
        <f>INDEX('VM-Gen Ent EPG (2)'!$F:$H,MATCH($C63,'VM-Gen Ent EPG (2)'!$H:$H,0),2)</f>
        <v>60</v>
      </c>
      <c r="L63">
        <f t="shared" si="3"/>
        <v>-3</v>
      </c>
      <c r="M63">
        <f t="shared" si="4"/>
        <v>1</v>
      </c>
      <c r="N63" s="7">
        <f>IF($L63=0,0,G63*$L63*'O&amp;O - other input parameters'!$C$7)</f>
        <v>0</v>
      </c>
      <c r="O63" s="7">
        <f>IF($L63=0,0,H63*$L63*'O&amp;O - other input parameters'!$C$7)</f>
        <v>0</v>
      </c>
      <c r="Q63">
        <f>INDEX('VM-Gen Ent EPG (2)'!$K:$M,MATCH($C63,'VM-Gen Ent EPG (2)'!$M:$M,0),1)</f>
        <v>161</v>
      </c>
      <c r="R63">
        <f>INDEX('VM-Gen Ent EPG (2)'!$K:$M,MATCH($C63,'VM-Gen Ent EPG (2)'!$M:$M,0),2)</f>
        <v>60</v>
      </c>
      <c r="S63">
        <f t="shared" si="1"/>
        <v>-3</v>
      </c>
      <c r="T63">
        <f t="shared" si="2"/>
        <v>1</v>
      </c>
      <c r="U63" s="7">
        <f>IF($S63=0,0,G63*$S63*'O&amp;O - other input parameters'!$C$7)</f>
        <v>0</v>
      </c>
      <c r="V63" s="7">
        <f>IF($S63=0,0,H63*$S63*'O&amp;O - other input parameters'!$C$7)</f>
        <v>0</v>
      </c>
    </row>
    <row r="64" spans="1:22" ht="14.65" thickBot="1" x14ac:dyDescent="0.5">
      <c r="A64" t="s">
        <v>645</v>
      </c>
      <c r="B64" s="129" t="s">
        <v>426</v>
      </c>
      <c r="C64" t="str">
        <f>'VM-Gen Ent EPG (2)'!C66</f>
        <v>Regional Channels</v>
      </c>
      <c r="D64">
        <f t="shared" si="0"/>
        <v>1</v>
      </c>
      <c r="E64">
        <f>INDEX('VM-Gen Ent EPG (2)'!$A:$C,MATCH($C64,'VM-Gen Ent EPG (2)'!$C:$C,0),1)</f>
        <v>159</v>
      </c>
      <c r="F64">
        <f>INDEX('VM-Gen Ent EPG (2)'!$A:$C,MATCH($C64,'VM-Gen Ent EPG (2)'!$C:$C,0),2)</f>
        <v>58</v>
      </c>
      <c r="G64" s="73">
        <f>IF(AND($L64=0,$S64=0),"Not needed",(IF($B64="Not available",0,((INDEX('O&amp;O - Revenues &amp; viewing'!$B$6:$Z$237,MATCH($B64,'O&amp;O - Revenues &amp; viewing'!$B$6:$B$237,0),21))/1000000))))</f>
        <v>3.8719199999999998</v>
      </c>
      <c r="H64" s="73">
        <f>IF(AND($L64=0,$S64=0),"Not needed",(IF($B64="Not available",0,((INDEX('O&amp;O - Revenues &amp; viewing'!$B$6:$Z$237,MATCH($B64,'O&amp;O - Revenues &amp; viewing'!$B$6:$B$237,0),25))/1000000))))</f>
        <v>0.1894366675778768</v>
      </c>
      <c r="I64" s="73">
        <f>IF(OR(N64&gt;0,U64&gt;0),(INDEX('O&amp;O - Revenues &amp; viewing'!$B$6:$AD$237,MATCH('Impacts - VM'!B64,'O&amp;O - Revenues &amp; viewing'!$B$6:$B$237,0),27))/1000000,"Not needed")</f>
        <v>53.874000000000009</v>
      </c>
      <c r="J64">
        <f>INDEX('VM-Gen Ent EPG (2)'!$F:$H,MATCH($C64,'VM-Gen Ent EPG (2)'!$H:$H,0),1)</f>
        <v>159</v>
      </c>
      <c r="K64">
        <f>INDEX('VM-Gen Ent EPG (2)'!$F:$H,MATCH($C64,'VM-Gen Ent EPG (2)'!$H:$H,0),2)</f>
        <v>58</v>
      </c>
      <c r="L64">
        <f t="shared" si="3"/>
        <v>0</v>
      </c>
      <c r="M64">
        <f t="shared" si="4"/>
        <v>0</v>
      </c>
      <c r="N64" s="7">
        <f>IF($L64=0,0,G64*$L64*'O&amp;O - other input parameters'!$C$7)</f>
        <v>0</v>
      </c>
      <c r="O64" s="7">
        <f>IF($L64=0,0,H64*$L64*'O&amp;O - other input parameters'!$C$7)</f>
        <v>0</v>
      </c>
      <c r="Q64">
        <f>INDEX('VM-Gen Ent EPG (2)'!$K:$M,MATCH($C64,'VM-Gen Ent EPG (2)'!$M:$M,0),1)</f>
        <v>122</v>
      </c>
      <c r="R64">
        <f>INDEX('VM-Gen Ent EPG (2)'!$K:$M,MATCH($C64,'VM-Gen Ent EPG (2)'!$M:$M,0),2)</f>
        <v>22</v>
      </c>
      <c r="S64">
        <f t="shared" si="1"/>
        <v>36</v>
      </c>
      <c r="T64">
        <f t="shared" si="2"/>
        <v>1</v>
      </c>
      <c r="U64" s="7">
        <f>IF($S64=0,0,G64*$S64*'O&amp;O - other input parameters'!$C$7)</f>
        <v>2.0660518540292738</v>
      </c>
      <c r="V64" s="7">
        <f>IF($S64=0,0,H64*$S64*'O&amp;O - other input parameters'!$C$7)</f>
        <v>0.1010831779247504</v>
      </c>
    </row>
    <row r="65" spans="2:22" ht="14.65" thickBot="1" x14ac:dyDescent="0.5">
      <c r="B65" s="129" t="s">
        <v>443</v>
      </c>
      <c r="C65" t="str">
        <f>'VM-Gen Ent EPG (2)'!C67</f>
        <v>Real Lives</v>
      </c>
      <c r="D65">
        <f t="shared" si="0"/>
        <v>1</v>
      </c>
      <c r="E65">
        <f>INDEX('VM-Gen Ent EPG (2)'!$A:$C,MATCH($C65,'VM-Gen Ent EPG (2)'!$C:$C,0),1)</f>
        <v>160</v>
      </c>
      <c r="F65">
        <f>INDEX('VM-Gen Ent EPG (2)'!$A:$C,MATCH($C65,'VM-Gen Ent EPG (2)'!$C:$C,0),2)</f>
        <v>59</v>
      </c>
      <c r="G65" s="73">
        <f>IF(AND($L65=0,$S65=0),"Not needed",(IF($B65="Not available",0,((INDEX('O&amp;O - Revenues &amp; viewing'!$B$6:$Z$237,MATCH($B65,'O&amp;O - Revenues &amp; viewing'!$B$6:$B$237,0),21))/1000000))))</f>
        <v>12.15888</v>
      </c>
      <c r="H65" s="73">
        <f>IF(AND($L65=0,$S65=0),"Not needed",(IF($B65="Not available",0,((INDEX('O&amp;O - Revenues &amp; viewing'!$B$6:$Z$237,MATCH($B65,'O&amp;O - Revenues &amp; viewing'!$B$6:$B$237,0),25))/1000000))))</f>
        <v>0.59488256696401121</v>
      </c>
      <c r="I65" t="str">
        <f>IF(OR(N65&gt;0,U65&gt;0),(INDEX('O&amp;O - Revenues &amp; viewing'!$B$6:$AD$237,MATCH('Impacts - VM'!B65,'O&amp;O - Revenues &amp; viewing'!$B$6:$B$237,0),27))/1000000,"Not needed")</f>
        <v>Not needed</v>
      </c>
      <c r="J65">
        <f>INDEX('VM-Gen Ent EPG (2)'!$F:$H,MATCH($C65,'VM-Gen Ent EPG (2)'!$H:$H,0),1)</f>
        <v>162</v>
      </c>
      <c r="K65">
        <f>INDEX('VM-Gen Ent EPG (2)'!$F:$H,MATCH($C65,'VM-Gen Ent EPG (2)'!$H:$H,0),2)</f>
        <v>61</v>
      </c>
      <c r="L65">
        <f t="shared" si="3"/>
        <v>-2</v>
      </c>
      <c r="M65">
        <f t="shared" si="4"/>
        <v>1</v>
      </c>
      <c r="N65" s="7">
        <f>IF($L65=0,0,G65*$L65*'O&amp;O - other input parameters'!$C$7)</f>
        <v>-0.36044243003929516</v>
      </c>
      <c r="O65" s="7">
        <f>IF($L65=0,0,H65*$L65*'O&amp;O - other input parameters'!$C$7)</f>
        <v>-1.7634923448913216E-2</v>
      </c>
      <c r="Q65">
        <f>INDEX('VM-Gen Ent EPG (2)'!$K:$M,MATCH($C65,'VM-Gen Ent EPG (2)'!$M:$M,0),1)</f>
        <v>162</v>
      </c>
      <c r="R65">
        <f>INDEX('VM-Gen Ent EPG (2)'!$K:$M,MATCH($C65,'VM-Gen Ent EPG (2)'!$M:$M,0),2)</f>
        <v>61</v>
      </c>
      <c r="S65">
        <f t="shared" si="1"/>
        <v>-2</v>
      </c>
      <c r="T65">
        <f t="shared" si="2"/>
        <v>1</v>
      </c>
      <c r="U65" s="7">
        <f>IF($S65=0,0,G65*$S65*'O&amp;O - other input parameters'!$C$7)</f>
        <v>-0.36044243003929516</v>
      </c>
      <c r="V65" s="7">
        <f>IF($S65=0,0,H65*$S65*'O&amp;O - other input parameters'!$C$7)</f>
        <v>-1.7634923448913216E-2</v>
      </c>
    </row>
    <row r="66" spans="2:22" ht="14.65" thickBot="1" x14ac:dyDescent="0.5">
      <c r="B66" s="129" t="s">
        <v>643</v>
      </c>
      <c r="C66" t="str">
        <f>'VM-Gen Ent EPG (2)'!C68</f>
        <v>BBC Alba</v>
      </c>
      <c r="D66">
        <f t="shared" si="0"/>
        <v>0</v>
      </c>
      <c r="E66">
        <f>INDEX('VM-Gen Ent EPG (2)'!$A:$C,MATCH($C66,'VM-Gen Ent EPG (2)'!$C:$C,0),1)</f>
        <v>161</v>
      </c>
      <c r="F66">
        <f>INDEX('VM-Gen Ent EPG (2)'!$A:$C,MATCH($C66,'VM-Gen Ent EPG (2)'!$C:$C,0),2)</f>
        <v>60</v>
      </c>
      <c r="G66" s="73">
        <f>IF(AND($L66=0,$S66=0),"Not needed",(IF($B66="Not available",0,((INDEX('O&amp;O - Revenues &amp; viewing'!$B$6:$Z$237,MATCH($B66,'O&amp;O - Revenues &amp; viewing'!$B$6:$B$237,0),21))/1000000))))</f>
        <v>0</v>
      </c>
      <c r="H66" s="73">
        <f>IF(AND($L66=0,$S66=0),"Not needed",(IF($B66="Not available",0,((INDEX('O&amp;O - Revenues &amp; viewing'!$B$6:$Z$237,MATCH($B66,'O&amp;O - Revenues &amp; viewing'!$B$6:$B$237,0),25))/1000000))))</f>
        <v>0</v>
      </c>
      <c r="I66" t="str">
        <f>IF(OR(N66&gt;0,U66&gt;0),(INDEX('O&amp;O - Revenues &amp; viewing'!$B$6:$AD$237,MATCH('Impacts - VM'!B66,'O&amp;O - Revenues &amp; viewing'!$B$6:$B$237,0),27))/1000000,"Not needed")</f>
        <v>Not needed</v>
      </c>
      <c r="J66">
        <f>INDEX('VM-Gen Ent EPG (2)'!$F:$H,MATCH($C66,'VM-Gen Ent EPG (2)'!$H:$H,0),1)</f>
        <v>123</v>
      </c>
      <c r="K66">
        <f>INDEX('VM-Gen Ent EPG (2)'!$F:$H,MATCH($C66,'VM-Gen Ent EPG (2)'!$H:$H,0),2)</f>
        <v>23</v>
      </c>
      <c r="L66">
        <f t="shared" si="3"/>
        <v>37</v>
      </c>
      <c r="M66">
        <f t="shared" si="4"/>
        <v>1</v>
      </c>
      <c r="N66" s="7">
        <f>IF($L66=0,0,G66*$L66*'O&amp;O - other input parameters'!$C$7)</f>
        <v>0</v>
      </c>
      <c r="O66" s="7">
        <f>IF($L66=0,0,H66*$L66*'O&amp;O - other input parameters'!$C$7)</f>
        <v>0</v>
      </c>
      <c r="Q66">
        <f>INDEX('VM-Gen Ent EPG (2)'!$K:$M,MATCH($C66,'VM-Gen Ent EPG (2)'!$M:$M,0),1)</f>
        <v>123</v>
      </c>
      <c r="R66">
        <f>INDEX('VM-Gen Ent EPG (2)'!$K:$M,MATCH($C66,'VM-Gen Ent EPG (2)'!$M:$M,0),2)</f>
        <v>23</v>
      </c>
      <c r="S66">
        <f t="shared" si="1"/>
        <v>37</v>
      </c>
      <c r="T66">
        <f t="shared" si="2"/>
        <v>1</v>
      </c>
      <c r="U66" s="7">
        <f>IF($S66=0,0,G66*$S66*'O&amp;O - other input parameters'!$C$7)</f>
        <v>0</v>
      </c>
      <c r="V66" s="7">
        <f>IF($S66=0,0,H66*$S66*'O&amp;O - other input parameters'!$C$7)</f>
        <v>0</v>
      </c>
    </row>
    <row r="67" spans="2:22" ht="14.65" thickBot="1" x14ac:dyDescent="0.5">
      <c r="B67" s="129" t="s">
        <v>643</v>
      </c>
      <c r="C67" t="str">
        <f>'VM-Gen Ent EPG (2)'!C69</f>
        <v>BBC Scotland HD*</v>
      </c>
      <c r="D67">
        <f t="shared" si="0"/>
        <v>0</v>
      </c>
      <c r="E67">
        <f>INDEX('VM-Gen Ent EPG (2)'!$A:$C,MATCH($C67,'VM-Gen Ent EPG (2)'!$C:$C,0),1)</f>
        <v>162</v>
      </c>
      <c r="F67">
        <f>INDEX('VM-Gen Ent EPG (2)'!$A:$C,MATCH($C67,'VM-Gen Ent EPG (2)'!$C:$C,0),2)</f>
        <v>61</v>
      </c>
      <c r="G67" s="73">
        <f>IF(AND($L67=0,$S67=0),"Not needed",(IF($B67="Not available",0,((INDEX('O&amp;O - Revenues &amp; viewing'!$B$6:$Z$237,MATCH($B67,'O&amp;O - Revenues &amp; viewing'!$B$6:$B$237,0),21))/1000000))))</f>
        <v>0</v>
      </c>
      <c r="H67" s="73">
        <f>IF(AND($L67=0,$S67=0),"Not needed",(IF($B67="Not available",0,((INDEX('O&amp;O - Revenues &amp; viewing'!$B$6:$Z$237,MATCH($B67,'O&amp;O - Revenues &amp; viewing'!$B$6:$B$237,0),25))/1000000))))</f>
        <v>0</v>
      </c>
      <c r="I67" t="str">
        <f>IF(OR(N67&gt;0,U67&gt;0),(INDEX('O&amp;O - Revenues &amp; viewing'!$B$6:$AD$237,MATCH('Impacts - VM'!B67,'O&amp;O - Revenues &amp; viewing'!$B$6:$B$237,0),27))/1000000,"Not needed")</f>
        <v>Not needed</v>
      </c>
      <c r="J67">
        <f>INDEX('VM-Gen Ent EPG (2)'!$F:$H,MATCH($C67,'VM-Gen Ent EPG (2)'!$H:$H,0),1)</f>
        <v>164</v>
      </c>
      <c r="K67">
        <f>INDEX('VM-Gen Ent EPG (2)'!$F:$H,MATCH($C67,'VM-Gen Ent EPG (2)'!$H:$H,0),2)</f>
        <v>62</v>
      </c>
      <c r="L67">
        <f t="shared" si="3"/>
        <v>-1</v>
      </c>
      <c r="M67">
        <f t="shared" si="4"/>
        <v>1</v>
      </c>
      <c r="N67" s="7">
        <f>IF($L67=0,0,G67*$L67*'O&amp;O - other input parameters'!$C$7)</f>
        <v>0</v>
      </c>
      <c r="O67" s="7">
        <f>IF($L67=0,0,H67*$L67*'O&amp;O - other input parameters'!$C$7)</f>
        <v>0</v>
      </c>
      <c r="Q67">
        <f>INDEX('VM-Gen Ent EPG (2)'!$K:$M,MATCH($C67,'VM-Gen Ent EPG (2)'!$M:$M,0),1)</f>
        <v>164</v>
      </c>
      <c r="R67">
        <f>INDEX('VM-Gen Ent EPG (2)'!$K:$M,MATCH($C67,'VM-Gen Ent EPG (2)'!$M:$M,0),2)</f>
        <v>62</v>
      </c>
      <c r="S67">
        <f t="shared" si="1"/>
        <v>-1</v>
      </c>
      <c r="T67">
        <f t="shared" si="2"/>
        <v>1</v>
      </c>
      <c r="U67" s="7">
        <f>IF($S67=0,0,G67*$S67*'O&amp;O - other input parameters'!$C$7)</f>
        <v>0</v>
      </c>
      <c r="V67" s="7">
        <f>IF($S67=0,0,H67*$S67*'O&amp;O - other input parameters'!$C$7)</f>
        <v>0</v>
      </c>
    </row>
    <row r="68" spans="2:22" ht="14.65" thickBot="1" x14ac:dyDescent="0.5">
      <c r="B68" s="129" t="s">
        <v>643</v>
      </c>
      <c r="C68" t="str">
        <f>'VM-Gen Ent EPG (2)'!C70</f>
        <v>Universal TV HD</v>
      </c>
      <c r="D68">
        <f t="shared" si="0"/>
        <v>1</v>
      </c>
      <c r="E68">
        <f>INDEX('VM-Gen Ent EPG (2)'!$A:$C,MATCH($C68,'VM-Gen Ent EPG (2)'!$C:$C,0),1)</f>
        <v>164</v>
      </c>
      <c r="F68">
        <f>INDEX('VM-Gen Ent EPG (2)'!$A:$C,MATCH($C68,'VM-Gen Ent EPG (2)'!$C:$C,0),2)</f>
        <v>62</v>
      </c>
      <c r="G68" s="73">
        <f>IF(AND($L68=0,$S68=0),"Not needed",(IF($B68="Not available",0,((INDEX('O&amp;O - Revenues &amp; viewing'!$B$6:$Z$237,MATCH($B68,'O&amp;O - Revenues &amp; viewing'!$B$6:$B$237,0),21))/1000000))))</f>
        <v>0</v>
      </c>
      <c r="H68" s="73">
        <f>IF(AND($L68=0,$S68=0),"Not needed",(IF($B68="Not available",0,((INDEX('O&amp;O - Revenues &amp; viewing'!$B$6:$Z$237,MATCH($B68,'O&amp;O - Revenues &amp; viewing'!$B$6:$B$237,0),25))/1000000))))</f>
        <v>0</v>
      </c>
      <c r="I68" t="str">
        <f>IF(OR(N68&gt;0,U68&gt;0),(INDEX('O&amp;O - Revenues &amp; viewing'!$B$6:$AD$237,MATCH('Impacts - VM'!B68,'O&amp;O - Revenues &amp; viewing'!$B$6:$B$237,0),27))/1000000,"Not needed")</f>
        <v>Not needed</v>
      </c>
      <c r="J68">
        <f>INDEX('VM-Gen Ent EPG (2)'!$F:$H,MATCH($C68,'VM-Gen Ent EPG (2)'!$H:$H,0),1)</f>
        <v>165</v>
      </c>
      <c r="K68">
        <f>INDEX('VM-Gen Ent EPG (2)'!$F:$H,MATCH($C68,'VM-Gen Ent EPG (2)'!$H:$H,0),2)</f>
        <v>63</v>
      </c>
      <c r="L68">
        <f t="shared" si="3"/>
        <v>-1</v>
      </c>
      <c r="M68">
        <f t="shared" si="4"/>
        <v>1</v>
      </c>
      <c r="N68" s="7">
        <f>IF($L68=0,0,G68*$L68*'O&amp;O - other input parameters'!$C$7)</f>
        <v>0</v>
      </c>
      <c r="O68" s="7">
        <f>IF($L68=0,0,H68*$L68*'O&amp;O - other input parameters'!$C$7)</f>
        <v>0</v>
      </c>
      <c r="Q68">
        <f>INDEX('VM-Gen Ent EPG (2)'!$K:$M,MATCH($C68,'VM-Gen Ent EPG (2)'!$M:$M,0),1)</f>
        <v>165</v>
      </c>
      <c r="R68">
        <f>INDEX('VM-Gen Ent EPG (2)'!$K:$M,MATCH($C68,'VM-Gen Ent EPG (2)'!$M:$M,0),2)</f>
        <v>63</v>
      </c>
      <c r="S68">
        <f t="shared" si="1"/>
        <v>-1</v>
      </c>
      <c r="T68">
        <f t="shared" si="2"/>
        <v>1</v>
      </c>
      <c r="U68" s="7">
        <f>IF($S68=0,0,G68*$S68*'O&amp;O - other input parameters'!$C$7)</f>
        <v>0</v>
      </c>
      <c r="V68" s="7">
        <f>IF($S68=0,0,H68*$S68*'O&amp;O - other input parameters'!$C$7)</f>
        <v>0</v>
      </c>
    </row>
    <row r="69" spans="2:22" ht="14.65" thickBot="1" x14ac:dyDescent="0.5">
      <c r="B69" s="129" t="s">
        <v>136</v>
      </c>
      <c r="C69" t="str">
        <f>'VM-Gen Ent EPG (2)'!C71</f>
        <v>SYFY HD</v>
      </c>
      <c r="D69">
        <f t="shared" si="0"/>
        <v>1</v>
      </c>
      <c r="E69">
        <f>INDEX('VM-Gen Ent EPG (2)'!$A:$C,MATCH($C69,'VM-Gen Ent EPG (2)'!$C:$C,0),1)</f>
        <v>165</v>
      </c>
      <c r="F69">
        <f>INDEX('VM-Gen Ent EPG (2)'!$A:$C,MATCH($C69,'VM-Gen Ent EPG (2)'!$C:$C,0),2)</f>
        <v>63</v>
      </c>
      <c r="G69" s="73">
        <f>IF(AND($L69=0,$S69=0),"Not needed",(IF($B69="Not available",0,((INDEX('O&amp;O - Revenues &amp; viewing'!$B$6:$Z$237,MATCH($B69,'O&amp;O - Revenues &amp; viewing'!$B$6:$B$237,0),21))/1000000))))</f>
        <v>40.707720000000002</v>
      </c>
      <c r="H69" s="73">
        <f>IF(AND($L69=0,$S69=0),"Not needed",(IF($B69="Not available",0,((INDEX('O&amp;O - Revenues &amp; viewing'!$B$6:$Z$237,MATCH($B69,'O&amp;O - Revenues &amp; viewing'!$B$6:$B$237,0),25))/1000000))))</f>
        <v>1.991656548041614</v>
      </c>
      <c r="I69" t="str">
        <f>IF(OR(N69&gt;0,U69&gt;0),(INDEX('O&amp;O - Revenues &amp; viewing'!$B$6:$AD$237,MATCH('Impacts - VM'!B69,'O&amp;O - Revenues &amp; viewing'!$B$6:$B$237,0),27))/1000000,"Not needed")</f>
        <v>Not needed</v>
      </c>
      <c r="J69">
        <f>INDEX('VM-Gen Ent EPG (2)'!$F:$H,MATCH($C69,'VM-Gen Ent EPG (2)'!$H:$H,0),1)</f>
        <v>166</v>
      </c>
      <c r="K69">
        <f>INDEX('VM-Gen Ent EPG (2)'!$F:$H,MATCH($C69,'VM-Gen Ent EPG (2)'!$H:$H,0),2)</f>
        <v>64</v>
      </c>
      <c r="L69">
        <f t="shared" si="3"/>
        <v>-1</v>
      </c>
      <c r="M69">
        <f t="shared" si="4"/>
        <v>1</v>
      </c>
      <c r="N69" s="7">
        <f>IF($L69=0,0,G69*$L69*'O&amp;O - other input parameters'!$C$7)</f>
        <v>-0.60337751166880571</v>
      </c>
      <c r="O69" s="7">
        <f>IF($L69=0,0,H69*$L69*'O&amp;O - other input parameters'!$C$7)</f>
        <v>-2.9520709390165604E-2</v>
      </c>
      <c r="Q69">
        <f>INDEX('VM-Gen Ent EPG (2)'!$K:$M,MATCH($C69,'VM-Gen Ent EPG (2)'!$M:$M,0),1)</f>
        <v>166</v>
      </c>
      <c r="R69">
        <f>INDEX('VM-Gen Ent EPG (2)'!$K:$M,MATCH($C69,'VM-Gen Ent EPG (2)'!$M:$M,0),2)</f>
        <v>64</v>
      </c>
      <c r="S69">
        <f t="shared" si="1"/>
        <v>-1</v>
      </c>
      <c r="T69">
        <f t="shared" si="2"/>
        <v>1</v>
      </c>
      <c r="U69" s="7">
        <f>IF($S69=0,0,G69*$S69*'O&amp;O - other input parameters'!$C$7)</f>
        <v>-0.60337751166880571</v>
      </c>
      <c r="V69" s="7">
        <f>IF($S69=0,0,H69*$S69*'O&amp;O - other input parameters'!$C$7)</f>
        <v>-2.9520709390165604E-2</v>
      </c>
    </row>
    <row r="70" spans="2:22" ht="14.65" thickBot="1" x14ac:dyDescent="0.5">
      <c r="B70" s="129" t="s">
        <v>92</v>
      </c>
      <c r="C70" t="str">
        <f>'VM-Gen Ent EPG (2)'!C72</f>
        <v>S4C HD</v>
      </c>
      <c r="D70">
        <f t="shared" si="0"/>
        <v>1</v>
      </c>
      <c r="E70">
        <f>INDEX('VM-Gen Ent EPG (2)'!$A:$C,MATCH($C70,'VM-Gen Ent EPG (2)'!$C:$C,0),1)</f>
        <v>166</v>
      </c>
      <c r="F70">
        <f>INDEX('VM-Gen Ent EPG (2)'!$A:$C,MATCH($C70,'VM-Gen Ent EPG (2)'!$C:$C,0),2)</f>
        <v>64</v>
      </c>
      <c r="G70" s="73">
        <f>IF(AND($L70=0,$S70=0),"Not needed",(IF($B70="Not available",0,((INDEX('O&amp;O - Revenues &amp; viewing'!$B$6:$Z$237,MATCH($B70,'O&amp;O - Revenues &amp; viewing'!$B$6:$B$237,0),21))/1000000))))</f>
        <v>1.54176</v>
      </c>
      <c r="H70" s="73">
        <f>IF(AND($L70=0,$S70=0),"Not needed",(IF($B70="Not available",0,((INDEX('O&amp;O - Revenues &amp; viewing'!$B$6:$Z$237,MATCH($B70,'O&amp;O - Revenues &amp; viewing'!$B$6:$B$237,0),25))/1000000))))</f>
        <v>0.12666034565513823</v>
      </c>
      <c r="I70" s="73">
        <f>IF(OR(N70&gt;0,U70&gt;0),(INDEX('O&amp;O - Revenues &amp; viewing'!$B$6:$AD$237,MATCH('Impacts - VM'!B70,'O&amp;O - Revenues &amp; viewing'!$B$6:$B$237,0),27))/1000000,"Not needed")</f>
        <v>46.53311999999999</v>
      </c>
      <c r="J70">
        <f>INDEX('VM-Gen Ent EPG (2)'!$F:$H,MATCH($C70,'VM-Gen Ent EPG (2)'!$H:$H,0),1)</f>
        <v>124</v>
      </c>
      <c r="K70">
        <f>INDEX('VM-Gen Ent EPG (2)'!$F:$H,MATCH($C70,'VM-Gen Ent EPG (2)'!$H:$H,0),2)</f>
        <v>24</v>
      </c>
      <c r="L70">
        <f t="shared" si="3"/>
        <v>40</v>
      </c>
      <c r="M70">
        <f t="shared" si="4"/>
        <v>1</v>
      </c>
      <c r="N70" s="7">
        <f>IF($L70=0,0,G70*$L70*'O&amp;O - other input parameters'!$C$7)</f>
        <v>0.91409031249158423</v>
      </c>
      <c r="O70" s="7">
        <f>IF($L70=0,0,H70*$L70*'O&amp;O - other input parameters'!$C$7)</f>
        <v>7.5095342297243017E-2</v>
      </c>
      <c r="Q70">
        <f>INDEX('VM-Gen Ent EPG (2)'!$K:$M,MATCH($C70,'VM-Gen Ent EPG (2)'!$M:$M,0),1)</f>
        <v>124</v>
      </c>
      <c r="R70">
        <f>INDEX('VM-Gen Ent EPG (2)'!$K:$M,MATCH($C70,'VM-Gen Ent EPG (2)'!$M:$M,0),2)</f>
        <v>24</v>
      </c>
      <c r="S70">
        <f t="shared" si="1"/>
        <v>40</v>
      </c>
      <c r="T70">
        <f t="shared" si="2"/>
        <v>1</v>
      </c>
      <c r="U70" s="7">
        <f>IF($S70=0,0,G70*$S70*'O&amp;O - other input parameters'!$C$7)</f>
        <v>0.91409031249158423</v>
      </c>
      <c r="V70" s="7">
        <f>IF($S70=0,0,H70*$S70*'O&amp;O - other input parameters'!$C$7)</f>
        <v>7.5095342297243017E-2</v>
      </c>
    </row>
    <row r="71" spans="2:22" ht="28.5" x14ac:dyDescent="0.45">
      <c r="C71" t="s">
        <v>214</v>
      </c>
      <c r="J71" s="2" t="s">
        <v>201</v>
      </c>
      <c r="K71" s="2" t="s">
        <v>201</v>
      </c>
      <c r="Q71" s="2" t="s">
        <v>201</v>
      </c>
      <c r="R71" s="2" t="s">
        <v>201</v>
      </c>
    </row>
    <row r="72" spans="2:22" ht="42.75" x14ac:dyDescent="0.45">
      <c r="J72" s="2" t="s">
        <v>220</v>
      </c>
      <c r="K72" s="2"/>
      <c r="M72">
        <f>COUNTIF(M7:M70,1)</f>
        <v>41</v>
      </c>
      <c r="Q72" s="2"/>
      <c r="R72" s="2"/>
      <c r="T72">
        <f>COUNTIF(T7:T70,1)</f>
        <v>43</v>
      </c>
    </row>
    <row r="73" spans="2:22" ht="57" x14ac:dyDescent="0.45">
      <c r="J73" s="2" t="s">
        <v>207</v>
      </c>
      <c r="L73">
        <f>COUNTIFS($D$7:$D$70,1,L7:L70,"&lt;0")</f>
        <v>38</v>
      </c>
      <c r="S73">
        <f>COUNTIFS($D$7:$D$70,1,S7:S70,"&lt;0")</f>
        <v>39</v>
      </c>
    </row>
    <row r="74" spans="2:22" x14ac:dyDescent="0.45">
      <c r="G74" s="130"/>
    </row>
    <row r="75" spans="2:22" ht="42.75" x14ac:dyDescent="0.45">
      <c r="J75" s="2" t="s">
        <v>646</v>
      </c>
      <c r="N75" s="73">
        <f>SUMIFS(N$7:N$70,N$7:N$70,"&lt;0")</f>
        <v>-48.454966631611761</v>
      </c>
      <c r="O75" s="73"/>
      <c r="P75" s="73"/>
      <c r="Q75" s="73"/>
      <c r="R75" s="73"/>
      <c r="S75" s="73"/>
      <c r="T75" s="73"/>
      <c r="U75" s="73">
        <f>SUMIFS(U$7:U$70,U$7:U$70,"&lt;0")</f>
        <v>-71.765438181512579</v>
      </c>
      <c r="V75" s="73"/>
    </row>
    <row r="76" spans="2:22" ht="42.75" x14ac:dyDescent="0.45">
      <c r="J76" s="2" t="s">
        <v>647</v>
      </c>
      <c r="N76" s="73">
        <f>SUMIFS(N$7:N$70,N$7:N$70,"&gt;0")</f>
        <v>0.91409031249158423</v>
      </c>
      <c r="O76" s="73"/>
      <c r="P76" s="73"/>
      <c r="Q76" s="73"/>
      <c r="R76" s="73"/>
      <c r="S76" s="73"/>
      <c r="T76" s="73"/>
      <c r="U76" s="73">
        <f>SUMIFS(U$7:U$70,U$7:U$70,"&gt;0")</f>
        <v>2.9801421665208583</v>
      </c>
      <c r="V76" s="73"/>
    </row>
    <row r="77" spans="2:22" x14ac:dyDescent="0.45">
      <c r="J77" s="2"/>
      <c r="N77" s="73"/>
      <c r="O77" s="73"/>
      <c r="P77" s="73"/>
      <c r="Q77" s="73"/>
      <c r="R77" s="73"/>
      <c r="S77" s="73"/>
      <c r="T77" s="73"/>
      <c r="U77" s="73"/>
      <c r="V77" s="73"/>
    </row>
    <row r="78" spans="2:22" ht="71.25" x14ac:dyDescent="0.45">
      <c r="J78" s="2" t="s">
        <v>648</v>
      </c>
      <c r="N78" s="73"/>
      <c r="O78" s="73">
        <f>SUMIFS(O7:O70,$D$7:$D$70,1,O7:O70,"&lt;0")</f>
        <v>-2.72647783994675</v>
      </c>
      <c r="P78" s="73"/>
      <c r="Q78" s="73"/>
      <c r="R78" s="73"/>
      <c r="S78" s="73"/>
      <c r="T78" s="73"/>
      <c r="U78" s="73"/>
      <c r="V78" s="73">
        <f>SUMIFS(V7:V70,$D$7:$D$70,1,V7:V70,"&lt;0")</f>
        <v>-4.1347695536952154</v>
      </c>
    </row>
    <row r="79" spans="2:22" x14ac:dyDescent="0.45">
      <c r="N79" s="73"/>
      <c r="O79" s="73"/>
      <c r="P79" s="73"/>
      <c r="Q79" s="73"/>
      <c r="R79" s="73"/>
      <c r="S79" s="73"/>
      <c r="T79" s="73"/>
      <c r="U79" s="73"/>
      <c r="V79" s="73"/>
    </row>
    <row r="80" spans="2:22" ht="71.25" x14ac:dyDescent="0.45">
      <c r="J80" s="2" t="s">
        <v>218</v>
      </c>
      <c r="N80" s="73"/>
      <c r="O80" s="73">
        <f>V78-O78</f>
        <v>-1.4082917137484654</v>
      </c>
      <c r="P80" s="73"/>
      <c r="Q80" s="73"/>
      <c r="R80" s="73"/>
      <c r="S80" s="73"/>
      <c r="T80" s="73"/>
      <c r="U80" s="73"/>
      <c r="V80" s="73"/>
    </row>
    <row r="82" spans="10:17" x14ac:dyDescent="0.45">
      <c r="Q82" s="127"/>
    </row>
    <row r="83" spans="10:17" x14ac:dyDescent="0.45">
      <c r="Q83" s="127"/>
    </row>
    <row r="85" spans="10:17" ht="42.75" x14ac:dyDescent="0.45">
      <c r="J85" s="2" t="s">
        <v>649</v>
      </c>
      <c r="N85" s="73">
        <f>(ABS(N75))/N76</f>
        <v>53.008948863636348</v>
      </c>
    </row>
    <row r="87" spans="10:17" ht="71.25" x14ac:dyDescent="0.45">
      <c r="J87" s="2" t="s">
        <v>650</v>
      </c>
      <c r="L87">
        <f>COUNTIFS($D$7:$D$70,1,$L$7:$L$70,-2)</f>
        <v>34</v>
      </c>
    </row>
    <row r="88" spans="10:17" ht="71.25" x14ac:dyDescent="0.45">
      <c r="J88" s="2" t="s">
        <v>651</v>
      </c>
      <c r="L88">
        <f>COUNTIFS($D$7:$D$70,1,$L$7:$L$70,-3)</f>
        <v>2</v>
      </c>
    </row>
    <row r="89" spans="10:17" ht="71.25" x14ac:dyDescent="0.45">
      <c r="J89" s="2" t="s">
        <v>652</v>
      </c>
      <c r="L89">
        <f>COUNTIFS($D$7:$D$70,1,$L$7:$L$70,-1)</f>
        <v>2</v>
      </c>
    </row>
  </sheetData>
  <pageMargins left="0.70866141732283472" right="0.70866141732283472" top="0.74803149606299213" bottom="0.74803149606299213"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C07D0-E674-46F1-8C06-BD43EEB097ED}">
  <sheetPr>
    <tabColor theme="7" tint="0.59999389629810485"/>
  </sheetPr>
  <dimension ref="A1:O56"/>
  <sheetViews>
    <sheetView zoomScale="67" zoomScaleNormal="67" workbookViewId="0"/>
  </sheetViews>
  <sheetFormatPr defaultRowHeight="14.25" x14ac:dyDescent="0.45"/>
  <cols>
    <col min="3" max="3" width="20.265625" bestFit="1" customWidth="1"/>
    <col min="4" max="4" width="12.06640625" customWidth="1"/>
    <col min="6" max="6" width="10.73046875" bestFit="1" customWidth="1"/>
    <col min="7" max="8" width="10.265625" bestFit="1" customWidth="1"/>
    <col min="10" max="10" width="15.46484375" customWidth="1"/>
    <col min="11" max="11" width="14.06640625" customWidth="1"/>
  </cols>
  <sheetData>
    <row r="1" spans="1:15" x14ac:dyDescent="0.45">
      <c r="A1" t="s">
        <v>695</v>
      </c>
    </row>
    <row r="3" spans="1:15" ht="14.45" customHeight="1" x14ac:dyDescent="0.45">
      <c r="E3" t="s">
        <v>122</v>
      </c>
      <c r="J3" t="s">
        <v>300</v>
      </c>
    </row>
    <row r="6" spans="1:15" ht="100.15" thickBot="1" x14ac:dyDescent="0.5">
      <c r="A6" t="s">
        <v>636</v>
      </c>
      <c r="B6" t="s">
        <v>637</v>
      </c>
      <c r="C6" t="s">
        <v>197</v>
      </c>
      <c r="D6" s="2" t="s">
        <v>206</v>
      </c>
      <c r="E6" t="s">
        <v>12</v>
      </c>
      <c r="F6" t="s">
        <v>123</v>
      </c>
      <c r="G6" s="2" t="s">
        <v>653</v>
      </c>
      <c r="H6" s="2" t="s">
        <v>654</v>
      </c>
      <c r="J6" t="s">
        <v>12</v>
      </c>
      <c r="K6" t="s">
        <v>123</v>
      </c>
      <c r="L6" s="2" t="s">
        <v>152</v>
      </c>
      <c r="M6" s="2" t="s">
        <v>219</v>
      </c>
      <c r="N6" s="2" t="s">
        <v>655</v>
      </c>
      <c r="O6" s="2" t="s">
        <v>656</v>
      </c>
    </row>
    <row r="7" spans="1:15" ht="14.65" thickBot="1" x14ac:dyDescent="0.5">
      <c r="B7" s="128" t="s">
        <v>183</v>
      </c>
      <c r="C7" t="str">
        <f>IF('Sky-Gen Ent EPG (2)'!O10&lt;&gt;0,'Sky-Gen Ent EPG (2)'!O10,"")</f>
        <v>BBC One</v>
      </c>
      <c r="D7">
        <f>IF(C7="","",(IF((LEFT(C7,3))="BBC",0,1)))</f>
        <v>0</v>
      </c>
      <c r="E7">
        <f>IF($C7="","",INDEX('Sky-Gen Ent EPG (2)'!$M:$O,MATCH($C7,'Sky-Gen Ent EPG (2)'!$O:$O,0),1))</f>
        <v>101</v>
      </c>
      <c r="F7">
        <f>IF($C7="","",INDEX('Sky-Gen Ent EPG (2)'!$M:$O,MATCH($C7,'Sky-Gen Ent EPG (2)'!$O:$O,0),2))</f>
        <v>1</v>
      </c>
      <c r="G7" t="str">
        <f>IF($L7=0,"Not needed",(IF($B7="Not available",0,(((INDEX('O&amp;O - Revenues &amp; viewing'!$B$6:$Z$237,MATCH($B7,'O&amp;O - Revenues &amp; viewing'!$B$6:$B$237,0),15))*('Nation weights - Sky (2)'!$D$6))/1000000))))</f>
        <v>Not needed</v>
      </c>
      <c r="H7" t="str">
        <f>IF($L7=0,"Not needed",(IF($B7="Not available",0,(((INDEX('O&amp;O - Revenues &amp; viewing'!$B$6:$Z$237,MATCH($B7,'O&amp;O - Revenues &amp; viewing'!$B$6:$B$237,0),19))*('Nation weights - Sky (2)'!$D$6))/1000000))))</f>
        <v>Not needed</v>
      </c>
      <c r="J7">
        <f>IF($C7="","",INDEX('Sky-Gen Ent EPG (2)'!$AC:$AE,MATCH($C7,'Sky-Gen Ent EPG (2)'!$AE:$AE,0),1))</f>
        <v>101</v>
      </c>
      <c r="K7">
        <f>IF($C7="","",INDEX('Sky-Gen Ent EPG (2)'!$AC:$AE,MATCH($C7,'Sky-Gen Ent EPG (2)'!$AE:$AE,0),2))</f>
        <v>1</v>
      </c>
      <c r="L7">
        <f>IF($F7="","",$F7-K7)</f>
        <v>0</v>
      </c>
      <c r="M7">
        <f>IF($F7="","",(IF(J7&lt;&gt;$E7,1,0)))</f>
        <v>0</v>
      </c>
      <c r="N7" s="7">
        <f>IF($L7=0,0,G7*$L7*'O&amp;O - other input parameters'!$C$7)</f>
        <v>0</v>
      </c>
      <c r="O7" s="7">
        <f>IF($L7=0,0,H7*$L7*'O&amp;O - other input parameters'!$C$7)</f>
        <v>0</v>
      </c>
    </row>
    <row r="8" spans="1:15" ht="14.65" thickBot="1" x14ac:dyDescent="0.5">
      <c r="B8" s="129" t="s">
        <v>344</v>
      </c>
      <c r="C8" t="str">
        <f>IF('Sky-Gen Ent EPG (2)'!O11&lt;&gt;0,'Sky-Gen Ent EPG (2)'!O11,"")</f>
        <v>BBC Two</v>
      </c>
      <c r="D8">
        <f t="shared" ref="D8:D48" si="0">IF(C8="","",(IF((LEFT(C8,3))="BBC",0,1)))</f>
        <v>0</v>
      </c>
      <c r="E8">
        <f>IF($C8="","",INDEX('Sky-Gen Ent EPG (2)'!$M:$O,MATCH($C8,'Sky-Gen Ent EPG (2)'!$O:$O,0),1))</f>
        <v>102</v>
      </c>
      <c r="F8">
        <f>IF($C8="","",INDEX('Sky-Gen Ent EPG (2)'!$M:$O,MATCH($C8,'Sky-Gen Ent EPG (2)'!$O:$O,0),2))</f>
        <v>2</v>
      </c>
      <c r="G8" t="str">
        <f>IF($L8=0,"Not needed",(IF($B8="Not available",0,(((INDEX('O&amp;O - Revenues &amp; viewing'!$B$6:$Z$237,MATCH($B8,'O&amp;O - Revenues &amp; viewing'!$B$6:$B$237,0),15))*('Nation weights - Sky (2)'!$D$6))/1000000))))</f>
        <v>Not needed</v>
      </c>
      <c r="H8" t="str">
        <f>IF($L8=0,"Not needed",(IF($B8="Not available",0,(((INDEX('O&amp;O - Revenues &amp; viewing'!$B$6:$Z$237,MATCH($B8,'O&amp;O - Revenues &amp; viewing'!$B$6:$B$237,0),19))*('Nation weights - Sky (2)'!$D$6))/1000000))))</f>
        <v>Not needed</v>
      </c>
      <c r="J8">
        <f>IF($C8="","",INDEX('Sky-Gen Ent EPG (2)'!$AC:$AE,MATCH($C8,'Sky-Gen Ent EPG (2)'!$AE:$AE,0),1))</f>
        <v>102</v>
      </c>
      <c r="K8">
        <f>IF($C8="","",INDEX('Sky-Gen Ent EPG (2)'!$AC:$AE,MATCH($C8,'Sky-Gen Ent EPG (2)'!$AE:$AE,0),2))</f>
        <v>2</v>
      </c>
      <c r="L8">
        <f t="shared" ref="L8:L48" si="1">IF($F8="","",$F8-K8)</f>
        <v>0</v>
      </c>
      <c r="M8">
        <f t="shared" ref="M8:M48" si="2">IF($F8="","",(IF(J8&lt;&gt;$E8,1,0)))</f>
        <v>0</v>
      </c>
      <c r="N8" s="7">
        <f>IF($L8=0,0,G8*$L8*'O&amp;O - other input parameters'!$C$7)</f>
        <v>0</v>
      </c>
      <c r="O8" s="7">
        <f>IF($L8=0,0,H8*$L8*'O&amp;O - other input parameters'!$C$7)</f>
        <v>0</v>
      </c>
    </row>
    <row r="9" spans="1:15" ht="14.65" thickBot="1" x14ac:dyDescent="0.5">
      <c r="B9" s="129" t="s">
        <v>55</v>
      </c>
      <c r="C9" t="str">
        <f>IF('Sky-Gen Ent EPG (2)'!O12&lt;&gt;0,'Sky-Gen Ent EPG (2)'!O12,"")</f>
        <v>ITV</v>
      </c>
      <c r="D9">
        <f t="shared" si="0"/>
        <v>1</v>
      </c>
      <c r="E9">
        <f>IF($C9="","",INDEX('Sky-Gen Ent EPG (2)'!$M:$O,MATCH($C9,'Sky-Gen Ent EPG (2)'!$O:$O,0),1))</f>
        <v>103</v>
      </c>
      <c r="F9">
        <f>IF($C9="","",INDEX('Sky-Gen Ent EPG (2)'!$M:$O,MATCH($C9,'Sky-Gen Ent EPG (2)'!$O:$O,0),2))</f>
        <v>3</v>
      </c>
      <c r="G9" t="str">
        <f>IF($L9=0,"Not needed",(IF($B9="Not available",0,(((INDEX('O&amp;O - Revenues &amp; viewing'!$B$6:$Z$237,MATCH($B9,'O&amp;O - Revenues &amp; viewing'!$B$6:$B$237,0),15))*('Nation weights - Sky (2)'!$D$6))/1000000))))</f>
        <v>Not needed</v>
      </c>
      <c r="H9" t="str">
        <f>IF($L9=0,"Not needed",(IF($B9="Not available",0,(((INDEX('O&amp;O - Revenues &amp; viewing'!$B$6:$Z$237,MATCH($B9,'O&amp;O - Revenues &amp; viewing'!$B$6:$B$237,0),19))*('Nation weights - Sky (2)'!$D$6))/1000000))))</f>
        <v>Not needed</v>
      </c>
      <c r="J9">
        <f>IF($C9="","",INDEX('Sky-Gen Ent EPG (2)'!$AC:$AE,MATCH($C9,'Sky-Gen Ent EPG (2)'!$AE:$AE,0),1))</f>
        <v>103</v>
      </c>
      <c r="K9">
        <f>IF($C9="","",INDEX('Sky-Gen Ent EPG (2)'!$AC:$AE,MATCH($C9,'Sky-Gen Ent EPG (2)'!$AE:$AE,0),2))</f>
        <v>3</v>
      </c>
      <c r="L9">
        <f t="shared" si="1"/>
        <v>0</v>
      </c>
      <c r="M9">
        <f t="shared" si="2"/>
        <v>0</v>
      </c>
      <c r="N9" s="7">
        <f>IF($L9=0,0,G9*$L9*'O&amp;O - other input parameters'!$C$7)</f>
        <v>0</v>
      </c>
      <c r="O9" s="7">
        <f>IF($L9=0,0,H9*$L9*'O&amp;O - other input parameters'!$C$7)</f>
        <v>0</v>
      </c>
    </row>
    <row r="10" spans="1:15" ht="14.65" thickBot="1" x14ac:dyDescent="0.5">
      <c r="B10" s="129" t="s">
        <v>92</v>
      </c>
      <c r="C10" t="str">
        <f>IF('Sky-Gen Ent EPG (2)'!O13&lt;&gt;0,'Sky-Gen Ent EPG (2)'!O13,"")</f>
        <v>S4C</v>
      </c>
      <c r="D10">
        <f t="shared" si="0"/>
        <v>1</v>
      </c>
      <c r="E10">
        <f>IF($C10="","",INDEX('Sky-Gen Ent EPG (2)'!$M:$O,MATCH($C10,'Sky-Gen Ent EPG (2)'!$O:$O,0),1))</f>
        <v>104</v>
      </c>
      <c r="F10">
        <f>IF($C10="","",INDEX('Sky-Gen Ent EPG (2)'!$M:$O,MATCH($C10,'Sky-Gen Ent EPG (2)'!$O:$O,0),2))</f>
        <v>4</v>
      </c>
      <c r="G10" t="str">
        <f>IF($L10=0,"Not needed",(IF($B10="Not available",0,(((INDEX('O&amp;O - Revenues &amp; viewing'!$B$6:$Z$237,MATCH($B10,'O&amp;O - Revenues &amp; viewing'!$B$6:$B$237,0),15))*('Nation weights - Sky (2)'!$D$6))/1000000))))</f>
        <v>Not needed</v>
      </c>
      <c r="H10" t="str">
        <f>IF($L10=0,"Not needed",(IF($B10="Not available",0,(((INDEX('O&amp;O - Revenues &amp; viewing'!$B$6:$Z$237,MATCH($B10,'O&amp;O - Revenues &amp; viewing'!$B$6:$B$237,0),19))*('Nation weights - Sky (2)'!$D$6))/1000000))))</f>
        <v>Not needed</v>
      </c>
      <c r="J10">
        <f>IF($C10="","",INDEX('Sky-Gen Ent EPG (2)'!$AC:$AE,MATCH($C10,'Sky-Gen Ent EPG (2)'!$AE:$AE,0),1))</f>
        <v>104</v>
      </c>
      <c r="K10">
        <f>IF($C10="","",INDEX('Sky-Gen Ent EPG (2)'!$AC:$AE,MATCH($C10,'Sky-Gen Ent EPG (2)'!$AE:$AE,0),2))</f>
        <v>4</v>
      </c>
      <c r="L10">
        <f t="shared" si="1"/>
        <v>0</v>
      </c>
      <c r="M10">
        <f t="shared" si="2"/>
        <v>0</v>
      </c>
      <c r="N10" s="7">
        <f>IF($L10=0,0,G10*$L10*'O&amp;O - other input parameters'!$C$7)</f>
        <v>0</v>
      </c>
      <c r="O10" s="7">
        <f>IF($L10=0,0,H10*$L10*'O&amp;O - other input parameters'!$C$7)</f>
        <v>0</v>
      </c>
    </row>
    <row r="11" spans="1:15" ht="14.65" thickBot="1" x14ac:dyDescent="0.5">
      <c r="B11" s="129" t="s">
        <v>346</v>
      </c>
      <c r="C11" t="str">
        <f>IF('Sky-Gen Ent EPG (2)'!O14&lt;&gt;0,'Sky-Gen Ent EPG (2)'!O14,"")</f>
        <v>Channel 5</v>
      </c>
      <c r="D11">
        <f t="shared" si="0"/>
        <v>1</v>
      </c>
      <c r="E11">
        <f>IF($C11="","",INDEX('Sky-Gen Ent EPG (2)'!$M:$O,MATCH($C11,'Sky-Gen Ent EPG (2)'!$O:$O,0),1))</f>
        <v>105</v>
      </c>
      <c r="F11">
        <f>IF($C11="","",INDEX('Sky-Gen Ent EPG (2)'!$M:$O,MATCH($C11,'Sky-Gen Ent EPG (2)'!$O:$O,0),2))</f>
        <v>5</v>
      </c>
      <c r="G11" t="str">
        <f>IF($L11=0,"Not needed",(IF($B11="Not available",0,(((INDEX('O&amp;O - Revenues &amp; viewing'!$B$6:$Z$237,MATCH($B11,'O&amp;O - Revenues &amp; viewing'!$B$6:$B$237,0),15))*('Nation weights - Sky (2)'!$D$6))/1000000))))</f>
        <v>Not needed</v>
      </c>
      <c r="H11" t="str">
        <f>IF($L11=0,"Not needed",(IF($B11="Not available",0,(((INDEX('O&amp;O - Revenues &amp; viewing'!$B$6:$Z$237,MATCH($B11,'O&amp;O - Revenues &amp; viewing'!$B$6:$B$237,0),19))*('Nation weights - Sky (2)'!$D$6))/1000000))))</f>
        <v>Not needed</v>
      </c>
      <c r="J11">
        <f>IF($C11="","",INDEX('Sky-Gen Ent EPG (2)'!$AC:$AE,MATCH($C11,'Sky-Gen Ent EPG (2)'!$AE:$AE,0),1))</f>
        <v>105</v>
      </c>
      <c r="K11">
        <f>IF($C11="","",INDEX('Sky-Gen Ent EPG (2)'!$AC:$AE,MATCH($C11,'Sky-Gen Ent EPG (2)'!$AE:$AE,0),2))</f>
        <v>5</v>
      </c>
      <c r="L11">
        <f t="shared" si="1"/>
        <v>0</v>
      </c>
      <c r="M11">
        <f t="shared" si="2"/>
        <v>0</v>
      </c>
      <c r="N11" s="7">
        <f>IF($L11=0,0,G11*$L11*'O&amp;O - other input parameters'!$C$7)</f>
        <v>0</v>
      </c>
      <c r="O11" s="7">
        <f>IF($L11=0,0,H11*$L11*'O&amp;O - other input parameters'!$C$7)</f>
        <v>0</v>
      </c>
    </row>
    <row r="12" spans="1:15" ht="14.65" thickBot="1" x14ac:dyDescent="0.5">
      <c r="B12" s="129" t="s">
        <v>358</v>
      </c>
      <c r="C12" t="str">
        <f>IF('Sky-Gen Ent EPG (2)'!O15&lt;&gt;0,'Sky-Gen Ent EPG (2)'!O15,"")</f>
        <v>Sky One HD</v>
      </c>
      <c r="D12">
        <f>IF(C12="","",(IF((LEFT(C12,3))="BBC",0,1)))</f>
        <v>1</v>
      </c>
      <c r="E12">
        <f>IF($C12="","",INDEX('Sky-Gen Ent EPG (2)'!$M:$O,MATCH($C12,'Sky-Gen Ent EPG (2)'!$O:$O,0),1))</f>
        <v>106</v>
      </c>
      <c r="F12">
        <f>IF($C12="","",INDEX('Sky-Gen Ent EPG (2)'!$M:$O,MATCH($C12,'Sky-Gen Ent EPG (2)'!$O:$O,0),2))</f>
        <v>6</v>
      </c>
      <c r="G12" t="str">
        <f>IF($L12=0,"Not needed",(IF($B12="Not available",0,(((INDEX('O&amp;O - Revenues &amp; viewing'!$B$6:$Z$237,MATCH($B12,'O&amp;O - Revenues &amp; viewing'!$B$6:$B$237,0),15))*('Nation weights - Sky (2)'!$D$6))/1000000))))</f>
        <v>Not needed</v>
      </c>
      <c r="H12" t="str">
        <f>IF($L12=0,"Not needed",(IF($B12="Not available",0,(((INDEX('O&amp;O - Revenues &amp; viewing'!$B$6:$Z$237,MATCH($B12,'O&amp;O - Revenues &amp; viewing'!$B$6:$B$237,0),19))*('Nation weights - Sky (2)'!$D$6))/1000000))))</f>
        <v>Not needed</v>
      </c>
      <c r="J12">
        <f>IF($C12="","",INDEX('Sky-Gen Ent EPG (2)'!$AC:$AE,MATCH($C12,'Sky-Gen Ent EPG (2)'!$AE:$AE,0),1))</f>
        <v>106</v>
      </c>
      <c r="K12">
        <f>IF($C12="","",INDEX('Sky-Gen Ent EPG (2)'!$AC:$AE,MATCH($C12,'Sky-Gen Ent EPG (2)'!$AE:$AE,0),2))</f>
        <v>6</v>
      </c>
      <c r="L12">
        <f t="shared" si="1"/>
        <v>0</v>
      </c>
      <c r="M12">
        <f t="shared" si="2"/>
        <v>0</v>
      </c>
      <c r="N12" s="7">
        <f>IF($L12=0,0,G12*$L12*'O&amp;O - other input parameters'!$C$7)</f>
        <v>0</v>
      </c>
      <c r="O12" s="7">
        <f>IF($L12=0,0,H12*$L12*'O&amp;O - other input parameters'!$C$7)</f>
        <v>0</v>
      </c>
    </row>
    <row r="13" spans="1:15" ht="14.65" thickBot="1" x14ac:dyDescent="0.5">
      <c r="B13" s="129" t="s">
        <v>371</v>
      </c>
      <c r="C13" t="str">
        <f>IF('Sky-Gen Ent EPG (2)'!O16&lt;&gt;0,'Sky-Gen Ent EPG (2)'!O16,"")</f>
        <v>Sky Witness HD</v>
      </c>
      <c r="D13">
        <f t="shared" si="0"/>
        <v>1</v>
      </c>
      <c r="E13">
        <f>IF($C13="","",INDEX('Sky-Gen Ent EPG (2)'!$M:$O,MATCH($C13,'Sky-Gen Ent EPG (2)'!$O:$O,0),1))</f>
        <v>107</v>
      </c>
      <c r="F13">
        <f>IF($C13="","",INDEX('Sky-Gen Ent EPG (2)'!$M:$O,MATCH($C13,'Sky-Gen Ent EPG (2)'!$O:$O,0),2))</f>
        <v>7</v>
      </c>
      <c r="G13" t="str">
        <f>IF($L13=0,"Not needed",(IF($B13="Not available",0,(((INDEX('O&amp;O - Revenues &amp; viewing'!$B$6:$Z$237,MATCH($B13,'O&amp;O - Revenues &amp; viewing'!$B$6:$B$237,0),15))*('Nation weights - Sky (2)'!$D$6))/1000000))))</f>
        <v>Not needed</v>
      </c>
      <c r="H13" t="str">
        <f>IF($L13=0,"Not needed",(IF($B13="Not available",0,(((INDEX('O&amp;O - Revenues &amp; viewing'!$B$6:$Z$237,MATCH($B13,'O&amp;O - Revenues &amp; viewing'!$B$6:$B$237,0),19))*('Nation weights - Sky (2)'!$D$6))/1000000))))</f>
        <v>Not needed</v>
      </c>
      <c r="J13">
        <f>IF($C13="","",INDEX('Sky-Gen Ent EPG (2)'!$AC:$AE,MATCH($C13,'Sky-Gen Ent EPG (2)'!$AE:$AE,0),1))</f>
        <v>107</v>
      </c>
      <c r="K13">
        <f>IF($C13="","",INDEX('Sky-Gen Ent EPG (2)'!$AC:$AE,MATCH($C13,'Sky-Gen Ent EPG (2)'!$AE:$AE,0),2))</f>
        <v>7</v>
      </c>
      <c r="L13">
        <f t="shared" si="1"/>
        <v>0</v>
      </c>
      <c r="M13">
        <f t="shared" si="2"/>
        <v>0</v>
      </c>
      <c r="N13" s="7">
        <f>IF($L13=0,0,G13*$L13*'O&amp;O - other input parameters'!$C$7)</f>
        <v>0</v>
      </c>
      <c r="O13" s="7">
        <f>IF($L13=0,0,H13*$L13*'O&amp;O - other input parameters'!$C$7)</f>
        <v>0</v>
      </c>
    </row>
    <row r="14" spans="1:15" ht="14.65" thickBot="1" x14ac:dyDescent="0.5">
      <c r="B14" s="129" t="s">
        <v>386</v>
      </c>
      <c r="C14" t="str">
        <f>IF('Sky-Gen Ent EPG (2)'!O17&lt;&gt;0,'Sky-Gen Ent EPG (2)'!O17,"")</f>
        <v>Sky Atlantic HD</v>
      </c>
      <c r="D14">
        <f t="shared" si="0"/>
        <v>1</v>
      </c>
      <c r="E14">
        <f>IF($C14="","",INDEX('Sky-Gen Ent EPG (2)'!$M:$O,MATCH($C14,'Sky-Gen Ent EPG (2)'!$O:$O,0),1))</f>
        <v>108</v>
      </c>
      <c r="F14">
        <f>IF($C14="","",INDEX('Sky-Gen Ent EPG (2)'!$M:$O,MATCH($C14,'Sky-Gen Ent EPG (2)'!$O:$O,0),2))</f>
        <v>8</v>
      </c>
      <c r="G14" s="73">
        <f>IF($L14=0,"Not needed",(IF($B14="Not available",0,(((INDEX('O&amp;O - Revenues &amp; viewing'!$B$6:$Z$237,MATCH($B14,'O&amp;O - Revenues &amp; viewing'!$B$6:$B$237,0),15))*('Nation weights - Sky (2)'!$D$6))/1000000))))</f>
        <v>12.511639285154354</v>
      </c>
      <c r="H14" s="73">
        <f>IF($L14=0,"Not needed",(IF($B14="Not available",0,(((INDEX('O&amp;O - Revenues &amp; viewing'!$B$6:$Z$237,MATCH($B14,'O&amp;O - Revenues &amp; viewing'!$B$6:$B$237,0),19))*('Nation weights - Sky (2)'!$D$6))/1000000))))</f>
        <v>1.4673924923032189</v>
      </c>
      <c r="J14">
        <f>IF($C14="","",INDEX('Sky-Gen Ent EPG (2)'!$AC:$AE,MATCH($C14,'Sky-Gen Ent EPG (2)'!$AE:$AE,0),1))</f>
        <v>109</v>
      </c>
      <c r="K14">
        <f>IF($C14="","",INDEX('Sky-Gen Ent EPG (2)'!$AC:$AE,MATCH($C14,'Sky-Gen Ent EPG (2)'!$AE:$AE,0),2))</f>
        <v>9</v>
      </c>
      <c r="L14">
        <f t="shared" si="1"/>
        <v>-1</v>
      </c>
      <c r="M14">
        <f t="shared" si="2"/>
        <v>1</v>
      </c>
      <c r="N14" s="7">
        <f>IF($L14=0,0,G14*$L14*'O&amp;O - other input parameters'!$C$7)</f>
        <v>-0.18544987974698923</v>
      </c>
      <c r="O14" s="7">
        <f>IF($L14=0,0,H14*$L14*'O&amp;O - other input parameters'!$C$7)</f>
        <v>-2.1749968572236503E-2</v>
      </c>
    </row>
    <row r="15" spans="1:15" ht="14.65" thickBot="1" x14ac:dyDescent="0.5">
      <c r="B15" s="129" t="s">
        <v>64</v>
      </c>
      <c r="C15" t="str">
        <f>IF('Sky-Gen Ent EPG (2)'!O18&lt;&gt;0,'Sky-Gen Ent EPG (2)'!O18,"")</f>
        <v>W HD</v>
      </c>
      <c r="D15">
        <f t="shared" si="0"/>
        <v>1</v>
      </c>
      <c r="E15">
        <f>IF($C15="","",INDEX('Sky-Gen Ent EPG (2)'!$M:$O,MATCH($C15,'Sky-Gen Ent EPG (2)'!$O:$O,0),1))</f>
        <v>109</v>
      </c>
      <c r="F15">
        <f>IF($C15="","",INDEX('Sky-Gen Ent EPG (2)'!$M:$O,MATCH($C15,'Sky-Gen Ent EPG (2)'!$O:$O,0),2))</f>
        <v>9</v>
      </c>
      <c r="G15" s="73">
        <f>IF($L15=0,"Not needed",(IF($B15="Not available",0,(((INDEX('O&amp;O - Revenues &amp; viewing'!$B$6:$Z$237,MATCH($B15,'O&amp;O - Revenues &amp; viewing'!$B$6:$B$237,0),15))*('Nation weights - Sky (2)'!$D$6))/1000000))))</f>
        <v>15.236626423824807</v>
      </c>
      <c r="H15" s="73">
        <f>IF($L15=0,"Not needed",(IF($B15="Not available",0,(((INDEX('O&amp;O - Revenues &amp; viewing'!$B$6:$Z$237,MATCH($B15,'O&amp;O - Revenues &amp; viewing'!$B$6:$B$237,0),19))*('Nation weights - Sky (2)'!$D$6))/1000000))))</f>
        <v>0.76402995426499398</v>
      </c>
      <c r="J15">
        <f>IF($C15="","",INDEX('Sky-Gen Ent EPG (2)'!$AC:$AE,MATCH($C15,'Sky-Gen Ent EPG (2)'!$AE:$AE,0),1))</f>
        <v>110</v>
      </c>
      <c r="K15">
        <f>IF($C15="","",INDEX('Sky-Gen Ent EPG (2)'!$AC:$AE,MATCH($C15,'Sky-Gen Ent EPG (2)'!$AE:$AE,0),2))</f>
        <v>10</v>
      </c>
      <c r="L15">
        <f t="shared" si="1"/>
        <v>-1</v>
      </c>
      <c r="M15">
        <f t="shared" si="2"/>
        <v>1</v>
      </c>
      <c r="N15" s="7">
        <f>IF($L15=0,0,G15*$L15*'O&amp;O - other input parameters'!$C$7)</f>
        <v>-0.22584015360807694</v>
      </c>
      <c r="O15" s="7">
        <f>IF($L15=0,0,H15*$L15*'O&amp;O - other input parameters'!$C$7)</f>
        <v>-1.1324596234936358E-2</v>
      </c>
    </row>
    <row r="16" spans="1:15" ht="14.65" thickBot="1" x14ac:dyDescent="0.5">
      <c r="B16" s="129" t="s">
        <v>370</v>
      </c>
      <c r="C16" t="str">
        <f>IF('Sky-Gen Ent EPG (2)'!O19&lt;&gt;0,'Sky-Gen Ent EPG (2)'!O19,"")</f>
        <v>Gold HD</v>
      </c>
      <c r="D16">
        <f t="shared" si="0"/>
        <v>1</v>
      </c>
      <c r="E16">
        <f>IF($C16="","",INDEX('Sky-Gen Ent EPG (2)'!$M:$O,MATCH($C16,'Sky-Gen Ent EPG (2)'!$O:$O,0),1))</f>
        <v>110</v>
      </c>
      <c r="F16">
        <f>IF($C16="","",INDEX('Sky-Gen Ent EPG (2)'!$M:$O,MATCH($C16,'Sky-Gen Ent EPG (2)'!$O:$O,0),2))</f>
        <v>10</v>
      </c>
      <c r="G16" s="73">
        <f>IF($L16=0,"Not needed",(IF($B16="Not available",0,(((INDEX('O&amp;O - Revenues &amp; viewing'!$B$6:$Z$237,MATCH($B16,'O&amp;O - Revenues &amp; viewing'!$B$6:$B$237,0),15))*('Nation weights - Sky (2)'!$D$6))/1000000))))</f>
        <v>15.929200352180478</v>
      </c>
      <c r="H16" s="73">
        <f>IF($L16=0,"Not needed",(IF($B16="Not available",0,(((INDEX('O&amp;O - Revenues &amp; viewing'!$B$6:$Z$237,MATCH($B16,'O&amp;O - Revenues &amp; viewing'!$B$6:$B$237,0),19))*('Nation weights - Sky (2)'!$D$6))/1000000))))</f>
        <v>0.79875858854976634</v>
      </c>
      <c r="J16">
        <f>IF($C16="","",INDEX('Sky-Gen Ent EPG (2)'!$AC:$AE,MATCH($C16,'Sky-Gen Ent EPG (2)'!$AE:$AE,0),1))</f>
        <v>111</v>
      </c>
      <c r="K16">
        <f>IF($C16="","",INDEX('Sky-Gen Ent EPG (2)'!$AC:$AE,MATCH($C16,'Sky-Gen Ent EPG (2)'!$AE:$AE,0),2))</f>
        <v>11</v>
      </c>
      <c r="L16">
        <f t="shared" si="1"/>
        <v>-1</v>
      </c>
      <c r="M16">
        <f t="shared" si="2"/>
        <v>1</v>
      </c>
      <c r="N16" s="7">
        <f>IF($L16=0,0,G16*$L16*'O&amp;O - other input parameters'!$C$7)</f>
        <v>-0.23610561513571676</v>
      </c>
      <c r="O16" s="7">
        <f>IF($L16=0,0,H16*$L16*'O&amp;O - other input parameters'!$C$7)</f>
        <v>-1.1839350609251646E-2</v>
      </c>
    </row>
    <row r="17" spans="2:15" ht="14.65" thickBot="1" x14ac:dyDescent="0.5">
      <c r="B17" s="129" t="s">
        <v>352</v>
      </c>
      <c r="C17" t="str">
        <f>IF('Sky-Gen Ent EPG (2)'!O20&lt;&gt;0,'Sky-Gen Ent EPG (2)'!O20,"")</f>
        <v>Dave HD</v>
      </c>
      <c r="D17">
        <f t="shared" si="0"/>
        <v>1</v>
      </c>
      <c r="E17">
        <f>IF($C17="","",INDEX('Sky-Gen Ent EPG (2)'!$M:$O,MATCH($C17,'Sky-Gen Ent EPG (2)'!$O:$O,0),1))</f>
        <v>111</v>
      </c>
      <c r="F17">
        <f>IF($C17="","",INDEX('Sky-Gen Ent EPG (2)'!$M:$O,MATCH($C17,'Sky-Gen Ent EPG (2)'!$O:$O,0),2))</f>
        <v>11</v>
      </c>
      <c r="G17" s="73">
        <f>IF($L17=0,"Not needed",(IF($B17="Not available",0,(((INDEX('O&amp;O - Revenues &amp; viewing'!$B$6:$Z$237,MATCH($B17,'O&amp;O - Revenues &amp; viewing'!$B$6:$B$237,0),15))*('Nation weights - Sky (2)'!$D$6))/1000000))))</f>
        <v>19.189475938280971</v>
      </c>
      <c r="H17" s="73">
        <f>IF($L17=0,"Not needed",(IF($B17="Not available",0,(((INDEX('O&amp;O - Revenues &amp; viewing'!$B$6:$Z$237,MATCH($B17,'O&amp;O - Revenues &amp; viewing'!$B$6:$B$237,0),19))*('Nation weights - Sky (2)'!$D$6))/1000000))))</f>
        <v>0.96224282302864372</v>
      </c>
      <c r="J17">
        <f>IF($C17="","",INDEX('Sky-Gen Ent EPG (2)'!$AC:$AE,MATCH($C17,'Sky-Gen Ent EPG (2)'!$AE:$AE,0),1))</f>
        <v>112</v>
      </c>
      <c r="K17">
        <f>IF($C17="","",INDEX('Sky-Gen Ent EPG (2)'!$AC:$AE,MATCH($C17,'Sky-Gen Ent EPG (2)'!$AE:$AE,0),2))</f>
        <v>12</v>
      </c>
      <c r="L17">
        <f t="shared" si="1"/>
        <v>-1</v>
      </c>
      <c r="M17">
        <f t="shared" si="2"/>
        <v>1</v>
      </c>
      <c r="N17" s="7">
        <f>IF($L17=0,0,G17*$L17*'O&amp;O - other input parameters'!$C$7)</f>
        <v>-0.28443003542984946</v>
      </c>
      <c r="O17" s="7">
        <f>IF($L17=0,0,H17*$L17*'O&amp;O - other input parameters'!$C$7)</f>
        <v>-1.4262544799369505E-2</v>
      </c>
    </row>
    <row r="18" spans="2:15" ht="14.65" thickBot="1" x14ac:dyDescent="0.5">
      <c r="B18" s="129" t="s">
        <v>374</v>
      </c>
      <c r="C18" t="str">
        <f>IF('Sky-Gen Ent EPG (2)'!O21&lt;&gt;0,'Sky-Gen Ent EPG (2)'!O21,"")</f>
        <v>ComedyCentral</v>
      </c>
      <c r="D18">
        <f t="shared" si="0"/>
        <v>1</v>
      </c>
      <c r="E18">
        <f>IF($C18="","",INDEX('Sky-Gen Ent EPG (2)'!$M:$O,MATCH($C18,'Sky-Gen Ent EPG (2)'!$O:$O,0),1))</f>
        <v>112</v>
      </c>
      <c r="F18">
        <f>IF($C18="","",INDEX('Sky-Gen Ent EPG (2)'!$M:$O,MATCH($C18,'Sky-Gen Ent EPG (2)'!$O:$O,0),2))</f>
        <v>12</v>
      </c>
      <c r="G18" s="73">
        <f>IF($L18=0,"Not needed",(IF($B18="Not available",0,(((INDEX('O&amp;O - Revenues &amp; viewing'!$B$6:$Z$237,MATCH($B18,'O&amp;O - Revenues &amp; viewing'!$B$6:$B$237,0),15))*('Nation weights - Sky (2)'!$D$6))/1000000))))</f>
        <v>13.918146898534614</v>
      </c>
      <c r="H18" s="73">
        <f>IF($L18=0,"Not needed",(IF($B18="Not available",0,(((INDEX('O&amp;O - Revenues &amp; viewing'!$B$6:$Z$237,MATCH($B18,'O&amp;O - Revenues &amp; viewing'!$B$6:$B$237,0),19))*('Nation weights - Sky (2)'!$D$6))/1000000))))</f>
        <v>0.68095605470096432</v>
      </c>
      <c r="J18">
        <f>IF($C18="","",INDEX('Sky-Gen Ent EPG (2)'!$AC:$AE,MATCH($C18,'Sky-Gen Ent EPG (2)'!$AE:$AE,0),1))</f>
        <v>113</v>
      </c>
      <c r="K18">
        <f>IF($C18="","",INDEX('Sky-Gen Ent EPG (2)'!$AC:$AE,MATCH($C18,'Sky-Gen Ent EPG (2)'!$AE:$AE,0),2))</f>
        <v>13</v>
      </c>
      <c r="L18">
        <f t="shared" si="1"/>
        <v>-1</v>
      </c>
      <c r="M18">
        <f t="shared" si="2"/>
        <v>1</v>
      </c>
      <c r="N18" s="7">
        <f>IF($L18=0,0,G18*$L18*'O&amp;O - other input parameters'!$C$7)</f>
        <v>-0.20629740114844852</v>
      </c>
      <c r="O18" s="7">
        <f>IF($L18=0,0,H18*$L18*'O&amp;O - other input parameters'!$C$7)</f>
        <v>-1.0093259210814927E-2</v>
      </c>
    </row>
    <row r="19" spans="2:15" ht="14.65" thickBot="1" x14ac:dyDescent="0.5">
      <c r="B19" s="129" t="s">
        <v>378</v>
      </c>
      <c r="C19" t="str">
        <f>IF('Sky-Gen Ent EPG (2)'!O22&lt;&gt;0,'Sky-Gen Ent EPG (2)'!O22,"")</f>
        <v>Universal HD</v>
      </c>
      <c r="D19">
        <f t="shared" si="0"/>
        <v>1</v>
      </c>
      <c r="E19">
        <f>IF($C19="","",INDEX('Sky-Gen Ent EPG (2)'!$M:$O,MATCH($C19,'Sky-Gen Ent EPG (2)'!$O:$O,0),1))</f>
        <v>113</v>
      </c>
      <c r="F19">
        <f>IF($C19="","",INDEX('Sky-Gen Ent EPG (2)'!$M:$O,MATCH($C19,'Sky-Gen Ent EPG (2)'!$O:$O,0),2))</f>
        <v>13</v>
      </c>
      <c r="G19" s="73">
        <f>IF($L19=0,"Not needed",(IF($B19="Not available",0,(((INDEX('O&amp;O - Revenues &amp; viewing'!$B$6:$Z$237,MATCH($B19,'O&amp;O - Revenues &amp; viewing'!$B$6:$B$237,0),15))*('Nation weights - Sky (2)'!$D$6))/1000000))))</f>
        <v>13.104534349055099</v>
      </c>
      <c r="H19" s="73">
        <f>IF($L19=0,"Not needed",(IF($B19="Not available",0,(((INDEX('O&amp;O - Revenues &amp; viewing'!$B$6:$Z$237,MATCH($B19,'O&amp;O - Revenues &amp; viewing'!$B$6:$B$237,0),19))*('Nation weights - Sky (2)'!$D$6))/1000000))))</f>
        <v>0.64114943419409964</v>
      </c>
      <c r="J19">
        <f>IF($C19="","",INDEX('Sky-Gen Ent EPG (2)'!$AC:$AE,MATCH($C19,'Sky-Gen Ent EPG (2)'!$AE:$AE,0),1))</f>
        <v>114</v>
      </c>
      <c r="K19">
        <f>IF($C19="","",INDEX('Sky-Gen Ent EPG (2)'!$AC:$AE,MATCH($C19,'Sky-Gen Ent EPG (2)'!$AE:$AE,0),2))</f>
        <v>14</v>
      </c>
      <c r="L19">
        <f t="shared" si="1"/>
        <v>-1</v>
      </c>
      <c r="M19">
        <f t="shared" si="2"/>
        <v>1</v>
      </c>
      <c r="N19" s="7">
        <f>IF($L19=0,0,G19*$L19*'O&amp;O - other input parameters'!$C$7)</f>
        <v>-0.19423788232579123</v>
      </c>
      <c r="O19" s="7">
        <f>IF($L19=0,0,H19*$L19*'O&amp;O - other input parameters'!$C$7)</f>
        <v>-9.5032379659656333E-3</v>
      </c>
    </row>
    <row r="20" spans="2:15" ht="14.65" thickBot="1" x14ac:dyDescent="0.5">
      <c r="B20" s="129" t="s">
        <v>136</v>
      </c>
      <c r="C20" t="str">
        <f>IF('Sky-Gen Ent EPG (2)'!O23&lt;&gt;0,'Sky-Gen Ent EPG (2)'!O23,"")</f>
        <v>SYFY HD</v>
      </c>
      <c r="D20">
        <f t="shared" si="0"/>
        <v>1</v>
      </c>
      <c r="E20">
        <f>IF($C20="","",INDEX('Sky-Gen Ent EPG (2)'!$M:$O,MATCH($C20,'Sky-Gen Ent EPG (2)'!$O:$O,0),1))</f>
        <v>114</v>
      </c>
      <c r="F20">
        <f>IF($C20="","",INDEX('Sky-Gen Ent EPG (2)'!$M:$O,MATCH($C20,'Sky-Gen Ent EPG (2)'!$O:$O,0),2))</f>
        <v>14</v>
      </c>
      <c r="G20" s="73">
        <f>IF($L20=0,"Not needed",(IF($B20="Not available",0,(((INDEX('O&amp;O - Revenues &amp; viewing'!$B$6:$Z$237,MATCH($B20,'O&amp;O - Revenues &amp; viewing'!$B$6:$B$237,0),15))*('Nation weights - Sky (2)'!$D$6))/1000000))))</f>
        <v>7.2066524470206197</v>
      </c>
      <c r="H20" s="73">
        <f>IF($L20=0,"Not needed",(IF($B20="Not available",0,(((INDEX('O&amp;O - Revenues &amp; viewing'!$B$6:$Z$237,MATCH($B20,'O&amp;O - Revenues &amp; viewing'!$B$6:$B$237,0),19))*('Nation weights - Sky (2)'!$D$6))/1000000))))</f>
        <v>0.35259102046414625</v>
      </c>
      <c r="J20">
        <f>IF($C20="","",INDEX('Sky-Gen Ent EPG (2)'!$AC:$AE,MATCH($C20,'Sky-Gen Ent EPG (2)'!$AE:$AE,0),1))</f>
        <v>115</v>
      </c>
      <c r="K20">
        <f>IF($C20="","",INDEX('Sky-Gen Ent EPG (2)'!$AC:$AE,MATCH($C20,'Sky-Gen Ent EPG (2)'!$AE:$AE,0),2))</f>
        <v>15</v>
      </c>
      <c r="L20">
        <f t="shared" si="1"/>
        <v>-1</v>
      </c>
      <c r="M20">
        <f t="shared" si="2"/>
        <v>1</v>
      </c>
      <c r="N20" s="7">
        <f>IF($L20=0,0,G20*$L20*'O&amp;O - other input parameters'!$C$7)</f>
        <v>-0.10681836322312355</v>
      </c>
      <c r="O20" s="7">
        <f>IF($L20=0,0,H20*$L20*'O&amp;O - other input parameters'!$C$7)</f>
        <v>-5.2261706763341575E-3</v>
      </c>
    </row>
    <row r="21" spans="2:15" ht="14.65" thickBot="1" x14ac:dyDescent="0.5">
      <c r="B21" s="131" t="s">
        <v>643</v>
      </c>
      <c r="C21" t="str">
        <f>IF('Sky-Gen Ent EPG (2)'!O24&lt;&gt;0,'Sky-Gen Ent EPG (2)'!O24,"")</f>
        <v/>
      </c>
      <c r="D21" t="str">
        <f t="shared" si="0"/>
        <v/>
      </c>
      <c r="E21" t="str">
        <f>IF($C21="","",INDEX('Sky-Gen Ent EPG (2)'!$M:$O,MATCH($C21,'Sky-Gen Ent EPG (2)'!$O:$O,0),1))</f>
        <v/>
      </c>
      <c r="F21" t="str">
        <f>IF($C21="","",INDEX('Sky-Gen Ent EPG (2)'!$M:$O,MATCH($C21,'Sky-Gen Ent EPG (2)'!$O:$O,0),2))</f>
        <v/>
      </c>
      <c r="G21" t="str">
        <f>IF($L21=0,"Not needed",(IF($B21="Not available",0,(((INDEX('O&amp;O - Revenues &amp; viewing'!$B$6:$Z$237,MATCH($B21,'O&amp;O - Revenues &amp; viewing'!$B$6:$B$237,0),15))*('Nation weights - Sky (2)'!$D$6))/1000000))))</f>
        <v>Not needed</v>
      </c>
      <c r="H21" t="str">
        <f>IF($L21=0,"Not needed",(IF($B21="Not available",0,(((INDEX('O&amp;O - Revenues &amp; viewing'!$B$6:$Z$237,MATCH($B21,'O&amp;O - Revenues &amp; viewing'!$B$6:$B$237,0),19))*('Nation weights - Sky (2)'!$D$6))/1000000))))</f>
        <v>Not needed</v>
      </c>
      <c r="J21" t="str">
        <f>IF($C21="","",INDEX('Sky-Gen Ent EPG (2)'!$AC:$AE,MATCH($C21,'Sky-Gen Ent EPG (2)'!$AE:$AE,0),1))</f>
        <v/>
      </c>
      <c r="K21" t="str">
        <f>IF($C21="","",INDEX('Sky-Gen Ent EPG (2)'!$AC:$AE,MATCH($C21,'Sky-Gen Ent EPG (2)'!$AE:$AE,0),2))</f>
        <v/>
      </c>
      <c r="L21">
        <v>0</v>
      </c>
      <c r="M21" t="str">
        <f t="shared" si="2"/>
        <v/>
      </c>
      <c r="N21" s="7">
        <f>IF($L21=0,0,G21*$L21*'O&amp;O - other input parameters'!$C$7)</f>
        <v>0</v>
      </c>
      <c r="O21" s="7">
        <f>IF($L21=0,0,H21*$L21*'O&amp;O - other input parameters'!$C$7)</f>
        <v>0</v>
      </c>
    </row>
    <row r="22" spans="2:15" ht="14.65" thickBot="1" x14ac:dyDescent="0.5">
      <c r="B22" s="129" t="s">
        <v>355</v>
      </c>
      <c r="C22" t="str">
        <f>IF('Sky-Gen Ent EPG (2)'!O25&lt;&gt;0,'Sky-Gen Ent EPG (2)'!O25,"")</f>
        <v>BBC Four</v>
      </c>
      <c r="D22">
        <f t="shared" si="0"/>
        <v>0</v>
      </c>
      <c r="E22">
        <f>IF($C22="","",INDEX('Sky-Gen Ent EPG (2)'!$M:$O,MATCH($C22,'Sky-Gen Ent EPG (2)'!$O:$O,0),1))</f>
        <v>116</v>
      </c>
      <c r="F22">
        <f>IF($C22="","",INDEX('Sky-Gen Ent EPG (2)'!$M:$O,MATCH($C22,'Sky-Gen Ent EPG (2)'!$O:$O,0),2))</f>
        <v>15</v>
      </c>
      <c r="G22" s="73">
        <f>IF($L22=0,"Not needed",(IF($B22="Not available",0,(((INDEX('O&amp;O - Revenues &amp; viewing'!$B$6:$Z$237,MATCH($B22,'O&amp;O - Revenues &amp; viewing'!$B$6:$B$237,0),15))*('Nation weights - Sky (2)'!$D$6))/1000000))))</f>
        <v>11.049466851364203</v>
      </c>
      <c r="H22" s="73">
        <f>IF($L22=0,"Not needed",(IF($B22="Not available",0,(((INDEX('O&amp;O - Revenues &amp; viewing'!$B$6:$Z$237,MATCH($B22,'O&amp;O - Revenues &amp; viewing'!$B$6:$B$237,0),19))*('Nation weights - Sky (2)'!$D$6))/1000000))))</f>
        <v>0</v>
      </c>
      <c r="J22">
        <f>IF($C22="","",INDEX('Sky-Gen Ent EPG (2)'!$AC:$AE,MATCH($C22,'Sky-Gen Ent EPG (2)'!$AE:$AE,0),1))</f>
        <v>117</v>
      </c>
      <c r="K22">
        <f>IF($C22="","",INDEX('Sky-Gen Ent EPG (2)'!$AC:$AE,MATCH($C22,'Sky-Gen Ent EPG (2)'!$AE:$AE,0),2))</f>
        <v>16</v>
      </c>
      <c r="L22">
        <f t="shared" si="1"/>
        <v>-1</v>
      </c>
      <c r="M22">
        <f t="shared" si="2"/>
        <v>1</v>
      </c>
      <c r="N22" s="7">
        <f>IF($L22=0,0,G22*$L22*'O&amp;O - other input parameters'!$C$7)</f>
        <v>-0.16377728386760756</v>
      </c>
      <c r="O22" s="7">
        <f>IF($L22=0,0,H22*$L22*'O&amp;O - other input parameters'!$C$7)</f>
        <v>0</v>
      </c>
    </row>
    <row r="23" spans="2:15" ht="14.65" thickBot="1" x14ac:dyDescent="0.5">
      <c r="B23" s="129" t="s">
        <v>345</v>
      </c>
      <c r="C23" t="str">
        <f>IF('Sky-Gen Ent EPG (2)'!O26&lt;&gt;0,'Sky-Gen Ent EPG (2)'!O26,"")</f>
        <v>Channel 4</v>
      </c>
      <c r="D23">
        <f t="shared" si="0"/>
        <v>1</v>
      </c>
      <c r="E23">
        <f>IF($C23="","",INDEX('Sky-Gen Ent EPG (2)'!$M:$O,MATCH($C23,'Sky-Gen Ent EPG (2)'!$O:$O,0),1))</f>
        <v>117</v>
      </c>
      <c r="F23">
        <f>IF($C23="","",INDEX('Sky-Gen Ent EPG (2)'!$M:$O,MATCH($C23,'Sky-Gen Ent EPG (2)'!$O:$O,0),2))</f>
        <v>16</v>
      </c>
      <c r="G23" s="73">
        <f>IF($L23=0,"Not needed",(IF($B23="Not available",0,(((INDEX('O&amp;O - Revenues &amp; viewing'!$B$6:$Z$237,MATCH($B23,'O&amp;O - Revenues &amp; viewing'!$B$6:$B$237,0),15))*('Nation weights - Sky (2)'!$D$6))/1000000))))</f>
        <v>87.769829213979079</v>
      </c>
      <c r="H23" s="73">
        <f>IF($L23=0,"Not needed",(IF($B23="Not available",0,(((INDEX('O&amp;O - Revenues &amp; viewing'!$B$6:$Z$237,MATCH($B23,'O&amp;O - Revenues &amp; viewing'!$B$6:$B$237,0),19))*('Nation weights - Sky (2)'!$D$6))/1000000))))</f>
        <v>11.965467855793124</v>
      </c>
      <c r="J23">
        <f>IF($C23="","",INDEX('Sky-Gen Ent EPG (2)'!$AC:$AE,MATCH($C23,'Sky-Gen Ent EPG (2)'!$AE:$AE,0),1))</f>
        <v>108</v>
      </c>
      <c r="K23">
        <f>IF($C23="","",INDEX('Sky-Gen Ent EPG (2)'!$AC:$AE,MATCH($C23,'Sky-Gen Ent EPG (2)'!$AE:$AE,0),2))</f>
        <v>8</v>
      </c>
      <c r="L23">
        <f t="shared" si="1"/>
        <v>8</v>
      </c>
      <c r="M23">
        <f t="shared" si="2"/>
        <v>1</v>
      </c>
      <c r="N23" s="7">
        <f>IF($L23=0,0,G23*$L23*'O&amp;O - other input parameters'!$C$7)</f>
        <v>10.407527840070973</v>
      </c>
      <c r="O23" s="7">
        <f>IF($L23=0,0,H23*$L23*'O&amp;O - other input parameters'!$C$7)</f>
        <v>1.4188353896079731</v>
      </c>
    </row>
    <row r="24" spans="2:15" ht="14.65" thickBot="1" x14ac:dyDescent="0.5">
      <c r="B24" s="129" t="s">
        <v>57</v>
      </c>
      <c r="C24" t="str">
        <f>IF('Sky-Gen Ent EPG (2)'!O27&lt;&gt;0,'Sky-Gen Ent EPG (2)'!O27,"")</f>
        <v>ITV2 HD</v>
      </c>
      <c r="D24">
        <f t="shared" si="0"/>
        <v>1</v>
      </c>
      <c r="E24">
        <f>IF($C24="","",INDEX('Sky-Gen Ent EPG (2)'!$M:$O,MATCH($C24,'Sky-Gen Ent EPG (2)'!$O:$O,0),1))</f>
        <v>118</v>
      </c>
      <c r="F24">
        <f>IF($C24="","",INDEX('Sky-Gen Ent EPG (2)'!$M:$O,MATCH($C24,'Sky-Gen Ent EPG (2)'!$O:$O,0),2))</f>
        <v>17</v>
      </c>
      <c r="G24" t="str">
        <f>IF($L24=0,"Not needed",(IF($B24="Not available",0,(((INDEX('O&amp;O - Revenues &amp; viewing'!$B$6:$Z$237,MATCH($B24,'O&amp;O - Revenues &amp; viewing'!$B$6:$B$237,0),15))*('Nation weights - Sky (2)'!$D$6))/1000000))))</f>
        <v>Not needed</v>
      </c>
      <c r="H24" t="str">
        <f>IF($L24=0,"Not needed",(IF($B24="Not available",0,(((INDEX('O&amp;O - Revenues &amp; viewing'!$B$6:$Z$237,MATCH($B24,'O&amp;O - Revenues &amp; viewing'!$B$6:$B$237,0),19))*('Nation weights - Sky (2)'!$D$6))/1000000))))</f>
        <v>Not needed</v>
      </c>
      <c r="J24">
        <f>IF($C24="","",INDEX('Sky-Gen Ent EPG (2)'!$AC:$AE,MATCH($C24,'Sky-Gen Ent EPG (2)'!$AE:$AE,0),1))</f>
        <v>119</v>
      </c>
      <c r="K24">
        <f>IF($C24="","",INDEX('Sky-Gen Ent EPG (2)'!$AC:$AE,MATCH($C24,'Sky-Gen Ent EPG (2)'!$AE:$AE,0),2))</f>
        <v>17</v>
      </c>
      <c r="L24">
        <f t="shared" si="1"/>
        <v>0</v>
      </c>
      <c r="M24">
        <f t="shared" si="2"/>
        <v>1</v>
      </c>
      <c r="N24" s="7">
        <f>IF($L24=0,0,G24*$L24*'O&amp;O - other input parameters'!$C$7)</f>
        <v>0</v>
      </c>
      <c r="O24" s="7">
        <f>IF($L24=0,0,H24*$L24*'O&amp;O - other input parameters'!$C$7)</f>
        <v>0</v>
      </c>
    </row>
    <row r="25" spans="2:15" ht="14.65" thickBot="1" x14ac:dyDescent="0.5">
      <c r="B25" s="129" t="s">
        <v>59</v>
      </c>
      <c r="C25" t="str">
        <f>IF('Sky-Gen Ent EPG (2)'!O28&lt;&gt;0,'Sky-Gen Ent EPG (2)'!O28,"")</f>
        <v>ITV3 HD</v>
      </c>
      <c r="D25">
        <f t="shared" si="0"/>
        <v>1</v>
      </c>
      <c r="E25">
        <f>IF($C25="","",INDEX('Sky-Gen Ent EPG (2)'!$M:$O,MATCH($C25,'Sky-Gen Ent EPG (2)'!$O:$O,0),1))</f>
        <v>119</v>
      </c>
      <c r="F25">
        <f>IF($C25="","",INDEX('Sky-Gen Ent EPG (2)'!$M:$O,MATCH($C25,'Sky-Gen Ent EPG (2)'!$O:$O,0),2))</f>
        <v>18</v>
      </c>
      <c r="G25" t="str">
        <f>IF($L25=0,"Not needed",(IF($B25="Not available",0,(((INDEX('O&amp;O - Revenues &amp; viewing'!$B$6:$Z$237,MATCH($B25,'O&amp;O - Revenues &amp; viewing'!$B$6:$B$237,0),15))*('Nation weights - Sky (2)'!$D$6))/1000000))))</f>
        <v>Not needed</v>
      </c>
      <c r="H25" t="str">
        <f>IF($L25=0,"Not needed",(IF($B25="Not available",0,(((INDEX('O&amp;O - Revenues &amp; viewing'!$B$6:$Z$237,MATCH($B25,'O&amp;O - Revenues &amp; viewing'!$B$6:$B$237,0),19))*('Nation weights - Sky (2)'!$D$6))/1000000))))</f>
        <v>Not needed</v>
      </c>
      <c r="J25">
        <f>IF($C25="","",INDEX('Sky-Gen Ent EPG (2)'!$AC:$AE,MATCH($C25,'Sky-Gen Ent EPG (2)'!$AE:$AE,0),1))</f>
        <v>120</v>
      </c>
      <c r="K25">
        <f>IF($C25="","",INDEX('Sky-Gen Ent EPG (2)'!$AC:$AE,MATCH($C25,'Sky-Gen Ent EPG (2)'!$AE:$AE,0),2))</f>
        <v>18</v>
      </c>
      <c r="L25">
        <f t="shared" si="1"/>
        <v>0</v>
      </c>
      <c r="M25">
        <f t="shared" si="2"/>
        <v>1</v>
      </c>
      <c r="N25" s="7">
        <f>IF($L25=0,0,G25*$L25*'O&amp;O - other input parameters'!$C$7)</f>
        <v>0</v>
      </c>
      <c r="O25" s="7">
        <f>IF($L25=0,0,H25*$L25*'O&amp;O - other input parameters'!$C$7)</f>
        <v>0</v>
      </c>
    </row>
    <row r="26" spans="2:15" ht="14.65" thickBot="1" x14ac:dyDescent="0.5">
      <c r="B26" s="129" t="s">
        <v>60</v>
      </c>
      <c r="C26" t="str">
        <f>IF('Sky-Gen Ent EPG (2)'!O29&lt;&gt;0,'Sky-Gen Ent EPG (2)'!O29,"")</f>
        <v>ITV4 HD</v>
      </c>
      <c r="D26">
        <f t="shared" si="0"/>
        <v>1</v>
      </c>
      <c r="E26">
        <f>IF($C26="","",INDEX('Sky-Gen Ent EPG (2)'!$M:$O,MATCH($C26,'Sky-Gen Ent EPG (2)'!$O:$O,0),1))</f>
        <v>120</v>
      </c>
      <c r="F26">
        <f>IF($C26="","",INDEX('Sky-Gen Ent EPG (2)'!$M:$O,MATCH($C26,'Sky-Gen Ent EPG (2)'!$O:$O,0),2))</f>
        <v>19</v>
      </c>
      <c r="G26" t="str">
        <f>IF($L26=0,"Not needed",(IF($B26="Not available",0,(((INDEX('O&amp;O - Revenues &amp; viewing'!$B$6:$Z$237,MATCH($B26,'O&amp;O - Revenues &amp; viewing'!$B$6:$B$237,0),15))*('Nation weights - Sky (2)'!$D$6))/1000000))))</f>
        <v>Not needed</v>
      </c>
      <c r="H26" t="str">
        <f>IF($L26=0,"Not needed",(IF($B26="Not available",0,(((INDEX('O&amp;O - Revenues &amp; viewing'!$B$6:$Z$237,MATCH($B26,'O&amp;O - Revenues &amp; viewing'!$B$6:$B$237,0),19))*('Nation weights - Sky (2)'!$D$6))/1000000))))</f>
        <v>Not needed</v>
      </c>
      <c r="J26">
        <f>IF($C26="","",INDEX('Sky-Gen Ent EPG (2)'!$AC:$AE,MATCH($C26,'Sky-Gen Ent EPG (2)'!$AE:$AE,0),1))</f>
        <v>121</v>
      </c>
      <c r="K26">
        <f>IF($C26="","",INDEX('Sky-Gen Ent EPG (2)'!$AC:$AE,MATCH($C26,'Sky-Gen Ent EPG (2)'!$AE:$AE,0),2))</f>
        <v>19</v>
      </c>
      <c r="L26">
        <f t="shared" si="1"/>
        <v>0</v>
      </c>
      <c r="M26">
        <f t="shared" si="2"/>
        <v>1</v>
      </c>
      <c r="N26" s="7">
        <f>IF($L26=0,0,G26*$L26*'O&amp;O - other input parameters'!$C$7)</f>
        <v>0</v>
      </c>
      <c r="O26" s="7">
        <f>IF($L26=0,0,H26*$L26*'O&amp;O - other input parameters'!$C$7)</f>
        <v>0</v>
      </c>
    </row>
    <row r="27" spans="2:15" ht="14.65" thickBot="1" x14ac:dyDescent="0.5">
      <c r="B27" s="129" t="s">
        <v>643</v>
      </c>
      <c r="C27" t="str">
        <f>IF('Sky-Gen Ent EPG (2)'!O30&lt;&gt;0,'Sky-Gen Ent EPG (2)'!O30,"")</f>
        <v>SkySp Mix HD</v>
      </c>
      <c r="D27">
        <f t="shared" si="0"/>
        <v>1</v>
      </c>
      <c r="E27">
        <f>IF($C27="","",INDEX('Sky-Gen Ent EPG (2)'!$M:$O,MATCH($C27,'Sky-Gen Ent EPG (2)'!$O:$O,0),1))</f>
        <v>121</v>
      </c>
      <c r="F27">
        <f>IF($C27="","",INDEX('Sky-Gen Ent EPG (2)'!$M:$O,MATCH($C27,'Sky-Gen Ent EPG (2)'!$O:$O,0),2))</f>
        <v>20</v>
      </c>
      <c r="G27" t="str">
        <f>IF($L27=0,"Not needed",(IF($B27="Not available",0,(((INDEX('O&amp;O - Revenues &amp; viewing'!$B$6:$Z$237,MATCH($B27,'O&amp;O - Revenues &amp; viewing'!$B$6:$B$237,0),15))*('Nation weights - Sky (2)'!$D$6))/1000000))))</f>
        <v>Not needed</v>
      </c>
      <c r="H27" t="str">
        <f>IF($L27=0,"Not needed",(IF($B27="Not available",0,(((INDEX('O&amp;O - Revenues &amp; viewing'!$B$6:$Z$237,MATCH($B27,'O&amp;O - Revenues &amp; viewing'!$B$6:$B$237,0),19))*('Nation weights - Sky (2)'!$D$6))/1000000))))</f>
        <v>Not needed</v>
      </c>
      <c r="J27">
        <f>IF($C27="","",INDEX('Sky-Gen Ent EPG (2)'!$AC:$AE,MATCH($C27,'Sky-Gen Ent EPG (2)'!$AE:$AE,0),1))</f>
        <v>122</v>
      </c>
      <c r="K27">
        <f>IF($C27="","",INDEX('Sky-Gen Ent EPG (2)'!$AC:$AE,MATCH($C27,'Sky-Gen Ent EPG (2)'!$AE:$AE,0),2))</f>
        <v>20</v>
      </c>
      <c r="L27">
        <f t="shared" si="1"/>
        <v>0</v>
      </c>
      <c r="M27">
        <f t="shared" si="2"/>
        <v>1</v>
      </c>
      <c r="N27" s="7">
        <f>IF($L27=0,0,G27*$L27*'O&amp;O - other input parameters'!$C$7)</f>
        <v>0</v>
      </c>
      <c r="O27" s="7">
        <f>IF($L27=0,0,H27*$L27*'O&amp;O - other input parameters'!$C$7)</f>
        <v>0</v>
      </c>
    </row>
    <row r="28" spans="2:15" ht="14.65" thickBot="1" x14ac:dyDescent="0.5">
      <c r="B28" s="129" t="s">
        <v>406</v>
      </c>
      <c r="C28" t="str">
        <f>IF('Sky-Gen Ent EPG (2)'!O31&lt;&gt;0,'Sky-Gen Ent EPG (2)'!O31,"")</f>
        <v>Sky Arts HD</v>
      </c>
      <c r="D28">
        <f t="shared" si="0"/>
        <v>1</v>
      </c>
      <c r="E28">
        <f>IF($C28="","",INDEX('Sky-Gen Ent EPG (2)'!$M:$O,MATCH($C28,'Sky-Gen Ent EPG (2)'!$O:$O,0),1))</f>
        <v>122</v>
      </c>
      <c r="F28">
        <f>IF($C28="","",INDEX('Sky-Gen Ent EPG (2)'!$M:$O,MATCH($C28,'Sky-Gen Ent EPG (2)'!$O:$O,0),2))</f>
        <v>21</v>
      </c>
      <c r="G28" t="str">
        <f>IF($L28=0,"Not needed",(IF($B28="Not available",0,(((INDEX('O&amp;O - Revenues &amp; viewing'!$B$6:$Z$237,MATCH($B28,'O&amp;O - Revenues &amp; viewing'!$B$6:$B$237,0),15))*('Nation weights - Sky (2)'!$D$6))/1000000))))</f>
        <v>Not needed</v>
      </c>
      <c r="H28" t="str">
        <f>IF($L28=0,"Not needed",(IF($B28="Not available",0,(((INDEX('O&amp;O - Revenues &amp; viewing'!$B$6:$Z$237,MATCH($B28,'O&amp;O - Revenues &amp; viewing'!$B$6:$B$237,0),19))*('Nation weights - Sky (2)'!$D$6))/1000000))))</f>
        <v>Not needed</v>
      </c>
      <c r="J28">
        <f>IF($C28="","",INDEX('Sky-Gen Ent EPG (2)'!$AC:$AE,MATCH($C28,'Sky-Gen Ent EPG (2)'!$AE:$AE,0),1))</f>
        <v>123</v>
      </c>
      <c r="K28">
        <f>IF($C28="","",INDEX('Sky-Gen Ent EPG (2)'!$AC:$AE,MATCH($C28,'Sky-Gen Ent EPG (2)'!$AE:$AE,0),2))</f>
        <v>21</v>
      </c>
      <c r="L28">
        <f t="shared" si="1"/>
        <v>0</v>
      </c>
      <c r="M28">
        <f t="shared" si="2"/>
        <v>1</v>
      </c>
      <c r="N28" s="7">
        <f>IF($L28=0,0,G28*$L28*'O&amp;O - other input parameters'!$C$7)</f>
        <v>0</v>
      </c>
      <c r="O28" s="7">
        <f>IF($L28=0,0,H28*$L28*'O&amp;O - other input parameters'!$C$7)</f>
        <v>0</v>
      </c>
    </row>
    <row r="29" spans="2:15" x14ac:dyDescent="0.45">
      <c r="B29" s="132" t="s">
        <v>86</v>
      </c>
      <c r="C29" t="str">
        <f>IF('Sky-Gen Ent EPG (2)'!O32&lt;&gt;0,'Sky-Gen Ent EPG (2)'!O32,"")</f>
        <v>E HD</v>
      </c>
      <c r="D29">
        <f t="shared" si="0"/>
        <v>1</v>
      </c>
      <c r="E29">
        <f>IF($C29="","",INDEX('Sky-Gen Ent EPG (2)'!$M:$O,MATCH($C29,'Sky-Gen Ent EPG (2)'!$O:$O,0),1))</f>
        <v>123</v>
      </c>
      <c r="F29">
        <f>IF($C29="","",INDEX('Sky-Gen Ent EPG (2)'!$M:$O,MATCH($C29,'Sky-Gen Ent EPG (2)'!$O:$O,0),2))</f>
        <v>22</v>
      </c>
      <c r="G29" t="str">
        <f>IF($L29=0,"Not needed",(IF($B29="Not available",0,(((INDEX('O&amp;O - Revenues &amp; viewing'!$B$6:$Z$237,MATCH($B29,'O&amp;O - Revenues &amp; viewing'!$B$6:$B$237,0),15))*('Nation weights - Sky (2)'!$D$6))/1000000))))</f>
        <v>Not needed</v>
      </c>
      <c r="H29" t="str">
        <f>IF($L29=0,"Not needed",(IF($B29="Not available",0,(((INDEX('O&amp;O - Revenues &amp; viewing'!$B$6:$Z$237,MATCH($B29,'O&amp;O - Revenues &amp; viewing'!$B$6:$B$237,0),19))*('Nation weights - Sky (2)'!$D$6))/1000000))))</f>
        <v>Not needed</v>
      </c>
      <c r="J29">
        <f>IF($C29="","",INDEX('Sky-Gen Ent EPG (2)'!$AC:$AE,MATCH($C29,'Sky-Gen Ent EPG (2)'!$AE:$AE,0),1))</f>
        <v>124</v>
      </c>
      <c r="K29">
        <f>IF($C29="","",INDEX('Sky-Gen Ent EPG (2)'!$AC:$AE,MATCH($C29,'Sky-Gen Ent EPG (2)'!$AE:$AE,0),2))</f>
        <v>22</v>
      </c>
      <c r="L29">
        <f t="shared" si="1"/>
        <v>0</v>
      </c>
      <c r="M29">
        <f t="shared" si="2"/>
        <v>1</v>
      </c>
      <c r="N29" s="7">
        <f>IF($L29=0,0,G29*$L29*'O&amp;O - other input parameters'!$C$7)</f>
        <v>0</v>
      </c>
      <c r="O29" s="7">
        <f>IF($L29=0,0,H29*$L29*'O&amp;O - other input parameters'!$C$7)</f>
        <v>0</v>
      </c>
    </row>
    <row r="30" spans="2:15" ht="14.65" thickBot="1" x14ac:dyDescent="0.5">
      <c r="B30" s="129" t="s">
        <v>87</v>
      </c>
      <c r="C30" t="str">
        <f>IF('Sky-Gen Ent EPG (2)'!O33&lt;&gt;0,'Sky-Gen Ent EPG (2)'!O33,"")</f>
        <v>FOX HD</v>
      </c>
      <c r="D30">
        <f t="shared" si="0"/>
        <v>1</v>
      </c>
      <c r="E30">
        <f>IF($C30="","",INDEX('Sky-Gen Ent EPG (2)'!$M:$O,MATCH($C30,'Sky-Gen Ent EPG (2)'!$O:$O,0),1))</f>
        <v>124</v>
      </c>
      <c r="F30">
        <f>IF($C30="","",INDEX('Sky-Gen Ent EPG (2)'!$M:$O,MATCH($C30,'Sky-Gen Ent EPG (2)'!$O:$O,0),2))</f>
        <v>23</v>
      </c>
      <c r="G30" t="str">
        <f>IF($L30=0,"Not needed",(IF($B30="Not available",0,(((INDEX('O&amp;O - Revenues &amp; viewing'!$B$6:$Z$237,MATCH($B30,'O&amp;O - Revenues &amp; viewing'!$B$6:$B$237,0),15))*('Nation weights - Sky (2)'!$D$6))/1000000))))</f>
        <v>Not needed</v>
      </c>
      <c r="H30" t="str">
        <f>IF($L30=0,"Not needed",(IF($B30="Not available",0,(((INDEX('O&amp;O - Revenues &amp; viewing'!$B$6:$Z$237,MATCH($B30,'O&amp;O - Revenues &amp; viewing'!$B$6:$B$237,0),19))*('Nation weights - Sky (2)'!$D$6))/1000000))))</f>
        <v>Not needed</v>
      </c>
      <c r="J30">
        <f>IF($C30="","",INDEX('Sky-Gen Ent EPG (2)'!$AC:$AE,MATCH($C30,'Sky-Gen Ent EPG (2)'!$AE:$AE,0),1))</f>
        <v>125</v>
      </c>
      <c r="K30">
        <f>IF($C30="","",INDEX('Sky-Gen Ent EPG (2)'!$AC:$AE,MATCH($C30,'Sky-Gen Ent EPG (2)'!$AE:$AE,0),2))</f>
        <v>23</v>
      </c>
      <c r="L30">
        <f t="shared" si="1"/>
        <v>0</v>
      </c>
      <c r="M30">
        <f t="shared" si="2"/>
        <v>1</v>
      </c>
      <c r="N30" s="7">
        <f>IF($L30=0,0,G30*$L30*'O&amp;O - other input parameters'!$C$7)</f>
        <v>0</v>
      </c>
      <c r="O30" s="7">
        <f>IF($L30=0,0,H30*$L30*'O&amp;O - other input parameters'!$C$7)</f>
        <v>0</v>
      </c>
    </row>
    <row r="31" spans="2:15" ht="14.65" thickBot="1" x14ac:dyDescent="0.5">
      <c r="B31" s="133" t="s">
        <v>397</v>
      </c>
      <c r="C31" t="str">
        <f>IF('Sky-Gen Ent EPG (2)'!O34&lt;&gt;0,'Sky-Gen Ent EPG (2)'!O34,"")</f>
        <v>Discovery HD</v>
      </c>
      <c r="D31">
        <f t="shared" si="0"/>
        <v>1</v>
      </c>
      <c r="E31">
        <f>IF($C31="","",INDEX('Sky-Gen Ent EPG (2)'!$M:$O,MATCH($C31,'Sky-Gen Ent EPG (2)'!$O:$O,0),1))</f>
        <v>125</v>
      </c>
      <c r="F31">
        <f>IF($C31="","",INDEX('Sky-Gen Ent EPG (2)'!$M:$O,MATCH($C31,'Sky-Gen Ent EPG (2)'!$O:$O,0),2))</f>
        <v>24</v>
      </c>
      <c r="G31" t="str">
        <f>IF($L31=0,"Not needed",(IF($B31="Not available",0,(((INDEX('O&amp;O - Revenues &amp; viewing'!$B$6:$Z$237,MATCH($B31,'O&amp;O - Revenues &amp; viewing'!$B$6:$B$237,0),15))*('Nation weights - Sky (2)'!$D$6))/1000000))))</f>
        <v>Not needed</v>
      </c>
      <c r="H31" t="str">
        <f>IF($L31=0,"Not needed",(IF($B31="Not available",0,(((INDEX('O&amp;O - Revenues &amp; viewing'!$B$6:$Z$237,MATCH($B31,'O&amp;O - Revenues &amp; viewing'!$B$6:$B$237,0),19))*('Nation weights - Sky (2)'!$D$6))/1000000))))</f>
        <v>Not needed</v>
      </c>
      <c r="J31">
        <f>IF($C31="","",INDEX('Sky-Gen Ent EPG (2)'!$AC:$AE,MATCH($C31,'Sky-Gen Ent EPG (2)'!$AE:$AE,0),1))</f>
        <v>127</v>
      </c>
      <c r="K31">
        <f>IF($C31="","",INDEX('Sky-Gen Ent EPG (2)'!$AC:$AE,MATCH($C31,'Sky-Gen Ent EPG (2)'!$AE:$AE,0),2))</f>
        <v>24</v>
      </c>
      <c r="L31">
        <f t="shared" si="1"/>
        <v>0</v>
      </c>
      <c r="M31">
        <f t="shared" si="2"/>
        <v>1</v>
      </c>
      <c r="N31" s="7">
        <f>IF($L31=0,0,G31*$L31*'O&amp;O - other input parameters'!$C$7)</f>
        <v>0</v>
      </c>
      <c r="O31" s="7">
        <f>IF($L31=0,0,H31*$L31*'O&amp;O - other input parameters'!$C$7)</f>
        <v>0</v>
      </c>
    </row>
    <row r="32" spans="2:15" ht="14.65" thickBot="1" x14ac:dyDescent="0.5">
      <c r="B32" s="129" t="s">
        <v>643</v>
      </c>
      <c r="C32" t="str">
        <f>IF('Sky-Gen Ent EPG (2)'!O35&lt;&gt;0,'Sky-Gen Ent EPG (2)'!O35,"")</f>
        <v>MTV HD</v>
      </c>
      <c r="D32">
        <f t="shared" si="0"/>
        <v>1</v>
      </c>
      <c r="E32">
        <f>IF($C32="","",INDEX('Sky-Gen Ent EPG (2)'!$M:$O,MATCH($C32,'Sky-Gen Ent EPG (2)'!$O:$O,0),1))</f>
        <v>126</v>
      </c>
      <c r="F32">
        <f>IF($C32="","",INDEX('Sky-Gen Ent EPG (2)'!$M:$O,MATCH($C32,'Sky-Gen Ent EPG (2)'!$O:$O,0),2))</f>
        <v>25</v>
      </c>
      <c r="G32" t="str">
        <f>IF($L32=0,"Not needed",(IF($B32="Not available",0,(((INDEX('O&amp;O - Revenues &amp; viewing'!$B$6:$Z$237,MATCH($B32,'O&amp;O - Revenues &amp; viewing'!$B$6:$B$237,0),15))*('Nation weights - Sky (2)'!$D$6))/1000000))))</f>
        <v>Not needed</v>
      </c>
      <c r="H32" t="str">
        <f>IF($L32=0,"Not needed",(IF($B32="Not available",0,(((INDEX('O&amp;O - Revenues &amp; viewing'!$B$6:$Z$237,MATCH($B32,'O&amp;O - Revenues &amp; viewing'!$B$6:$B$237,0),19))*('Nation weights - Sky (2)'!$D$6))/1000000))))</f>
        <v>Not needed</v>
      </c>
      <c r="J32">
        <f>IF($C32="","",INDEX('Sky-Gen Ent EPG (2)'!$AC:$AE,MATCH($C32,'Sky-Gen Ent EPG (2)'!$AE:$AE,0),1))</f>
        <v>128</v>
      </c>
      <c r="K32">
        <f>IF($C32="","",INDEX('Sky-Gen Ent EPG (2)'!$AC:$AE,MATCH($C32,'Sky-Gen Ent EPG (2)'!$AE:$AE,0),2))</f>
        <v>25</v>
      </c>
      <c r="L32">
        <f t="shared" si="1"/>
        <v>0</v>
      </c>
      <c r="M32">
        <f t="shared" si="2"/>
        <v>1</v>
      </c>
      <c r="N32" s="7">
        <f>IF($L32=0,0,G32*$L32*'O&amp;O - other input parameters'!$C$7)</f>
        <v>0</v>
      </c>
      <c r="O32" s="7">
        <f>IF($L32=0,0,H32*$L32*'O&amp;O - other input parameters'!$C$7)</f>
        <v>0</v>
      </c>
    </row>
    <row r="33" spans="2:15" ht="14.65" thickBot="1" x14ac:dyDescent="0.5">
      <c r="B33" s="129" t="s">
        <v>417</v>
      </c>
      <c r="C33" t="str">
        <f>IF('Sky-Gen Ent EPG (2)'!O36&lt;&gt;0,'Sky-Gen Ent EPG (2)'!O36,"")</f>
        <v>ComedyXtra</v>
      </c>
      <c r="D33">
        <f t="shared" si="0"/>
        <v>1</v>
      </c>
      <c r="E33">
        <f>IF($C33="","",INDEX('Sky-Gen Ent EPG (2)'!$M:$O,MATCH($C33,'Sky-Gen Ent EPG (2)'!$O:$O,0),1))</f>
        <v>127</v>
      </c>
      <c r="F33">
        <f>IF($C33="","",INDEX('Sky-Gen Ent EPG (2)'!$M:$O,MATCH($C33,'Sky-Gen Ent EPG (2)'!$O:$O,0),2))</f>
        <v>26</v>
      </c>
      <c r="G33" t="str">
        <f>IF($L33=0,"Not needed",(IF($B33="Not available",0,(((INDEX('O&amp;O - Revenues &amp; viewing'!$B$6:$Z$237,MATCH($B33,'O&amp;O - Revenues &amp; viewing'!$B$6:$B$237,0),15))*('Nation weights - Sky (2)'!$D$6))/1000000))))</f>
        <v>Not needed</v>
      </c>
      <c r="H33" t="str">
        <f>IF($L33=0,"Not needed",(IF($B33="Not available",0,(((INDEX('O&amp;O - Revenues &amp; viewing'!$B$6:$Z$237,MATCH($B33,'O&amp;O - Revenues &amp; viewing'!$B$6:$B$237,0),19))*('Nation weights - Sky (2)'!$D$6))/1000000))))</f>
        <v>Not needed</v>
      </c>
      <c r="J33">
        <f>IF($C33="","",INDEX('Sky-Gen Ent EPG (2)'!$AC:$AE,MATCH($C33,'Sky-Gen Ent EPG (2)'!$AE:$AE,0),1))</f>
        <v>129</v>
      </c>
      <c r="K33">
        <f>IF($C33="","",INDEX('Sky-Gen Ent EPG (2)'!$AC:$AE,MATCH($C33,'Sky-Gen Ent EPG (2)'!$AE:$AE,0),2))</f>
        <v>26</v>
      </c>
      <c r="L33">
        <f t="shared" si="1"/>
        <v>0</v>
      </c>
      <c r="M33">
        <f t="shared" si="2"/>
        <v>1</v>
      </c>
      <c r="N33" s="7">
        <f>IF($L33=0,0,G33*$L33*'O&amp;O - other input parameters'!$C$7)</f>
        <v>0</v>
      </c>
      <c r="O33" s="7">
        <f>IF($L33=0,0,H33*$L33*'O&amp;O - other input parameters'!$C$7)</f>
        <v>0</v>
      </c>
    </row>
    <row r="34" spans="2:15" ht="14.65" thickBot="1" x14ac:dyDescent="0.5">
      <c r="B34" s="129" t="s">
        <v>83</v>
      </c>
      <c r="C34" t="str">
        <f>IF('Sky-Gen Ent EPG (2)'!O37&lt;&gt;0,'Sky-Gen Ent EPG (2)'!O37,"")</f>
        <v>5STAR</v>
      </c>
      <c r="D34">
        <f t="shared" si="0"/>
        <v>1</v>
      </c>
      <c r="E34">
        <f>IF($C34="","",INDEX('Sky-Gen Ent EPG (2)'!$M:$O,MATCH($C34,'Sky-Gen Ent EPG (2)'!$O:$O,0),1))</f>
        <v>128</v>
      </c>
      <c r="F34">
        <f>IF($C34="","",INDEX('Sky-Gen Ent EPG (2)'!$M:$O,MATCH($C34,'Sky-Gen Ent EPG (2)'!$O:$O,0),2))</f>
        <v>27</v>
      </c>
      <c r="G34" t="str">
        <f>IF($L34=0,"Not needed",(IF($B34="Not available",0,(((INDEX('O&amp;O - Revenues &amp; viewing'!$B$6:$Z$237,MATCH($B34,'O&amp;O - Revenues &amp; viewing'!$B$6:$B$237,0),15))*('Nation weights - Sky (2)'!$D$6))/1000000))))</f>
        <v>Not needed</v>
      </c>
      <c r="H34" t="str">
        <f>IF($L34=0,"Not needed",(IF($B34="Not available",0,(((INDEX('O&amp;O - Revenues &amp; viewing'!$B$6:$Z$237,MATCH($B34,'O&amp;O - Revenues &amp; viewing'!$B$6:$B$237,0),19))*('Nation weights - Sky (2)'!$D$6))/1000000))))</f>
        <v>Not needed</v>
      </c>
      <c r="J34">
        <f>IF($C34="","",INDEX('Sky-Gen Ent EPG (2)'!$AC:$AE,MATCH($C34,'Sky-Gen Ent EPG (2)'!$AE:$AE,0),1))</f>
        <v>130</v>
      </c>
      <c r="K34">
        <f>IF($C34="","",INDEX('Sky-Gen Ent EPG (2)'!$AC:$AE,MATCH($C34,'Sky-Gen Ent EPG (2)'!$AE:$AE,0),2))</f>
        <v>27</v>
      </c>
      <c r="L34">
        <f t="shared" si="1"/>
        <v>0</v>
      </c>
      <c r="M34">
        <f t="shared" si="2"/>
        <v>1</v>
      </c>
      <c r="N34" s="7">
        <f>IF($L34=0,0,G34*$L34*'O&amp;O - other input parameters'!$C$7)</f>
        <v>0</v>
      </c>
      <c r="O34" s="7">
        <f>IF($L34=0,0,H34*$L34*'O&amp;O - other input parameters'!$C$7)</f>
        <v>0</v>
      </c>
    </row>
    <row r="35" spans="2:15" ht="14.65" thickBot="1" x14ac:dyDescent="0.5">
      <c r="B35" s="129" t="s">
        <v>418</v>
      </c>
      <c r="C35" t="str">
        <f>IF('Sky-Gen Ent EPG (2)'!O38&lt;&gt;0,'Sky-Gen Ent EPG (2)'!O38,"")</f>
        <v>National Geographic HD</v>
      </c>
      <c r="D35">
        <f t="shared" si="0"/>
        <v>1</v>
      </c>
      <c r="E35">
        <f>IF($C35="","",INDEX('Sky-Gen Ent EPG (2)'!$M:$O,MATCH($C35,'Sky-Gen Ent EPG (2)'!$O:$O,0),1))</f>
        <v>129</v>
      </c>
      <c r="F35">
        <f>IF($C35="","",INDEX('Sky-Gen Ent EPG (2)'!$M:$O,MATCH($C35,'Sky-Gen Ent EPG (2)'!$O:$O,0),2))</f>
        <v>28</v>
      </c>
      <c r="G35" t="str">
        <f>IF($L35=0,"Not needed",(IF($B35="Not available",0,(((INDEX('O&amp;O - Revenues &amp; viewing'!$B$6:$Z$237,MATCH($B35,'O&amp;O - Revenues &amp; viewing'!$B$6:$B$237,0),15))*('Nation weights - Sky (2)'!$D$6))/1000000))))</f>
        <v>Not needed</v>
      </c>
      <c r="H35" t="str">
        <f>IF($L35=0,"Not needed",(IF($B35="Not available",0,(((INDEX('O&amp;O - Revenues &amp; viewing'!$B$6:$Z$237,MATCH($B35,'O&amp;O - Revenues &amp; viewing'!$B$6:$B$237,0),19))*('Nation weights - Sky (2)'!$D$6))/1000000))))</f>
        <v>Not needed</v>
      </c>
      <c r="J35">
        <f>IF($C35="","",INDEX('Sky-Gen Ent EPG (2)'!$AC:$AE,MATCH($C35,'Sky-Gen Ent EPG (2)'!$AE:$AE,0),1))</f>
        <v>131</v>
      </c>
      <c r="K35">
        <f>IF($C35="","",INDEX('Sky-Gen Ent EPG (2)'!$AC:$AE,MATCH($C35,'Sky-Gen Ent EPG (2)'!$AE:$AE,0),2))</f>
        <v>28</v>
      </c>
      <c r="L35">
        <f t="shared" si="1"/>
        <v>0</v>
      </c>
      <c r="M35">
        <f t="shared" si="2"/>
        <v>1</v>
      </c>
      <c r="N35" s="7">
        <f>IF($L35=0,0,G35*$L35*'O&amp;O - other input parameters'!$C$7)</f>
        <v>0</v>
      </c>
      <c r="O35" s="7">
        <f>IF($L35=0,0,H35*$L35*'O&amp;O - other input parameters'!$C$7)</f>
        <v>0</v>
      </c>
    </row>
    <row r="36" spans="2:15" ht="14.65" thickBot="1" x14ac:dyDescent="0.5">
      <c r="B36" s="129" t="s">
        <v>409</v>
      </c>
      <c r="C36" t="str">
        <f>IF('Sky-Gen Ent EPG (2)'!O39&lt;&gt;0,'Sky-Gen Ent EPG (2)'!O39,"")</f>
        <v>History HD</v>
      </c>
      <c r="D36">
        <f t="shared" si="0"/>
        <v>1</v>
      </c>
      <c r="E36">
        <f>IF($C36="","",INDEX('Sky-Gen Ent EPG (2)'!$M:$O,MATCH($C36,'Sky-Gen Ent EPG (2)'!$O:$O,0),1))</f>
        <v>130</v>
      </c>
      <c r="F36">
        <f>IF($C36="","",INDEX('Sky-Gen Ent EPG (2)'!$M:$O,MATCH($C36,'Sky-Gen Ent EPG (2)'!$O:$O,0),2))</f>
        <v>29</v>
      </c>
      <c r="G36" t="str">
        <f>IF($L36=0,"Not needed",(IF($B36="Not available",0,(((INDEX('O&amp;O - Revenues &amp; viewing'!$B$6:$Z$237,MATCH($B36,'O&amp;O - Revenues &amp; viewing'!$B$6:$B$237,0),15))*('Nation weights - Sky (2)'!$D$6))/1000000))))</f>
        <v>Not needed</v>
      </c>
      <c r="H36" t="str">
        <f>IF($L36=0,"Not needed",(IF($B36="Not available",0,(((INDEX('O&amp;O - Revenues &amp; viewing'!$B$6:$Z$237,MATCH($B36,'O&amp;O - Revenues &amp; viewing'!$B$6:$B$237,0),19))*('Nation weights - Sky (2)'!$D$6))/1000000))))</f>
        <v>Not needed</v>
      </c>
      <c r="J36">
        <f>IF($C36="","",INDEX('Sky-Gen Ent EPG (2)'!$AC:$AE,MATCH($C36,'Sky-Gen Ent EPG (2)'!$AE:$AE,0),1))</f>
        <v>132</v>
      </c>
      <c r="K36">
        <f>IF($C36="","",INDEX('Sky-Gen Ent EPG (2)'!$AC:$AE,MATCH($C36,'Sky-Gen Ent EPG (2)'!$AE:$AE,0),2))</f>
        <v>29</v>
      </c>
      <c r="L36">
        <f t="shared" si="1"/>
        <v>0</v>
      </c>
      <c r="M36">
        <f t="shared" si="2"/>
        <v>1</v>
      </c>
      <c r="N36" s="7">
        <f>IF($L36=0,0,G36*$L36*'O&amp;O - other input parameters'!$C$7)</f>
        <v>0</v>
      </c>
      <c r="O36" s="7">
        <f>IF($L36=0,0,H36*$L36*'O&amp;O - other input parameters'!$C$7)</f>
        <v>0</v>
      </c>
    </row>
    <row r="37" spans="2:15" ht="14.65" thickBot="1" x14ac:dyDescent="0.5">
      <c r="B37" s="129" t="s">
        <v>375</v>
      </c>
      <c r="C37" t="str">
        <f>IF('Sky-Gen Ent EPG (2)'!O40&lt;&gt;0,'Sky-Gen Ent EPG (2)'!O40,"")</f>
        <v>ITVBe</v>
      </c>
      <c r="D37">
        <f t="shared" si="0"/>
        <v>1</v>
      </c>
      <c r="E37">
        <f>IF($C37="","",INDEX('Sky-Gen Ent EPG (2)'!$M:$O,MATCH($C37,'Sky-Gen Ent EPG (2)'!$O:$O,0),1))</f>
        <v>131</v>
      </c>
      <c r="F37">
        <f>IF($C37="","",INDEX('Sky-Gen Ent EPG (2)'!$M:$O,MATCH($C37,'Sky-Gen Ent EPG (2)'!$O:$O,0),2))</f>
        <v>30</v>
      </c>
      <c r="G37" t="str">
        <f>IF($L37=0,"Not needed",(IF($B37="Not available",0,(((INDEX('O&amp;O - Revenues &amp; viewing'!$B$6:$Z$237,MATCH($B37,'O&amp;O - Revenues &amp; viewing'!$B$6:$B$237,0),15))*('Nation weights - Sky (2)'!$D$6))/1000000))))</f>
        <v>Not needed</v>
      </c>
      <c r="H37" t="str">
        <f>IF($L37=0,"Not needed",(IF($B37="Not available",0,(((INDEX('O&amp;O - Revenues &amp; viewing'!$B$6:$Z$237,MATCH($B37,'O&amp;O - Revenues &amp; viewing'!$B$6:$B$237,0),19))*('Nation weights - Sky (2)'!$D$6))/1000000))))</f>
        <v>Not needed</v>
      </c>
      <c r="J37">
        <f>IF($C37="","",INDEX('Sky-Gen Ent EPG (2)'!$AC:$AE,MATCH($C37,'Sky-Gen Ent EPG (2)'!$AE:$AE,0),1))</f>
        <v>133</v>
      </c>
      <c r="K37">
        <f>IF($C37="","",INDEX('Sky-Gen Ent EPG (2)'!$AC:$AE,MATCH($C37,'Sky-Gen Ent EPG (2)'!$AE:$AE,0),2))</f>
        <v>30</v>
      </c>
      <c r="L37">
        <f t="shared" si="1"/>
        <v>0</v>
      </c>
      <c r="M37">
        <f t="shared" si="2"/>
        <v>1</v>
      </c>
      <c r="N37" s="7">
        <f>IF($L37=0,0,G37*$L37*'O&amp;O - other input parameters'!$C$7)</f>
        <v>0</v>
      </c>
      <c r="O37" s="7">
        <f>IF($L37=0,0,H37*$L37*'O&amp;O - other input parameters'!$C$7)</f>
        <v>0</v>
      </c>
    </row>
    <row r="38" spans="2:15" ht="14.65" thickBot="1" x14ac:dyDescent="0.5">
      <c r="B38" s="129" t="s">
        <v>383</v>
      </c>
      <c r="C38" t="str">
        <f>IF('Sky-Gen Ent EPG (2)'!O41&lt;&gt;0,'Sky-Gen Ent EPG (2)'!O41,"")</f>
        <v>alibi HD</v>
      </c>
      <c r="D38">
        <f t="shared" si="0"/>
        <v>1</v>
      </c>
      <c r="E38">
        <f>IF($C38="","",INDEX('Sky-Gen Ent EPG (2)'!$M:$O,MATCH($C38,'Sky-Gen Ent EPG (2)'!$O:$O,0),1))</f>
        <v>132</v>
      </c>
      <c r="F38">
        <f>IF($C38="","",INDEX('Sky-Gen Ent EPG (2)'!$M:$O,MATCH($C38,'Sky-Gen Ent EPG (2)'!$O:$O,0),2))</f>
        <v>31</v>
      </c>
      <c r="G38" t="str">
        <f>IF($L38=0,"Not needed",(IF($B38="Not available",0,(((INDEX('O&amp;O - Revenues &amp; viewing'!$B$6:$Z$237,MATCH($B38,'O&amp;O - Revenues &amp; viewing'!$B$6:$B$237,0),15))*('Nation weights - Sky (2)'!$D$6))/1000000))))</f>
        <v>Not needed</v>
      </c>
      <c r="H38" t="str">
        <f>IF($L38=0,"Not needed",(IF($B38="Not available",0,(((INDEX('O&amp;O - Revenues &amp; viewing'!$B$6:$Z$237,MATCH($B38,'O&amp;O - Revenues &amp; viewing'!$B$6:$B$237,0),19))*('Nation weights - Sky (2)'!$D$6))/1000000))))</f>
        <v>Not needed</v>
      </c>
      <c r="J38">
        <f>IF($C38="","",INDEX('Sky-Gen Ent EPG (2)'!$AC:$AE,MATCH($C38,'Sky-Gen Ent EPG (2)'!$AE:$AE,0),1))</f>
        <v>134</v>
      </c>
      <c r="K38">
        <f>IF($C38="","",INDEX('Sky-Gen Ent EPG (2)'!$AC:$AE,MATCH($C38,'Sky-Gen Ent EPG (2)'!$AE:$AE,0),2))</f>
        <v>31</v>
      </c>
      <c r="L38">
        <f t="shared" si="1"/>
        <v>0</v>
      </c>
      <c r="M38">
        <f t="shared" si="2"/>
        <v>1</v>
      </c>
      <c r="N38" s="7">
        <f>IF($L38=0,0,G38*$L38*'O&amp;O - other input parameters'!$C$7)</f>
        <v>0</v>
      </c>
      <c r="O38" s="7">
        <f>IF($L38=0,0,H38*$L38*'O&amp;O - other input parameters'!$C$7)</f>
        <v>0</v>
      </c>
    </row>
    <row r="39" spans="2:15" ht="14.65" thickBot="1" x14ac:dyDescent="0.5">
      <c r="B39" s="129" t="s">
        <v>399</v>
      </c>
      <c r="C39" t="str">
        <f>IF('Sky-Gen Ent EPG (2)'!O42&lt;&gt;0,'Sky-Gen Ent EPG (2)'!O42,"")</f>
        <v>Good Food HD</v>
      </c>
      <c r="D39">
        <f t="shared" si="0"/>
        <v>1</v>
      </c>
      <c r="E39">
        <f>IF($C39="","",INDEX('Sky-Gen Ent EPG (2)'!$M:$O,MATCH($C39,'Sky-Gen Ent EPG (2)'!$O:$O,0),1))</f>
        <v>133</v>
      </c>
      <c r="F39">
        <f>IF($C39="","",INDEX('Sky-Gen Ent EPG (2)'!$M:$O,MATCH($C39,'Sky-Gen Ent EPG (2)'!$O:$O,0),2))</f>
        <v>32</v>
      </c>
      <c r="G39" t="str">
        <f>IF($L39=0,"Not needed",(IF($B39="Not available",0,(((INDEX('O&amp;O - Revenues &amp; viewing'!$B$6:$Z$237,MATCH($B39,'O&amp;O - Revenues &amp; viewing'!$B$6:$B$237,0),15))*('Nation weights - Sky (2)'!$D$6))/1000000))))</f>
        <v>Not needed</v>
      </c>
      <c r="H39" t="str">
        <f>IF($L39=0,"Not needed",(IF($B39="Not available",0,(((INDEX('O&amp;O - Revenues &amp; viewing'!$B$6:$Z$237,MATCH($B39,'O&amp;O - Revenues &amp; viewing'!$B$6:$B$237,0),19))*('Nation weights - Sky (2)'!$D$6))/1000000))))</f>
        <v>Not needed</v>
      </c>
      <c r="J39">
        <f>IF($C39="","",INDEX('Sky-Gen Ent EPG (2)'!$AC:$AE,MATCH($C39,'Sky-Gen Ent EPG (2)'!$AE:$AE,0),1))</f>
        <v>135</v>
      </c>
      <c r="K39">
        <f>IF($C39="","",INDEX('Sky-Gen Ent EPG (2)'!$AC:$AE,MATCH($C39,'Sky-Gen Ent EPG (2)'!$AE:$AE,0),2))</f>
        <v>32</v>
      </c>
      <c r="L39">
        <f t="shared" si="1"/>
        <v>0</v>
      </c>
      <c r="M39">
        <f t="shared" si="2"/>
        <v>1</v>
      </c>
      <c r="N39" s="7">
        <f>IF($L39=0,0,G39*$L39*'O&amp;O - other input parameters'!$C$7)</f>
        <v>0</v>
      </c>
      <c r="O39" s="7">
        <f>IF($L39=0,0,H39*$L39*'O&amp;O - other input parameters'!$C$7)</f>
        <v>0</v>
      </c>
    </row>
    <row r="40" spans="2:15" ht="14.65" thickBot="1" x14ac:dyDescent="0.5">
      <c r="B40" s="129" t="s">
        <v>643</v>
      </c>
      <c r="C40" t="str">
        <f>IF('Sky-Gen Ent EPG (2)'!O43&lt;&gt;0,'Sky-Gen Ent EPG (2)'!O43,"")</f>
        <v>Cardiff TV</v>
      </c>
      <c r="D40">
        <f t="shared" si="0"/>
        <v>1</v>
      </c>
      <c r="E40">
        <f>IF($C40="","",INDEX('Sky-Gen Ent EPG (2)'!$M:$O,MATCH($C40,'Sky-Gen Ent EPG (2)'!$O:$O,0),1))</f>
        <v>134</v>
      </c>
      <c r="F40">
        <f>IF($C40="","",INDEX('Sky-Gen Ent EPG (2)'!$M:$O,MATCH($C40,'Sky-Gen Ent EPG (2)'!$O:$O,0),2))</f>
        <v>33</v>
      </c>
      <c r="G40" t="str">
        <f>IF($L40=0,"Not needed",(IF($B40="Not available",0,(((INDEX('O&amp;O - Revenues &amp; viewing'!$B$6:$Z$237,MATCH($B40,'O&amp;O - Revenues &amp; viewing'!$B$6:$B$237,0),15))*('Nation weights - Sky (2)'!$D$6))/1000000))))</f>
        <v>Not needed</v>
      </c>
      <c r="H40" t="str">
        <f>IF($L40=0,"Not needed",(IF($B40="Not available",0,(((INDEX('O&amp;O - Revenues &amp; viewing'!$B$6:$Z$237,MATCH($B40,'O&amp;O - Revenues &amp; viewing'!$B$6:$B$237,0),19))*('Nation weights - Sky (2)'!$D$6))/1000000))))</f>
        <v>Not needed</v>
      </c>
      <c r="J40">
        <f>IF($C40="","",INDEX('Sky-Gen Ent EPG (2)'!$AC:$AE,MATCH($C40,'Sky-Gen Ent EPG (2)'!$AE:$AE,0),1))</f>
        <v>136</v>
      </c>
      <c r="K40">
        <f>IF($C40="","",INDEX('Sky-Gen Ent EPG (2)'!$AC:$AE,MATCH($C40,'Sky-Gen Ent EPG (2)'!$AE:$AE,0),2))</f>
        <v>33</v>
      </c>
      <c r="L40">
        <f t="shared" si="1"/>
        <v>0</v>
      </c>
      <c r="M40">
        <f t="shared" si="2"/>
        <v>1</v>
      </c>
      <c r="N40" s="7">
        <f>IF($L40=0,0,G40*$L40*'O&amp;O - other input parameters'!$C$7)</f>
        <v>0</v>
      </c>
      <c r="O40" s="7">
        <f>IF($L40=0,0,H40*$L40*'O&amp;O - other input parameters'!$C$7)</f>
        <v>0</v>
      </c>
    </row>
    <row r="41" spans="2:15" ht="14.65" thickBot="1" x14ac:dyDescent="0.5">
      <c r="B41" s="129" t="s">
        <v>119</v>
      </c>
      <c r="C41" t="str">
        <f>IF('Sky-Gen Ent EPG (2)'!O44&lt;&gt;0,'Sky-Gen Ent EPG (2)'!O44,"")</f>
        <v>E4 HD</v>
      </c>
      <c r="D41">
        <f t="shared" si="0"/>
        <v>1</v>
      </c>
      <c r="E41">
        <f>IF($C41="","",INDEX('Sky-Gen Ent EPG (2)'!$M:$O,MATCH($C41,'Sky-Gen Ent EPG (2)'!$O:$O,0),1))</f>
        <v>135</v>
      </c>
      <c r="F41">
        <f>IF($C41="","",INDEX('Sky-Gen Ent EPG (2)'!$M:$O,MATCH($C41,'Sky-Gen Ent EPG (2)'!$O:$O,0),2))</f>
        <v>34</v>
      </c>
      <c r="G41" t="str">
        <f>IF($L41=0,"Not needed",(IF($B41="Not available",0,(((INDEX('O&amp;O - Revenues &amp; viewing'!$B$6:$Z$237,MATCH($B41,'O&amp;O - Revenues &amp; viewing'!$B$6:$B$237,0),15))*('Nation weights - Sky (2)'!$D$6))/1000000))))</f>
        <v>Not needed</v>
      </c>
      <c r="H41" t="str">
        <f>IF($L41=0,"Not needed",(IF($B41="Not available",0,(((INDEX('O&amp;O - Revenues &amp; viewing'!$B$6:$Z$237,MATCH($B41,'O&amp;O - Revenues &amp; viewing'!$B$6:$B$237,0),19))*('Nation weights - Sky (2)'!$D$6))/1000000))))</f>
        <v>Not needed</v>
      </c>
      <c r="J41">
        <f>IF($C41="","",INDEX('Sky-Gen Ent EPG (2)'!$AC:$AE,MATCH($C41,'Sky-Gen Ent EPG (2)'!$AE:$AE,0),1))</f>
        <v>137</v>
      </c>
      <c r="K41">
        <f>IF($C41="","",INDEX('Sky-Gen Ent EPG (2)'!$AC:$AE,MATCH($C41,'Sky-Gen Ent EPG (2)'!$AE:$AE,0),2))</f>
        <v>34</v>
      </c>
      <c r="L41">
        <f t="shared" si="1"/>
        <v>0</v>
      </c>
      <c r="M41">
        <f t="shared" si="2"/>
        <v>1</v>
      </c>
      <c r="N41" s="7">
        <f>IF($L41=0,0,G41*$L41*'O&amp;O - other input parameters'!$C$7)</f>
        <v>0</v>
      </c>
      <c r="O41" s="7">
        <f>IF($L41=0,0,H41*$L41*'O&amp;O - other input parameters'!$C$7)</f>
        <v>0</v>
      </c>
    </row>
    <row r="42" spans="2:15" ht="14.65" thickBot="1" x14ac:dyDescent="0.5">
      <c r="B42" s="129" t="s">
        <v>353</v>
      </c>
      <c r="C42" t="str">
        <f>IF('Sky-Gen Ent EPG (2)'!O45&lt;&gt;0,'Sky-Gen Ent EPG (2)'!O45,"")</f>
        <v>More4 HD</v>
      </c>
      <c r="D42">
        <f t="shared" si="0"/>
        <v>1</v>
      </c>
      <c r="E42">
        <f>IF($C42="","",INDEX('Sky-Gen Ent EPG (2)'!$M:$O,MATCH($C42,'Sky-Gen Ent EPG (2)'!$O:$O,0),1))</f>
        <v>136</v>
      </c>
      <c r="F42">
        <f>IF($C42="","",INDEX('Sky-Gen Ent EPG (2)'!$M:$O,MATCH($C42,'Sky-Gen Ent EPG (2)'!$O:$O,0),2))</f>
        <v>35</v>
      </c>
      <c r="G42" t="str">
        <f>IF($L42=0,"Not needed",(IF($B42="Not available",0,(((INDEX('O&amp;O - Revenues &amp; viewing'!$B$6:$Z$237,MATCH($B42,'O&amp;O - Revenues &amp; viewing'!$B$6:$B$237,0),15))*('Nation weights - Sky (2)'!$D$6))/1000000))))</f>
        <v>Not needed</v>
      </c>
      <c r="H42" t="str">
        <f>IF($L42=0,"Not needed",(IF($B42="Not available",0,(((INDEX('O&amp;O - Revenues &amp; viewing'!$B$6:$Z$237,MATCH($B42,'O&amp;O - Revenues &amp; viewing'!$B$6:$B$237,0),19))*('Nation weights - Sky (2)'!$D$6))/1000000))))</f>
        <v>Not needed</v>
      </c>
      <c r="J42">
        <f>IF($C42="","",INDEX('Sky-Gen Ent EPG (2)'!$AC:$AE,MATCH($C42,'Sky-Gen Ent EPG (2)'!$AE:$AE,0),1))</f>
        <v>138</v>
      </c>
      <c r="K42">
        <f>IF($C42="","",INDEX('Sky-Gen Ent EPG (2)'!$AC:$AE,MATCH($C42,'Sky-Gen Ent EPG (2)'!$AE:$AE,0),2))</f>
        <v>35</v>
      </c>
      <c r="L42">
        <f t="shared" si="1"/>
        <v>0</v>
      </c>
      <c r="M42">
        <f t="shared" si="2"/>
        <v>1</v>
      </c>
      <c r="N42" s="7">
        <f>IF($L42=0,0,G42*$L42*'O&amp;O - other input parameters'!$C$7)</f>
        <v>0</v>
      </c>
      <c r="O42" s="7">
        <f>IF($L42=0,0,H42*$L42*'O&amp;O - other input parameters'!$C$7)</f>
        <v>0</v>
      </c>
    </row>
    <row r="43" spans="2:15" ht="14.65" thickBot="1" x14ac:dyDescent="0.5">
      <c r="B43" s="129" t="s">
        <v>376</v>
      </c>
      <c r="C43" t="str">
        <f>IF('Sky-Gen Ent EPG (2)'!O46&lt;&gt;0,'Sky-Gen Ent EPG (2)'!O46,"")</f>
        <v>4seven</v>
      </c>
      <c r="D43">
        <f t="shared" si="0"/>
        <v>1</v>
      </c>
      <c r="E43">
        <f>IF($C43="","",INDEX('Sky-Gen Ent EPG (2)'!$M:$O,MATCH($C43,'Sky-Gen Ent EPG (2)'!$O:$O,0),1))</f>
        <v>137</v>
      </c>
      <c r="F43">
        <f>IF($C43="","",INDEX('Sky-Gen Ent EPG (2)'!$M:$O,MATCH($C43,'Sky-Gen Ent EPG (2)'!$O:$O,0),2))</f>
        <v>36</v>
      </c>
      <c r="G43" t="str">
        <f>IF($L43=0,"Not needed",(IF($B43="Not available",0,(((INDEX('O&amp;O - Revenues &amp; viewing'!$B$6:$Z$237,MATCH($B43,'O&amp;O - Revenues &amp; viewing'!$B$6:$B$237,0),15))*('Nation weights - Sky (2)'!$D$6))/1000000))))</f>
        <v>Not needed</v>
      </c>
      <c r="H43" t="str">
        <f>IF($L43=0,"Not needed",(IF($B43="Not available",0,(((INDEX('O&amp;O - Revenues &amp; viewing'!$B$6:$Z$237,MATCH($B43,'O&amp;O - Revenues &amp; viewing'!$B$6:$B$237,0),19))*('Nation weights - Sky (2)'!$D$6))/1000000))))</f>
        <v>Not needed</v>
      </c>
      <c r="J43">
        <f>IF($C43="","",INDEX('Sky-Gen Ent EPG (2)'!$AC:$AE,MATCH($C43,'Sky-Gen Ent EPG (2)'!$AE:$AE,0),1))</f>
        <v>139</v>
      </c>
      <c r="K43">
        <f>IF($C43="","",INDEX('Sky-Gen Ent EPG (2)'!$AC:$AE,MATCH($C43,'Sky-Gen Ent EPG (2)'!$AE:$AE,0),2))</f>
        <v>36</v>
      </c>
      <c r="L43">
        <f t="shared" si="1"/>
        <v>0</v>
      </c>
      <c r="M43">
        <f t="shared" si="2"/>
        <v>1</v>
      </c>
      <c r="N43" s="7">
        <f>IF($L43=0,0,G43*$L43*'O&amp;O - other input parameters'!$C$7)</f>
        <v>0</v>
      </c>
      <c r="O43" s="7">
        <f>IF($L43=0,0,H43*$L43*'O&amp;O - other input parameters'!$C$7)</f>
        <v>0</v>
      </c>
    </row>
    <row r="44" spans="2:15" ht="14.65" thickBot="1" x14ac:dyDescent="0.5">
      <c r="B44" s="129" t="s">
        <v>643</v>
      </c>
      <c r="C44" t="str">
        <f>IF('Sky-Gen Ent EPG (2)'!O47&lt;&gt;0,'Sky-Gen Ent EPG (2)'!O47,"")</f>
        <v>Channel 4 HD</v>
      </c>
      <c r="D44">
        <f t="shared" si="0"/>
        <v>1</v>
      </c>
      <c r="E44">
        <f>IF($C44="","",INDEX('Sky-Gen Ent EPG (2)'!$M:$O,MATCH($C44,'Sky-Gen Ent EPG (2)'!$O:$O,0),1))</f>
        <v>138</v>
      </c>
      <c r="F44">
        <f>IF($C44="","",INDEX('Sky-Gen Ent EPG (2)'!$M:$O,MATCH($C44,'Sky-Gen Ent EPG (2)'!$O:$O,0),2))</f>
        <v>37</v>
      </c>
      <c r="G44" t="str">
        <f>IF($L44=0,"Not needed",(IF($B44="Not available",0,(((INDEX('O&amp;O - Revenues &amp; viewing'!$B$6:$Z$237,MATCH($B44,'O&amp;O - Revenues &amp; viewing'!$B$6:$B$237,0),15))*('Nation weights - Sky (2)'!$D$6))/1000000))))</f>
        <v>Not needed</v>
      </c>
      <c r="H44" t="str">
        <f>IF($L44=0,"Not needed",(IF($B44="Not available",0,(((INDEX('O&amp;O - Revenues &amp; viewing'!$B$6:$Z$237,MATCH($B44,'O&amp;O - Revenues &amp; viewing'!$B$6:$B$237,0),19))*('Nation weights - Sky (2)'!$D$6))/1000000))))</f>
        <v>Not needed</v>
      </c>
      <c r="J44">
        <f>IF($C44="","",INDEX('Sky-Gen Ent EPG (2)'!$AC:$AE,MATCH($C44,'Sky-Gen Ent EPG (2)'!$AE:$AE,0),1))</f>
        <v>140</v>
      </c>
      <c r="K44">
        <f>IF($C44="","",INDEX('Sky-Gen Ent EPG (2)'!$AC:$AE,MATCH($C44,'Sky-Gen Ent EPG (2)'!$AE:$AE,0),2))</f>
        <v>37</v>
      </c>
      <c r="L44">
        <f t="shared" si="1"/>
        <v>0</v>
      </c>
      <c r="M44">
        <f t="shared" si="2"/>
        <v>1</v>
      </c>
      <c r="N44" s="7">
        <f>IF($L44=0,0,G44*$L44*'O&amp;O - other input parameters'!$C$7)</f>
        <v>0</v>
      </c>
      <c r="O44" s="7">
        <f>IF($L44=0,0,H44*$L44*'O&amp;O - other input parameters'!$C$7)</f>
        <v>0</v>
      </c>
    </row>
    <row r="45" spans="2:15" ht="14.65" thickBot="1" x14ac:dyDescent="0.5">
      <c r="B45" s="129" t="s">
        <v>388</v>
      </c>
      <c r="C45" t="str">
        <f>IF('Sky-Gen Ent EPG (2)'!O48&lt;&gt;0,'Sky-Gen Ent EPG (2)'!O48,"")</f>
        <v>4Music</v>
      </c>
      <c r="D45">
        <f t="shared" si="0"/>
        <v>1</v>
      </c>
      <c r="E45">
        <f>IF($C45="","",INDEX('Sky-Gen Ent EPG (2)'!$M:$O,MATCH($C45,'Sky-Gen Ent EPG (2)'!$O:$O,0),1))</f>
        <v>139</v>
      </c>
      <c r="F45">
        <f>IF($C45="","",INDEX('Sky-Gen Ent EPG (2)'!$M:$O,MATCH($C45,'Sky-Gen Ent EPG (2)'!$O:$O,0),2))</f>
        <v>38</v>
      </c>
      <c r="G45" t="str">
        <f>IF($L45=0,"Not needed",(IF($B45="Not available",0,(((INDEX('O&amp;O - Revenues &amp; viewing'!$B$6:$Z$237,MATCH($B45,'O&amp;O - Revenues &amp; viewing'!$B$6:$B$237,0),15))*('Nation weights - Sky (2)'!$D$6))/1000000))))</f>
        <v>Not needed</v>
      </c>
      <c r="H45" t="str">
        <f>IF($L45=0,"Not needed",(IF($B45="Not available",0,(((INDEX('O&amp;O - Revenues &amp; viewing'!$B$6:$Z$237,MATCH($B45,'O&amp;O - Revenues &amp; viewing'!$B$6:$B$237,0),19))*('Nation weights - Sky (2)'!$D$6))/1000000))))</f>
        <v>Not needed</v>
      </c>
      <c r="J45">
        <f>IF($C45="","",INDEX('Sky-Gen Ent EPG (2)'!$AC:$AE,MATCH($C45,'Sky-Gen Ent EPG (2)'!$AE:$AE,0),1))</f>
        <v>141</v>
      </c>
      <c r="K45">
        <f>IF($C45="","",INDEX('Sky-Gen Ent EPG (2)'!$AC:$AE,MATCH($C45,'Sky-Gen Ent EPG (2)'!$AE:$AE,0),2))</f>
        <v>38</v>
      </c>
      <c r="L45">
        <f t="shared" si="1"/>
        <v>0</v>
      </c>
      <c r="M45">
        <f t="shared" si="2"/>
        <v>1</v>
      </c>
      <c r="N45" s="7">
        <f>IF($L45=0,0,G45*$L45*'O&amp;O - other input parameters'!$C$7)</f>
        <v>0</v>
      </c>
      <c r="O45" s="7">
        <f>IF($L45=0,0,H45*$L45*'O&amp;O - other input parameters'!$C$7)</f>
        <v>0</v>
      </c>
    </row>
    <row r="46" spans="2:15" ht="14.65" thickBot="1" x14ac:dyDescent="0.5">
      <c r="B46" s="129" t="s">
        <v>392</v>
      </c>
      <c r="C46" t="str">
        <f>IF('Sky-Gen Ent EPG (2)'!O49&lt;&gt;0,'Sky-Gen Ent EPG (2)'!O49,"")</f>
        <v>TLC HD</v>
      </c>
      <c r="D46">
        <f t="shared" si="0"/>
        <v>1</v>
      </c>
      <c r="E46">
        <f>IF($C46="","",INDEX('Sky-Gen Ent EPG (2)'!$M:$O,MATCH($C46,'Sky-Gen Ent EPG (2)'!$O:$O,0),1))</f>
        <v>140</v>
      </c>
      <c r="F46">
        <f>IF($C46="","",INDEX('Sky-Gen Ent EPG (2)'!$M:$O,MATCH($C46,'Sky-Gen Ent EPG (2)'!$O:$O,0),2))</f>
        <v>39</v>
      </c>
      <c r="G46" t="str">
        <f>IF($L46=0,"Not needed",(IF($B46="Not available",0,(((INDEX('O&amp;O - Revenues &amp; viewing'!$B$6:$Z$237,MATCH($B46,'O&amp;O - Revenues &amp; viewing'!$B$6:$B$237,0),15))*('Nation weights - Sky (2)'!$D$6))/1000000))))</f>
        <v>Not needed</v>
      </c>
      <c r="H46" t="str">
        <f>IF($L46=0,"Not needed",(IF($B46="Not available",0,(((INDEX('O&amp;O - Revenues &amp; viewing'!$B$6:$Z$237,MATCH($B46,'O&amp;O - Revenues &amp; viewing'!$B$6:$B$237,0),19))*('Nation weights - Sky (2)'!$D$6))/1000000))))</f>
        <v>Not needed</v>
      </c>
      <c r="J46">
        <f>IF($C46="","",INDEX('Sky-Gen Ent EPG (2)'!$AC:$AE,MATCH($C46,'Sky-Gen Ent EPG (2)'!$AE:$AE,0),1))</f>
        <v>142</v>
      </c>
      <c r="K46">
        <f>IF($C46="","",INDEX('Sky-Gen Ent EPG (2)'!$AC:$AE,MATCH($C46,'Sky-Gen Ent EPG (2)'!$AE:$AE,0),2))</f>
        <v>39</v>
      </c>
      <c r="L46">
        <f t="shared" si="1"/>
        <v>0</v>
      </c>
      <c r="M46">
        <f t="shared" si="2"/>
        <v>1</v>
      </c>
      <c r="N46" s="7">
        <f>IF($L46=0,0,G46*$L46*'O&amp;O - other input parameters'!$C$7)</f>
        <v>0</v>
      </c>
      <c r="O46" s="7">
        <f>IF($L46=0,0,H46*$L46*'O&amp;O - other input parameters'!$C$7)</f>
        <v>0</v>
      </c>
    </row>
    <row r="47" spans="2:15" ht="14.65" thickBot="1" x14ac:dyDescent="0.5">
      <c r="B47" s="129" t="s">
        <v>85</v>
      </c>
      <c r="C47" t="str">
        <f>IF('Sky-Gen Ent EPG (2)'!O50&lt;&gt;0,'Sky-Gen Ent EPG (2)'!O50,"")</f>
        <v>5USA</v>
      </c>
      <c r="D47">
        <f t="shared" si="0"/>
        <v>1</v>
      </c>
      <c r="E47">
        <f>IF($C47="","",INDEX('Sky-Gen Ent EPG (2)'!$M:$O,MATCH($C47,'Sky-Gen Ent EPG (2)'!$O:$O,0),1))</f>
        <v>141</v>
      </c>
      <c r="F47">
        <f>IF($C47="","",INDEX('Sky-Gen Ent EPG (2)'!$M:$O,MATCH($C47,'Sky-Gen Ent EPG (2)'!$O:$O,0),2))</f>
        <v>40</v>
      </c>
      <c r="G47" t="str">
        <f>IF($L47=0,"Not needed",(IF($B47="Not available",0,(((INDEX('O&amp;O - Revenues &amp; viewing'!$B$6:$Z$237,MATCH($B47,'O&amp;O - Revenues &amp; viewing'!$B$6:$B$237,0),15))*('Nation weights - Sky (2)'!$D$6))/1000000))))</f>
        <v>Not needed</v>
      </c>
      <c r="H47" t="str">
        <f>IF($L47=0,"Not needed",(IF($B47="Not available",0,(((INDEX('O&amp;O - Revenues &amp; viewing'!$B$6:$Z$237,MATCH($B47,'O&amp;O - Revenues &amp; viewing'!$B$6:$B$237,0),19))*('Nation weights - Sky (2)'!$D$6))/1000000))))</f>
        <v>Not needed</v>
      </c>
      <c r="J47">
        <f>IF($C47="","",INDEX('Sky-Gen Ent EPG (2)'!$AC:$AE,MATCH($C47,'Sky-Gen Ent EPG (2)'!$AE:$AE,0),1))</f>
        <v>143</v>
      </c>
      <c r="K47">
        <f>IF($C47="","",INDEX('Sky-Gen Ent EPG (2)'!$AC:$AE,MATCH($C47,'Sky-Gen Ent EPG (2)'!$AE:$AE,0),2))</f>
        <v>40</v>
      </c>
      <c r="L47">
        <f t="shared" si="1"/>
        <v>0</v>
      </c>
      <c r="M47">
        <f t="shared" si="2"/>
        <v>1</v>
      </c>
      <c r="N47" s="7">
        <f>IF($L47=0,0,G47*$L47*'O&amp;O - other input parameters'!$C$7)</f>
        <v>0</v>
      </c>
      <c r="O47" s="7">
        <f>IF($L47=0,0,H47*$L47*'O&amp;O - other input parameters'!$C$7)</f>
        <v>0</v>
      </c>
    </row>
    <row r="48" spans="2:15" ht="14.65" thickBot="1" x14ac:dyDescent="0.5">
      <c r="B48" s="129" t="s">
        <v>362</v>
      </c>
      <c r="C48" t="str">
        <f>IF('Sky-Gen Ent EPG (2)'!O51&lt;&gt;0,'Sky-Gen Ent EPG (2)'!O51,"")</f>
        <v>Really</v>
      </c>
      <c r="D48">
        <f t="shared" si="0"/>
        <v>1</v>
      </c>
      <c r="E48">
        <f>IF($C48="","",INDEX('Sky-Gen Ent EPG (2)'!$M:$O,MATCH($C48,'Sky-Gen Ent EPG (2)'!$O:$O,0),1))</f>
        <v>142</v>
      </c>
      <c r="F48">
        <f>IF($C48="","",INDEX('Sky-Gen Ent EPG (2)'!$M:$O,MATCH($C48,'Sky-Gen Ent EPG (2)'!$O:$O,0),2))</f>
        <v>41</v>
      </c>
      <c r="G48" t="str">
        <f>IF($L48=0,"Not needed",(IF($B48="Not available",0,(((INDEX('O&amp;O - Revenues &amp; viewing'!$B$6:$Z$237,MATCH($B48,'O&amp;O - Revenues &amp; viewing'!$B$6:$B$237,0),15))*('Nation weights - Sky (2)'!$D$6))/1000000))))</f>
        <v>Not needed</v>
      </c>
      <c r="H48" t="str">
        <f>IF($L48=0,"Not needed",(IF($B48="Not available",0,(((INDEX('O&amp;O - Revenues &amp; viewing'!$B$6:$Z$237,MATCH($B48,'O&amp;O - Revenues &amp; viewing'!$B$6:$B$237,0),19))*('Nation weights - Sky (2)'!$D$6))/1000000))))</f>
        <v>Not needed</v>
      </c>
      <c r="J48">
        <f>IF($C48="","",INDEX('Sky-Gen Ent EPG (2)'!$AC:$AE,MATCH($C48,'Sky-Gen Ent EPG (2)'!$AE:$AE,0),1))</f>
        <v>144</v>
      </c>
      <c r="K48">
        <f>IF($C48="","",INDEX('Sky-Gen Ent EPG (2)'!$AC:$AE,MATCH($C48,'Sky-Gen Ent EPG (2)'!$AE:$AE,0),2))</f>
        <v>41</v>
      </c>
      <c r="L48">
        <f t="shared" si="1"/>
        <v>0</v>
      </c>
      <c r="M48">
        <f t="shared" si="2"/>
        <v>1</v>
      </c>
      <c r="N48" s="7">
        <f>IF($L48=0,0,G48*$L48*'O&amp;O - other input parameters'!$C$7)</f>
        <v>0</v>
      </c>
      <c r="O48" s="7">
        <f>IF($L48=0,0,H48*$L48*'O&amp;O - other input parameters'!$C$7)</f>
        <v>0</v>
      </c>
    </row>
    <row r="49" spans="3:15" ht="28.5" x14ac:dyDescent="0.45">
      <c r="C49" s="2" t="s">
        <v>199</v>
      </c>
      <c r="J49" s="2" t="s">
        <v>200</v>
      </c>
      <c r="K49" s="2" t="s">
        <v>201</v>
      </c>
    </row>
    <row r="50" spans="3:15" ht="128.25" x14ac:dyDescent="0.45">
      <c r="J50" s="2" t="s">
        <v>220</v>
      </c>
      <c r="M50" s="2" t="s">
        <v>203</v>
      </c>
    </row>
    <row r="51" spans="3:15" ht="57" x14ac:dyDescent="0.45">
      <c r="J51" s="2" t="s">
        <v>207</v>
      </c>
      <c r="L51">
        <f>COUNTIFS($D$7:$D$48,1,L7:L48,"&lt;0")</f>
        <v>7</v>
      </c>
    </row>
    <row r="53" spans="3:15" ht="42.75" x14ac:dyDescent="0.45">
      <c r="J53" s="2" t="s">
        <v>646</v>
      </c>
      <c r="N53" s="73">
        <f>SUMIFS(N$7:N$48,N$7:N$48,"&lt;0")</f>
        <v>-1.6029566144856033</v>
      </c>
      <c r="O53" s="73"/>
    </row>
    <row r="54" spans="3:15" ht="42.75" x14ac:dyDescent="0.45">
      <c r="J54" s="2" t="s">
        <v>647</v>
      </c>
      <c r="N54" s="73">
        <f>SUMIFS(N$7:N$48,N$7:N$48,"&gt;0")</f>
        <v>10.407527840070973</v>
      </c>
      <c r="O54" s="73"/>
    </row>
    <row r="55" spans="3:15" x14ac:dyDescent="0.45">
      <c r="J55" s="2"/>
      <c r="N55" s="73"/>
      <c r="O55" s="73"/>
    </row>
    <row r="56" spans="3:15" ht="57" x14ac:dyDescent="0.45">
      <c r="J56" s="2" t="s">
        <v>648</v>
      </c>
      <c r="N56" s="73"/>
      <c r="O56" s="73">
        <f>SUMIFS(O7:O48,D7:D48,1,O7:O48,"&lt;0")</f>
        <v>-8.3999128068908732E-2</v>
      </c>
    </row>
  </sheetData>
  <pageMargins left="0.70866141732283472" right="0.70866141732283472" top="0.74803149606299213" bottom="0.74803149606299213"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63555-B0BD-44AF-8E90-23F3BA29AAAE}">
  <sheetPr>
    <tabColor theme="7" tint="0.59999389629810485"/>
  </sheetPr>
  <dimension ref="A1:BH95"/>
  <sheetViews>
    <sheetView workbookViewId="0"/>
  </sheetViews>
  <sheetFormatPr defaultRowHeight="14.25" x14ac:dyDescent="0.45"/>
  <cols>
    <col min="1" max="1" width="19.73046875" bestFit="1" customWidth="1"/>
    <col min="2" max="2" width="11.59765625" customWidth="1"/>
    <col min="4" max="4" width="10.59765625" customWidth="1"/>
    <col min="8" max="9" width="15.33203125" customWidth="1"/>
    <col min="15" max="15" width="15.06640625" customWidth="1"/>
    <col min="16" max="16" width="17.46484375" customWidth="1"/>
    <col min="22" max="22" width="19.73046875" bestFit="1" customWidth="1"/>
    <col min="23" max="23" width="11" customWidth="1"/>
    <col min="25" max="25" width="10.06640625" customWidth="1"/>
    <col min="29" max="29" width="14.06640625" customWidth="1"/>
    <col min="30" max="30" width="19.86328125" customWidth="1"/>
    <col min="36" max="36" width="12.46484375" customWidth="1"/>
    <col min="37" max="37" width="13.86328125" customWidth="1"/>
    <col min="43" max="43" width="19.73046875" bestFit="1" customWidth="1"/>
    <col min="44" max="44" width="11.46484375" customWidth="1"/>
    <col min="50" max="50" width="14.265625" customWidth="1"/>
    <col min="51" max="51" width="14" customWidth="1"/>
    <col min="57" max="57" width="12.73046875" customWidth="1"/>
    <col min="58" max="58" width="15.46484375" customWidth="1"/>
  </cols>
  <sheetData>
    <row r="1" spans="1:60" x14ac:dyDescent="0.45">
      <c r="A1" t="s">
        <v>695</v>
      </c>
    </row>
    <row r="3" spans="1:60" x14ac:dyDescent="0.45">
      <c r="A3" t="s">
        <v>153</v>
      </c>
      <c r="L3" t="s">
        <v>221</v>
      </c>
      <c r="V3" t="s">
        <v>154</v>
      </c>
      <c r="AG3" t="s">
        <v>221</v>
      </c>
      <c r="AQ3" t="s">
        <v>110</v>
      </c>
      <c r="BB3" t="s">
        <v>221</v>
      </c>
    </row>
    <row r="4" spans="1:60" x14ac:dyDescent="0.45">
      <c r="C4" t="s">
        <v>122</v>
      </c>
      <c r="H4" t="s">
        <v>288</v>
      </c>
      <c r="O4" t="s">
        <v>629</v>
      </c>
      <c r="X4" t="s">
        <v>122</v>
      </c>
      <c r="AC4" t="s">
        <v>288</v>
      </c>
      <c r="AJ4" t="s">
        <v>629</v>
      </c>
      <c r="AS4" t="s">
        <v>122</v>
      </c>
      <c r="AX4" t="s">
        <v>288</v>
      </c>
      <c r="BE4" t="s">
        <v>629</v>
      </c>
    </row>
    <row r="7" spans="1:60" ht="57" x14ac:dyDescent="0.45">
      <c r="A7" t="s">
        <v>197</v>
      </c>
      <c r="B7" s="2" t="s">
        <v>206</v>
      </c>
      <c r="C7" t="s">
        <v>12</v>
      </c>
      <c r="D7" t="s">
        <v>123</v>
      </c>
      <c r="E7" s="2"/>
      <c r="F7" s="2"/>
      <c r="H7" t="s">
        <v>12</v>
      </c>
      <c r="I7" t="s">
        <v>123</v>
      </c>
      <c r="J7" s="2" t="s">
        <v>152</v>
      </c>
      <c r="K7" s="2" t="s">
        <v>219</v>
      </c>
      <c r="L7" s="2"/>
      <c r="M7" s="2"/>
      <c r="N7" s="2"/>
      <c r="O7" t="s">
        <v>12</v>
      </c>
      <c r="P7" t="s">
        <v>123</v>
      </c>
      <c r="Q7" s="2" t="s">
        <v>152</v>
      </c>
      <c r="R7" s="2" t="s">
        <v>219</v>
      </c>
      <c r="S7" s="2"/>
      <c r="T7" s="2"/>
      <c r="V7" t="s">
        <v>197</v>
      </c>
      <c r="W7" s="2" t="s">
        <v>206</v>
      </c>
      <c r="X7" t="s">
        <v>12</v>
      </c>
      <c r="Y7" t="s">
        <v>123</v>
      </c>
      <c r="Z7" s="2"/>
      <c r="AA7" s="2"/>
      <c r="AC7" t="s">
        <v>12</v>
      </c>
      <c r="AD7" t="s">
        <v>123</v>
      </c>
      <c r="AE7" s="2" t="s">
        <v>152</v>
      </c>
      <c r="AF7" s="2" t="s">
        <v>219</v>
      </c>
      <c r="AG7" s="2"/>
      <c r="AH7" s="2"/>
      <c r="AI7" s="2"/>
      <c r="AJ7" t="s">
        <v>12</v>
      </c>
      <c r="AK7" t="s">
        <v>123</v>
      </c>
      <c r="AL7" s="2" t="s">
        <v>152</v>
      </c>
      <c r="AM7" s="2" t="s">
        <v>219</v>
      </c>
      <c r="AQ7" t="s">
        <v>197</v>
      </c>
      <c r="AR7" s="2" t="s">
        <v>206</v>
      </c>
      <c r="AS7" t="s">
        <v>12</v>
      </c>
      <c r="AT7" t="s">
        <v>123</v>
      </c>
      <c r="AU7" s="2"/>
      <c r="AV7" s="2"/>
      <c r="AX7" t="s">
        <v>12</v>
      </c>
      <c r="AY7" t="s">
        <v>123</v>
      </c>
      <c r="AZ7" s="2" t="s">
        <v>152</v>
      </c>
      <c r="BA7" s="2" t="s">
        <v>219</v>
      </c>
      <c r="BB7" s="2"/>
      <c r="BC7" s="2"/>
      <c r="BD7" s="2"/>
      <c r="BE7" t="s">
        <v>12</v>
      </c>
      <c r="BF7" t="s">
        <v>123</v>
      </c>
      <c r="BG7" s="2" t="s">
        <v>152</v>
      </c>
      <c r="BH7" s="2" t="s">
        <v>219</v>
      </c>
    </row>
    <row r="8" spans="1:60" x14ac:dyDescent="0.45">
      <c r="A8" t="str">
        <f>IF('Freeview-Gen Ent'!C10&lt;&gt;0,'Freeview-Gen Ent'!C10,"")</f>
        <v>BBC One</v>
      </c>
      <c r="B8">
        <f>IF(A8="","",(IF((LEFT(A8,3))="BBC",0,1)))</f>
        <v>0</v>
      </c>
      <c r="C8">
        <f>IF($A8="","",INDEX('Freeview-Gen Ent'!$A:$C,MATCH($A8,'Freeview-Gen Ent'!$C:$C,0),1))</f>
        <v>1</v>
      </c>
      <c r="D8">
        <f>IF($A8="","",INDEX('Freeview-Gen Ent'!$A:$C,MATCH($A8,'Freeview-Gen Ent'!$C:$C,0),2))</f>
        <v>1</v>
      </c>
      <c r="H8">
        <f>IF($A8="","",INDEX('Freeview-Gen Ent'!$Q:$S,MATCH($A8,'Freeview-Gen Ent'!$S:$S,0),1))</f>
        <v>1</v>
      </c>
      <c r="I8">
        <f>IF($A8="","",INDEX('Freeview-Gen Ent'!$Q:$S,MATCH($A8,'Freeview-Gen Ent'!$S:$S,0),2))</f>
        <v>1</v>
      </c>
      <c r="J8">
        <f>IF($D8="","",$D8-I8)</f>
        <v>0</v>
      </c>
      <c r="K8">
        <f>IF($D8="","",(IF(H8&lt;&gt;$C8,1,0)))</f>
        <v>0</v>
      </c>
      <c r="O8">
        <f>IF($A8="","",INDEX('Freeview-Gen Ent-more than min'!$Q:$S,MATCH($A8,'Freeview-Gen Ent-more than min'!$S:$S,0),1))</f>
        <v>1</v>
      </c>
      <c r="P8">
        <f>IF($A8="","",INDEX('Freeview-Gen Ent-more than min'!$Q:$S,MATCH($A8,'Freeview-Gen Ent-more than min'!$S:$S,0),2))</f>
        <v>1</v>
      </c>
      <c r="Q8">
        <f>IF($D8="","",$D8-P8)</f>
        <v>0</v>
      </c>
      <c r="R8">
        <f>IF($D8="","",(IF(O8&lt;&gt;$C8,1,0)))</f>
        <v>0</v>
      </c>
      <c r="V8" t="str">
        <f>IF('Freeview-Gen Ent'!G10&lt;&gt;0,'Freeview-Gen Ent'!G10,"")</f>
        <v>BBC One</v>
      </c>
      <c r="W8">
        <f>IF(V8="","",(IF((LEFT(V8,3))="BBC",0,1)))</f>
        <v>0</v>
      </c>
      <c r="X8">
        <f>IF($V8="","",INDEX('Freeview-Gen Ent'!$E:$G,MATCH($V8,'Freeview-Gen Ent'!$G:$G,0),1))</f>
        <v>1</v>
      </c>
      <c r="Y8">
        <f>IF($V8="","",INDEX('Freeview-Gen Ent'!$E:$G,MATCH($V8,'Freeview-Gen Ent'!$G:$G,0),2))</f>
        <v>1</v>
      </c>
      <c r="AC8">
        <f>IF($V8="","",INDEX('Freeview-Gen Ent'!$U:$W,MATCH($V8,'Freeview-Gen Ent'!$W:$W,0),1))</f>
        <v>1</v>
      </c>
      <c r="AD8">
        <f>IF($V8="","",INDEX('Freeview-Gen Ent'!$U:$W,MATCH($V8,'Freeview-Gen Ent'!$W:$W,0),2))</f>
        <v>1</v>
      </c>
      <c r="AE8">
        <f>IF($Y8="","",$Y8-AD8)</f>
        <v>0</v>
      </c>
      <c r="AF8">
        <f>IF($Y8="","",(IF(AC8&lt;&gt;$X8,1,0)))</f>
        <v>0</v>
      </c>
      <c r="AJ8">
        <f>IF($V8="","",INDEX('Freeview-Gen Ent-more than min'!$U:$W,MATCH($V8,'Freeview-Gen Ent-more than min'!$W:$W,0),1))</f>
        <v>1</v>
      </c>
      <c r="AK8">
        <f>IF($V8="","",INDEX('Freeview-Gen Ent-more than min'!$U:$W,MATCH($V8,'Freeview-Gen Ent-more than min'!$W:$W,0),2))</f>
        <v>1</v>
      </c>
      <c r="AL8">
        <f>IF($Y8="","",$Y8-AK8)</f>
        <v>0</v>
      </c>
      <c r="AM8">
        <f>IF($Y8="","",(IF(AJ8&lt;&gt;$X8,1,0)))</f>
        <v>0</v>
      </c>
      <c r="AQ8" t="str">
        <f>IF('Freeview-Gen Ent'!O10&lt;&gt;0,'Freeview-Gen Ent'!O10,"")</f>
        <v>BBC One</v>
      </c>
      <c r="AR8">
        <f>IF(AQ8="","",(IF((LEFT(AQ8,3))="BBC",0,1)))</f>
        <v>0</v>
      </c>
      <c r="AS8">
        <f>IF($AQ8="","",INDEX('Freeview-Gen Ent'!$M:$O,MATCH($AQ8,'Freeview-Gen Ent'!$O:$O,0),1))</f>
        <v>1</v>
      </c>
      <c r="AT8">
        <f>IF($AQ8="","",INDEX('Freeview-Gen Ent'!$M:$O,MATCH($AQ8,'Freeview-Gen Ent'!$O:$O,0),2))</f>
        <v>1</v>
      </c>
      <c r="AX8">
        <f>IF($AQ8="","",INDEX('Freeview-Gen Ent'!$AC:$AE,MATCH($AQ8,'Freeview-Gen Ent'!$AE:$AE,0),1))</f>
        <v>1</v>
      </c>
      <c r="AY8">
        <f>IF($AQ8="","",INDEX('Freeview-Gen Ent'!$AC:$AE,MATCH($AQ8,'Freeview-Gen Ent'!$AE:$AE,0),2))</f>
        <v>1</v>
      </c>
      <c r="AZ8">
        <f>IF($AT8="","",$AT8-AY8)</f>
        <v>0</v>
      </c>
      <c r="BA8">
        <f>IF($AT8="","",(IF(AX8&lt;&gt;$AS8,1,0)))</f>
        <v>0</v>
      </c>
      <c r="BE8">
        <f>IF($AQ8="","",INDEX('Freeview-Gen Ent-more than min'!$AC:$AE,MATCH($AQ8,'Freeview-Gen Ent-more than min'!$AE:$AE,0),1))</f>
        <v>1</v>
      </c>
      <c r="BF8">
        <f>IF($AQ8="","",INDEX('Freeview-Gen Ent-more than min'!$AC:$AE,MATCH($AQ8,'Freeview-Gen Ent-more than min'!$AE:$AE,0),2))</f>
        <v>1</v>
      </c>
      <c r="BG8">
        <f>IF($AT8="","",$AT8-BF8)</f>
        <v>0</v>
      </c>
      <c r="BH8">
        <f>IF($AT8="","",(IF(BE8&lt;&gt;$AS8,1,0)))</f>
        <v>0</v>
      </c>
    </row>
    <row r="9" spans="1:60" x14ac:dyDescent="0.45">
      <c r="A9" t="str">
        <f>IF('Freeview-Gen Ent'!C11&lt;&gt;0,'Freeview-Gen Ent'!C11,"")</f>
        <v xml:space="preserve">BBC Two </v>
      </c>
      <c r="B9">
        <f t="shared" ref="B9:B72" si="0">IF(A9="","",(IF((LEFT(A9,3))="BBC",0,1)))</f>
        <v>0</v>
      </c>
      <c r="C9">
        <f>IF($A9="","",INDEX('Freeview-Gen Ent'!$A:$C,MATCH($A9,'Freeview-Gen Ent'!$C:$C,0),1))</f>
        <v>2</v>
      </c>
      <c r="D9">
        <f>IF($A9="","",INDEX('Freeview-Gen Ent'!$A:$C,MATCH($A9,'Freeview-Gen Ent'!$C:$C,0),2))</f>
        <v>2</v>
      </c>
      <c r="H9">
        <f>IF($A9="","",INDEX('Freeview-Gen Ent'!$Q:$S,MATCH($A9,'Freeview-Gen Ent'!$S:$S,0),1))</f>
        <v>2</v>
      </c>
      <c r="I9">
        <f>IF($A9="","",INDEX('Freeview-Gen Ent'!$Q:$S,MATCH($A9,'Freeview-Gen Ent'!$S:$S,0),2))</f>
        <v>2</v>
      </c>
      <c r="J9">
        <f t="shared" ref="J9:J72" si="1">IF($D9="","",$D9-I9)</f>
        <v>0</v>
      </c>
      <c r="K9">
        <f t="shared" ref="K9:K72" si="2">IF($D9="","",(IF(H9&lt;&gt;$C9,1,0)))</f>
        <v>0</v>
      </c>
      <c r="O9">
        <f>IF($A9="","",INDEX('Freeview-Gen Ent-more than min'!$Q:$S,MATCH($A9,'Freeview-Gen Ent-more than min'!$S:$S,0),1))</f>
        <v>2</v>
      </c>
      <c r="P9">
        <f>IF($A9="","",INDEX('Freeview-Gen Ent-more than min'!$Q:$S,MATCH($A9,'Freeview-Gen Ent-more than min'!$S:$S,0),2))</f>
        <v>2</v>
      </c>
      <c r="Q9">
        <f t="shared" ref="Q9:Q72" si="3">IF($D9="","",$D9-P9)</f>
        <v>0</v>
      </c>
      <c r="R9">
        <f t="shared" ref="R9:R72" si="4">IF($D9="","",(IF(O9&lt;&gt;$C9,1,0)))</f>
        <v>0</v>
      </c>
      <c r="V9" t="str">
        <f>IF('Freeview-Gen Ent'!G11&lt;&gt;0,'Freeview-Gen Ent'!G11,"")</f>
        <v xml:space="preserve">BBC Two </v>
      </c>
      <c r="W9">
        <f t="shared" ref="W9:W72" si="5">IF(V9="","",(IF((LEFT(V9,3))="BBC",0,1)))</f>
        <v>0</v>
      </c>
      <c r="X9">
        <f>IF($V9="","",INDEX('Freeview-Gen Ent'!$E:$G,MATCH($V9,'Freeview-Gen Ent'!$G:$G,0),1))</f>
        <v>2</v>
      </c>
      <c r="Y9">
        <f>IF($V9="","",INDEX('Freeview-Gen Ent'!$E:$G,MATCH($V9,'Freeview-Gen Ent'!$G:$G,0),2))</f>
        <v>2</v>
      </c>
      <c r="AC9">
        <f>IF($V9="","",INDEX('Freeview-Gen Ent'!$U:$W,MATCH($V9,'Freeview-Gen Ent'!$W:$W,0),1))</f>
        <v>2</v>
      </c>
      <c r="AD9">
        <f>IF($V9="","",INDEX('Freeview-Gen Ent'!$U:$W,MATCH($V9,'Freeview-Gen Ent'!$W:$W,0),2))</f>
        <v>2</v>
      </c>
      <c r="AE9">
        <f t="shared" ref="AE9:AE72" si="6">IF($Y9="","",$Y9-AD9)</f>
        <v>0</v>
      </c>
      <c r="AF9">
        <f t="shared" ref="AF9:AF72" si="7">IF($Y9="","",(IF(AC9&lt;&gt;$X9,1,0)))</f>
        <v>0</v>
      </c>
      <c r="AJ9">
        <f>IF($V9="","",INDEX('Freeview-Gen Ent-more than min'!$U:$W,MATCH($V9,'Freeview-Gen Ent-more than min'!$W:$W,0),1))</f>
        <v>2</v>
      </c>
      <c r="AK9">
        <f>IF($V9="","",INDEX('Freeview-Gen Ent-more than min'!$U:$W,MATCH($V9,'Freeview-Gen Ent-more than min'!$W:$W,0),2))</f>
        <v>2</v>
      </c>
      <c r="AL9">
        <f t="shared" ref="AL9:AL72" si="8">IF($Y9="","",$Y9-AK9)</f>
        <v>0</v>
      </c>
      <c r="AM9">
        <f t="shared" ref="AM9:AM72" si="9">IF($Y9="","",(IF(AJ9&lt;&gt;$X9,1,0)))</f>
        <v>0</v>
      </c>
      <c r="AQ9" t="str">
        <f>IF('Freeview-Gen Ent'!O11&lt;&gt;0,'Freeview-Gen Ent'!O11,"")</f>
        <v xml:space="preserve">BBC Two </v>
      </c>
      <c r="AR9">
        <f t="shared" ref="AR9:AR72" si="10">IF(AQ9="","",(IF((LEFT(AQ9,3))="BBC",0,1)))</f>
        <v>0</v>
      </c>
      <c r="AS9">
        <f>IF($AQ9="","",INDEX('Freeview-Gen Ent'!$M:$O,MATCH($AQ9,'Freeview-Gen Ent'!$O:$O,0),1))</f>
        <v>2</v>
      </c>
      <c r="AT9">
        <f>IF($AQ9="","",INDEX('Freeview-Gen Ent'!$M:$O,MATCH($AQ9,'Freeview-Gen Ent'!$O:$O,0),2))</f>
        <v>2</v>
      </c>
      <c r="AX9">
        <f>IF($AQ9="","",INDEX('Freeview-Gen Ent'!$AC:$AE,MATCH($AQ9,'Freeview-Gen Ent'!$AE:$AE,0),1))</f>
        <v>2</v>
      </c>
      <c r="AY9">
        <f>IF($AQ9="","",INDEX('Freeview-Gen Ent'!$AC:$AE,MATCH($AQ9,'Freeview-Gen Ent'!$AE:$AE,0),2))</f>
        <v>2</v>
      </c>
      <c r="AZ9">
        <f t="shared" ref="AZ9:AZ72" si="11">IF($AT9="","",$AT9-AY9)</f>
        <v>0</v>
      </c>
      <c r="BA9">
        <f t="shared" ref="BA9:BA72" si="12">IF($AT9="","",(IF(AX9&lt;&gt;$AS9,1,0)))</f>
        <v>0</v>
      </c>
      <c r="BE9">
        <f>IF($AQ9="","",INDEX('Freeview-Gen Ent-more than min'!$AC:$AE,MATCH($AQ9,'Freeview-Gen Ent-more than min'!$AE:$AE,0),1))</f>
        <v>2</v>
      </c>
      <c r="BF9">
        <f>IF($AQ9="","",INDEX('Freeview-Gen Ent-more than min'!$AC:$AE,MATCH($AQ9,'Freeview-Gen Ent-more than min'!$AE:$AE,0),2))</f>
        <v>2</v>
      </c>
      <c r="BG9">
        <f t="shared" ref="BG9:BG72" si="13">IF($AT9="","",$AT9-BF9)</f>
        <v>0</v>
      </c>
      <c r="BH9">
        <f t="shared" ref="BH9:BH72" si="14">IF($AT9="","",(IF(BE9&lt;&gt;$AS9,1,0)))</f>
        <v>0</v>
      </c>
    </row>
    <row r="10" spans="1:60" x14ac:dyDescent="0.45">
      <c r="A10" t="str">
        <f>IF('Freeview-Gen Ent'!C12&lt;&gt;0,'Freeview-Gen Ent'!C12,"")</f>
        <v>ITV</v>
      </c>
      <c r="B10">
        <f t="shared" si="0"/>
        <v>1</v>
      </c>
      <c r="C10">
        <f>IF($A10="","",INDEX('Freeview-Gen Ent'!$A:$C,MATCH($A10,'Freeview-Gen Ent'!$C:$C,0),1))</f>
        <v>3</v>
      </c>
      <c r="D10">
        <f>IF($A10="","",INDEX('Freeview-Gen Ent'!$A:$C,MATCH($A10,'Freeview-Gen Ent'!$C:$C,0),2))</f>
        <v>3</v>
      </c>
      <c r="H10">
        <f>IF($A10="","",INDEX('Freeview-Gen Ent'!$Q:$S,MATCH($A10,'Freeview-Gen Ent'!$S:$S,0),1))</f>
        <v>3</v>
      </c>
      <c r="I10">
        <f>IF($A10="","",INDEX('Freeview-Gen Ent'!$Q:$S,MATCH($A10,'Freeview-Gen Ent'!$S:$S,0),2))</f>
        <v>3</v>
      </c>
      <c r="J10">
        <f t="shared" si="1"/>
        <v>0</v>
      </c>
      <c r="K10">
        <f t="shared" si="2"/>
        <v>0</v>
      </c>
      <c r="O10">
        <f>IF($A10="","",INDEX('Freeview-Gen Ent-more than min'!$Q:$S,MATCH($A10,'Freeview-Gen Ent-more than min'!$S:$S,0),1))</f>
        <v>3</v>
      </c>
      <c r="P10">
        <f>IF($A10="","",INDEX('Freeview-Gen Ent-more than min'!$Q:$S,MATCH($A10,'Freeview-Gen Ent-more than min'!$S:$S,0),2))</f>
        <v>3</v>
      </c>
      <c r="Q10">
        <f t="shared" si="3"/>
        <v>0</v>
      </c>
      <c r="R10">
        <f t="shared" si="4"/>
        <v>0</v>
      </c>
      <c r="V10" t="str">
        <f>IF('Freeview-Gen Ent'!G12&lt;&gt;0,'Freeview-Gen Ent'!G12,"")</f>
        <v>UTV</v>
      </c>
      <c r="W10">
        <f t="shared" si="5"/>
        <v>1</v>
      </c>
      <c r="X10">
        <f>IF($V10="","",INDEX('Freeview-Gen Ent'!$E:$G,MATCH($V10,'Freeview-Gen Ent'!$G:$G,0),1))</f>
        <v>3</v>
      </c>
      <c r="Y10">
        <f>IF($V10="","",INDEX('Freeview-Gen Ent'!$E:$G,MATCH($V10,'Freeview-Gen Ent'!$G:$G,0),2))</f>
        <v>3</v>
      </c>
      <c r="AC10">
        <f>IF($V10="","",INDEX('Freeview-Gen Ent'!$U:$W,MATCH($V10,'Freeview-Gen Ent'!$W:$W,0),1))</f>
        <v>3</v>
      </c>
      <c r="AD10">
        <f>IF($V10="","",INDEX('Freeview-Gen Ent'!$U:$W,MATCH($V10,'Freeview-Gen Ent'!$W:$W,0),2))</f>
        <v>3</v>
      </c>
      <c r="AE10">
        <f t="shared" si="6"/>
        <v>0</v>
      </c>
      <c r="AF10">
        <f t="shared" si="7"/>
        <v>0</v>
      </c>
      <c r="AJ10">
        <f>IF($V10="","",INDEX('Freeview-Gen Ent-more than min'!$U:$W,MATCH($V10,'Freeview-Gen Ent-more than min'!$W:$W,0),1))</f>
        <v>3</v>
      </c>
      <c r="AK10">
        <f>IF($V10="","",INDEX('Freeview-Gen Ent-more than min'!$U:$W,MATCH($V10,'Freeview-Gen Ent-more than min'!$W:$W,0),2))</f>
        <v>3</v>
      </c>
      <c r="AL10">
        <f t="shared" si="8"/>
        <v>0</v>
      </c>
      <c r="AM10">
        <f t="shared" si="9"/>
        <v>0</v>
      </c>
      <c r="AQ10" t="str">
        <f>IF('Freeview-Gen Ent'!O12&lt;&gt;0,'Freeview-Gen Ent'!O12,"")</f>
        <v>ITV</v>
      </c>
      <c r="AR10">
        <f t="shared" si="10"/>
        <v>1</v>
      </c>
      <c r="AS10">
        <f>IF($AQ10="","",INDEX('Freeview-Gen Ent'!$M:$O,MATCH($AQ10,'Freeview-Gen Ent'!$O:$O,0),1))</f>
        <v>3</v>
      </c>
      <c r="AT10">
        <f>IF($AQ10="","",INDEX('Freeview-Gen Ent'!$M:$O,MATCH($AQ10,'Freeview-Gen Ent'!$O:$O,0),2))</f>
        <v>3</v>
      </c>
      <c r="AX10">
        <f>IF($AQ10="","",INDEX('Freeview-Gen Ent'!$AC:$AE,MATCH($AQ10,'Freeview-Gen Ent'!$AE:$AE,0),1))</f>
        <v>3</v>
      </c>
      <c r="AY10">
        <f>IF($AQ10="","",INDEX('Freeview-Gen Ent'!$AC:$AE,MATCH($AQ10,'Freeview-Gen Ent'!$AE:$AE,0),2))</f>
        <v>3</v>
      </c>
      <c r="AZ10">
        <f t="shared" si="11"/>
        <v>0</v>
      </c>
      <c r="BA10">
        <f t="shared" si="12"/>
        <v>0</v>
      </c>
      <c r="BE10">
        <f>IF($AQ10="","",INDEX('Freeview-Gen Ent-more than min'!$AC:$AE,MATCH($AQ10,'Freeview-Gen Ent-more than min'!$AE:$AE,0),1))</f>
        <v>3</v>
      </c>
      <c r="BF10">
        <f>IF($AQ10="","",INDEX('Freeview-Gen Ent-more than min'!$AC:$AE,MATCH($AQ10,'Freeview-Gen Ent-more than min'!$AE:$AE,0),2))</f>
        <v>3</v>
      </c>
      <c r="BG10">
        <f t="shared" si="13"/>
        <v>0</v>
      </c>
      <c r="BH10">
        <f t="shared" si="14"/>
        <v>0</v>
      </c>
    </row>
    <row r="11" spans="1:60" x14ac:dyDescent="0.45">
      <c r="A11" t="str">
        <f>IF('Freeview-Gen Ent'!C13&lt;&gt;0,'Freeview-Gen Ent'!C13,"")</f>
        <v>Channel 4</v>
      </c>
      <c r="B11">
        <f t="shared" si="0"/>
        <v>1</v>
      </c>
      <c r="C11">
        <f>IF($A11="","",INDEX('Freeview-Gen Ent'!$A:$C,MATCH($A11,'Freeview-Gen Ent'!$C:$C,0),1))</f>
        <v>4</v>
      </c>
      <c r="D11">
        <f>IF($A11="","",INDEX('Freeview-Gen Ent'!$A:$C,MATCH($A11,'Freeview-Gen Ent'!$C:$C,0),2))</f>
        <v>4</v>
      </c>
      <c r="H11">
        <f>IF($A11="","",INDEX('Freeview-Gen Ent'!$Q:$S,MATCH($A11,'Freeview-Gen Ent'!$S:$S,0),1))</f>
        <v>4</v>
      </c>
      <c r="I11">
        <f>IF($A11="","",INDEX('Freeview-Gen Ent'!$Q:$S,MATCH($A11,'Freeview-Gen Ent'!$S:$S,0),2))</f>
        <v>4</v>
      </c>
      <c r="J11">
        <f t="shared" si="1"/>
        <v>0</v>
      </c>
      <c r="K11">
        <f t="shared" si="2"/>
        <v>0</v>
      </c>
      <c r="O11">
        <f>IF($A11="","",INDEX('Freeview-Gen Ent-more than min'!$Q:$S,MATCH($A11,'Freeview-Gen Ent-more than min'!$S:$S,0),1))</f>
        <v>4</v>
      </c>
      <c r="P11">
        <f>IF($A11="","",INDEX('Freeview-Gen Ent-more than min'!$Q:$S,MATCH($A11,'Freeview-Gen Ent-more than min'!$S:$S,0),2))</f>
        <v>4</v>
      </c>
      <c r="Q11">
        <f t="shared" si="3"/>
        <v>0</v>
      </c>
      <c r="R11">
        <f t="shared" si="4"/>
        <v>0</v>
      </c>
      <c r="V11" t="str">
        <f>IF('Freeview-Gen Ent'!G13&lt;&gt;0,'Freeview-Gen Ent'!G13,"")</f>
        <v>Channel 4</v>
      </c>
      <c r="W11">
        <f t="shared" si="5"/>
        <v>1</v>
      </c>
      <c r="X11">
        <f>IF($V11="","",INDEX('Freeview-Gen Ent'!$E:$G,MATCH($V11,'Freeview-Gen Ent'!$G:$G,0),1))</f>
        <v>4</v>
      </c>
      <c r="Y11">
        <f>IF($V11="","",INDEX('Freeview-Gen Ent'!$E:$G,MATCH($V11,'Freeview-Gen Ent'!$G:$G,0),2))</f>
        <v>4</v>
      </c>
      <c r="AC11">
        <f>IF($V11="","",INDEX('Freeview-Gen Ent'!$U:$W,MATCH($V11,'Freeview-Gen Ent'!$W:$W,0),1))</f>
        <v>4</v>
      </c>
      <c r="AD11">
        <f>IF($V11="","",INDEX('Freeview-Gen Ent'!$U:$W,MATCH($V11,'Freeview-Gen Ent'!$W:$W,0),2))</f>
        <v>4</v>
      </c>
      <c r="AE11">
        <f t="shared" si="6"/>
        <v>0</v>
      </c>
      <c r="AF11">
        <f t="shared" si="7"/>
        <v>0</v>
      </c>
      <c r="AJ11">
        <f>IF($V11="","",INDEX('Freeview-Gen Ent-more than min'!$U:$W,MATCH($V11,'Freeview-Gen Ent-more than min'!$W:$W,0),1))</f>
        <v>4</v>
      </c>
      <c r="AK11">
        <f>IF($V11="","",INDEX('Freeview-Gen Ent-more than min'!$U:$W,MATCH($V11,'Freeview-Gen Ent-more than min'!$W:$W,0),2))</f>
        <v>4</v>
      </c>
      <c r="AL11">
        <f t="shared" si="8"/>
        <v>0</v>
      </c>
      <c r="AM11">
        <f t="shared" si="9"/>
        <v>0</v>
      </c>
      <c r="AQ11" t="str">
        <f>IF('Freeview-Gen Ent'!O13&lt;&gt;0,'Freeview-Gen Ent'!O13,"")</f>
        <v>S4C</v>
      </c>
      <c r="AR11">
        <f t="shared" si="10"/>
        <v>1</v>
      </c>
      <c r="AS11">
        <f>IF($AQ11="","",INDEX('Freeview-Gen Ent'!$M:$O,MATCH($AQ11,'Freeview-Gen Ent'!$O:$O,0),1))</f>
        <v>4</v>
      </c>
      <c r="AT11">
        <f>IF($AQ11="","",INDEX('Freeview-Gen Ent'!$M:$O,MATCH($AQ11,'Freeview-Gen Ent'!$O:$O,0),2))</f>
        <v>4</v>
      </c>
      <c r="AX11">
        <f>IF($AQ11="","",INDEX('Freeview-Gen Ent'!$AC:$AE,MATCH($AQ11,'Freeview-Gen Ent'!$AE:$AE,0),1))</f>
        <v>4</v>
      </c>
      <c r="AY11">
        <f>IF($AQ11="","",INDEX('Freeview-Gen Ent'!$AC:$AE,MATCH($AQ11,'Freeview-Gen Ent'!$AE:$AE,0),2))</f>
        <v>4</v>
      </c>
      <c r="AZ11">
        <f t="shared" si="11"/>
        <v>0</v>
      </c>
      <c r="BA11">
        <f t="shared" si="12"/>
        <v>0</v>
      </c>
      <c r="BE11">
        <f>IF($AQ11="","",INDEX('Freeview-Gen Ent-more than min'!$AC:$AE,MATCH($AQ11,'Freeview-Gen Ent-more than min'!$AE:$AE,0),1))</f>
        <v>4</v>
      </c>
      <c r="BF11">
        <f>IF($AQ11="","",INDEX('Freeview-Gen Ent-more than min'!$AC:$AE,MATCH($AQ11,'Freeview-Gen Ent-more than min'!$AE:$AE,0),2))</f>
        <v>4</v>
      </c>
      <c r="BG11">
        <f t="shared" si="13"/>
        <v>0</v>
      </c>
      <c r="BH11">
        <f t="shared" si="14"/>
        <v>0</v>
      </c>
    </row>
    <row r="12" spans="1:60" x14ac:dyDescent="0.45">
      <c r="A12" t="str">
        <f>IF('Freeview-Gen Ent'!C14&lt;&gt;0,'Freeview-Gen Ent'!C14,"")</f>
        <v>Channel 5</v>
      </c>
      <c r="B12">
        <f t="shared" si="0"/>
        <v>1</v>
      </c>
      <c r="C12">
        <f>IF($A12="","",INDEX('Freeview-Gen Ent'!$A:$C,MATCH($A12,'Freeview-Gen Ent'!$C:$C,0),1))</f>
        <v>5</v>
      </c>
      <c r="D12">
        <f>IF($A12="","",INDEX('Freeview-Gen Ent'!$A:$C,MATCH($A12,'Freeview-Gen Ent'!$C:$C,0),2))</f>
        <v>5</v>
      </c>
      <c r="H12">
        <f>IF($A12="","",INDEX('Freeview-Gen Ent'!$Q:$S,MATCH($A12,'Freeview-Gen Ent'!$S:$S,0),1))</f>
        <v>5</v>
      </c>
      <c r="I12">
        <f>IF($A12="","",INDEX('Freeview-Gen Ent'!$Q:$S,MATCH($A12,'Freeview-Gen Ent'!$S:$S,0),2))</f>
        <v>5</v>
      </c>
      <c r="J12">
        <f t="shared" si="1"/>
        <v>0</v>
      </c>
      <c r="K12">
        <f t="shared" si="2"/>
        <v>0</v>
      </c>
      <c r="O12">
        <f>IF($A12="","",INDEX('Freeview-Gen Ent-more than min'!$Q:$S,MATCH($A12,'Freeview-Gen Ent-more than min'!$S:$S,0),1))</f>
        <v>5</v>
      </c>
      <c r="P12">
        <f>IF($A12="","",INDEX('Freeview-Gen Ent-more than min'!$Q:$S,MATCH($A12,'Freeview-Gen Ent-more than min'!$S:$S,0),2))</f>
        <v>5</v>
      </c>
      <c r="Q12">
        <f t="shared" si="3"/>
        <v>0</v>
      </c>
      <c r="R12">
        <f t="shared" si="4"/>
        <v>0</v>
      </c>
      <c r="V12" t="str">
        <f>IF('Freeview-Gen Ent'!G14&lt;&gt;0,'Freeview-Gen Ent'!G14,"")</f>
        <v>Channel 5</v>
      </c>
      <c r="W12">
        <f t="shared" si="5"/>
        <v>1</v>
      </c>
      <c r="X12">
        <f>IF($V12="","",INDEX('Freeview-Gen Ent'!$E:$G,MATCH($V12,'Freeview-Gen Ent'!$G:$G,0),1))</f>
        <v>5</v>
      </c>
      <c r="Y12">
        <f>IF($V12="","",INDEX('Freeview-Gen Ent'!$E:$G,MATCH($V12,'Freeview-Gen Ent'!$G:$G,0),2))</f>
        <v>5</v>
      </c>
      <c r="AC12">
        <f>IF($V12="","",INDEX('Freeview-Gen Ent'!$U:$W,MATCH($V12,'Freeview-Gen Ent'!$W:$W,0),1))</f>
        <v>5</v>
      </c>
      <c r="AD12">
        <f>IF($V12="","",INDEX('Freeview-Gen Ent'!$U:$W,MATCH($V12,'Freeview-Gen Ent'!$W:$W,0),2))</f>
        <v>5</v>
      </c>
      <c r="AE12">
        <f t="shared" si="6"/>
        <v>0</v>
      </c>
      <c r="AF12">
        <f t="shared" si="7"/>
        <v>0</v>
      </c>
      <c r="AJ12">
        <f>IF($V12="","",INDEX('Freeview-Gen Ent-more than min'!$U:$W,MATCH($V12,'Freeview-Gen Ent-more than min'!$W:$W,0),1))</f>
        <v>5</v>
      </c>
      <c r="AK12">
        <f>IF($V12="","",INDEX('Freeview-Gen Ent-more than min'!$U:$W,MATCH($V12,'Freeview-Gen Ent-more than min'!$W:$W,0),2))</f>
        <v>5</v>
      </c>
      <c r="AL12">
        <f t="shared" si="8"/>
        <v>0</v>
      </c>
      <c r="AM12">
        <f t="shared" si="9"/>
        <v>0</v>
      </c>
      <c r="AQ12" t="str">
        <f>IF('Freeview-Gen Ent'!O14&lt;&gt;0,'Freeview-Gen Ent'!O14,"")</f>
        <v>Channel 5</v>
      </c>
      <c r="AR12">
        <f t="shared" si="10"/>
        <v>1</v>
      </c>
      <c r="AS12">
        <f>IF($AQ12="","",INDEX('Freeview-Gen Ent'!$M:$O,MATCH($AQ12,'Freeview-Gen Ent'!$O:$O,0),1))</f>
        <v>5</v>
      </c>
      <c r="AT12">
        <f>IF($AQ12="","",INDEX('Freeview-Gen Ent'!$M:$O,MATCH($AQ12,'Freeview-Gen Ent'!$O:$O,0),2))</f>
        <v>5</v>
      </c>
      <c r="AX12">
        <f>IF($AQ12="","",INDEX('Freeview-Gen Ent'!$AC:$AE,MATCH($AQ12,'Freeview-Gen Ent'!$AE:$AE,0),1))</f>
        <v>5</v>
      </c>
      <c r="AY12">
        <f>IF($AQ12="","",INDEX('Freeview-Gen Ent'!$AC:$AE,MATCH($AQ12,'Freeview-Gen Ent'!$AE:$AE,0),2))</f>
        <v>5</v>
      </c>
      <c r="AZ12">
        <f t="shared" si="11"/>
        <v>0</v>
      </c>
      <c r="BA12">
        <f t="shared" si="12"/>
        <v>0</v>
      </c>
      <c r="BE12">
        <f>IF($AQ12="","",INDEX('Freeview-Gen Ent-more than min'!$AC:$AE,MATCH($AQ12,'Freeview-Gen Ent-more than min'!$AE:$AE,0),1))</f>
        <v>5</v>
      </c>
      <c r="BF12">
        <f>IF($AQ12="","",INDEX('Freeview-Gen Ent-more than min'!$AC:$AE,MATCH($AQ12,'Freeview-Gen Ent-more than min'!$AE:$AE,0),2))</f>
        <v>5</v>
      </c>
      <c r="BG12">
        <f t="shared" si="13"/>
        <v>0</v>
      </c>
      <c r="BH12">
        <f t="shared" si="14"/>
        <v>0</v>
      </c>
    </row>
    <row r="13" spans="1:60" x14ac:dyDescent="0.45">
      <c r="A13" t="str">
        <f>IF('Freeview-Gen Ent'!C15&lt;&gt;0,'Freeview-Gen Ent'!C15,"")</f>
        <v>ITV2</v>
      </c>
      <c r="B13">
        <f t="shared" si="0"/>
        <v>1</v>
      </c>
      <c r="C13">
        <f>IF($A13="","",INDEX('Freeview-Gen Ent'!$A:$C,MATCH($A13,'Freeview-Gen Ent'!$C:$C,0),1))</f>
        <v>6</v>
      </c>
      <c r="D13">
        <f>IF($A13="","",INDEX('Freeview-Gen Ent'!$A:$C,MATCH($A13,'Freeview-Gen Ent'!$C:$C,0),2))</f>
        <v>6</v>
      </c>
      <c r="H13">
        <f>IF($A13="","",INDEX('Freeview-Gen Ent'!$Q:$S,MATCH($A13,'Freeview-Gen Ent'!$S:$S,0),1))</f>
        <v>6</v>
      </c>
      <c r="I13">
        <f>IF($A13="","",INDEX('Freeview-Gen Ent'!$Q:$S,MATCH($A13,'Freeview-Gen Ent'!$S:$S,0),2))</f>
        <v>6</v>
      </c>
      <c r="J13">
        <f t="shared" si="1"/>
        <v>0</v>
      </c>
      <c r="K13">
        <f t="shared" si="2"/>
        <v>0</v>
      </c>
      <c r="O13">
        <f>IF($A13="","",INDEX('Freeview-Gen Ent-more than min'!$Q:$S,MATCH($A13,'Freeview-Gen Ent-more than min'!$S:$S,0),1))</f>
        <v>6</v>
      </c>
      <c r="P13">
        <f>IF($A13="","",INDEX('Freeview-Gen Ent-more than min'!$Q:$S,MATCH($A13,'Freeview-Gen Ent-more than min'!$S:$S,0),2))</f>
        <v>6</v>
      </c>
      <c r="Q13">
        <f t="shared" si="3"/>
        <v>0</v>
      </c>
      <c r="R13">
        <f t="shared" si="4"/>
        <v>0</v>
      </c>
      <c r="V13" t="str">
        <f>IF('Freeview-Gen Ent'!G15&lt;&gt;0,'Freeview-Gen Ent'!G15,"")</f>
        <v>ITV2</v>
      </c>
      <c r="W13">
        <f t="shared" si="5"/>
        <v>1</v>
      </c>
      <c r="X13">
        <f>IF($V13="","",INDEX('Freeview-Gen Ent'!$E:$G,MATCH($V13,'Freeview-Gen Ent'!$G:$G,0),1))</f>
        <v>6</v>
      </c>
      <c r="Y13">
        <f>IF($V13="","",INDEX('Freeview-Gen Ent'!$E:$G,MATCH($V13,'Freeview-Gen Ent'!$G:$G,0),2))</f>
        <v>6</v>
      </c>
      <c r="AC13">
        <f>IF($V13="","",INDEX('Freeview-Gen Ent'!$U:$W,MATCH($V13,'Freeview-Gen Ent'!$W:$W,0),1))</f>
        <v>6</v>
      </c>
      <c r="AD13">
        <f>IF($V13="","",INDEX('Freeview-Gen Ent'!$U:$W,MATCH($V13,'Freeview-Gen Ent'!$W:$W,0),2))</f>
        <v>6</v>
      </c>
      <c r="AE13">
        <f t="shared" si="6"/>
        <v>0</v>
      </c>
      <c r="AF13">
        <f t="shared" si="7"/>
        <v>0</v>
      </c>
      <c r="AJ13">
        <f>IF($V13="","",INDEX('Freeview-Gen Ent-more than min'!$U:$W,MATCH($V13,'Freeview-Gen Ent-more than min'!$W:$W,0),1))</f>
        <v>6</v>
      </c>
      <c r="AK13">
        <f>IF($V13="","",INDEX('Freeview-Gen Ent-more than min'!$U:$W,MATCH($V13,'Freeview-Gen Ent-more than min'!$W:$W,0),2))</f>
        <v>6</v>
      </c>
      <c r="AL13">
        <f t="shared" si="8"/>
        <v>0</v>
      </c>
      <c r="AM13">
        <f t="shared" si="9"/>
        <v>0</v>
      </c>
      <c r="AQ13" t="str">
        <f>IF('Freeview-Gen Ent'!O15&lt;&gt;0,'Freeview-Gen Ent'!O15,"")</f>
        <v>ITV2</v>
      </c>
      <c r="AR13">
        <f t="shared" si="10"/>
        <v>1</v>
      </c>
      <c r="AS13">
        <f>IF($AQ13="","",INDEX('Freeview-Gen Ent'!$M:$O,MATCH($AQ13,'Freeview-Gen Ent'!$O:$O,0),1))</f>
        <v>6</v>
      </c>
      <c r="AT13">
        <f>IF($AQ13="","",INDEX('Freeview-Gen Ent'!$M:$O,MATCH($AQ13,'Freeview-Gen Ent'!$O:$O,0),2))</f>
        <v>6</v>
      </c>
      <c r="AX13">
        <f>IF($AQ13="","",INDEX('Freeview-Gen Ent'!$AC:$AE,MATCH($AQ13,'Freeview-Gen Ent'!$AE:$AE,0),1))</f>
        <v>6</v>
      </c>
      <c r="AY13">
        <f>IF($AQ13="","",INDEX('Freeview-Gen Ent'!$AC:$AE,MATCH($AQ13,'Freeview-Gen Ent'!$AE:$AE,0),2))</f>
        <v>6</v>
      </c>
      <c r="AZ13">
        <f t="shared" si="11"/>
        <v>0</v>
      </c>
      <c r="BA13">
        <f t="shared" si="12"/>
        <v>0</v>
      </c>
      <c r="BE13">
        <f>IF($AQ13="","",INDEX('Freeview-Gen Ent-more than min'!$AC:$AE,MATCH($AQ13,'Freeview-Gen Ent-more than min'!$AE:$AE,0),1))</f>
        <v>6</v>
      </c>
      <c r="BF13">
        <f>IF($AQ13="","",INDEX('Freeview-Gen Ent-more than min'!$AC:$AE,MATCH($AQ13,'Freeview-Gen Ent-more than min'!$AE:$AE,0),2))</f>
        <v>6</v>
      </c>
      <c r="BG13">
        <f t="shared" si="13"/>
        <v>0</v>
      </c>
      <c r="BH13">
        <f t="shared" si="14"/>
        <v>0</v>
      </c>
    </row>
    <row r="14" spans="1:60" x14ac:dyDescent="0.45">
      <c r="A14" t="str">
        <f>IF('Freeview-Gen Ent'!C16&lt;&gt;0,'Freeview-Gen Ent'!C16,"")</f>
        <v/>
      </c>
      <c r="B14" t="str">
        <f t="shared" si="0"/>
        <v/>
      </c>
      <c r="C14" t="str">
        <f>IF($A14="","",INDEX('Freeview-Gen Ent'!$A:$C,MATCH($A14,'Freeview-Gen Ent'!$C:$C,0),1))</f>
        <v/>
      </c>
      <c r="D14" t="str">
        <f>IF($A14="","",INDEX('Freeview-Gen Ent'!$A:$C,MATCH($A14,'Freeview-Gen Ent'!$C:$C,0),2))</f>
        <v/>
      </c>
      <c r="H14" t="str">
        <f>IF($A14="","",INDEX('Freeview-Gen Ent'!$Q:$S,MATCH($A14,'Freeview-Gen Ent'!$S:$S,0),1))</f>
        <v/>
      </c>
      <c r="I14" t="str">
        <f>IF($A14="","",INDEX('Freeview-Gen Ent'!$Q:$S,MATCH($A14,'Freeview-Gen Ent'!$S:$S,0),2))</f>
        <v/>
      </c>
      <c r="J14" t="str">
        <f t="shared" si="1"/>
        <v/>
      </c>
      <c r="K14" t="str">
        <f t="shared" si="2"/>
        <v/>
      </c>
      <c r="O14" t="str">
        <f>IF($A14="","",INDEX('Freeview-Gen Ent-more than min'!$Q:$S,MATCH($A14,'Freeview-Gen Ent-more than min'!$S:$S,0),1))</f>
        <v/>
      </c>
      <c r="P14" t="str">
        <f>IF($A14="","",INDEX('Freeview-Gen Ent-more than min'!$Q:$S,MATCH($A14,'Freeview-Gen Ent-more than min'!$S:$S,0),2))</f>
        <v/>
      </c>
      <c r="Q14" t="str">
        <f t="shared" si="3"/>
        <v/>
      </c>
      <c r="R14" t="str">
        <f t="shared" si="4"/>
        <v/>
      </c>
      <c r="V14" t="str">
        <f>IF('Freeview-Gen Ent'!G16&lt;&gt;0,'Freeview-Gen Ent'!G16,"")</f>
        <v>NI Local TV</v>
      </c>
      <c r="W14">
        <f t="shared" si="5"/>
        <v>1</v>
      </c>
      <c r="X14">
        <f>IF($V14="","",INDEX('Freeview-Gen Ent'!$E:$G,MATCH($V14,'Freeview-Gen Ent'!$G:$G,0),1))</f>
        <v>7</v>
      </c>
      <c r="Y14">
        <f>IF($V14="","",INDEX('Freeview-Gen Ent'!$E:$G,MATCH($V14,'Freeview-Gen Ent'!$G:$G,0),2))</f>
        <v>7</v>
      </c>
      <c r="AC14">
        <f>IF($V14="","",INDEX('Freeview-Gen Ent'!$U:$W,MATCH($V14,'Freeview-Gen Ent'!$W:$W,0),1))</f>
        <v>7</v>
      </c>
      <c r="AD14">
        <f>IF($V14="","",INDEX('Freeview-Gen Ent'!$U:$W,MATCH($V14,'Freeview-Gen Ent'!$W:$W,0),2))</f>
        <v>7</v>
      </c>
      <c r="AE14">
        <f t="shared" si="6"/>
        <v>0</v>
      </c>
      <c r="AF14">
        <f t="shared" si="7"/>
        <v>0</v>
      </c>
      <c r="AJ14">
        <f>IF($V14="","",INDEX('Freeview-Gen Ent-more than min'!$U:$W,MATCH($V14,'Freeview-Gen Ent-more than min'!$W:$W,0),1))</f>
        <v>7</v>
      </c>
      <c r="AK14">
        <f>IF($V14="","",INDEX('Freeview-Gen Ent-more than min'!$U:$W,MATCH($V14,'Freeview-Gen Ent-more than min'!$W:$W,0),2))</f>
        <v>7</v>
      </c>
      <c r="AL14">
        <f t="shared" si="8"/>
        <v>0</v>
      </c>
      <c r="AM14">
        <f t="shared" si="9"/>
        <v>0</v>
      </c>
      <c r="AQ14" t="str">
        <f>IF('Freeview-Gen Ent'!O16&lt;&gt;0,'Freeview-Gen Ent'!O16,"")</f>
        <v>Channel 4</v>
      </c>
      <c r="AR14">
        <f t="shared" si="10"/>
        <v>1</v>
      </c>
      <c r="AS14">
        <f>IF($AQ14="","",INDEX('Freeview-Gen Ent'!$M:$O,MATCH($AQ14,'Freeview-Gen Ent'!$O:$O,0),1))</f>
        <v>7</v>
      </c>
      <c r="AT14">
        <f>IF($AQ14="","",INDEX('Freeview-Gen Ent'!$M:$O,MATCH($AQ14,'Freeview-Gen Ent'!$O:$O,0),2))</f>
        <v>7</v>
      </c>
      <c r="AX14">
        <f>IF($AQ14="","",INDEX('Freeview-Gen Ent'!$AC:$AE,MATCH($AQ14,'Freeview-Gen Ent'!$AE:$AE,0),1))</f>
        <v>7</v>
      </c>
      <c r="AY14">
        <f>IF($AQ14="","",INDEX('Freeview-Gen Ent'!$AC:$AE,MATCH($AQ14,'Freeview-Gen Ent'!$AE:$AE,0),2))</f>
        <v>7</v>
      </c>
      <c r="AZ14">
        <f t="shared" si="11"/>
        <v>0</v>
      </c>
      <c r="BA14">
        <f t="shared" si="12"/>
        <v>0</v>
      </c>
      <c r="BE14">
        <f>IF($AQ14="","",INDEX('Freeview-Gen Ent-more than min'!$AC:$AE,MATCH($AQ14,'Freeview-Gen Ent-more than min'!$AE:$AE,0),1))</f>
        <v>7</v>
      </c>
      <c r="BF14">
        <f>IF($AQ14="","",INDEX('Freeview-Gen Ent-more than min'!$AC:$AE,MATCH($AQ14,'Freeview-Gen Ent-more than min'!$AE:$AE,0),2))</f>
        <v>7</v>
      </c>
      <c r="BG14">
        <f t="shared" si="13"/>
        <v>0</v>
      </c>
      <c r="BH14">
        <f t="shared" si="14"/>
        <v>0</v>
      </c>
    </row>
    <row r="15" spans="1:60" x14ac:dyDescent="0.45">
      <c r="A15" t="str">
        <f>IF('Freeview-Gen Ent'!C17&lt;&gt;0,'Freeview-Gen Ent'!C17,"")</f>
        <v>London Live</v>
      </c>
      <c r="B15">
        <f t="shared" si="0"/>
        <v>1</v>
      </c>
      <c r="C15">
        <f>IF($A15="","",INDEX('Freeview-Gen Ent'!$A:$C,MATCH($A15,'Freeview-Gen Ent'!$C:$C,0),1))</f>
        <v>8</v>
      </c>
      <c r="D15">
        <f>IF($A15="","",INDEX('Freeview-Gen Ent'!$A:$C,MATCH($A15,'Freeview-Gen Ent'!$C:$C,0),2))</f>
        <v>7</v>
      </c>
      <c r="H15">
        <f>IF($A15="","",INDEX('Freeview-Gen Ent'!$Q:$S,MATCH($A15,'Freeview-Gen Ent'!$S:$S,0),1))</f>
        <v>8</v>
      </c>
      <c r="I15">
        <f>IF($A15="","",INDEX('Freeview-Gen Ent'!$Q:$S,MATCH($A15,'Freeview-Gen Ent'!$S:$S,0),2))</f>
        <v>7</v>
      </c>
      <c r="J15">
        <f t="shared" si="1"/>
        <v>0</v>
      </c>
      <c r="K15">
        <f t="shared" si="2"/>
        <v>0</v>
      </c>
      <c r="O15">
        <f>IF($A15="","",INDEX('Freeview-Gen Ent-more than min'!$Q:$S,MATCH($A15,'Freeview-Gen Ent-more than min'!$S:$S,0),1))</f>
        <v>8</v>
      </c>
      <c r="P15">
        <f>IF($A15="","",INDEX('Freeview-Gen Ent-more than min'!$Q:$S,MATCH($A15,'Freeview-Gen Ent-more than min'!$S:$S,0),2))</f>
        <v>7</v>
      </c>
      <c r="Q15">
        <f t="shared" si="3"/>
        <v>0</v>
      </c>
      <c r="R15">
        <f t="shared" si="4"/>
        <v>0</v>
      </c>
      <c r="V15" t="str">
        <f>IF('Freeview-Gen Ent'!G17&lt;&gt;0,'Freeview-Gen Ent'!G17,"")</f>
        <v/>
      </c>
      <c r="W15" t="str">
        <f t="shared" si="5"/>
        <v/>
      </c>
      <c r="X15" t="str">
        <f>IF($V15="","",INDEX('Freeview-Gen Ent'!$E:$G,MATCH($V15,'Freeview-Gen Ent'!$G:$G,0),1))</f>
        <v/>
      </c>
      <c r="Y15" t="str">
        <f>IF($V15="","",INDEX('Freeview-Gen Ent'!$E:$G,MATCH($V15,'Freeview-Gen Ent'!$G:$G,0),2))</f>
        <v/>
      </c>
      <c r="AC15" t="str">
        <f>IF($V15="","",INDEX('Freeview-Gen Ent'!$U:$W,MATCH($V15,'Freeview-Gen Ent'!$W:$W,0),1))</f>
        <v/>
      </c>
      <c r="AD15" t="str">
        <f>IF($V15="","",INDEX('Freeview-Gen Ent'!$U:$W,MATCH($V15,'Freeview-Gen Ent'!$W:$W,0),2))</f>
        <v/>
      </c>
      <c r="AE15" t="str">
        <f t="shared" si="6"/>
        <v/>
      </c>
      <c r="AF15" t="str">
        <f t="shared" si="7"/>
        <v/>
      </c>
      <c r="AJ15" t="str">
        <f>IF($V15="","",INDEX('Freeview-Gen Ent-more than min'!$U:$W,MATCH($V15,'Freeview-Gen Ent-more than min'!$W:$W,0),1))</f>
        <v/>
      </c>
      <c r="AK15" t="str">
        <f>IF($V15="","",INDEX('Freeview-Gen Ent-more than min'!$U:$W,MATCH($V15,'Freeview-Gen Ent-more than min'!$W:$W,0),2))</f>
        <v/>
      </c>
      <c r="AL15" t="str">
        <f t="shared" si="8"/>
        <v/>
      </c>
      <c r="AM15" t="str">
        <f t="shared" si="9"/>
        <v/>
      </c>
      <c r="AQ15" t="str">
        <f>IF('Freeview-Gen Ent'!O17&lt;&gt;0,'Freeview-Gen Ent'!O17,"")</f>
        <v>Wales Local TV</v>
      </c>
      <c r="AR15">
        <f t="shared" si="10"/>
        <v>1</v>
      </c>
      <c r="AS15">
        <f>IF($AQ15="","",INDEX('Freeview-Gen Ent'!$M:$O,MATCH($AQ15,'Freeview-Gen Ent'!$O:$O,0),1))</f>
        <v>8</v>
      </c>
      <c r="AT15">
        <f>IF($AQ15="","",INDEX('Freeview-Gen Ent'!$M:$O,MATCH($AQ15,'Freeview-Gen Ent'!$O:$O,0),2))</f>
        <v>8</v>
      </c>
      <c r="AX15">
        <f>IF($AQ15="","",INDEX('Freeview-Gen Ent'!$AC:$AE,MATCH($AQ15,'Freeview-Gen Ent'!$AE:$AE,0),1))</f>
        <v>8</v>
      </c>
      <c r="AY15">
        <f>IF($AQ15="","",INDEX('Freeview-Gen Ent'!$AC:$AE,MATCH($AQ15,'Freeview-Gen Ent'!$AE:$AE,0),2))</f>
        <v>8</v>
      </c>
      <c r="AZ15">
        <f t="shared" si="11"/>
        <v>0</v>
      </c>
      <c r="BA15">
        <f t="shared" si="12"/>
        <v>0</v>
      </c>
      <c r="BE15">
        <f>IF($AQ15="","",INDEX('Freeview-Gen Ent-more than min'!$AC:$AE,MATCH($AQ15,'Freeview-Gen Ent-more than min'!$AE:$AE,0),1))</f>
        <v>8</v>
      </c>
      <c r="BF15">
        <f>IF($AQ15="","",INDEX('Freeview-Gen Ent-more than min'!$AC:$AE,MATCH($AQ15,'Freeview-Gen Ent-more than min'!$AE:$AE,0),2))</f>
        <v>8</v>
      </c>
      <c r="BG15">
        <f t="shared" si="13"/>
        <v>0</v>
      </c>
      <c r="BH15">
        <f t="shared" si="14"/>
        <v>0</v>
      </c>
    </row>
    <row r="16" spans="1:60" x14ac:dyDescent="0.45">
      <c r="A16" t="str">
        <f>IF('Freeview-Gen Ent'!C18&lt;&gt;0,'Freeview-Gen Ent'!C18,"")</f>
        <v>BBC Four</v>
      </c>
      <c r="B16">
        <f t="shared" si="0"/>
        <v>0</v>
      </c>
      <c r="C16">
        <f>IF($A16="","",INDEX('Freeview-Gen Ent'!$A:$C,MATCH($A16,'Freeview-Gen Ent'!$C:$C,0),1))</f>
        <v>9</v>
      </c>
      <c r="D16">
        <f>IF($A16="","",INDEX('Freeview-Gen Ent'!$A:$C,MATCH($A16,'Freeview-Gen Ent'!$C:$C,0),2))</f>
        <v>8</v>
      </c>
      <c r="H16">
        <f>IF($A16="","",INDEX('Freeview-Gen Ent'!$Q:$S,MATCH($A16,'Freeview-Gen Ent'!$S:$S,0),1))</f>
        <v>9</v>
      </c>
      <c r="I16">
        <f>IF($A16="","",INDEX('Freeview-Gen Ent'!$Q:$S,MATCH($A16,'Freeview-Gen Ent'!$S:$S,0),2))</f>
        <v>8</v>
      </c>
      <c r="J16">
        <f t="shared" si="1"/>
        <v>0</v>
      </c>
      <c r="K16">
        <f t="shared" si="2"/>
        <v>0</v>
      </c>
      <c r="O16">
        <f>IF($A16="","",INDEX('Freeview-Gen Ent-more than min'!$Q:$S,MATCH($A16,'Freeview-Gen Ent-more than min'!$S:$S,0),1))</f>
        <v>10</v>
      </c>
      <c r="P16">
        <f>IF($A16="","",INDEX('Freeview-Gen Ent-more than min'!$Q:$S,MATCH($A16,'Freeview-Gen Ent-more than min'!$S:$S,0),2))</f>
        <v>8</v>
      </c>
      <c r="Q16">
        <f t="shared" si="3"/>
        <v>0</v>
      </c>
      <c r="R16">
        <f t="shared" si="4"/>
        <v>1</v>
      </c>
      <c r="V16" t="str">
        <f>IF('Freeview-Gen Ent'!G18&lt;&gt;0,'Freeview-Gen Ent'!G18,"")</f>
        <v>BBC Four</v>
      </c>
      <c r="W16">
        <f t="shared" si="5"/>
        <v>0</v>
      </c>
      <c r="X16">
        <f>IF($V16="","",INDEX('Freeview-Gen Ent'!$E:$G,MATCH($V16,'Freeview-Gen Ent'!$G:$G,0),1))</f>
        <v>9</v>
      </c>
      <c r="Y16">
        <f>IF($V16="","",INDEX('Freeview-Gen Ent'!$E:$G,MATCH($V16,'Freeview-Gen Ent'!$G:$G,0),2))</f>
        <v>8</v>
      </c>
      <c r="AC16">
        <f>IF($V16="","",INDEX('Freeview-Gen Ent'!$U:$W,MATCH($V16,'Freeview-Gen Ent'!$W:$W,0),1))</f>
        <v>9</v>
      </c>
      <c r="AD16">
        <f>IF($V16="","",INDEX('Freeview-Gen Ent'!$U:$W,MATCH($V16,'Freeview-Gen Ent'!$W:$W,0),2))</f>
        <v>8</v>
      </c>
      <c r="AE16">
        <f t="shared" si="6"/>
        <v>0</v>
      </c>
      <c r="AF16">
        <f t="shared" si="7"/>
        <v>0</v>
      </c>
      <c r="AJ16">
        <f>IF($V16="","",INDEX('Freeview-Gen Ent-more than min'!$U:$W,MATCH($V16,'Freeview-Gen Ent-more than min'!$W:$W,0),1))</f>
        <v>10</v>
      </c>
      <c r="AK16">
        <f>IF($V16="","",INDEX('Freeview-Gen Ent-more than min'!$U:$W,MATCH($V16,'Freeview-Gen Ent-more than min'!$W:$W,0),2))</f>
        <v>8</v>
      </c>
      <c r="AL16">
        <f t="shared" si="8"/>
        <v>0</v>
      </c>
      <c r="AM16">
        <f t="shared" si="9"/>
        <v>1</v>
      </c>
      <c r="AQ16" t="str">
        <f>IF('Freeview-Gen Ent'!O18&lt;&gt;0,'Freeview-Gen Ent'!O18,"")</f>
        <v>BBC Four</v>
      </c>
      <c r="AR16">
        <f t="shared" si="10"/>
        <v>0</v>
      </c>
      <c r="AS16">
        <f>IF($AQ16="","",INDEX('Freeview-Gen Ent'!$M:$O,MATCH($AQ16,'Freeview-Gen Ent'!$O:$O,0),1))</f>
        <v>9</v>
      </c>
      <c r="AT16">
        <f>IF($AQ16="","",INDEX('Freeview-Gen Ent'!$M:$O,MATCH($AQ16,'Freeview-Gen Ent'!$O:$O,0),2))</f>
        <v>9</v>
      </c>
      <c r="AX16">
        <f>IF($AQ16="","",INDEX('Freeview-Gen Ent'!$AC:$AE,MATCH($AQ16,'Freeview-Gen Ent'!$AE:$AE,0),1))</f>
        <v>9</v>
      </c>
      <c r="AY16">
        <f>IF($AQ16="","",INDEX('Freeview-Gen Ent'!$AC:$AE,MATCH($AQ16,'Freeview-Gen Ent'!$AE:$AE,0),2))</f>
        <v>9</v>
      </c>
      <c r="AZ16">
        <f t="shared" si="11"/>
        <v>0</v>
      </c>
      <c r="BA16">
        <f t="shared" si="12"/>
        <v>0</v>
      </c>
      <c r="BE16">
        <f>IF($AQ16="","",INDEX('Freeview-Gen Ent-more than min'!$AC:$AE,MATCH($AQ16,'Freeview-Gen Ent-more than min'!$AE:$AE,0),1))</f>
        <v>10</v>
      </c>
      <c r="BF16">
        <f>IF($AQ16="","",INDEX('Freeview-Gen Ent-more than min'!$AC:$AE,MATCH($AQ16,'Freeview-Gen Ent-more than min'!$AE:$AE,0),2))</f>
        <v>9</v>
      </c>
      <c r="BG16">
        <f t="shared" si="13"/>
        <v>0</v>
      </c>
      <c r="BH16">
        <f t="shared" si="14"/>
        <v>1</v>
      </c>
    </row>
    <row r="17" spans="1:60" x14ac:dyDescent="0.45">
      <c r="A17" t="str">
        <f>IF('Freeview-Gen Ent'!C19&lt;&gt;0,'Freeview-Gen Ent'!C19,"")</f>
        <v>ITV3</v>
      </c>
      <c r="B17">
        <f t="shared" si="0"/>
        <v>1</v>
      </c>
      <c r="C17">
        <f>IF($A17="","",INDEX('Freeview-Gen Ent'!$A:$C,MATCH($A17,'Freeview-Gen Ent'!$C:$C,0),1))</f>
        <v>10</v>
      </c>
      <c r="D17">
        <f>IF($A17="","",INDEX('Freeview-Gen Ent'!$A:$C,MATCH($A17,'Freeview-Gen Ent'!$C:$C,0),2))</f>
        <v>9</v>
      </c>
      <c r="H17">
        <f>IF($A17="","",INDEX('Freeview-Gen Ent'!$Q:$S,MATCH($A17,'Freeview-Gen Ent'!$S:$S,0),1))</f>
        <v>10</v>
      </c>
      <c r="I17">
        <f>IF($A17="","",INDEX('Freeview-Gen Ent'!$Q:$S,MATCH($A17,'Freeview-Gen Ent'!$S:$S,0),2))</f>
        <v>9</v>
      </c>
      <c r="J17">
        <f t="shared" si="1"/>
        <v>0</v>
      </c>
      <c r="K17">
        <f t="shared" si="2"/>
        <v>0</v>
      </c>
      <c r="O17">
        <f>IF($A17="","",INDEX('Freeview-Gen Ent-more than min'!$Q:$S,MATCH($A17,'Freeview-Gen Ent-more than min'!$S:$S,0),1))</f>
        <v>11</v>
      </c>
      <c r="P17">
        <f>IF($A17="","",INDEX('Freeview-Gen Ent-more than min'!$Q:$S,MATCH($A17,'Freeview-Gen Ent-more than min'!$S:$S,0),2))</f>
        <v>9</v>
      </c>
      <c r="Q17">
        <f t="shared" si="3"/>
        <v>0</v>
      </c>
      <c r="R17">
        <f t="shared" si="4"/>
        <v>1</v>
      </c>
      <c r="V17" t="str">
        <f>IF('Freeview-Gen Ent'!G19&lt;&gt;0,'Freeview-Gen Ent'!G19,"")</f>
        <v>ITV3</v>
      </c>
      <c r="W17">
        <f t="shared" si="5"/>
        <v>1</v>
      </c>
      <c r="X17">
        <f>IF($V17="","",INDEX('Freeview-Gen Ent'!$E:$G,MATCH($V17,'Freeview-Gen Ent'!$G:$G,0),1))</f>
        <v>10</v>
      </c>
      <c r="Y17">
        <f>IF($V17="","",INDEX('Freeview-Gen Ent'!$E:$G,MATCH($V17,'Freeview-Gen Ent'!$G:$G,0),2))</f>
        <v>9</v>
      </c>
      <c r="AC17">
        <f>IF($V17="","",INDEX('Freeview-Gen Ent'!$U:$W,MATCH($V17,'Freeview-Gen Ent'!$W:$W,0),1))</f>
        <v>10</v>
      </c>
      <c r="AD17">
        <f>IF($V17="","",INDEX('Freeview-Gen Ent'!$U:$W,MATCH($V17,'Freeview-Gen Ent'!$W:$W,0),2))</f>
        <v>9</v>
      </c>
      <c r="AE17">
        <f t="shared" si="6"/>
        <v>0</v>
      </c>
      <c r="AF17">
        <f t="shared" si="7"/>
        <v>0</v>
      </c>
      <c r="AJ17">
        <f>IF($V17="","",INDEX('Freeview-Gen Ent-more than min'!$U:$W,MATCH($V17,'Freeview-Gen Ent-more than min'!$W:$W,0),1))</f>
        <v>11</v>
      </c>
      <c r="AK17">
        <f>IF($V17="","",INDEX('Freeview-Gen Ent-more than min'!$U:$W,MATCH($V17,'Freeview-Gen Ent-more than min'!$W:$W,0),2))</f>
        <v>9</v>
      </c>
      <c r="AL17">
        <f t="shared" si="8"/>
        <v>0</v>
      </c>
      <c r="AM17">
        <f t="shared" si="9"/>
        <v>1</v>
      </c>
      <c r="AQ17" t="str">
        <f>IF('Freeview-Gen Ent'!O19&lt;&gt;0,'Freeview-Gen Ent'!O19,"")</f>
        <v>ITV3</v>
      </c>
      <c r="AR17">
        <f t="shared" si="10"/>
        <v>1</v>
      </c>
      <c r="AS17">
        <f>IF($AQ17="","",INDEX('Freeview-Gen Ent'!$M:$O,MATCH($AQ17,'Freeview-Gen Ent'!$O:$O,0),1))</f>
        <v>10</v>
      </c>
      <c r="AT17">
        <f>IF($AQ17="","",INDEX('Freeview-Gen Ent'!$M:$O,MATCH($AQ17,'Freeview-Gen Ent'!$O:$O,0),2))</f>
        <v>10</v>
      </c>
      <c r="AX17">
        <f>IF($AQ17="","",INDEX('Freeview-Gen Ent'!$AC:$AE,MATCH($AQ17,'Freeview-Gen Ent'!$AE:$AE,0),1))</f>
        <v>10</v>
      </c>
      <c r="AY17">
        <f>IF($AQ17="","",INDEX('Freeview-Gen Ent'!$AC:$AE,MATCH($AQ17,'Freeview-Gen Ent'!$AE:$AE,0),2))</f>
        <v>10</v>
      </c>
      <c r="AZ17">
        <f t="shared" si="11"/>
        <v>0</v>
      </c>
      <c r="BA17">
        <f t="shared" si="12"/>
        <v>0</v>
      </c>
      <c r="BE17">
        <f>IF($AQ17="","",INDEX('Freeview-Gen Ent-more than min'!$AC:$AE,MATCH($AQ17,'Freeview-Gen Ent-more than min'!$AE:$AE,0),1))</f>
        <v>11</v>
      </c>
      <c r="BF17">
        <f>IF($AQ17="","",INDEX('Freeview-Gen Ent-more than min'!$AC:$AE,MATCH($AQ17,'Freeview-Gen Ent-more than min'!$AE:$AE,0),2))</f>
        <v>10</v>
      </c>
      <c r="BG17">
        <f t="shared" si="13"/>
        <v>0</v>
      </c>
      <c r="BH17">
        <f t="shared" si="14"/>
        <v>1</v>
      </c>
    </row>
    <row r="18" spans="1:60" x14ac:dyDescent="0.45">
      <c r="A18" t="str">
        <f>IF('Freeview-Gen Ent'!C20&lt;&gt;0,'Freeview-Gen Ent'!C20,"")</f>
        <v>Pick</v>
      </c>
      <c r="B18">
        <f t="shared" si="0"/>
        <v>1</v>
      </c>
      <c r="C18">
        <f>IF($A18="","",INDEX('Freeview-Gen Ent'!$A:$C,MATCH($A18,'Freeview-Gen Ent'!$C:$C,0),1))</f>
        <v>11</v>
      </c>
      <c r="D18">
        <f>IF($A18="","",INDEX('Freeview-Gen Ent'!$A:$C,MATCH($A18,'Freeview-Gen Ent'!$C:$C,0),2))</f>
        <v>10</v>
      </c>
      <c r="H18">
        <f>IF($A18="","",INDEX('Freeview-Gen Ent'!$Q:$S,MATCH($A18,'Freeview-Gen Ent'!$S:$S,0),1))</f>
        <v>11</v>
      </c>
      <c r="I18">
        <f>IF($A18="","",INDEX('Freeview-Gen Ent'!$Q:$S,MATCH($A18,'Freeview-Gen Ent'!$S:$S,0),2))</f>
        <v>10</v>
      </c>
      <c r="J18">
        <f t="shared" si="1"/>
        <v>0</v>
      </c>
      <c r="K18">
        <f t="shared" si="2"/>
        <v>0</v>
      </c>
      <c r="O18">
        <f>IF($A18="","",INDEX('Freeview-Gen Ent-more than min'!$Q:$S,MATCH($A18,'Freeview-Gen Ent-more than min'!$S:$S,0),1))</f>
        <v>12</v>
      </c>
      <c r="P18">
        <f>IF($A18="","",INDEX('Freeview-Gen Ent-more than min'!$Q:$S,MATCH($A18,'Freeview-Gen Ent-more than min'!$S:$S,0),2))</f>
        <v>10</v>
      </c>
      <c r="Q18">
        <f t="shared" si="3"/>
        <v>0</v>
      </c>
      <c r="R18">
        <f t="shared" si="4"/>
        <v>1</v>
      </c>
      <c r="V18" t="str">
        <f>IF('Freeview-Gen Ent'!G20&lt;&gt;0,'Freeview-Gen Ent'!G20,"")</f>
        <v>Pick</v>
      </c>
      <c r="W18">
        <f t="shared" si="5"/>
        <v>1</v>
      </c>
      <c r="X18">
        <f>IF($V18="","",INDEX('Freeview-Gen Ent'!$E:$G,MATCH($V18,'Freeview-Gen Ent'!$G:$G,0),1))</f>
        <v>11</v>
      </c>
      <c r="Y18">
        <f>IF($V18="","",INDEX('Freeview-Gen Ent'!$E:$G,MATCH($V18,'Freeview-Gen Ent'!$G:$G,0),2))</f>
        <v>10</v>
      </c>
      <c r="AC18">
        <f>IF($V18="","",INDEX('Freeview-Gen Ent'!$U:$W,MATCH($V18,'Freeview-Gen Ent'!$W:$W,0),1))</f>
        <v>11</v>
      </c>
      <c r="AD18">
        <f>IF($V18="","",INDEX('Freeview-Gen Ent'!$U:$W,MATCH($V18,'Freeview-Gen Ent'!$W:$W,0),2))</f>
        <v>10</v>
      </c>
      <c r="AE18">
        <f t="shared" si="6"/>
        <v>0</v>
      </c>
      <c r="AF18">
        <f t="shared" si="7"/>
        <v>0</v>
      </c>
      <c r="AJ18">
        <f>IF($V18="","",INDEX('Freeview-Gen Ent-more than min'!$U:$W,MATCH($V18,'Freeview-Gen Ent-more than min'!$W:$W,0),1))</f>
        <v>12</v>
      </c>
      <c r="AK18">
        <f>IF($V18="","",INDEX('Freeview-Gen Ent-more than min'!$U:$W,MATCH($V18,'Freeview-Gen Ent-more than min'!$W:$W,0),2))</f>
        <v>10</v>
      </c>
      <c r="AL18">
        <f t="shared" si="8"/>
        <v>0</v>
      </c>
      <c r="AM18">
        <f t="shared" si="9"/>
        <v>1</v>
      </c>
      <c r="AQ18" t="str">
        <f>IF('Freeview-Gen Ent'!O20&lt;&gt;0,'Freeview-Gen Ent'!O20,"")</f>
        <v>Pick</v>
      </c>
      <c r="AR18">
        <f t="shared" si="10"/>
        <v>1</v>
      </c>
      <c r="AS18">
        <f>IF($AQ18="","",INDEX('Freeview-Gen Ent'!$M:$O,MATCH($AQ18,'Freeview-Gen Ent'!$O:$O,0),1))</f>
        <v>11</v>
      </c>
      <c r="AT18">
        <f>IF($AQ18="","",INDEX('Freeview-Gen Ent'!$M:$O,MATCH($AQ18,'Freeview-Gen Ent'!$O:$O,0),2))</f>
        <v>11</v>
      </c>
      <c r="AX18">
        <f>IF($AQ18="","",INDEX('Freeview-Gen Ent'!$AC:$AE,MATCH($AQ18,'Freeview-Gen Ent'!$AE:$AE,0),1))</f>
        <v>11</v>
      </c>
      <c r="AY18">
        <f>IF($AQ18="","",INDEX('Freeview-Gen Ent'!$AC:$AE,MATCH($AQ18,'Freeview-Gen Ent'!$AE:$AE,0),2))</f>
        <v>11</v>
      </c>
      <c r="AZ18">
        <f t="shared" si="11"/>
        <v>0</v>
      </c>
      <c r="BA18">
        <f t="shared" si="12"/>
        <v>0</v>
      </c>
      <c r="BE18">
        <f>IF($AQ18="","",INDEX('Freeview-Gen Ent-more than min'!$AC:$AE,MATCH($AQ18,'Freeview-Gen Ent-more than min'!$AE:$AE,0),1))</f>
        <v>12</v>
      </c>
      <c r="BF18">
        <f>IF($AQ18="","",INDEX('Freeview-Gen Ent-more than min'!$AC:$AE,MATCH($AQ18,'Freeview-Gen Ent-more than min'!$AE:$AE,0),2))</f>
        <v>11</v>
      </c>
      <c r="BG18">
        <f t="shared" si="13"/>
        <v>0</v>
      </c>
      <c r="BH18">
        <f t="shared" si="14"/>
        <v>1</v>
      </c>
    </row>
    <row r="19" spans="1:60" x14ac:dyDescent="0.45">
      <c r="A19" t="str">
        <f>IF('Freeview-Gen Ent'!C21&lt;&gt;0,'Freeview-Gen Ent'!C21,"")</f>
        <v>Dave</v>
      </c>
      <c r="B19">
        <f t="shared" si="0"/>
        <v>1</v>
      </c>
      <c r="C19">
        <f>IF($A19="","",INDEX('Freeview-Gen Ent'!$A:$C,MATCH($A19,'Freeview-Gen Ent'!$C:$C,0),1))</f>
        <v>12</v>
      </c>
      <c r="D19">
        <f>IF($A19="","",INDEX('Freeview-Gen Ent'!$A:$C,MATCH($A19,'Freeview-Gen Ent'!$C:$C,0),2))</f>
        <v>11</v>
      </c>
      <c r="H19">
        <f>IF($A19="","",INDEX('Freeview-Gen Ent'!$Q:$S,MATCH($A19,'Freeview-Gen Ent'!$S:$S,0),1))</f>
        <v>12</v>
      </c>
      <c r="I19">
        <f>IF($A19="","",INDEX('Freeview-Gen Ent'!$Q:$S,MATCH($A19,'Freeview-Gen Ent'!$S:$S,0),2))</f>
        <v>11</v>
      </c>
      <c r="J19">
        <f t="shared" si="1"/>
        <v>0</v>
      </c>
      <c r="K19">
        <f t="shared" si="2"/>
        <v>0</v>
      </c>
      <c r="O19">
        <f>IF($A19="","",INDEX('Freeview-Gen Ent-more than min'!$Q:$S,MATCH($A19,'Freeview-Gen Ent-more than min'!$S:$S,0),1))</f>
        <v>13</v>
      </c>
      <c r="P19">
        <f>IF($A19="","",INDEX('Freeview-Gen Ent-more than min'!$Q:$S,MATCH($A19,'Freeview-Gen Ent-more than min'!$S:$S,0),2))</f>
        <v>11</v>
      </c>
      <c r="Q19">
        <f t="shared" si="3"/>
        <v>0</v>
      </c>
      <c r="R19">
        <f t="shared" si="4"/>
        <v>1</v>
      </c>
      <c r="V19" t="str">
        <f>IF('Freeview-Gen Ent'!G21&lt;&gt;0,'Freeview-Gen Ent'!G21,"")</f>
        <v>Dave</v>
      </c>
      <c r="W19">
        <f t="shared" si="5"/>
        <v>1</v>
      </c>
      <c r="X19">
        <f>IF($V19="","",INDEX('Freeview-Gen Ent'!$E:$G,MATCH($V19,'Freeview-Gen Ent'!$G:$G,0),1))</f>
        <v>12</v>
      </c>
      <c r="Y19">
        <f>IF($V19="","",INDEX('Freeview-Gen Ent'!$E:$G,MATCH($V19,'Freeview-Gen Ent'!$G:$G,0),2))</f>
        <v>11</v>
      </c>
      <c r="AC19">
        <f>IF($V19="","",INDEX('Freeview-Gen Ent'!$U:$W,MATCH($V19,'Freeview-Gen Ent'!$W:$W,0),1))</f>
        <v>12</v>
      </c>
      <c r="AD19">
        <f>IF($V19="","",INDEX('Freeview-Gen Ent'!$U:$W,MATCH($V19,'Freeview-Gen Ent'!$W:$W,0),2))</f>
        <v>11</v>
      </c>
      <c r="AE19">
        <f t="shared" si="6"/>
        <v>0</v>
      </c>
      <c r="AF19">
        <f t="shared" si="7"/>
        <v>0</v>
      </c>
      <c r="AJ19">
        <f>IF($V19="","",INDEX('Freeview-Gen Ent-more than min'!$U:$W,MATCH($V19,'Freeview-Gen Ent-more than min'!$W:$W,0),1))</f>
        <v>13</v>
      </c>
      <c r="AK19">
        <f>IF($V19="","",INDEX('Freeview-Gen Ent-more than min'!$U:$W,MATCH($V19,'Freeview-Gen Ent-more than min'!$W:$W,0),2))</f>
        <v>11</v>
      </c>
      <c r="AL19">
        <f t="shared" si="8"/>
        <v>0</v>
      </c>
      <c r="AM19">
        <f t="shared" si="9"/>
        <v>1</v>
      </c>
      <c r="AQ19" t="str">
        <f>IF('Freeview-Gen Ent'!O21&lt;&gt;0,'Freeview-Gen Ent'!O21,"")</f>
        <v>Dave</v>
      </c>
      <c r="AR19">
        <f t="shared" si="10"/>
        <v>1</v>
      </c>
      <c r="AS19">
        <f>IF($AQ19="","",INDEX('Freeview-Gen Ent'!$M:$O,MATCH($AQ19,'Freeview-Gen Ent'!$O:$O,0),1))</f>
        <v>12</v>
      </c>
      <c r="AT19">
        <f>IF($AQ19="","",INDEX('Freeview-Gen Ent'!$M:$O,MATCH($AQ19,'Freeview-Gen Ent'!$O:$O,0),2))</f>
        <v>12</v>
      </c>
      <c r="AX19">
        <f>IF($AQ19="","",INDEX('Freeview-Gen Ent'!$AC:$AE,MATCH($AQ19,'Freeview-Gen Ent'!$AE:$AE,0),1))</f>
        <v>12</v>
      </c>
      <c r="AY19">
        <f>IF($AQ19="","",INDEX('Freeview-Gen Ent'!$AC:$AE,MATCH($AQ19,'Freeview-Gen Ent'!$AE:$AE,0),2))</f>
        <v>12</v>
      </c>
      <c r="AZ19">
        <f t="shared" si="11"/>
        <v>0</v>
      </c>
      <c r="BA19">
        <f t="shared" si="12"/>
        <v>0</v>
      </c>
      <c r="BE19">
        <f>IF($AQ19="","",INDEX('Freeview-Gen Ent-more than min'!$AC:$AE,MATCH($AQ19,'Freeview-Gen Ent-more than min'!$AE:$AE,0),1))</f>
        <v>13</v>
      </c>
      <c r="BF19">
        <f>IF($AQ19="","",INDEX('Freeview-Gen Ent-more than min'!$AC:$AE,MATCH($AQ19,'Freeview-Gen Ent-more than min'!$AE:$AE,0),2))</f>
        <v>12</v>
      </c>
      <c r="BG19">
        <f t="shared" si="13"/>
        <v>0</v>
      </c>
      <c r="BH19">
        <f t="shared" si="14"/>
        <v>1</v>
      </c>
    </row>
    <row r="20" spans="1:60" x14ac:dyDescent="0.45">
      <c r="A20" t="str">
        <f>IF('Freeview-Gen Ent'!C22&lt;&gt;0,'Freeview-Gen Ent'!C22,"")</f>
        <v>Channel 4 +1</v>
      </c>
      <c r="B20">
        <f t="shared" si="0"/>
        <v>1</v>
      </c>
      <c r="C20">
        <f>IF($A20="","",INDEX('Freeview-Gen Ent'!$A:$C,MATCH($A20,'Freeview-Gen Ent'!$C:$C,0),1))</f>
        <v>13</v>
      </c>
      <c r="D20">
        <f>IF($A20="","",INDEX('Freeview-Gen Ent'!$A:$C,MATCH($A20,'Freeview-Gen Ent'!$C:$C,0),2))</f>
        <v>12</v>
      </c>
      <c r="H20">
        <f>IF($A20="","",INDEX('Freeview-Gen Ent'!$Q:$S,MATCH($A20,'Freeview-Gen Ent'!$S:$S,0),1))</f>
        <v>13</v>
      </c>
      <c r="I20">
        <f>IF($A20="","",INDEX('Freeview-Gen Ent'!$Q:$S,MATCH($A20,'Freeview-Gen Ent'!$S:$S,0),2))</f>
        <v>12</v>
      </c>
      <c r="J20">
        <f t="shared" si="1"/>
        <v>0</v>
      </c>
      <c r="K20">
        <f t="shared" si="2"/>
        <v>0</v>
      </c>
      <c r="O20">
        <f>IF($A20="","",INDEX('Freeview-Gen Ent-more than min'!$Q:$S,MATCH($A20,'Freeview-Gen Ent-more than min'!$S:$S,0),1))</f>
        <v>14</v>
      </c>
      <c r="P20">
        <f>IF($A20="","",INDEX('Freeview-Gen Ent-more than min'!$Q:$S,MATCH($A20,'Freeview-Gen Ent-more than min'!$S:$S,0),2))</f>
        <v>12</v>
      </c>
      <c r="Q20">
        <f t="shared" si="3"/>
        <v>0</v>
      </c>
      <c r="R20">
        <f t="shared" si="4"/>
        <v>1</v>
      </c>
      <c r="V20" t="str">
        <f>IF('Freeview-Gen Ent'!G22&lt;&gt;0,'Freeview-Gen Ent'!G22,"")</f>
        <v>Channel 4 +1</v>
      </c>
      <c r="W20">
        <f t="shared" si="5"/>
        <v>1</v>
      </c>
      <c r="X20">
        <f>IF($V20="","",INDEX('Freeview-Gen Ent'!$E:$G,MATCH($V20,'Freeview-Gen Ent'!$G:$G,0),1))</f>
        <v>13</v>
      </c>
      <c r="Y20">
        <f>IF($V20="","",INDEX('Freeview-Gen Ent'!$E:$G,MATCH($V20,'Freeview-Gen Ent'!$G:$G,0),2))</f>
        <v>12</v>
      </c>
      <c r="AC20">
        <f>IF($V20="","",INDEX('Freeview-Gen Ent'!$U:$W,MATCH($V20,'Freeview-Gen Ent'!$W:$W,0),1))</f>
        <v>13</v>
      </c>
      <c r="AD20">
        <f>IF($V20="","",INDEX('Freeview-Gen Ent'!$U:$W,MATCH($V20,'Freeview-Gen Ent'!$W:$W,0),2))</f>
        <v>12</v>
      </c>
      <c r="AE20">
        <f t="shared" si="6"/>
        <v>0</v>
      </c>
      <c r="AF20">
        <f t="shared" si="7"/>
        <v>0</v>
      </c>
      <c r="AJ20">
        <f>IF($V20="","",INDEX('Freeview-Gen Ent-more than min'!$U:$W,MATCH($V20,'Freeview-Gen Ent-more than min'!$W:$W,0),1))</f>
        <v>14</v>
      </c>
      <c r="AK20">
        <f>IF($V20="","",INDEX('Freeview-Gen Ent-more than min'!$U:$W,MATCH($V20,'Freeview-Gen Ent-more than min'!$W:$W,0),2))</f>
        <v>12</v>
      </c>
      <c r="AL20">
        <f t="shared" si="8"/>
        <v>0</v>
      </c>
      <c r="AM20">
        <f t="shared" si="9"/>
        <v>1</v>
      </c>
      <c r="AQ20" t="str">
        <f>IF('Freeview-Gen Ent'!O22&lt;&gt;0,'Freeview-Gen Ent'!O22,"")</f>
        <v>Channel 4 +1</v>
      </c>
      <c r="AR20">
        <f t="shared" si="10"/>
        <v>1</v>
      </c>
      <c r="AS20">
        <f>IF($AQ20="","",INDEX('Freeview-Gen Ent'!$M:$O,MATCH($AQ20,'Freeview-Gen Ent'!$O:$O,0),1))</f>
        <v>13</v>
      </c>
      <c r="AT20">
        <f>IF($AQ20="","",INDEX('Freeview-Gen Ent'!$M:$O,MATCH($AQ20,'Freeview-Gen Ent'!$O:$O,0),2))</f>
        <v>13</v>
      </c>
      <c r="AX20">
        <f>IF($AQ20="","",INDEX('Freeview-Gen Ent'!$AC:$AE,MATCH($AQ20,'Freeview-Gen Ent'!$AE:$AE,0),1))</f>
        <v>13</v>
      </c>
      <c r="AY20">
        <f>IF($AQ20="","",INDEX('Freeview-Gen Ent'!$AC:$AE,MATCH($AQ20,'Freeview-Gen Ent'!$AE:$AE,0),2))</f>
        <v>13</v>
      </c>
      <c r="AZ20">
        <f t="shared" si="11"/>
        <v>0</v>
      </c>
      <c r="BA20">
        <f t="shared" si="12"/>
        <v>0</v>
      </c>
      <c r="BE20">
        <f>IF($AQ20="","",INDEX('Freeview-Gen Ent-more than min'!$AC:$AE,MATCH($AQ20,'Freeview-Gen Ent-more than min'!$AE:$AE,0),1))</f>
        <v>14</v>
      </c>
      <c r="BF20">
        <f>IF($AQ20="","",INDEX('Freeview-Gen Ent-more than min'!$AC:$AE,MATCH($AQ20,'Freeview-Gen Ent-more than min'!$AE:$AE,0),2))</f>
        <v>13</v>
      </c>
      <c r="BG20">
        <f t="shared" si="13"/>
        <v>0</v>
      </c>
      <c r="BH20">
        <f t="shared" si="14"/>
        <v>1</v>
      </c>
    </row>
    <row r="21" spans="1:60" x14ac:dyDescent="0.45">
      <c r="A21" t="str">
        <f>IF('Freeview-Gen Ent'!C23&lt;&gt;0,'Freeview-Gen Ent'!C23,"")</f>
        <v>More4</v>
      </c>
      <c r="B21">
        <f t="shared" si="0"/>
        <v>1</v>
      </c>
      <c r="C21">
        <f>IF($A21="","",INDEX('Freeview-Gen Ent'!$A:$C,MATCH($A21,'Freeview-Gen Ent'!$C:$C,0),1))</f>
        <v>14</v>
      </c>
      <c r="D21">
        <f>IF($A21="","",INDEX('Freeview-Gen Ent'!$A:$C,MATCH($A21,'Freeview-Gen Ent'!$C:$C,0),2))</f>
        <v>13</v>
      </c>
      <c r="H21">
        <f>IF($A21="","",INDEX('Freeview-Gen Ent'!$Q:$S,MATCH($A21,'Freeview-Gen Ent'!$S:$S,0),1))</f>
        <v>14</v>
      </c>
      <c r="I21">
        <f>IF($A21="","",INDEX('Freeview-Gen Ent'!$Q:$S,MATCH($A21,'Freeview-Gen Ent'!$S:$S,0),2))</f>
        <v>13</v>
      </c>
      <c r="J21">
        <f t="shared" si="1"/>
        <v>0</v>
      </c>
      <c r="K21">
        <f t="shared" si="2"/>
        <v>0</v>
      </c>
      <c r="O21">
        <f>IF($A21="","",INDEX('Freeview-Gen Ent-more than min'!$Q:$S,MATCH($A21,'Freeview-Gen Ent-more than min'!$S:$S,0),1))</f>
        <v>15</v>
      </c>
      <c r="P21">
        <f>IF($A21="","",INDEX('Freeview-Gen Ent-more than min'!$Q:$S,MATCH($A21,'Freeview-Gen Ent-more than min'!$S:$S,0),2))</f>
        <v>13</v>
      </c>
      <c r="Q21">
        <f t="shared" si="3"/>
        <v>0</v>
      </c>
      <c r="R21">
        <f t="shared" si="4"/>
        <v>1</v>
      </c>
      <c r="V21" t="str">
        <f>IF('Freeview-Gen Ent'!G23&lt;&gt;0,'Freeview-Gen Ent'!G23,"")</f>
        <v>More4</v>
      </c>
      <c r="W21">
        <f t="shared" si="5"/>
        <v>1</v>
      </c>
      <c r="X21">
        <f>IF($V21="","",INDEX('Freeview-Gen Ent'!$E:$G,MATCH($V21,'Freeview-Gen Ent'!$G:$G,0),1))</f>
        <v>14</v>
      </c>
      <c r="Y21">
        <f>IF($V21="","",INDEX('Freeview-Gen Ent'!$E:$G,MATCH($V21,'Freeview-Gen Ent'!$G:$G,0),2))</f>
        <v>13</v>
      </c>
      <c r="AC21">
        <f>IF($V21="","",INDEX('Freeview-Gen Ent'!$U:$W,MATCH($V21,'Freeview-Gen Ent'!$W:$W,0),1))</f>
        <v>14</v>
      </c>
      <c r="AD21">
        <f>IF($V21="","",INDEX('Freeview-Gen Ent'!$U:$W,MATCH($V21,'Freeview-Gen Ent'!$W:$W,0),2))</f>
        <v>13</v>
      </c>
      <c r="AE21">
        <f t="shared" si="6"/>
        <v>0</v>
      </c>
      <c r="AF21">
        <f t="shared" si="7"/>
        <v>0</v>
      </c>
      <c r="AJ21">
        <f>IF($V21="","",INDEX('Freeview-Gen Ent-more than min'!$U:$W,MATCH($V21,'Freeview-Gen Ent-more than min'!$W:$W,0),1))</f>
        <v>15</v>
      </c>
      <c r="AK21">
        <f>IF($V21="","",INDEX('Freeview-Gen Ent-more than min'!$U:$W,MATCH($V21,'Freeview-Gen Ent-more than min'!$W:$W,0),2))</f>
        <v>13</v>
      </c>
      <c r="AL21">
        <f t="shared" si="8"/>
        <v>0</v>
      </c>
      <c r="AM21">
        <f t="shared" si="9"/>
        <v>1</v>
      </c>
      <c r="AQ21" t="str">
        <f>IF('Freeview-Gen Ent'!O23&lt;&gt;0,'Freeview-Gen Ent'!O23,"")</f>
        <v>More4</v>
      </c>
      <c r="AR21">
        <f t="shared" si="10"/>
        <v>1</v>
      </c>
      <c r="AS21">
        <f>IF($AQ21="","",INDEX('Freeview-Gen Ent'!$M:$O,MATCH($AQ21,'Freeview-Gen Ent'!$O:$O,0),1))</f>
        <v>14</v>
      </c>
      <c r="AT21">
        <f>IF($AQ21="","",INDEX('Freeview-Gen Ent'!$M:$O,MATCH($AQ21,'Freeview-Gen Ent'!$O:$O,0),2))</f>
        <v>14</v>
      </c>
      <c r="AX21">
        <f>IF($AQ21="","",INDEX('Freeview-Gen Ent'!$AC:$AE,MATCH($AQ21,'Freeview-Gen Ent'!$AE:$AE,0),1))</f>
        <v>14</v>
      </c>
      <c r="AY21">
        <f>IF($AQ21="","",INDEX('Freeview-Gen Ent'!$AC:$AE,MATCH($AQ21,'Freeview-Gen Ent'!$AE:$AE,0),2))</f>
        <v>14</v>
      </c>
      <c r="AZ21">
        <f t="shared" si="11"/>
        <v>0</v>
      </c>
      <c r="BA21">
        <f t="shared" si="12"/>
        <v>0</v>
      </c>
      <c r="BE21">
        <f>IF($AQ21="","",INDEX('Freeview-Gen Ent-more than min'!$AC:$AE,MATCH($AQ21,'Freeview-Gen Ent-more than min'!$AE:$AE,0),1))</f>
        <v>15</v>
      </c>
      <c r="BF21">
        <f>IF($AQ21="","",INDEX('Freeview-Gen Ent-more than min'!$AC:$AE,MATCH($AQ21,'Freeview-Gen Ent-more than min'!$AE:$AE,0),2))</f>
        <v>14</v>
      </c>
      <c r="BG21">
        <f t="shared" si="13"/>
        <v>0</v>
      </c>
      <c r="BH21">
        <f t="shared" si="14"/>
        <v>1</v>
      </c>
    </row>
    <row r="22" spans="1:60" x14ac:dyDescent="0.45">
      <c r="A22" t="str">
        <f>IF('Freeview-Gen Ent'!C24&lt;&gt;0,'Freeview-Gen Ent'!C24,"")</f>
        <v xml:space="preserve">Film4 </v>
      </c>
      <c r="B22">
        <f t="shared" si="0"/>
        <v>1</v>
      </c>
      <c r="C22">
        <f>IF($A22="","",INDEX('Freeview-Gen Ent'!$A:$C,MATCH($A22,'Freeview-Gen Ent'!$C:$C,0),1))</f>
        <v>15</v>
      </c>
      <c r="D22">
        <f>IF($A22="","",INDEX('Freeview-Gen Ent'!$A:$C,MATCH($A22,'Freeview-Gen Ent'!$C:$C,0),2))</f>
        <v>14</v>
      </c>
      <c r="H22">
        <f>IF($A22="","",INDEX('Freeview-Gen Ent'!$Q:$S,MATCH($A22,'Freeview-Gen Ent'!$S:$S,0),1))</f>
        <v>15</v>
      </c>
      <c r="I22">
        <f>IF($A22="","",INDEX('Freeview-Gen Ent'!$Q:$S,MATCH($A22,'Freeview-Gen Ent'!$S:$S,0),2))</f>
        <v>14</v>
      </c>
      <c r="J22">
        <f t="shared" si="1"/>
        <v>0</v>
      </c>
      <c r="K22">
        <f t="shared" si="2"/>
        <v>0</v>
      </c>
      <c r="O22">
        <f>IF($A22="","",INDEX('Freeview-Gen Ent-more than min'!$Q:$S,MATCH($A22,'Freeview-Gen Ent-more than min'!$S:$S,0),1))</f>
        <v>16</v>
      </c>
      <c r="P22">
        <f>IF($A22="","",INDEX('Freeview-Gen Ent-more than min'!$Q:$S,MATCH($A22,'Freeview-Gen Ent-more than min'!$S:$S,0),2))</f>
        <v>14</v>
      </c>
      <c r="Q22">
        <f t="shared" si="3"/>
        <v>0</v>
      </c>
      <c r="R22">
        <f t="shared" si="4"/>
        <v>1</v>
      </c>
      <c r="V22" t="str">
        <f>IF('Freeview-Gen Ent'!G24&lt;&gt;0,'Freeview-Gen Ent'!G24,"")</f>
        <v xml:space="preserve">Film4 </v>
      </c>
      <c r="W22">
        <f t="shared" si="5"/>
        <v>1</v>
      </c>
      <c r="X22">
        <f>IF($V22="","",INDEX('Freeview-Gen Ent'!$E:$G,MATCH($V22,'Freeview-Gen Ent'!$G:$G,0),1))</f>
        <v>15</v>
      </c>
      <c r="Y22">
        <f>IF($V22="","",INDEX('Freeview-Gen Ent'!$E:$G,MATCH($V22,'Freeview-Gen Ent'!$G:$G,0),2))</f>
        <v>14</v>
      </c>
      <c r="AC22">
        <f>IF($V22="","",INDEX('Freeview-Gen Ent'!$U:$W,MATCH($V22,'Freeview-Gen Ent'!$W:$W,0),1))</f>
        <v>15</v>
      </c>
      <c r="AD22">
        <f>IF($V22="","",INDEX('Freeview-Gen Ent'!$U:$W,MATCH($V22,'Freeview-Gen Ent'!$W:$W,0),2))</f>
        <v>14</v>
      </c>
      <c r="AE22">
        <f t="shared" si="6"/>
        <v>0</v>
      </c>
      <c r="AF22">
        <f t="shared" si="7"/>
        <v>0</v>
      </c>
      <c r="AJ22">
        <f>IF($V22="","",INDEX('Freeview-Gen Ent-more than min'!$U:$W,MATCH($V22,'Freeview-Gen Ent-more than min'!$W:$W,0),1))</f>
        <v>16</v>
      </c>
      <c r="AK22">
        <f>IF($V22="","",INDEX('Freeview-Gen Ent-more than min'!$U:$W,MATCH($V22,'Freeview-Gen Ent-more than min'!$W:$W,0),2))</f>
        <v>14</v>
      </c>
      <c r="AL22">
        <f t="shared" si="8"/>
        <v>0</v>
      </c>
      <c r="AM22">
        <f t="shared" si="9"/>
        <v>1</v>
      </c>
      <c r="AQ22" t="str">
        <f>IF('Freeview-Gen Ent'!O24&lt;&gt;0,'Freeview-Gen Ent'!O24,"")</f>
        <v xml:space="preserve">Film4 </v>
      </c>
      <c r="AR22">
        <f t="shared" si="10"/>
        <v>1</v>
      </c>
      <c r="AS22">
        <f>IF($AQ22="","",INDEX('Freeview-Gen Ent'!$M:$O,MATCH($AQ22,'Freeview-Gen Ent'!$O:$O,0),1))</f>
        <v>15</v>
      </c>
      <c r="AT22">
        <f>IF($AQ22="","",INDEX('Freeview-Gen Ent'!$M:$O,MATCH($AQ22,'Freeview-Gen Ent'!$O:$O,0),2))</f>
        <v>15</v>
      </c>
      <c r="AX22">
        <f>IF($AQ22="","",INDEX('Freeview-Gen Ent'!$AC:$AE,MATCH($AQ22,'Freeview-Gen Ent'!$AE:$AE,0),1))</f>
        <v>15</v>
      </c>
      <c r="AY22">
        <f>IF($AQ22="","",INDEX('Freeview-Gen Ent'!$AC:$AE,MATCH($AQ22,'Freeview-Gen Ent'!$AE:$AE,0),2))</f>
        <v>15</v>
      </c>
      <c r="AZ22">
        <f t="shared" si="11"/>
        <v>0</v>
      </c>
      <c r="BA22">
        <f t="shared" si="12"/>
        <v>0</v>
      </c>
      <c r="BE22">
        <f>IF($AQ22="","",INDEX('Freeview-Gen Ent-more than min'!$AC:$AE,MATCH($AQ22,'Freeview-Gen Ent-more than min'!$AE:$AE,0),1))</f>
        <v>16</v>
      </c>
      <c r="BF22">
        <f>IF($AQ22="","",INDEX('Freeview-Gen Ent-more than min'!$AC:$AE,MATCH($AQ22,'Freeview-Gen Ent-more than min'!$AE:$AE,0),2))</f>
        <v>15</v>
      </c>
      <c r="BG22">
        <f t="shared" si="13"/>
        <v>0</v>
      </c>
      <c r="BH22">
        <f t="shared" si="14"/>
        <v>1</v>
      </c>
    </row>
    <row r="23" spans="1:60" x14ac:dyDescent="0.45">
      <c r="A23" t="str">
        <f>IF('Freeview-Gen Ent'!C25&lt;&gt;0,'Freeview-Gen Ent'!C25,"")</f>
        <v>QVC</v>
      </c>
      <c r="B23">
        <f t="shared" si="0"/>
        <v>1</v>
      </c>
      <c r="C23">
        <f>IF($A23="","",INDEX('Freeview-Gen Ent'!$A:$C,MATCH($A23,'Freeview-Gen Ent'!$C:$C,0),1))</f>
        <v>16</v>
      </c>
      <c r="D23">
        <f>IF($A23="","",INDEX('Freeview-Gen Ent'!$A:$C,MATCH($A23,'Freeview-Gen Ent'!$C:$C,0),2))</f>
        <v>15</v>
      </c>
      <c r="H23">
        <f>IF($A23="","",INDEX('Freeview-Gen Ent'!$Q:$S,MATCH($A23,'Freeview-Gen Ent'!$S:$S,0),1))</f>
        <v>16</v>
      </c>
      <c r="I23">
        <f>IF($A23="","",INDEX('Freeview-Gen Ent'!$Q:$S,MATCH($A23,'Freeview-Gen Ent'!$S:$S,0),2))</f>
        <v>15</v>
      </c>
      <c r="J23">
        <f t="shared" si="1"/>
        <v>0</v>
      </c>
      <c r="K23">
        <f t="shared" si="2"/>
        <v>0</v>
      </c>
      <c r="O23">
        <f>IF($A23="","",INDEX('Freeview-Gen Ent-more than min'!$Q:$S,MATCH($A23,'Freeview-Gen Ent-more than min'!$S:$S,0),1))</f>
        <v>17</v>
      </c>
      <c r="P23">
        <f>IF($A23="","",INDEX('Freeview-Gen Ent-more than min'!$Q:$S,MATCH($A23,'Freeview-Gen Ent-more than min'!$S:$S,0),2))</f>
        <v>15</v>
      </c>
      <c r="Q23">
        <f t="shared" si="3"/>
        <v>0</v>
      </c>
      <c r="R23">
        <f t="shared" si="4"/>
        <v>1</v>
      </c>
      <c r="V23" t="str">
        <f>IF('Freeview-Gen Ent'!G25&lt;&gt;0,'Freeview-Gen Ent'!G25,"")</f>
        <v>QVC</v>
      </c>
      <c r="W23">
        <f t="shared" si="5"/>
        <v>1</v>
      </c>
      <c r="X23">
        <f>IF($V23="","",INDEX('Freeview-Gen Ent'!$E:$G,MATCH($V23,'Freeview-Gen Ent'!$G:$G,0),1))</f>
        <v>16</v>
      </c>
      <c r="Y23">
        <f>IF($V23="","",INDEX('Freeview-Gen Ent'!$E:$G,MATCH($V23,'Freeview-Gen Ent'!$G:$G,0),2))</f>
        <v>15</v>
      </c>
      <c r="AC23">
        <f>IF($V23="","",INDEX('Freeview-Gen Ent'!$U:$W,MATCH($V23,'Freeview-Gen Ent'!$W:$W,0),1))</f>
        <v>16</v>
      </c>
      <c r="AD23">
        <f>IF($V23="","",INDEX('Freeview-Gen Ent'!$U:$W,MATCH($V23,'Freeview-Gen Ent'!$W:$W,0),2))</f>
        <v>15</v>
      </c>
      <c r="AE23">
        <f t="shared" si="6"/>
        <v>0</v>
      </c>
      <c r="AF23">
        <f t="shared" si="7"/>
        <v>0</v>
      </c>
      <c r="AJ23">
        <f>IF($V23="","",INDEX('Freeview-Gen Ent-more than min'!$U:$W,MATCH($V23,'Freeview-Gen Ent-more than min'!$W:$W,0),1))</f>
        <v>17</v>
      </c>
      <c r="AK23">
        <f>IF($V23="","",INDEX('Freeview-Gen Ent-more than min'!$U:$W,MATCH($V23,'Freeview-Gen Ent-more than min'!$W:$W,0),2))</f>
        <v>15</v>
      </c>
      <c r="AL23">
        <f t="shared" si="8"/>
        <v>0</v>
      </c>
      <c r="AM23">
        <f t="shared" si="9"/>
        <v>1</v>
      </c>
      <c r="AQ23" t="str">
        <f>IF('Freeview-Gen Ent'!O25&lt;&gt;0,'Freeview-Gen Ent'!O25,"")</f>
        <v>QVC</v>
      </c>
      <c r="AR23">
        <f t="shared" si="10"/>
        <v>1</v>
      </c>
      <c r="AS23">
        <f>IF($AQ23="","",INDEX('Freeview-Gen Ent'!$M:$O,MATCH($AQ23,'Freeview-Gen Ent'!$O:$O,0),1))</f>
        <v>16</v>
      </c>
      <c r="AT23">
        <f>IF($AQ23="","",INDEX('Freeview-Gen Ent'!$M:$O,MATCH($AQ23,'Freeview-Gen Ent'!$O:$O,0),2))</f>
        <v>16</v>
      </c>
      <c r="AX23">
        <f>IF($AQ23="","",INDEX('Freeview-Gen Ent'!$AC:$AE,MATCH($AQ23,'Freeview-Gen Ent'!$AE:$AE,0),1))</f>
        <v>16</v>
      </c>
      <c r="AY23">
        <f>IF($AQ23="","",INDEX('Freeview-Gen Ent'!$AC:$AE,MATCH($AQ23,'Freeview-Gen Ent'!$AE:$AE,0),2))</f>
        <v>16</v>
      </c>
      <c r="AZ23">
        <f t="shared" si="11"/>
        <v>0</v>
      </c>
      <c r="BA23">
        <f t="shared" si="12"/>
        <v>0</v>
      </c>
      <c r="BE23">
        <f>IF($AQ23="","",INDEX('Freeview-Gen Ent-more than min'!$AC:$AE,MATCH($AQ23,'Freeview-Gen Ent-more than min'!$AE:$AE,0),1))</f>
        <v>17</v>
      </c>
      <c r="BF23">
        <f>IF($AQ23="","",INDEX('Freeview-Gen Ent-more than min'!$AC:$AE,MATCH($AQ23,'Freeview-Gen Ent-more than min'!$AE:$AE,0),2))</f>
        <v>16</v>
      </c>
      <c r="BG23">
        <f t="shared" si="13"/>
        <v>0</v>
      </c>
      <c r="BH23">
        <f t="shared" si="14"/>
        <v>1</v>
      </c>
    </row>
    <row r="24" spans="1:60" x14ac:dyDescent="0.45">
      <c r="A24" t="str">
        <f>IF('Freeview-Gen Ent'!C26&lt;&gt;0,'Freeview-Gen Ent'!C26,"")</f>
        <v>Really</v>
      </c>
      <c r="B24">
        <f t="shared" si="0"/>
        <v>1</v>
      </c>
      <c r="C24">
        <f>IF($A24="","",INDEX('Freeview-Gen Ent'!$A:$C,MATCH($A24,'Freeview-Gen Ent'!$C:$C,0),1))</f>
        <v>17</v>
      </c>
      <c r="D24">
        <f>IF($A24="","",INDEX('Freeview-Gen Ent'!$A:$C,MATCH($A24,'Freeview-Gen Ent'!$C:$C,0),2))</f>
        <v>16</v>
      </c>
      <c r="H24">
        <f>IF($A24="","",INDEX('Freeview-Gen Ent'!$Q:$S,MATCH($A24,'Freeview-Gen Ent'!$S:$S,0),1))</f>
        <v>17</v>
      </c>
      <c r="I24">
        <f>IF($A24="","",INDEX('Freeview-Gen Ent'!$Q:$S,MATCH($A24,'Freeview-Gen Ent'!$S:$S,0),2))</f>
        <v>16</v>
      </c>
      <c r="J24">
        <f t="shared" si="1"/>
        <v>0</v>
      </c>
      <c r="K24">
        <f t="shared" si="2"/>
        <v>0</v>
      </c>
      <c r="O24">
        <f>IF($A24="","",INDEX('Freeview-Gen Ent-more than min'!$Q:$S,MATCH($A24,'Freeview-Gen Ent-more than min'!$S:$S,0),1))</f>
        <v>18</v>
      </c>
      <c r="P24">
        <f>IF($A24="","",INDEX('Freeview-Gen Ent-more than min'!$Q:$S,MATCH($A24,'Freeview-Gen Ent-more than min'!$S:$S,0),2))</f>
        <v>16</v>
      </c>
      <c r="Q24">
        <f t="shared" si="3"/>
        <v>0</v>
      </c>
      <c r="R24">
        <f t="shared" si="4"/>
        <v>1</v>
      </c>
      <c r="V24" t="str">
        <f>IF('Freeview-Gen Ent'!G26&lt;&gt;0,'Freeview-Gen Ent'!G26,"")</f>
        <v>Really</v>
      </c>
      <c r="W24">
        <f t="shared" si="5"/>
        <v>1</v>
      </c>
      <c r="X24">
        <f>IF($V24="","",INDEX('Freeview-Gen Ent'!$E:$G,MATCH($V24,'Freeview-Gen Ent'!$G:$G,0),1))</f>
        <v>17</v>
      </c>
      <c r="Y24">
        <f>IF($V24="","",INDEX('Freeview-Gen Ent'!$E:$G,MATCH($V24,'Freeview-Gen Ent'!$G:$G,0),2))</f>
        <v>16</v>
      </c>
      <c r="AC24">
        <f>IF($V24="","",INDEX('Freeview-Gen Ent'!$U:$W,MATCH($V24,'Freeview-Gen Ent'!$W:$W,0),1))</f>
        <v>17</v>
      </c>
      <c r="AD24">
        <f>IF($V24="","",INDEX('Freeview-Gen Ent'!$U:$W,MATCH($V24,'Freeview-Gen Ent'!$W:$W,0),2))</f>
        <v>16</v>
      </c>
      <c r="AE24">
        <f t="shared" si="6"/>
        <v>0</v>
      </c>
      <c r="AF24">
        <f t="shared" si="7"/>
        <v>0</v>
      </c>
      <c r="AJ24">
        <f>IF($V24="","",INDEX('Freeview-Gen Ent-more than min'!$U:$W,MATCH($V24,'Freeview-Gen Ent-more than min'!$W:$W,0),1))</f>
        <v>18</v>
      </c>
      <c r="AK24">
        <f>IF($V24="","",INDEX('Freeview-Gen Ent-more than min'!$U:$W,MATCH($V24,'Freeview-Gen Ent-more than min'!$W:$W,0),2))</f>
        <v>16</v>
      </c>
      <c r="AL24">
        <f t="shared" si="8"/>
        <v>0</v>
      </c>
      <c r="AM24">
        <f t="shared" si="9"/>
        <v>1</v>
      </c>
      <c r="AQ24" t="str">
        <f>IF('Freeview-Gen Ent'!O26&lt;&gt;0,'Freeview-Gen Ent'!O26,"")</f>
        <v>Really</v>
      </c>
      <c r="AR24">
        <f t="shared" si="10"/>
        <v>1</v>
      </c>
      <c r="AS24">
        <f>IF($AQ24="","",INDEX('Freeview-Gen Ent'!$M:$O,MATCH($AQ24,'Freeview-Gen Ent'!$O:$O,0),1))</f>
        <v>17</v>
      </c>
      <c r="AT24">
        <f>IF($AQ24="","",INDEX('Freeview-Gen Ent'!$M:$O,MATCH($AQ24,'Freeview-Gen Ent'!$O:$O,0),2))</f>
        <v>17</v>
      </c>
      <c r="AX24">
        <f>IF($AQ24="","",INDEX('Freeview-Gen Ent'!$AC:$AE,MATCH($AQ24,'Freeview-Gen Ent'!$AE:$AE,0),1))</f>
        <v>17</v>
      </c>
      <c r="AY24">
        <f>IF($AQ24="","",INDEX('Freeview-Gen Ent'!$AC:$AE,MATCH($AQ24,'Freeview-Gen Ent'!$AE:$AE,0),2))</f>
        <v>17</v>
      </c>
      <c r="AZ24">
        <f t="shared" si="11"/>
        <v>0</v>
      </c>
      <c r="BA24">
        <f t="shared" si="12"/>
        <v>0</v>
      </c>
      <c r="BE24">
        <f>IF($AQ24="","",INDEX('Freeview-Gen Ent-more than min'!$AC:$AE,MATCH($AQ24,'Freeview-Gen Ent-more than min'!$AE:$AE,0),1))</f>
        <v>18</v>
      </c>
      <c r="BF24">
        <f>IF($AQ24="","",INDEX('Freeview-Gen Ent-more than min'!$AC:$AE,MATCH($AQ24,'Freeview-Gen Ent-more than min'!$AE:$AE,0),2))</f>
        <v>17</v>
      </c>
      <c r="BG24">
        <f t="shared" si="13"/>
        <v>0</v>
      </c>
      <c r="BH24">
        <f t="shared" si="14"/>
        <v>1</v>
      </c>
    </row>
    <row r="25" spans="1:60" x14ac:dyDescent="0.45">
      <c r="A25" t="str">
        <f>IF('Freeview-Gen Ent'!C27&lt;&gt;0,'Freeview-Gen Ent'!C27,"")</f>
        <v>4Music</v>
      </c>
      <c r="B25">
        <f t="shared" si="0"/>
        <v>1</v>
      </c>
      <c r="C25">
        <f>IF($A25="","",INDEX('Freeview-Gen Ent'!$A:$C,MATCH($A25,'Freeview-Gen Ent'!$C:$C,0),1))</f>
        <v>18</v>
      </c>
      <c r="D25">
        <f>IF($A25="","",INDEX('Freeview-Gen Ent'!$A:$C,MATCH($A25,'Freeview-Gen Ent'!$C:$C,0),2))</f>
        <v>17</v>
      </c>
      <c r="H25">
        <f>IF($A25="","",INDEX('Freeview-Gen Ent'!$Q:$S,MATCH($A25,'Freeview-Gen Ent'!$S:$S,0),1))</f>
        <v>18</v>
      </c>
      <c r="I25">
        <f>IF($A25="","",INDEX('Freeview-Gen Ent'!$Q:$S,MATCH($A25,'Freeview-Gen Ent'!$S:$S,0),2))</f>
        <v>17</v>
      </c>
      <c r="J25">
        <f t="shared" si="1"/>
        <v>0</v>
      </c>
      <c r="K25">
        <f t="shared" si="2"/>
        <v>0</v>
      </c>
      <c r="O25">
        <f>IF($A25="","",INDEX('Freeview-Gen Ent-more than min'!$Q:$S,MATCH($A25,'Freeview-Gen Ent-more than min'!$S:$S,0),1))</f>
        <v>19</v>
      </c>
      <c r="P25">
        <f>IF($A25="","",INDEX('Freeview-Gen Ent-more than min'!$Q:$S,MATCH($A25,'Freeview-Gen Ent-more than min'!$S:$S,0),2))</f>
        <v>17</v>
      </c>
      <c r="Q25">
        <f t="shared" si="3"/>
        <v>0</v>
      </c>
      <c r="R25">
        <f t="shared" si="4"/>
        <v>1</v>
      </c>
      <c r="V25" t="str">
        <f>IF('Freeview-Gen Ent'!G27&lt;&gt;0,'Freeview-Gen Ent'!G27,"")</f>
        <v>4Music</v>
      </c>
      <c r="W25">
        <f t="shared" si="5"/>
        <v>1</v>
      </c>
      <c r="X25">
        <f>IF($V25="","",INDEX('Freeview-Gen Ent'!$E:$G,MATCH($V25,'Freeview-Gen Ent'!$G:$G,0),1))</f>
        <v>18</v>
      </c>
      <c r="Y25">
        <f>IF($V25="","",INDEX('Freeview-Gen Ent'!$E:$G,MATCH($V25,'Freeview-Gen Ent'!$G:$G,0),2))</f>
        <v>17</v>
      </c>
      <c r="AC25">
        <f>IF($V25="","",INDEX('Freeview-Gen Ent'!$U:$W,MATCH($V25,'Freeview-Gen Ent'!$W:$W,0),1))</f>
        <v>18</v>
      </c>
      <c r="AD25">
        <f>IF($V25="","",INDEX('Freeview-Gen Ent'!$U:$W,MATCH($V25,'Freeview-Gen Ent'!$W:$W,0),2))</f>
        <v>17</v>
      </c>
      <c r="AE25">
        <f t="shared" si="6"/>
        <v>0</v>
      </c>
      <c r="AF25">
        <f t="shared" si="7"/>
        <v>0</v>
      </c>
      <c r="AJ25">
        <f>IF($V25="","",INDEX('Freeview-Gen Ent-more than min'!$U:$W,MATCH($V25,'Freeview-Gen Ent-more than min'!$W:$W,0),1))</f>
        <v>19</v>
      </c>
      <c r="AK25">
        <f>IF($V25="","",INDEX('Freeview-Gen Ent-more than min'!$U:$W,MATCH($V25,'Freeview-Gen Ent-more than min'!$W:$W,0),2))</f>
        <v>17</v>
      </c>
      <c r="AL25">
        <f t="shared" si="8"/>
        <v>0</v>
      </c>
      <c r="AM25">
        <f t="shared" si="9"/>
        <v>1</v>
      </c>
      <c r="AQ25" t="str">
        <f>IF('Freeview-Gen Ent'!O27&lt;&gt;0,'Freeview-Gen Ent'!O27,"")</f>
        <v>4Music</v>
      </c>
      <c r="AR25">
        <f t="shared" si="10"/>
        <v>1</v>
      </c>
      <c r="AS25">
        <f>IF($AQ25="","",INDEX('Freeview-Gen Ent'!$M:$O,MATCH($AQ25,'Freeview-Gen Ent'!$O:$O,0),1))</f>
        <v>18</v>
      </c>
      <c r="AT25">
        <f>IF($AQ25="","",INDEX('Freeview-Gen Ent'!$M:$O,MATCH($AQ25,'Freeview-Gen Ent'!$O:$O,0),2))</f>
        <v>18</v>
      </c>
      <c r="AX25">
        <f>IF($AQ25="","",INDEX('Freeview-Gen Ent'!$AC:$AE,MATCH($AQ25,'Freeview-Gen Ent'!$AE:$AE,0),1))</f>
        <v>18</v>
      </c>
      <c r="AY25">
        <f>IF($AQ25="","",INDEX('Freeview-Gen Ent'!$AC:$AE,MATCH($AQ25,'Freeview-Gen Ent'!$AE:$AE,0),2))</f>
        <v>18</v>
      </c>
      <c r="AZ25">
        <f t="shared" si="11"/>
        <v>0</v>
      </c>
      <c r="BA25">
        <f t="shared" si="12"/>
        <v>0</v>
      </c>
      <c r="BE25">
        <f>IF($AQ25="","",INDEX('Freeview-Gen Ent-more than min'!$AC:$AE,MATCH($AQ25,'Freeview-Gen Ent-more than min'!$AE:$AE,0),1))</f>
        <v>19</v>
      </c>
      <c r="BF25">
        <f>IF($AQ25="","",INDEX('Freeview-Gen Ent-more than min'!$AC:$AE,MATCH($AQ25,'Freeview-Gen Ent-more than min'!$AE:$AE,0),2))</f>
        <v>18</v>
      </c>
      <c r="BG25">
        <f t="shared" si="13"/>
        <v>0</v>
      </c>
      <c r="BH25">
        <f t="shared" si="14"/>
        <v>1</v>
      </c>
    </row>
    <row r="26" spans="1:60" x14ac:dyDescent="0.45">
      <c r="A26" t="str">
        <f>IF('Freeview-Gen Ent'!C28&lt;&gt;0,'Freeview-Gen Ent'!C28,"")</f>
        <v>Yesterday</v>
      </c>
      <c r="B26">
        <f t="shared" si="0"/>
        <v>1</v>
      </c>
      <c r="C26">
        <f>IF($A26="","",INDEX('Freeview-Gen Ent'!$A:$C,MATCH($A26,'Freeview-Gen Ent'!$C:$C,0),1))</f>
        <v>19</v>
      </c>
      <c r="D26">
        <f>IF($A26="","",INDEX('Freeview-Gen Ent'!$A:$C,MATCH($A26,'Freeview-Gen Ent'!$C:$C,0),2))</f>
        <v>18</v>
      </c>
      <c r="H26">
        <f>IF($A26="","",INDEX('Freeview-Gen Ent'!$Q:$S,MATCH($A26,'Freeview-Gen Ent'!$S:$S,0),1))</f>
        <v>19</v>
      </c>
      <c r="I26">
        <f>IF($A26="","",INDEX('Freeview-Gen Ent'!$Q:$S,MATCH($A26,'Freeview-Gen Ent'!$S:$S,0),2))</f>
        <v>18</v>
      </c>
      <c r="J26">
        <f t="shared" si="1"/>
        <v>0</v>
      </c>
      <c r="K26">
        <f t="shared" si="2"/>
        <v>0</v>
      </c>
      <c r="O26">
        <f>IF($A26="","",INDEX('Freeview-Gen Ent-more than min'!$Q:$S,MATCH($A26,'Freeview-Gen Ent-more than min'!$S:$S,0),1))</f>
        <v>20</v>
      </c>
      <c r="P26">
        <f>IF($A26="","",INDEX('Freeview-Gen Ent-more than min'!$Q:$S,MATCH($A26,'Freeview-Gen Ent-more than min'!$S:$S,0),2))</f>
        <v>18</v>
      </c>
      <c r="Q26">
        <f t="shared" si="3"/>
        <v>0</v>
      </c>
      <c r="R26">
        <f t="shared" si="4"/>
        <v>1</v>
      </c>
      <c r="V26" t="str">
        <f>IF('Freeview-Gen Ent'!G28&lt;&gt;0,'Freeview-Gen Ent'!G28,"")</f>
        <v>Yesterday</v>
      </c>
      <c r="W26">
        <f t="shared" si="5"/>
        <v>1</v>
      </c>
      <c r="X26">
        <f>IF($V26="","",INDEX('Freeview-Gen Ent'!$E:$G,MATCH($V26,'Freeview-Gen Ent'!$G:$G,0),1))</f>
        <v>19</v>
      </c>
      <c r="Y26">
        <f>IF($V26="","",INDEX('Freeview-Gen Ent'!$E:$G,MATCH($V26,'Freeview-Gen Ent'!$G:$G,0),2))</f>
        <v>18</v>
      </c>
      <c r="AC26">
        <f>IF($V26="","",INDEX('Freeview-Gen Ent'!$U:$W,MATCH($V26,'Freeview-Gen Ent'!$W:$W,0),1))</f>
        <v>19</v>
      </c>
      <c r="AD26">
        <f>IF($V26="","",INDEX('Freeview-Gen Ent'!$U:$W,MATCH($V26,'Freeview-Gen Ent'!$W:$W,0),2))</f>
        <v>18</v>
      </c>
      <c r="AE26">
        <f t="shared" si="6"/>
        <v>0</v>
      </c>
      <c r="AF26">
        <f t="shared" si="7"/>
        <v>0</v>
      </c>
      <c r="AJ26">
        <f>IF($V26="","",INDEX('Freeview-Gen Ent-more than min'!$U:$W,MATCH($V26,'Freeview-Gen Ent-more than min'!$W:$W,0),1))</f>
        <v>20</v>
      </c>
      <c r="AK26">
        <f>IF($V26="","",INDEX('Freeview-Gen Ent-more than min'!$U:$W,MATCH($V26,'Freeview-Gen Ent-more than min'!$W:$W,0),2))</f>
        <v>18</v>
      </c>
      <c r="AL26">
        <f t="shared" si="8"/>
        <v>0</v>
      </c>
      <c r="AM26">
        <f t="shared" si="9"/>
        <v>1</v>
      </c>
      <c r="AQ26" t="str">
        <f>IF('Freeview-Gen Ent'!O28&lt;&gt;0,'Freeview-Gen Ent'!O28,"")</f>
        <v>Yesterday</v>
      </c>
      <c r="AR26">
        <f t="shared" si="10"/>
        <v>1</v>
      </c>
      <c r="AS26">
        <f>IF($AQ26="","",INDEX('Freeview-Gen Ent'!$M:$O,MATCH($AQ26,'Freeview-Gen Ent'!$O:$O,0),1))</f>
        <v>19</v>
      </c>
      <c r="AT26">
        <f>IF($AQ26="","",INDEX('Freeview-Gen Ent'!$M:$O,MATCH($AQ26,'Freeview-Gen Ent'!$O:$O,0),2))</f>
        <v>19</v>
      </c>
      <c r="AX26">
        <f>IF($AQ26="","",INDEX('Freeview-Gen Ent'!$AC:$AE,MATCH($AQ26,'Freeview-Gen Ent'!$AE:$AE,0),1))</f>
        <v>19</v>
      </c>
      <c r="AY26">
        <f>IF($AQ26="","",INDEX('Freeview-Gen Ent'!$AC:$AE,MATCH($AQ26,'Freeview-Gen Ent'!$AE:$AE,0),2))</f>
        <v>19</v>
      </c>
      <c r="AZ26">
        <f t="shared" si="11"/>
        <v>0</v>
      </c>
      <c r="BA26">
        <f t="shared" si="12"/>
        <v>0</v>
      </c>
      <c r="BE26">
        <f>IF($AQ26="","",INDEX('Freeview-Gen Ent-more than min'!$AC:$AE,MATCH($AQ26,'Freeview-Gen Ent-more than min'!$AE:$AE,0),1))</f>
        <v>20</v>
      </c>
      <c r="BF26">
        <f>IF($AQ26="","",INDEX('Freeview-Gen Ent-more than min'!$AC:$AE,MATCH($AQ26,'Freeview-Gen Ent-more than min'!$AE:$AE,0),2))</f>
        <v>19</v>
      </c>
      <c r="BG26">
        <f t="shared" si="13"/>
        <v>0</v>
      </c>
      <c r="BH26">
        <f t="shared" si="14"/>
        <v>1</v>
      </c>
    </row>
    <row r="27" spans="1:60" x14ac:dyDescent="0.45">
      <c r="A27" t="str">
        <f>IF('Freeview-Gen Ent'!C29&lt;&gt;0,'Freeview-Gen Ent'!C29,"")</f>
        <v>Drama</v>
      </c>
      <c r="B27">
        <f t="shared" si="0"/>
        <v>1</v>
      </c>
      <c r="C27">
        <f>IF($A27="","",INDEX('Freeview-Gen Ent'!$A:$C,MATCH($A27,'Freeview-Gen Ent'!$C:$C,0),1))</f>
        <v>20</v>
      </c>
      <c r="D27">
        <f>IF($A27="","",INDEX('Freeview-Gen Ent'!$A:$C,MATCH($A27,'Freeview-Gen Ent'!$C:$C,0),2))</f>
        <v>19</v>
      </c>
      <c r="H27">
        <f>IF($A27="","",INDEX('Freeview-Gen Ent'!$Q:$S,MATCH($A27,'Freeview-Gen Ent'!$S:$S,0),1))</f>
        <v>20</v>
      </c>
      <c r="I27">
        <f>IF($A27="","",INDEX('Freeview-Gen Ent'!$Q:$S,MATCH($A27,'Freeview-Gen Ent'!$S:$S,0),2))</f>
        <v>19</v>
      </c>
      <c r="J27">
        <f t="shared" si="1"/>
        <v>0</v>
      </c>
      <c r="K27">
        <f t="shared" si="2"/>
        <v>0</v>
      </c>
      <c r="O27">
        <f>IF($A27="","",INDEX('Freeview-Gen Ent-more than min'!$Q:$S,MATCH($A27,'Freeview-Gen Ent-more than min'!$S:$S,0),1))</f>
        <v>21</v>
      </c>
      <c r="P27">
        <f>IF($A27="","",INDEX('Freeview-Gen Ent-more than min'!$Q:$S,MATCH($A27,'Freeview-Gen Ent-more than min'!$S:$S,0),2))</f>
        <v>19</v>
      </c>
      <c r="Q27">
        <f t="shared" si="3"/>
        <v>0</v>
      </c>
      <c r="R27">
        <f t="shared" si="4"/>
        <v>1</v>
      </c>
      <c r="V27" t="str">
        <f>IF('Freeview-Gen Ent'!G29&lt;&gt;0,'Freeview-Gen Ent'!G29,"")</f>
        <v>Drama</v>
      </c>
      <c r="W27">
        <f t="shared" si="5"/>
        <v>1</v>
      </c>
      <c r="X27">
        <f>IF($V27="","",INDEX('Freeview-Gen Ent'!$E:$G,MATCH($V27,'Freeview-Gen Ent'!$G:$G,0),1))</f>
        <v>20</v>
      </c>
      <c r="Y27">
        <f>IF($V27="","",INDEX('Freeview-Gen Ent'!$E:$G,MATCH($V27,'Freeview-Gen Ent'!$G:$G,0),2))</f>
        <v>19</v>
      </c>
      <c r="AC27">
        <f>IF($V27="","",INDEX('Freeview-Gen Ent'!$U:$W,MATCH($V27,'Freeview-Gen Ent'!$W:$W,0),1))</f>
        <v>20</v>
      </c>
      <c r="AD27">
        <f>IF($V27="","",INDEX('Freeview-Gen Ent'!$U:$W,MATCH($V27,'Freeview-Gen Ent'!$W:$W,0),2))</f>
        <v>19</v>
      </c>
      <c r="AE27">
        <f t="shared" si="6"/>
        <v>0</v>
      </c>
      <c r="AF27">
        <f t="shared" si="7"/>
        <v>0</v>
      </c>
      <c r="AJ27">
        <f>IF($V27="","",INDEX('Freeview-Gen Ent-more than min'!$U:$W,MATCH($V27,'Freeview-Gen Ent-more than min'!$W:$W,0),1))</f>
        <v>21</v>
      </c>
      <c r="AK27">
        <f>IF($V27="","",INDEX('Freeview-Gen Ent-more than min'!$U:$W,MATCH($V27,'Freeview-Gen Ent-more than min'!$W:$W,0),2))</f>
        <v>19</v>
      </c>
      <c r="AL27">
        <f t="shared" si="8"/>
        <v>0</v>
      </c>
      <c r="AM27">
        <f t="shared" si="9"/>
        <v>1</v>
      </c>
      <c r="AQ27" t="str">
        <f>IF('Freeview-Gen Ent'!O29&lt;&gt;0,'Freeview-Gen Ent'!O29,"")</f>
        <v>Drama</v>
      </c>
      <c r="AR27">
        <f t="shared" si="10"/>
        <v>1</v>
      </c>
      <c r="AS27">
        <f>IF($AQ27="","",INDEX('Freeview-Gen Ent'!$M:$O,MATCH($AQ27,'Freeview-Gen Ent'!$O:$O,0),1))</f>
        <v>20</v>
      </c>
      <c r="AT27">
        <f>IF($AQ27="","",INDEX('Freeview-Gen Ent'!$M:$O,MATCH($AQ27,'Freeview-Gen Ent'!$O:$O,0),2))</f>
        <v>20</v>
      </c>
      <c r="AX27">
        <f>IF($AQ27="","",INDEX('Freeview-Gen Ent'!$AC:$AE,MATCH($AQ27,'Freeview-Gen Ent'!$AE:$AE,0),1))</f>
        <v>20</v>
      </c>
      <c r="AY27">
        <f>IF($AQ27="","",INDEX('Freeview-Gen Ent'!$AC:$AE,MATCH($AQ27,'Freeview-Gen Ent'!$AE:$AE,0),2))</f>
        <v>20</v>
      </c>
      <c r="AZ27">
        <f t="shared" si="11"/>
        <v>0</v>
      </c>
      <c r="BA27">
        <f t="shared" si="12"/>
        <v>0</v>
      </c>
      <c r="BE27">
        <f>IF($AQ27="","",INDEX('Freeview-Gen Ent-more than min'!$AC:$AE,MATCH($AQ27,'Freeview-Gen Ent-more than min'!$AE:$AE,0),1))</f>
        <v>21</v>
      </c>
      <c r="BF27">
        <f>IF($AQ27="","",INDEX('Freeview-Gen Ent-more than min'!$AC:$AE,MATCH($AQ27,'Freeview-Gen Ent-more than min'!$AE:$AE,0),2))</f>
        <v>20</v>
      </c>
      <c r="BG27">
        <f t="shared" si="13"/>
        <v>0</v>
      </c>
      <c r="BH27">
        <f t="shared" si="14"/>
        <v>1</v>
      </c>
    </row>
    <row r="28" spans="1:60" x14ac:dyDescent="0.45">
      <c r="A28" t="str">
        <f>IF('Freeview-Gen Ent'!C30&lt;&gt;0,'Freeview-Gen Ent'!C30,"")</f>
        <v>5USA</v>
      </c>
      <c r="B28">
        <f t="shared" si="0"/>
        <v>1</v>
      </c>
      <c r="C28">
        <f>IF($A28="","",INDEX('Freeview-Gen Ent'!$A:$C,MATCH($A28,'Freeview-Gen Ent'!$C:$C,0),1))</f>
        <v>21</v>
      </c>
      <c r="D28">
        <f>IF($A28="","",INDEX('Freeview-Gen Ent'!$A:$C,MATCH($A28,'Freeview-Gen Ent'!$C:$C,0),2))</f>
        <v>20</v>
      </c>
      <c r="H28">
        <f>IF($A28="","",INDEX('Freeview-Gen Ent'!$Q:$S,MATCH($A28,'Freeview-Gen Ent'!$S:$S,0),1))</f>
        <v>21</v>
      </c>
      <c r="I28">
        <f>IF($A28="","",INDEX('Freeview-Gen Ent'!$Q:$S,MATCH($A28,'Freeview-Gen Ent'!$S:$S,0),2))</f>
        <v>20</v>
      </c>
      <c r="J28">
        <f t="shared" si="1"/>
        <v>0</v>
      </c>
      <c r="K28">
        <f t="shared" si="2"/>
        <v>0</v>
      </c>
      <c r="O28">
        <f>IF($A28="","",INDEX('Freeview-Gen Ent-more than min'!$Q:$S,MATCH($A28,'Freeview-Gen Ent-more than min'!$S:$S,0),1))</f>
        <v>22</v>
      </c>
      <c r="P28">
        <f>IF($A28="","",INDEX('Freeview-Gen Ent-more than min'!$Q:$S,MATCH($A28,'Freeview-Gen Ent-more than min'!$S:$S,0),2))</f>
        <v>20</v>
      </c>
      <c r="Q28">
        <f t="shared" si="3"/>
        <v>0</v>
      </c>
      <c r="R28">
        <f t="shared" si="4"/>
        <v>1</v>
      </c>
      <c r="V28" t="str">
        <f>IF('Freeview-Gen Ent'!G30&lt;&gt;0,'Freeview-Gen Ent'!G30,"")</f>
        <v>5USA</v>
      </c>
      <c r="W28">
        <f t="shared" si="5"/>
        <v>1</v>
      </c>
      <c r="X28">
        <f>IF($V28="","",INDEX('Freeview-Gen Ent'!$E:$G,MATCH($V28,'Freeview-Gen Ent'!$G:$G,0),1))</f>
        <v>21</v>
      </c>
      <c r="Y28">
        <f>IF($V28="","",INDEX('Freeview-Gen Ent'!$E:$G,MATCH($V28,'Freeview-Gen Ent'!$G:$G,0),2))</f>
        <v>20</v>
      </c>
      <c r="AC28">
        <f>IF($V28="","",INDEX('Freeview-Gen Ent'!$U:$W,MATCH($V28,'Freeview-Gen Ent'!$W:$W,0),1))</f>
        <v>21</v>
      </c>
      <c r="AD28">
        <f>IF($V28="","",INDEX('Freeview-Gen Ent'!$U:$W,MATCH($V28,'Freeview-Gen Ent'!$W:$W,0),2))</f>
        <v>20</v>
      </c>
      <c r="AE28">
        <f t="shared" si="6"/>
        <v>0</v>
      </c>
      <c r="AF28">
        <f t="shared" si="7"/>
        <v>0</v>
      </c>
      <c r="AJ28">
        <f>IF($V28="","",INDEX('Freeview-Gen Ent-more than min'!$U:$W,MATCH($V28,'Freeview-Gen Ent-more than min'!$W:$W,0),1))</f>
        <v>22</v>
      </c>
      <c r="AK28">
        <f>IF($V28="","",INDEX('Freeview-Gen Ent-more than min'!$U:$W,MATCH($V28,'Freeview-Gen Ent-more than min'!$W:$W,0),2))</f>
        <v>20</v>
      </c>
      <c r="AL28">
        <f t="shared" si="8"/>
        <v>0</v>
      </c>
      <c r="AM28">
        <f t="shared" si="9"/>
        <v>1</v>
      </c>
      <c r="AQ28" t="str">
        <f>IF('Freeview-Gen Ent'!O30&lt;&gt;0,'Freeview-Gen Ent'!O30,"")</f>
        <v>5USA</v>
      </c>
      <c r="AR28">
        <f t="shared" si="10"/>
        <v>1</v>
      </c>
      <c r="AS28">
        <f>IF($AQ28="","",INDEX('Freeview-Gen Ent'!$M:$O,MATCH($AQ28,'Freeview-Gen Ent'!$O:$O,0),1))</f>
        <v>21</v>
      </c>
      <c r="AT28">
        <f>IF($AQ28="","",INDEX('Freeview-Gen Ent'!$M:$O,MATCH($AQ28,'Freeview-Gen Ent'!$O:$O,0),2))</f>
        <v>21</v>
      </c>
      <c r="AX28">
        <f>IF($AQ28="","",INDEX('Freeview-Gen Ent'!$AC:$AE,MATCH($AQ28,'Freeview-Gen Ent'!$AE:$AE,0),1))</f>
        <v>21</v>
      </c>
      <c r="AY28">
        <f>IF($AQ28="","",INDEX('Freeview-Gen Ent'!$AC:$AE,MATCH($AQ28,'Freeview-Gen Ent'!$AE:$AE,0),2))</f>
        <v>21</v>
      </c>
      <c r="AZ28">
        <f t="shared" si="11"/>
        <v>0</v>
      </c>
      <c r="BA28">
        <f t="shared" si="12"/>
        <v>0</v>
      </c>
      <c r="BE28">
        <f>IF($AQ28="","",INDEX('Freeview-Gen Ent-more than min'!$AC:$AE,MATCH($AQ28,'Freeview-Gen Ent-more than min'!$AE:$AE,0),1))</f>
        <v>22</v>
      </c>
      <c r="BF28">
        <f>IF($AQ28="","",INDEX('Freeview-Gen Ent-more than min'!$AC:$AE,MATCH($AQ28,'Freeview-Gen Ent-more than min'!$AE:$AE,0),2))</f>
        <v>21</v>
      </c>
      <c r="BG28">
        <f t="shared" si="13"/>
        <v>0</v>
      </c>
      <c r="BH28">
        <f t="shared" si="14"/>
        <v>1</v>
      </c>
    </row>
    <row r="29" spans="1:60" x14ac:dyDescent="0.45">
      <c r="A29" t="str">
        <f>IF('Freeview-Gen Ent'!C31&lt;&gt;0,'Freeview-Gen Ent'!C31,"")</f>
        <v>Ideal World</v>
      </c>
      <c r="B29">
        <f t="shared" si="0"/>
        <v>1</v>
      </c>
      <c r="C29">
        <f>IF($A29="","",INDEX('Freeview-Gen Ent'!$A:$C,MATCH($A29,'Freeview-Gen Ent'!$C:$C,0),1))</f>
        <v>22</v>
      </c>
      <c r="D29">
        <f>IF($A29="","",INDEX('Freeview-Gen Ent'!$A:$C,MATCH($A29,'Freeview-Gen Ent'!$C:$C,0),2))</f>
        <v>21</v>
      </c>
      <c r="H29">
        <f>IF($A29="","",INDEX('Freeview-Gen Ent'!$Q:$S,MATCH($A29,'Freeview-Gen Ent'!$S:$S,0),1))</f>
        <v>22</v>
      </c>
      <c r="I29">
        <f>IF($A29="","",INDEX('Freeview-Gen Ent'!$Q:$S,MATCH($A29,'Freeview-Gen Ent'!$S:$S,0),2))</f>
        <v>21</v>
      </c>
      <c r="J29">
        <f t="shared" si="1"/>
        <v>0</v>
      </c>
      <c r="K29">
        <f t="shared" si="2"/>
        <v>0</v>
      </c>
      <c r="O29">
        <f>IF($A29="","",INDEX('Freeview-Gen Ent-more than min'!$Q:$S,MATCH($A29,'Freeview-Gen Ent-more than min'!$S:$S,0),1))</f>
        <v>23</v>
      </c>
      <c r="P29">
        <f>IF($A29="","",INDEX('Freeview-Gen Ent-more than min'!$Q:$S,MATCH($A29,'Freeview-Gen Ent-more than min'!$S:$S,0),2))</f>
        <v>21</v>
      </c>
      <c r="Q29">
        <f t="shared" si="3"/>
        <v>0</v>
      </c>
      <c r="R29">
        <f t="shared" si="4"/>
        <v>1</v>
      </c>
      <c r="V29" t="str">
        <f>IF('Freeview-Gen Ent'!G31&lt;&gt;0,'Freeview-Gen Ent'!G31,"")</f>
        <v>Ideal World</v>
      </c>
      <c r="W29">
        <f t="shared" si="5"/>
        <v>1</v>
      </c>
      <c r="X29">
        <f>IF($V29="","",INDEX('Freeview-Gen Ent'!$E:$G,MATCH($V29,'Freeview-Gen Ent'!$G:$G,0),1))</f>
        <v>22</v>
      </c>
      <c r="Y29">
        <f>IF($V29="","",INDEX('Freeview-Gen Ent'!$E:$G,MATCH($V29,'Freeview-Gen Ent'!$G:$G,0),2))</f>
        <v>21</v>
      </c>
      <c r="AC29">
        <f>IF($V29="","",INDEX('Freeview-Gen Ent'!$U:$W,MATCH($V29,'Freeview-Gen Ent'!$W:$W,0),1))</f>
        <v>22</v>
      </c>
      <c r="AD29">
        <f>IF($V29="","",INDEX('Freeview-Gen Ent'!$U:$W,MATCH($V29,'Freeview-Gen Ent'!$W:$W,0),2))</f>
        <v>21</v>
      </c>
      <c r="AE29">
        <f t="shared" si="6"/>
        <v>0</v>
      </c>
      <c r="AF29">
        <f t="shared" si="7"/>
        <v>0</v>
      </c>
      <c r="AJ29">
        <f>IF($V29="","",INDEX('Freeview-Gen Ent-more than min'!$U:$W,MATCH($V29,'Freeview-Gen Ent-more than min'!$W:$W,0),1))</f>
        <v>23</v>
      </c>
      <c r="AK29">
        <f>IF($V29="","",INDEX('Freeview-Gen Ent-more than min'!$U:$W,MATCH($V29,'Freeview-Gen Ent-more than min'!$W:$W,0),2))</f>
        <v>21</v>
      </c>
      <c r="AL29">
        <f t="shared" si="8"/>
        <v>0</v>
      </c>
      <c r="AM29">
        <f t="shared" si="9"/>
        <v>1</v>
      </c>
      <c r="AQ29" t="str">
        <f>IF('Freeview-Gen Ent'!O31&lt;&gt;0,'Freeview-Gen Ent'!O31,"")</f>
        <v>Ideal World</v>
      </c>
      <c r="AR29">
        <f t="shared" si="10"/>
        <v>1</v>
      </c>
      <c r="AS29">
        <f>IF($AQ29="","",INDEX('Freeview-Gen Ent'!$M:$O,MATCH($AQ29,'Freeview-Gen Ent'!$O:$O,0),1))</f>
        <v>22</v>
      </c>
      <c r="AT29">
        <f>IF($AQ29="","",INDEX('Freeview-Gen Ent'!$M:$O,MATCH($AQ29,'Freeview-Gen Ent'!$O:$O,0),2))</f>
        <v>22</v>
      </c>
      <c r="AX29">
        <f>IF($AQ29="","",INDEX('Freeview-Gen Ent'!$AC:$AE,MATCH($AQ29,'Freeview-Gen Ent'!$AE:$AE,0),1))</f>
        <v>22</v>
      </c>
      <c r="AY29">
        <f>IF($AQ29="","",INDEX('Freeview-Gen Ent'!$AC:$AE,MATCH($AQ29,'Freeview-Gen Ent'!$AE:$AE,0),2))</f>
        <v>22</v>
      </c>
      <c r="AZ29">
        <f t="shared" si="11"/>
        <v>0</v>
      </c>
      <c r="BA29">
        <f t="shared" si="12"/>
        <v>0</v>
      </c>
      <c r="BE29">
        <f>IF($AQ29="","",INDEX('Freeview-Gen Ent-more than min'!$AC:$AE,MATCH($AQ29,'Freeview-Gen Ent-more than min'!$AE:$AE,0),1))</f>
        <v>23</v>
      </c>
      <c r="BF29">
        <f>IF($AQ29="","",INDEX('Freeview-Gen Ent-more than min'!$AC:$AE,MATCH($AQ29,'Freeview-Gen Ent-more than min'!$AE:$AE,0),2))</f>
        <v>22</v>
      </c>
      <c r="BG29">
        <f t="shared" si="13"/>
        <v>0</v>
      </c>
      <c r="BH29">
        <f t="shared" si="14"/>
        <v>1</v>
      </c>
    </row>
    <row r="30" spans="1:60" x14ac:dyDescent="0.45">
      <c r="A30" t="str">
        <f>IF('Freeview-Gen Ent'!C32&lt;&gt;0,'Freeview-Gen Ent'!C32,"")</f>
        <v>Create and Craft</v>
      </c>
      <c r="B30">
        <f t="shared" si="0"/>
        <v>1</v>
      </c>
      <c r="C30">
        <f>IF($A30="","",INDEX('Freeview-Gen Ent'!$A:$C,MATCH($A30,'Freeview-Gen Ent'!$C:$C,0),1))</f>
        <v>23</v>
      </c>
      <c r="D30">
        <f>IF($A30="","",INDEX('Freeview-Gen Ent'!$A:$C,MATCH($A30,'Freeview-Gen Ent'!$C:$C,0),2))</f>
        <v>22</v>
      </c>
      <c r="H30">
        <f>IF($A30="","",INDEX('Freeview-Gen Ent'!$Q:$S,MATCH($A30,'Freeview-Gen Ent'!$S:$S,0),1))</f>
        <v>23</v>
      </c>
      <c r="I30">
        <f>IF($A30="","",INDEX('Freeview-Gen Ent'!$Q:$S,MATCH($A30,'Freeview-Gen Ent'!$S:$S,0),2))</f>
        <v>22</v>
      </c>
      <c r="J30">
        <f t="shared" si="1"/>
        <v>0</v>
      </c>
      <c r="K30">
        <f t="shared" si="2"/>
        <v>0</v>
      </c>
      <c r="O30">
        <f>IF($A30="","",INDEX('Freeview-Gen Ent-more than min'!$Q:$S,MATCH($A30,'Freeview-Gen Ent-more than min'!$S:$S,0),1))</f>
        <v>24</v>
      </c>
      <c r="P30">
        <f>IF($A30="","",INDEX('Freeview-Gen Ent-more than min'!$Q:$S,MATCH($A30,'Freeview-Gen Ent-more than min'!$S:$S,0),2))</f>
        <v>22</v>
      </c>
      <c r="Q30">
        <f t="shared" si="3"/>
        <v>0</v>
      </c>
      <c r="R30">
        <f t="shared" si="4"/>
        <v>1</v>
      </c>
      <c r="V30" t="str">
        <f>IF('Freeview-Gen Ent'!G32&lt;&gt;0,'Freeview-Gen Ent'!G32,"")</f>
        <v>Create and Craft</v>
      </c>
      <c r="W30">
        <f t="shared" si="5"/>
        <v>1</v>
      </c>
      <c r="X30">
        <f>IF($V30="","",INDEX('Freeview-Gen Ent'!$E:$G,MATCH($V30,'Freeview-Gen Ent'!$G:$G,0),1))</f>
        <v>23</v>
      </c>
      <c r="Y30">
        <f>IF($V30="","",INDEX('Freeview-Gen Ent'!$E:$G,MATCH($V30,'Freeview-Gen Ent'!$G:$G,0),2))</f>
        <v>22</v>
      </c>
      <c r="AC30">
        <f>IF($V30="","",INDEX('Freeview-Gen Ent'!$U:$W,MATCH($V30,'Freeview-Gen Ent'!$W:$W,0),1))</f>
        <v>23</v>
      </c>
      <c r="AD30">
        <f>IF($V30="","",INDEX('Freeview-Gen Ent'!$U:$W,MATCH($V30,'Freeview-Gen Ent'!$W:$W,0),2))</f>
        <v>22</v>
      </c>
      <c r="AE30">
        <f t="shared" si="6"/>
        <v>0</v>
      </c>
      <c r="AF30">
        <f t="shared" si="7"/>
        <v>0</v>
      </c>
      <c r="AJ30">
        <f>IF($V30="","",INDEX('Freeview-Gen Ent-more than min'!$U:$W,MATCH($V30,'Freeview-Gen Ent-more than min'!$W:$W,0),1))</f>
        <v>24</v>
      </c>
      <c r="AK30">
        <f>IF($V30="","",INDEX('Freeview-Gen Ent-more than min'!$U:$W,MATCH($V30,'Freeview-Gen Ent-more than min'!$W:$W,0),2))</f>
        <v>22</v>
      </c>
      <c r="AL30">
        <f t="shared" si="8"/>
        <v>0</v>
      </c>
      <c r="AM30">
        <f t="shared" si="9"/>
        <v>1</v>
      </c>
      <c r="AQ30" t="str">
        <f>IF('Freeview-Gen Ent'!O32&lt;&gt;0,'Freeview-Gen Ent'!O32,"")</f>
        <v>Create and Craft</v>
      </c>
      <c r="AR30">
        <f t="shared" si="10"/>
        <v>1</v>
      </c>
      <c r="AS30">
        <f>IF($AQ30="","",INDEX('Freeview-Gen Ent'!$M:$O,MATCH($AQ30,'Freeview-Gen Ent'!$O:$O,0),1))</f>
        <v>23</v>
      </c>
      <c r="AT30">
        <f>IF($AQ30="","",INDEX('Freeview-Gen Ent'!$M:$O,MATCH($AQ30,'Freeview-Gen Ent'!$O:$O,0),2))</f>
        <v>23</v>
      </c>
      <c r="AX30">
        <f>IF($AQ30="","",INDEX('Freeview-Gen Ent'!$AC:$AE,MATCH($AQ30,'Freeview-Gen Ent'!$AE:$AE,0),1))</f>
        <v>23</v>
      </c>
      <c r="AY30">
        <f>IF($AQ30="","",INDEX('Freeview-Gen Ent'!$AC:$AE,MATCH($AQ30,'Freeview-Gen Ent'!$AE:$AE,0),2))</f>
        <v>23</v>
      </c>
      <c r="AZ30">
        <f t="shared" si="11"/>
        <v>0</v>
      </c>
      <c r="BA30">
        <f t="shared" si="12"/>
        <v>0</v>
      </c>
      <c r="BE30">
        <f>IF($AQ30="","",INDEX('Freeview-Gen Ent-more than min'!$AC:$AE,MATCH($AQ30,'Freeview-Gen Ent-more than min'!$AE:$AE,0),1))</f>
        <v>24</v>
      </c>
      <c r="BF30">
        <f>IF($AQ30="","",INDEX('Freeview-Gen Ent-more than min'!$AC:$AE,MATCH($AQ30,'Freeview-Gen Ent-more than min'!$AE:$AE,0),2))</f>
        <v>23</v>
      </c>
      <c r="BG30">
        <f t="shared" si="13"/>
        <v>0</v>
      </c>
      <c r="BH30">
        <f t="shared" si="14"/>
        <v>1</v>
      </c>
    </row>
    <row r="31" spans="1:60" x14ac:dyDescent="0.45">
      <c r="A31" t="str">
        <f>IF('Freeview-Gen Ent'!C33&lt;&gt;0,'Freeview-Gen Ent'!C33,"")</f>
        <v>ITV4</v>
      </c>
      <c r="B31">
        <f t="shared" si="0"/>
        <v>1</v>
      </c>
      <c r="C31">
        <f>IF($A31="","",INDEX('Freeview-Gen Ent'!$A:$C,MATCH($A31,'Freeview-Gen Ent'!$C:$C,0),1))</f>
        <v>24</v>
      </c>
      <c r="D31">
        <f>IF($A31="","",INDEX('Freeview-Gen Ent'!$A:$C,MATCH($A31,'Freeview-Gen Ent'!$C:$C,0),2))</f>
        <v>23</v>
      </c>
      <c r="H31">
        <f>IF($A31="","",INDEX('Freeview-Gen Ent'!$Q:$S,MATCH($A31,'Freeview-Gen Ent'!$S:$S,0),1))</f>
        <v>25</v>
      </c>
      <c r="I31">
        <f>IF($A31="","",INDEX('Freeview-Gen Ent'!$Q:$S,MATCH($A31,'Freeview-Gen Ent'!$S:$S,0),2))</f>
        <v>23</v>
      </c>
      <c r="J31">
        <f t="shared" si="1"/>
        <v>0</v>
      </c>
      <c r="K31">
        <f t="shared" si="2"/>
        <v>1</v>
      </c>
      <c r="O31">
        <f>IF($A31="","",INDEX('Freeview-Gen Ent-more than min'!$Q:$S,MATCH($A31,'Freeview-Gen Ent-more than min'!$S:$S,0),1))</f>
        <v>25</v>
      </c>
      <c r="P31">
        <f>IF($A31="","",INDEX('Freeview-Gen Ent-more than min'!$Q:$S,MATCH($A31,'Freeview-Gen Ent-more than min'!$S:$S,0),2))</f>
        <v>23</v>
      </c>
      <c r="Q31">
        <f t="shared" si="3"/>
        <v>0</v>
      </c>
      <c r="R31">
        <f t="shared" si="4"/>
        <v>1</v>
      </c>
      <c r="V31" t="str">
        <f>IF('Freeview-Gen Ent'!G33&lt;&gt;0,'Freeview-Gen Ent'!G33,"")</f>
        <v>ITV4</v>
      </c>
      <c r="W31">
        <f t="shared" si="5"/>
        <v>1</v>
      </c>
      <c r="X31">
        <f>IF($V31="","",INDEX('Freeview-Gen Ent'!$E:$G,MATCH($V31,'Freeview-Gen Ent'!$G:$G,0),1))</f>
        <v>24</v>
      </c>
      <c r="Y31">
        <f>IF($V31="","",INDEX('Freeview-Gen Ent'!$E:$G,MATCH($V31,'Freeview-Gen Ent'!$G:$G,0),2))</f>
        <v>23</v>
      </c>
      <c r="AC31">
        <f>IF($V31="","",INDEX('Freeview-Gen Ent'!$U:$W,MATCH($V31,'Freeview-Gen Ent'!$W:$W,0),1))</f>
        <v>25</v>
      </c>
      <c r="AD31">
        <f>IF($V31="","",INDEX('Freeview-Gen Ent'!$U:$W,MATCH($V31,'Freeview-Gen Ent'!$W:$W,0),2))</f>
        <v>23</v>
      </c>
      <c r="AE31">
        <f t="shared" si="6"/>
        <v>0</v>
      </c>
      <c r="AF31">
        <f t="shared" si="7"/>
        <v>1</v>
      </c>
      <c r="AJ31">
        <f>IF($V31="","",INDEX('Freeview-Gen Ent-more than min'!$U:$W,MATCH($V31,'Freeview-Gen Ent-more than min'!$W:$W,0),1))</f>
        <v>25</v>
      </c>
      <c r="AK31">
        <f>IF($V31="","",INDEX('Freeview-Gen Ent-more than min'!$U:$W,MATCH($V31,'Freeview-Gen Ent-more than min'!$W:$W,0),2))</f>
        <v>23</v>
      </c>
      <c r="AL31">
        <f t="shared" si="8"/>
        <v>0</v>
      </c>
      <c r="AM31">
        <f t="shared" si="9"/>
        <v>1</v>
      </c>
      <c r="AQ31" t="str">
        <f>IF('Freeview-Gen Ent'!O33&lt;&gt;0,'Freeview-Gen Ent'!O33,"")</f>
        <v>ITV4</v>
      </c>
      <c r="AR31">
        <f t="shared" si="10"/>
        <v>1</v>
      </c>
      <c r="AS31">
        <f>IF($AQ31="","",INDEX('Freeview-Gen Ent'!$M:$O,MATCH($AQ31,'Freeview-Gen Ent'!$O:$O,0),1))</f>
        <v>24</v>
      </c>
      <c r="AT31">
        <f>IF($AQ31="","",INDEX('Freeview-Gen Ent'!$M:$O,MATCH($AQ31,'Freeview-Gen Ent'!$O:$O,0),2))</f>
        <v>24</v>
      </c>
      <c r="AX31">
        <f>IF($AQ31="","",INDEX('Freeview-Gen Ent'!$AC:$AE,MATCH($AQ31,'Freeview-Gen Ent'!$AE:$AE,0),1))</f>
        <v>25</v>
      </c>
      <c r="AY31">
        <f>IF($AQ31="","",INDEX('Freeview-Gen Ent'!$AC:$AE,MATCH($AQ31,'Freeview-Gen Ent'!$AE:$AE,0),2))</f>
        <v>24</v>
      </c>
      <c r="AZ31">
        <f t="shared" si="11"/>
        <v>0</v>
      </c>
      <c r="BA31">
        <f t="shared" si="12"/>
        <v>1</v>
      </c>
      <c r="BE31">
        <f>IF($AQ31="","",INDEX('Freeview-Gen Ent-more than min'!$AC:$AE,MATCH($AQ31,'Freeview-Gen Ent-more than min'!$AE:$AE,0),1))</f>
        <v>25</v>
      </c>
      <c r="BF31">
        <f>IF($AQ31="","",INDEX('Freeview-Gen Ent-more than min'!$AC:$AE,MATCH($AQ31,'Freeview-Gen Ent-more than min'!$AE:$AE,0),2))</f>
        <v>24</v>
      </c>
      <c r="BG31">
        <f t="shared" si="13"/>
        <v>0</v>
      </c>
      <c r="BH31">
        <f t="shared" si="14"/>
        <v>1</v>
      </c>
    </row>
    <row r="32" spans="1:60" x14ac:dyDescent="0.45">
      <c r="A32" t="str">
        <f>IF('Freeview-Gen Ent'!C34&lt;&gt;0,'Freeview-Gen Ent'!C34,"")</f>
        <v>Home</v>
      </c>
      <c r="B32">
        <f t="shared" si="0"/>
        <v>1</v>
      </c>
      <c r="C32">
        <f>IF($A32="","",INDEX('Freeview-Gen Ent'!$A:$C,MATCH($A32,'Freeview-Gen Ent'!$C:$C,0),1))</f>
        <v>25</v>
      </c>
      <c r="D32">
        <f>IF($A32="","",INDEX('Freeview-Gen Ent'!$A:$C,MATCH($A32,'Freeview-Gen Ent'!$C:$C,0),2))</f>
        <v>24</v>
      </c>
      <c r="H32">
        <f>IF($A32="","",INDEX('Freeview-Gen Ent'!$Q:$S,MATCH($A32,'Freeview-Gen Ent'!$S:$S,0),1))</f>
        <v>26</v>
      </c>
      <c r="I32">
        <f>IF($A32="","",INDEX('Freeview-Gen Ent'!$Q:$S,MATCH($A32,'Freeview-Gen Ent'!$S:$S,0),2))</f>
        <v>24</v>
      </c>
      <c r="J32">
        <f t="shared" si="1"/>
        <v>0</v>
      </c>
      <c r="K32">
        <f t="shared" si="2"/>
        <v>1</v>
      </c>
      <c r="O32">
        <f>IF($A32="","",INDEX('Freeview-Gen Ent-more than min'!$Q:$S,MATCH($A32,'Freeview-Gen Ent-more than min'!$S:$S,0),1))</f>
        <v>26</v>
      </c>
      <c r="P32">
        <f>IF($A32="","",INDEX('Freeview-Gen Ent-more than min'!$Q:$S,MATCH($A32,'Freeview-Gen Ent-more than min'!$S:$S,0),2))</f>
        <v>24</v>
      </c>
      <c r="Q32">
        <f t="shared" si="3"/>
        <v>0</v>
      </c>
      <c r="R32">
        <f t="shared" si="4"/>
        <v>1</v>
      </c>
      <c r="V32" t="str">
        <f>IF('Freeview-Gen Ent'!G34&lt;&gt;0,'Freeview-Gen Ent'!G34,"")</f>
        <v>Home</v>
      </c>
      <c r="W32">
        <f t="shared" si="5"/>
        <v>1</v>
      </c>
      <c r="X32">
        <f>IF($V32="","",INDEX('Freeview-Gen Ent'!$E:$G,MATCH($V32,'Freeview-Gen Ent'!$G:$G,0),1))</f>
        <v>25</v>
      </c>
      <c r="Y32">
        <f>IF($V32="","",INDEX('Freeview-Gen Ent'!$E:$G,MATCH($V32,'Freeview-Gen Ent'!$G:$G,0),2))</f>
        <v>24</v>
      </c>
      <c r="AC32">
        <f>IF($V32="","",INDEX('Freeview-Gen Ent'!$U:$W,MATCH($V32,'Freeview-Gen Ent'!$W:$W,0),1))</f>
        <v>26</v>
      </c>
      <c r="AD32">
        <f>IF($V32="","",INDEX('Freeview-Gen Ent'!$U:$W,MATCH($V32,'Freeview-Gen Ent'!$W:$W,0),2))</f>
        <v>24</v>
      </c>
      <c r="AE32">
        <f t="shared" si="6"/>
        <v>0</v>
      </c>
      <c r="AF32">
        <f t="shared" si="7"/>
        <v>1</v>
      </c>
      <c r="AJ32">
        <f>IF($V32="","",INDEX('Freeview-Gen Ent-more than min'!$U:$W,MATCH($V32,'Freeview-Gen Ent-more than min'!$W:$W,0),1))</f>
        <v>26</v>
      </c>
      <c r="AK32">
        <f>IF($V32="","",INDEX('Freeview-Gen Ent-more than min'!$U:$W,MATCH($V32,'Freeview-Gen Ent-more than min'!$W:$W,0),2))</f>
        <v>24</v>
      </c>
      <c r="AL32">
        <f t="shared" si="8"/>
        <v>0</v>
      </c>
      <c r="AM32">
        <f t="shared" si="9"/>
        <v>1</v>
      </c>
      <c r="AQ32" t="str">
        <f>IF('Freeview-Gen Ent'!O34&lt;&gt;0,'Freeview-Gen Ent'!O34,"")</f>
        <v>Home</v>
      </c>
      <c r="AR32">
        <f t="shared" si="10"/>
        <v>1</v>
      </c>
      <c r="AS32">
        <f>IF($AQ32="","",INDEX('Freeview-Gen Ent'!$M:$O,MATCH($AQ32,'Freeview-Gen Ent'!$O:$O,0),1))</f>
        <v>25</v>
      </c>
      <c r="AT32">
        <f>IF($AQ32="","",INDEX('Freeview-Gen Ent'!$M:$O,MATCH($AQ32,'Freeview-Gen Ent'!$O:$O,0),2))</f>
        <v>25</v>
      </c>
      <c r="AX32">
        <f>IF($AQ32="","",INDEX('Freeview-Gen Ent'!$AC:$AE,MATCH($AQ32,'Freeview-Gen Ent'!$AE:$AE,0),1))</f>
        <v>26</v>
      </c>
      <c r="AY32">
        <f>IF($AQ32="","",INDEX('Freeview-Gen Ent'!$AC:$AE,MATCH($AQ32,'Freeview-Gen Ent'!$AE:$AE,0),2))</f>
        <v>25</v>
      </c>
      <c r="AZ32">
        <f t="shared" si="11"/>
        <v>0</v>
      </c>
      <c r="BA32">
        <f t="shared" si="12"/>
        <v>1</v>
      </c>
      <c r="BE32">
        <f>IF($AQ32="","",INDEX('Freeview-Gen Ent-more than min'!$AC:$AE,MATCH($AQ32,'Freeview-Gen Ent-more than min'!$AE:$AE,0),1))</f>
        <v>26</v>
      </c>
      <c r="BF32">
        <f>IF($AQ32="","",INDEX('Freeview-Gen Ent-more than min'!$AC:$AE,MATCH($AQ32,'Freeview-Gen Ent-more than min'!$AE:$AE,0),2))</f>
        <v>25</v>
      </c>
      <c r="BG32">
        <f t="shared" si="13"/>
        <v>0</v>
      </c>
      <c r="BH32">
        <f t="shared" si="14"/>
        <v>1</v>
      </c>
    </row>
    <row r="33" spans="1:60" x14ac:dyDescent="0.45">
      <c r="A33" t="str">
        <f>IF('Freeview-Gen Ent'!C35&lt;&gt;0,'Freeview-Gen Ent'!C35,"")</f>
        <v>ITVBe</v>
      </c>
      <c r="B33">
        <f t="shared" si="0"/>
        <v>1</v>
      </c>
      <c r="C33">
        <f>IF($A33="","",INDEX('Freeview-Gen Ent'!$A:$C,MATCH($A33,'Freeview-Gen Ent'!$C:$C,0),1))</f>
        <v>26</v>
      </c>
      <c r="D33">
        <f>IF($A33="","",INDEX('Freeview-Gen Ent'!$A:$C,MATCH($A33,'Freeview-Gen Ent'!$C:$C,0),2))</f>
        <v>25</v>
      </c>
      <c r="H33">
        <f>IF($A33="","",INDEX('Freeview-Gen Ent'!$Q:$S,MATCH($A33,'Freeview-Gen Ent'!$S:$S,0),1))</f>
        <v>27</v>
      </c>
      <c r="I33">
        <f>IF($A33="","",INDEX('Freeview-Gen Ent'!$Q:$S,MATCH($A33,'Freeview-Gen Ent'!$S:$S,0),2))</f>
        <v>25</v>
      </c>
      <c r="J33">
        <f t="shared" si="1"/>
        <v>0</v>
      </c>
      <c r="K33">
        <f t="shared" si="2"/>
        <v>1</v>
      </c>
      <c r="O33">
        <f>IF($A33="","",INDEX('Freeview-Gen Ent-more than min'!$Q:$S,MATCH($A33,'Freeview-Gen Ent-more than min'!$S:$S,0),1))</f>
        <v>27</v>
      </c>
      <c r="P33">
        <f>IF($A33="","",INDEX('Freeview-Gen Ent-more than min'!$Q:$S,MATCH($A33,'Freeview-Gen Ent-more than min'!$S:$S,0),2))</f>
        <v>25</v>
      </c>
      <c r="Q33">
        <f t="shared" si="3"/>
        <v>0</v>
      </c>
      <c r="R33">
        <f t="shared" si="4"/>
        <v>1</v>
      </c>
      <c r="V33" t="str">
        <f>IF('Freeview-Gen Ent'!G35&lt;&gt;0,'Freeview-Gen Ent'!G35,"")</f>
        <v>ITVBe</v>
      </c>
      <c r="W33">
        <f t="shared" si="5"/>
        <v>1</v>
      </c>
      <c r="X33">
        <f>IF($V33="","",INDEX('Freeview-Gen Ent'!$E:$G,MATCH($V33,'Freeview-Gen Ent'!$G:$G,0),1))</f>
        <v>26</v>
      </c>
      <c r="Y33">
        <f>IF($V33="","",INDEX('Freeview-Gen Ent'!$E:$G,MATCH($V33,'Freeview-Gen Ent'!$G:$G,0),2))</f>
        <v>25</v>
      </c>
      <c r="AC33">
        <f>IF($V33="","",INDEX('Freeview-Gen Ent'!$U:$W,MATCH($V33,'Freeview-Gen Ent'!$W:$W,0),1))</f>
        <v>27</v>
      </c>
      <c r="AD33">
        <f>IF($V33="","",INDEX('Freeview-Gen Ent'!$U:$W,MATCH($V33,'Freeview-Gen Ent'!$W:$W,0),2))</f>
        <v>25</v>
      </c>
      <c r="AE33">
        <f t="shared" si="6"/>
        <v>0</v>
      </c>
      <c r="AF33">
        <f t="shared" si="7"/>
        <v>1</v>
      </c>
      <c r="AJ33">
        <f>IF($V33="","",INDEX('Freeview-Gen Ent-more than min'!$U:$W,MATCH($V33,'Freeview-Gen Ent-more than min'!$W:$W,0),1))</f>
        <v>27</v>
      </c>
      <c r="AK33">
        <f>IF($V33="","",INDEX('Freeview-Gen Ent-more than min'!$U:$W,MATCH($V33,'Freeview-Gen Ent-more than min'!$W:$W,0),2))</f>
        <v>25</v>
      </c>
      <c r="AL33">
        <f t="shared" si="8"/>
        <v>0</v>
      </c>
      <c r="AM33">
        <f t="shared" si="9"/>
        <v>1</v>
      </c>
      <c r="AQ33" t="str">
        <f>IF('Freeview-Gen Ent'!O35&lt;&gt;0,'Freeview-Gen Ent'!O35,"")</f>
        <v>ITVBe</v>
      </c>
      <c r="AR33">
        <f t="shared" si="10"/>
        <v>1</v>
      </c>
      <c r="AS33">
        <f>IF($AQ33="","",INDEX('Freeview-Gen Ent'!$M:$O,MATCH($AQ33,'Freeview-Gen Ent'!$O:$O,0),1))</f>
        <v>26</v>
      </c>
      <c r="AT33">
        <f>IF($AQ33="","",INDEX('Freeview-Gen Ent'!$M:$O,MATCH($AQ33,'Freeview-Gen Ent'!$O:$O,0),2))</f>
        <v>26</v>
      </c>
      <c r="AX33">
        <f>IF($AQ33="","",INDEX('Freeview-Gen Ent'!$AC:$AE,MATCH($AQ33,'Freeview-Gen Ent'!$AE:$AE,0),1))</f>
        <v>27</v>
      </c>
      <c r="AY33">
        <f>IF($AQ33="","",INDEX('Freeview-Gen Ent'!$AC:$AE,MATCH($AQ33,'Freeview-Gen Ent'!$AE:$AE,0),2))</f>
        <v>26</v>
      </c>
      <c r="AZ33">
        <f t="shared" si="11"/>
        <v>0</v>
      </c>
      <c r="BA33">
        <f t="shared" si="12"/>
        <v>1</v>
      </c>
      <c r="BE33">
        <f>IF($AQ33="","",INDEX('Freeview-Gen Ent-more than min'!$AC:$AE,MATCH($AQ33,'Freeview-Gen Ent-more than min'!$AE:$AE,0),1))</f>
        <v>27</v>
      </c>
      <c r="BF33">
        <f>IF($AQ33="","",INDEX('Freeview-Gen Ent-more than min'!$AC:$AE,MATCH($AQ33,'Freeview-Gen Ent-more than min'!$AE:$AE,0),2))</f>
        <v>26</v>
      </c>
      <c r="BG33">
        <f t="shared" si="13"/>
        <v>0</v>
      </c>
      <c r="BH33">
        <f t="shared" si="14"/>
        <v>1</v>
      </c>
    </row>
    <row r="34" spans="1:60" x14ac:dyDescent="0.45">
      <c r="A34" t="str">
        <f>IF('Freeview-Gen Ent'!C36&lt;&gt;0,'Freeview-Gen Ent'!C36,"")</f>
        <v>ITV2 +1</v>
      </c>
      <c r="B34">
        <f t="shared" si="0"/>
        <v>1</v>
      </c>
      <c r="C34">
        <f>IF($A34="","",INDEX('Freeview-Gen Ent'!$A:$C,MATCH($A34,'Freeview-Gen Ent'!$C:$C,0),1))</f>
        <v>27</v>
      </c>
      <c r="D34">
        <f>IF($A34="","",INDEX('Freeview-Gen Ent'!$A:$C,MATCH($A34,'Freeview-Gen Ent'!$C:$C,0),2))</f>
        <v>26</v>
      </c>
      <c r="H34">
        <f>IF($A34="","",INDEX('Freeview-Gen Ent'!$Q:$S,MATCH($A34,'Freeview-Gen Ent'!$S:$S,0),1))</f>
        <v>28</v>
      </c>
      <c r="I34">
        <f>IF($A34="","",INDEX('Freeview-Gen Ent'!$Q:$S,MATCH($A34,'Freeview-Gen Ent'!$S:$S,0),2))</f>
        <v>26</v>
      </c>
      <c r="J34">
        <f t="shared" si="1"/>
        <v>0</v>
      </c>
      <c r="K34">
        <f t="shared" si="2"/>
        <v>1</v>
      </c>
      <c r="O34">
        <f>IF($A34="","",INDEX('Freeview-Gen Ent-more than min'!$Q:$S,MATCH($A34,'Freeview-Gen Ent-more than min'!$S:$S,0),1))</f>
        <v>28</v>
      </c>
      <c r="P34">
        <f>IF($A34="","",INDEX('Freeview-Gen Ent-more than min'!$Q:$S,MATCH($A34,'Freeview-Gen Ent-more than min'!$S:$S,0),2))</f>
        <v>26</v>
      </c>
      <c r="Q34">
        <f t="shared" si="3"/>
        <v>0</v>
      </c>
      <c r="R34">
        <f t="shared" si="4"/>
        <v>1</v>
      </c>
      <c r="V34" t="str">
        <f>IF('Freeview-Gen Ent'!G36&lt;&gt;0,'Freeview-Gen Ent'!G36,"")</f>
        <v>ITV2 +1</v>
      </c>
      <c r="W34">
        <f t="shared" si="5"/>
        <v>1</v>
      </c>
      <c r="X34">
        <f>IF($V34="","",INDEX('Freeview-Gen Ent'!$E:$G,MATCH($V34,'Freeview-Gen Ent'!$G:$G,0),1))</f>
        <v>27</v>
      </c>
      <c r="Y34">
        <f>IF($V34="","",INDEX('Freeview-Gen Ent'!$E:$G,MATCH($V34,'Freeview-Gen Ent'!$G:$G,0),2))</f>
        <v>26</v>
      </c>
      <c r="AC34">
        <f>IF($V34="","",INDEX('Freeview-Gen Ent'!$U:$W,MATCH($V34,'Freeview-Gen Ent'!$W:$W,0),1))</f>
        <v>28</v>
      </c>
      <c r="AD34">
        <f>IF($V34="","",INDEX('Freeview-Gen Ent'!$U:$W,MATCH($V34,'Freeview-Gen Ent'!$W:$W,0),2))</f>
        <v>26</v>
      </c>
      <c r="AE34">
        <f t="shared" si="6"/>
        <v>0</v>
      </c>
      <c r="AF34">
        <f t="shared" si="7"/>
        <v>1</v>
      </c>
      <c r="AJ34">
        <f>IF($V34="","",INDEX('Freeview-Gen Ent-more than min'!$U:$W,MATCH($V34,'Freeview-Gen Ent-more than min'!$W:$W,0),1))</f>
        <v>28</v>
      </c>
      <c r="AK34">
        <f>IF($V34="","",INDEX('Freeview-Gen Ent-more than min'!$U:$W,MATCH($V34,'Freeview-Gen Ent-more than min'!$W:$W,0),2))</f>
        <v>26</v>
      </c>
      <c r="AL34">
        <f t="shared" si="8"/>
        <v>0</v>
      </c>
      <c r="AM34">
        <f t="shared" si="9"/>
        <v>1</v>
      </c>
      <c r="AQ34" t="str">
        <f>IF('Freeview-Gen Ent'!O36&lt;&gt;0,'Freeview-Gen Ent'!O36,"")</f>
        <v>ITV2 +1</v>
      </c>
      <c r="AR34">
        <f t="shared" si="10"/>
        <v>1</v>
      </c>
      <c r="AS34">
        <f>IF($AQ34="","",INDEX('Freeview-Gen Ent'!$M:$O,MATCH($AQ34,'Freeview-Gen Ent'!$O:$O,0),1))</f>
        <v>27</v>
      </c>
      <c r="AT34">
        <f>IF($AQ34="","",INDEX('Freeview-Gen Ent'!$M:$O,MATCH($AQ34,'Freeview-Gen Ent'!$O:$O,0),2))</f>
        <v>27</v>
      </c>
      <c r="AX34">
        <f>IF($AQ34="","",INDEX('Freeview-Gen Ent'!$AC:$AE,MATCH($AQ34,'Freeview-Gen Ent'!$AE:$AE,0),1))</f>
        <v>28</v>
      </c>
      <c r="AY34">
        <f>IF($AQ34="","",INDEX('Freeview-Gen Ent'!$AC:$AE,MATCH($AQ34,'Freeview-Gen Ent'!$AE:$AE,0),2))</f>
        <v>27</v>
      </c>
      <c r="AZ34">
        <f t="shared" si="11"/>
        <v>0</v>
      </c>
      <c r="BA34">
        <f t="shared" si="12"/>
        <v>1</v>
      </c>
      <c r="BE34">
        <f>IF($AQ34="","",INDEX('Freeview-Gen Ent-more than min'!$AC:$AE,MATCH($AQ34,'Freeview-Gen Ent-more than min'!$AE:$AE,0),1))</f>
        <v>28</v>
      </c>
      <c r="BF34">
        <f>IF($AQ34="","",INDEX('Freeview-Gen Ent-more than min'!$AC:$AE,MATCH($AQ34,'Freeview-Gen Ent-more than min'!$AE:$AE,0),2))</f>
        <v>27</v>
      </c>
      <c r="BG34">
        <f t="shared" si="13"/>
        <v>0</v>
      </c>
      <c r="BH34">
        <f t="shared" si="14"/>
        <v>1</v>
      </c>
    </row>
    <row r="35" spans="1:60" x14ac:dyDescent="0.45">
      <c r="A35" t="str">
        <f>IF('Freeview-Gen Ent'!C37&lt;&gt;0,'Freeview-Gen Ent'!C37,"")</f>
        <v>E4</v>
      </c>
      <c r="B35">
        <f t="shared" si="0"/>
        <v>1</v>
      </c>
      <c r="C35">
        <f>IF($A35="","",INDEX('Freeview-Gen Ent'!$A:$C,MATCH($A35,'Freeview-Gen Ent'!$C:$C,0),1))</f>
        <v>28</v>
      </c>
      <c r="D35">
        <f>IF($A35="","",INDEX('Freeview-Gen Ent'!$A:$C,MATCH($A35,'Freeview-Gen Ent'!$C:$C,0),2))</f>
        <v>27</v>
      </c>
      <c r="H35">
        <f>IF($A35="","",INDEX('Freeview-Gen Ent'!$Q:$S,MATCH($A35,'Freeview-Gen Ent'!$S:$S,0),1))</f>
        <v>29</v>
      </c>
      <c r="I35">
        <f>IF($A35="","",INDEX('Freeview-Gen Ent'!$Q:$S,MATCH($A35,'Freeview-Gen Ent'!$S:$S,0),2))</f>
        <v>27</v>
      </c>
      <c r="J35">
        <f t="shared" si="1"/>
        <v>0</v>
      </c>
      <c r="K35">
        <f t="shared" si="2"/>
        <v>1</v>
      </c>
      <c r="O35">
        <f>IF($A35="","",INDEX('Freeview-Gen Ent-more than min'!$Q:$S,MATCH($A35,'Freeview-Gen Ent-more than min'!$S:$S,0),1))</f>
        <v>29</v>
      </c>
      <c r="P35">
        <f>IF($A35="","",INDEX('Freeview-Gen Ent-more than min'!$Q:$S,MATCH($A35,'Freeview-Gen Ent-more than min'!$S:$S,0),2))</f>
        <v>27</v>
      </c>
      <c r="Q35">
        <f t="shared" si="3"/>
        <v>0</v>
      </c>
      <c r="R35">
        <f t="shared" si="4"/>
        <v>1</v>
      </c>
      <c r="V35" t="str">
        <f>IF('Freeview-Gen Ent'!G37&lt;&gt;0,'Freeview-Gen Ent'!G37,"")</f>
        <v>E4</v>
      </c>
      <c r="W35">
        <f t="shared" si="5"/>
        <v>1</v>
      </c>
      <c r="X35">
        <f>IF($V35="","",INDEX('Freeview-Gen Ent'!$E:$G,MATCH($V35,'Freeview-Gen Ent'!$G:$G,0),1))</f>
        <v>28</v>
      </c>
      <c r="Y35">
        <f>IF($V35="","",INDEX('Freeview-Gen Ent'!$E:$G,MATCH($V35,'Freeview-Gen Ent'!$G:$G,0),2))</f>
        <v>27</v>
      </c>
      <c r="AC35">
        <f>IF($V35="","",INDEX('Freeview-Gen Ent'!$U:$W,MATCH($V35,'Freeview-Gen Ent'!$W:$W,0),1))</f>
        <v>29</v>
      </c>
      <c r="AD35">
        <f>IF($V35="","",INDEX('Freeview-Gen Ent'!$U:$W,MATCH($V35,'Freeview-Gen Ent'!$W:$W,0),2))</f>
        <v>27</v>
      </c>
      <c r="AE35">
        <f t="shared" si="6"/>
        <v>0</v>
      </c>
      <c r="AF35">
        <f t="shared" si="7"/>
        <v>1</v>
      </c>
      <c r="AJ35">
        <f>IF($V35="","",INDEX('Freeview-Gen Ent-more than min'!$U:$W,MATCH($V35,'Freeview-Gen Ent-more than min'!$W:$W,0),1))</f>
        <v>29</v>
      </c>
      <c r="AK35">
        <f>IF($V35="","",INDEX('Freeview-Gen Ent-more than min'!$U:$W,MATCH($V35,'Freeview-Gen Ent-more than min'!$W:$W,0),2))</f>
        <v>27</v>
      </c>
      <c r="AL35">
        <f t="shared" si="8"/>
        <v>0</v>
      </c>
      <c r="AM35">
        <f t="shared" si="9"/>
        <v>1</v>
      </c>
      <c r="AQ35" t="str">
        <f>IF('Freeview-Gen Ent'!O37&lt;&gt;0,'Freeview-Gen Ent'!O37,"")</f>
        <v>E4</v>
      </c>
      <c r="AR35">
        <f t="shared" si="10"/>
        <v>1</v>
      </c>
      <c r="AS35">
        <f>IF($AQ35="","",INDEX('Freeview-Gen Ent'!$M:$O,MATCH($AQ35,'Freeview-Gen Ent'!$O:$O,0),1))</f>
        <v>28</v>
      </c>
      <c r="AT35">
        <f>IF($AQ35="","",INDEX('Freeview-Gen Ent'!$M:$O,MATCH($AQ35,'Freeview-Gen Ent'!$O:$O,0),2))</f>
        <v>28</v>
      </c>
      <c r="AX35">
        <f>IF($AQ35="","",INDEX('Freeview-Gen Ent'!$AC:$AE,MATCH($AQ35,'Freeview-Gen Ent'!$AE:$AE,0),1))</f>
        <v>29</v>
      </c>
      <c r="AY35">
        <f>IF($AQ35="","",INDEX('Freeview-Gen Ent'!$AC:$AE,MATCH($AQ35,'Freeview-Gen Ent'!$AE:$AE,0),2))</f>
        <v>28</v>
      </c>
      <c r="AZ35">
        <f t="shared" si="11"/>
        <v>0</v>
      </c>
      <c r="BA35">
        <f t="shared" si="12"/>
        <v>1</v>
      </c>
      <c r="BE35">
        <f>IF($AQ35="","",INDEX('Freeview-Gen Ent-more than min'!$AC:$AE,MATCH($AQ35,'Freeview-Gen Ent-more than min'!$AE:$AE,0),1))</f>
        <v>29</v>
      </c>
      <c r="BF35">
        <f>IF($AQ35="","",INDEX('Freeview-Gen Ent-more than min'!$AC:$AE,MATCH($AQ35,'Freeview-Gen Ent-more than min'!$AE:$AE,0),2))</f>
        <v>28</v>
      </c>
      <c r="BG35">
        <f t="shared" si="13"/>
        <v>0</v>
      </c>
      <c r="BH35">
        <f t="shared" si="14"/>
        <v>1</v>
      </c>
    </row>
    <row r="36" spans="1:60" x14ac:dyDescent="0.45">
      <c r="A36" t="str">
        <f>IF('Freeview-Gen Ent'!C38&lt;&gt;0,'Freeview-Gen Ent'!C38,"")</f>
        <v>E4 +1</v>
      </c>
      <c r="B36">
        <f t="shared" si="0"/>
        <v>1</v>
      </c>
      <c r="C36">
        <f>IF($A36="","",INDEX('Freeview-Gen Ent'!$A:$C,MATCH($A36,'Freeview-Gen Ent'!$C:$C,0),1))</f>
        <v>29</v>
      </c>
      <c r="D36">
        <f>IF($A36="","",INDEX('Freeview-Gen Ent'!$A:$C,MATCH($A36,'Freeview-Gen Ent'!$C:$C,0),2))</f>
        <v>28</v>
      </c>
      <c r="H36">
        <f>IF($A36="","",INDEX('Freeview-Gen Ent'!$Q:$S,MATCH($A36,'Freeview-Gen Ent'!$S:$S,0),1))</f>
        <v>30</v>
      </c>
      <c r="I36">
        <f>IF($A36="","",INDEX('Freeview-Gen Ent'!$Q:$S,MATCH($A36,'Freeview-Gen Ent'!$S:$S,0),2))</f>
        <v>28</v>
      </c>
      <c r="J36">
        <f t="shared" si="1"/>
        <v>0</v>
      </c>
      <c r="K36">
        <f t="shared" si="2"/>
        <v>1</v>
      </c>
      <c r="O36">
        <f>IF($A36="","",INDEX('Freeview-Gen Ent-more than min'!$Q:$S,MATCH($A36,'Freeview-Gen Ent-more than min'!$S:$S,0),1))</f>
        <v>30</v>
      </c>
      <c r="P36">
        <f>IF($A36="","",INDEX('Freeview-Gen Ent-more than min'!$Q:$S,MATCH($A36,'Freeview-Gen Ent-more than min'!$S:$S,0),2))</f>
        <v>28</v>
      </c>
      <c r="Q36">
        <f t="shared" si="3"/>
        <v>0</v>
      </c>
      <c r="R36">
        <f t="shared" si="4"/>
        <v>1</v>
      </c>
      <c r="V36" t="str">
        <f>IF('Freeview-Gen Ent'!G38&lt;&gt;0,'Freeview-Gen Ent'!G38,"")</f>
        <v>E4 +1</v>
      </c>
      <c r="W36">
        <f t="shared" si="5"/>
        <v>1</v>
      </c>
      <c r="X36">
        <f>IF($V36="","",INDEX('Freeview-Gen Ent'!$E:$G,MATCH($V36,'Freeview-Gen Ent'!$G:$G,0),1))</f>
        <v>29</v>
      </c>
      <c r="Y36">
        <f>IF($V36="","",INDEX('Freeview-Gen Ent'!$E:$G,MATCH($V36,'Freeview-Gen Ent'!$G:$G,0),2))</f>
        <v>28</v>
      </c>
      <c r="AC36">
        <f>IF($V36="","",INDEX('Freeview-Gen Ent'!$U:$W,MATCH($V36,'Freeview-Gen Ent'!$W:$W,0),1))</f>
        <v>30</v>
      </c>
      <c r="AD36">
        <f>IF($V36="","",INDEX('Freeview-Gen Ent'!$U:$W,MATCH($V36,'Freeview-Gen Ent'!$W:$W,0),2))</f>
        <v>28</v>
      </c>
      <c r="AE36">
        <f t="shared" si="6"/>
        <v>0</v>
      </c>
      <c r="AF36">
        <f t="shared" si="7"/>
        <v>1</v>
      </c>
      <c r="AJ36">
        <f>IF($V36="","",INDEX('Freeview-Gen Ent-more than min'!$U:$W,MATCH($V36,'Freeview-Gen Ent-more than min'!$W:$W,0),1))</f>
        <v>30</v>
      </c>
      <c r="AK36">
        <f>IF($V36="","",INDEX('Freeview-Gen Ent-more than min'!$U:$W,MATCH($V36,'Freeview-Gen Ent-more than min'!$W:$W,0),2))</f>
        <v>28</v>
      </c>
      <c r="AL36">
        <f t="shared" si="8"/>
        <v>0</v>
      </c>
      <c r="AM36">
        <f t="shared" si="9"/>
        <v>1</v>
      </c>
      <c r="AQ36" t="str">
        <f>IF('Freeview-Gen Ent'!O38&lt;&gt;0,'Freeview-Gen Ent'!O38,"")</f>
        <v>E4 +1</v>
      </c>
      <c r="AR36">
        <f t="shared" si="10"/>
        <v>1</v>
      </c>
      <c r="AS36">
        <f>IF($AQ36="","",INDEX('Freeview-Gen Ent'!$M:$O,MATCH($AQ36,'Freeview-Gen Ent'!$O:$O,0),1))</f>
        <v>29</v>
      </c>
      <c r="AT36">
        <f>IF($AQ36="","",INDEX('Freeview-Gen Ent'!$M:$O,MATCH($AQ36,'Freeview-Gen Ent'!$O:$O,0),2))</f>
        <v>29</v>
      </c>
      <c r="AX36">
        <f>IF($AQ36="","",INDEX('Freeview-Gen Ent'!$AC:$AE,MATCH($AQ36,'Freeview-Gen Ent'!$AE:$AE,0),1))</f>
        <v>30</v>
      </c>
      <c r="AY36">
        <f>IF($AQ36="","",INDEX('Freeview-Gen Ent'!$AC:$AE,MATCH($AQ36,'Freeview-Gen Ent'!$AE:$AE,0),2))</f>
        <v>29</v>
      </c>
      <c r="AZ36">
        <f t="shared" si="11"/>
        <v>0</v>
      </c>
      <c r="BA36">
        <f t="shared" si="12"/>
        <v>1</v>
      </c>
      <c r="BE36">
        <f>IF($AQ36="","",INDEX('Freeview-Gen Ent-more than min'!$AC:$AE,MATCH($AQ36,'Freeview-Gen Ent-more than min'!$AE:$AE,0),1))</f>
        <v>30</v>
      </c>
      <c r="BF36">
        <f>IF($AQ36="","",INDEX('Freeview-Gen Ent-more than min'!$AC:$AE,MATCH($AQ36,'Freeview-Gen Ent-more than min'!$AE:$AE,0),2))</f>
        <v>29</v>
      </c>
      <c r="BG36">
        <f t="shared" si="13"/>
        <v>0</v>
      </c>
      <c r="BH36">
        <f t="shared" si="14"/>
        <v>1</v>
      </c>
    </row>
    <row r="37" spans="1:60" x14ac:dyDescent="0.45">
      <c r="A37" t="str">
        <f>IF('Freeview-Gen Ent'!C39&lt;&gt;0,'Freeview-Gen Ent'!C39,"")</f>
        <v>5Star</v>
      </c>
      <c r="B37">
        <f t="shared" si="0"/>
        <v>1</v>
      </c>
      <c r="C37">
        <f>IF($A37="","",INDEX('Freeview-Gen Ent'!$A:$C,MATCH($A37,'Freeview-Gen Ent'!$C:$C,0),1))</f>
        <v>30</v>
      </c>
      <c r="D37">
        <f>IF($A37="","",INDEX('Freeview-Gen Ent'!$A:$C,MATCH($A37,'Freeview-Gen Ent'!$C:$C,0),2))</f>
        <v>29</v>
      </c>
      <c r="H37">
        <f>IF($A37="","",INDEX('Freeview-Gen Ent'!$Q:$S,MATCH($A37,'Freeview-Gen Ent'!$S:$S,0),1))</f>
        <v>31</v>
      </c>
      <c r="I37">
        <f>IF($A37="","",INDEX('Freeview-Gen Ent'!$Q:$S,MATCH($A37,'Freeview-Gen Ent'!$S:$S,0),2))</f>
        <v>29</v>
      </c>
      <c r="J37">
        <f t="shared" si="1"/>
        <v>0</v>
      </c>
      <c r="K37">
        <f t="shared" si="2"/>
        <v>1</v>
      </c>
      <c r="O37">
        <f>IF($A37="","",INDEX('Freeview-Gen Ent-more than min'!$Q:$S,MATCH($A37,'Freeview-Gen Ent-more than min'!$S:$S,0),1))</f>
        <v>31</v>
      </c>
      <c r="P37">
        <f>IF($A37="","",INDEX('Freeview-Gen Ent-more than min'!$Q:$S,MATCH($A37,'Freeview-Gen Ent-more than min'!$S:$S,0),2))</f>
        <v>29</v>
      </c>
      <c r="Q37">
        <f t="shared" si="3"/>
        <v>0</v>
      </c>
      <c r="R37">
        <f t="shared" si="4"/>
        <v>1</v>
      </c>
      <c r="V37" t="str">
        <f>IF('Freeview-Gen Ent'!G39&lt;&gt;0,'Freeview-Gen Ent'!G39,"")</f>
        <v>5Star</v>
      </c>
      <c r="W37">
        <f t="shared" si="5"/>
        <v>1</v>
      </c>
      <c r="X37">
        <f>IF($V37="","",INDEX('Freeview-Gen Ent'!$E:$G,MATCH($V37,'Freeview-Gen Ent'!$G:$G,0),1))</f>
        <v>30</v>
      </c>
      <c r="Y37">
        <f>IF($V37="","",INDEX('Freeview-Gen Ent'!$E:$G,MATCH($V37,'Freeview-Gen Ent'!$G:$G,0),2))</f>
        <v>29</v>
      </c>
      <c r="AC37">
        <f>IF($V37="","",INDEX('Freeview-Gen Ent'!$U:$W,MATCH($V37,'Freeview-Gen Ent'!$W:$W,0),1))</f>
        <v>31</v>
      </c>
      <c r="AD37">
        <f>IF($V37="","",INDEX('Freeview-Gen Ent'!$U:$W,MATCH($V37,'Freeview-Gen Ent'!$W:$W,0),2))</f>
        <v>29</v>
      </c>
      <c r="AE37">
        <f t="shared" si="6"/>
        <v>0</v>
      </c>
      <c r="AF37">
        <f t="shared" si="7"/>
        <v>1</v>
      </c>
      <c r="AJ37">
        <f>IF($V37="","",INDEX('Freeview-Gen Ent-more than min'!$U:$W,MATCH($V37,'Freeview-Gen Ent-more than min'!$W:$W,0),1))</f>
        <v>31</v>
      </c>
      <c r="AK37">
        <f>IF($V37="","",INDEX('Freeview-Gen Ent-more than min'!$U:$W,MATCH($V37,'Freeview-Gen Ent-more than min'!$W:$W,0),2))</f>
        <v>29</v>
      </c>
      <c r="AL37">
        <f t="shared" si="8"/>
        <v>0</v>
      </c>
      <c r="AM37">
        <f t="shared" si="9"/>
        <v>1</v>
      </c>
      <c r="AQ37" t="str">
        <f>IF('Freeview-Gen Ent'!O39&lt;&gt;0,'Freeview-Gen Ent'!O39,"")</f>
        <v>5Star</v>
      </c>
      <c r="AR37">
        <f t="shared" si="10"/>
        <v>1</v>
      </c>
      <c r="AS37">
        <f>IF($AQ37="","",INDEX('Freeview-Gen Ent'!$M:$O,MATCH($AQ37,'Freeview-Gen Ent'!$O:$O,0),1))</f>
        <v>30</v>
      </c>
      <c r="AT37">
        <f>IF($AQ37="","",INDEX('Freeview-Gen Ent'!$M:$O,MATCH($AQ37,'Freeview-Gen Ent'!$O:$O,0),2))</f>
        <v>30</v>
      </c>
      <c r="AX37">
        <f>IF($AQ37="","",INDEX('Freeview-Gen Ent'!$AC:$AE,MATCH($AQ37,'Freeview-Gen Ent'!$AE:$AE,0),1))</f>
        <v>31</v>
      </c>
      <c r="AY37">
        <f>IF($AQ37="","",INDEX('Freeview-Gen Ent'!$AC:$AE,MATCH($AQ37,'Freeview-Gen Ent'!$AE:$AE,0),2))</f>
        <v>30</v>
      </c>
      <c r="AZ37">
        <f t="shared" si="11"/>
        <v>0</v>
      </c>
      <c r="BA37">
        <f t="shared" si="12"/>
        <v>1</v>
      </c>
      <c r="BE37">
        <f>IF($AQ37="","",INDEX('Freeview-Gen Ent-more than min'!$AC:$AE,MATCH($AQ37,'Freeview-Gen Ent-more than min'!$AE:$AE,0),1))</f>
        <v>31</v>
      </c>
      <c r="BF37">
        <f>IF($AQ37="","",INDEX('Freeview-Gen Ent-more than min'!$AC:$AE,MATCH($AQ37,'Freeview-Gen Ent-more than min'!$AE:$AE,0),2))</f>
        <v>30</v>
      </c>
      <c r="BG37">
        <f t="shared" si="13"/>
        <v>0</v>
      </c>
      <c r="BH37">
        <f t="shared" si="14"/>
        <v>1</v>
      </c>
    </row>
    <row r="38" spans="1:60" x14ac:dyDescent="0.45">
      <c r="A38" t="str">
        <f>IF('Freeview-Gen Ent'!C40&lt;&gt;0,'Freeview-Gen Ent'!C40,"")</f>
        <v>5Spike</v>
      </c>
      <c r="B38">
        <f t="shared" si="0"/>
        <v>1</v>
      </c>
      <c r="C38">
        <f>IF($A38="","",INDEX('Freeview-Gen Ent'!$A:$C,MATCH($A38,'Freeview-Gen Ent'!$C:$C,0),1))</f>
        <v>31</v>
      </c>
      <c r="D38">
        <f>IF($A38="","",INDEX('Freeview-Gen Ent'!$A:$C,MATCH($A38,'Freeview-Gen Ent'!$C:$C,0),2))</f>
        <v>30</v>
      </c>
      <c r="H38">
        <f>IF($A38="","",INDEX('Freeview-Gen Ent'!$Q:$S,MATCH($A38,'Freeview-Gen Ent'!$S:$S,0),1))</f>
        <v>32</v>
      </c>
      <c r="I38">
        <f>IF($A38="","",INDEX('Freeview-Gen Ent'!$Q:$S,MATCH($A38,'Freeview-Gen Ent'!$S:$S,0),2))</f>
        <v>30</v>
      </c>
      <c r="J38">
        <f t="shared" si="1"/>
        <v>0</v>
      </c>
      <c r="K38">
        <f t="shared" si="2"/>
        <v>1</v>
      </c>
      <c r="O38">
        <f>IF($A38="","",INDEX('Freeview-Gen Ent-more than min'!$Q:$S,MATCH($A38,'Freeview-Gen Ent-more than min'!$S:$S,0),1))</f>
        <v>32</v>
      </c>
      <c r="P38">
        <f>IF($A38="","",INDEX('Freeview-Gen Ent-more than min'!$Q:$S,MATCH($A38,'Freeview-Gen Ent-more than min'!$S:$S,0),2))</f>
        <v>30</v>
      </c>
      <c r="Q38">
        <f t="shared" si="3"/>
        <v>0</v>
      </c>
      <c r="R38">
        <f t="shared" si="4"/>
        <v>1</v>
      </c>
      <c r="V38" t="str">
        <f>IF('Freeview-Gen Ent'!G40&lt;&gt;0,'Freeview-Gen Ent'!G40,"")</f>
        <v>5Spike</v>
      </c>
      <c r="W38">
        <f t="shared" si="5"/>
        <v>1</v>
      </c>
      <c r="X38">
        <f>IF($V38="","",INDEX('Freeview-Gen Ent'!$E:$G,MATCH($V38,'Freeview-Gen Ent'!$G:$G,0),1))</f>
        <v>31</v>
      </c>
      <c r="Y38">
        <f>IF($V38="","",INDEX('Freeview-Gen Ent'!$E:$G,MATCH($V38,'Freeview-Gen Ent'!$G:$G,0),2))</f>
        <v>30</v>
      </c>
      <c r="AC38">
        <f>IF($V38="","",INDEX('Freeview-Gen Ent'!$U:$W,MATCH($V38,'Freeview-Gen Ent'!$W:$W,0),1))</f>
        <v>32</v>
      </c>
      <c r="AD38">
        <f>IF($V38="","",INDEX('Freeview-Gen Ent'!$U:$W,MATCH($V38,'Freeview-Gen Ent'!$W:$W,0),2))</f>
        <v>30</v>
      </c>
      <c r="AE38">
        <f t="shared" si="6"/>
        <v>0</v>
      </c>
      <c r="AF38">
        <f t="shared" si="7"/>
        <v>1</v>
      </c>
      <c r="AJ38">
        <f>IF($V38="","",INDEX('Freeview-Gen Ent-more than min'!$U:$W,MATCH($V38,'Freeview-Gen Ent-more than min'!$W:$W,0),1))</f>
        <v>32</v>
      </c>
      <c r="AK38">
        <f>IF($V38="","",INDEX('Freeview-Gen Ent-more than min'!$U:$W,MATCH($V38,'Freeview-Gen Ent-more than min'!$W:$W,0),2))</f>
        <v>30</v>
      </c>
      <c r="AL38">
        <f t="shared" si="8"/>
        <v>0</v>
      </c>
      <c r="AM38">
        <f t="shared" si="9"/>
        <v>1</v>
      </c>
      <c r="AQ38" t="str">
        <f>IF('Freeview-Gen Ent'!O40&lt;&gt;0,'Freeview-Gen Ent'!O40,"")</f>
        <v>5Spike</v>
      </c>
      <c r="AR38">
        <f t="shared" si="10"/>
        <v>1</v>
      </c>
      <c r="AS38">
        <f>IF($AQ38="","",INDEX('Freeview-Gen Ent'!$M:$O,MATCH($AQ38,'Freeview-Gen Ent'!$O:$O,0),1))</f>
        <v>31</v>
      </c>
      <c r="AT38">
        <f>IF($AQ38="","",INDEX('Freeview-Gen Ent'!$M:$O,MATCH($AQ38,'Freeview-Gen Ent'!$O:$O,0),2))</f>
        <v>31</v>
      </c>
      <c r="AX38">
        <f>IF($AQ38="","",INDEX('Freeview-Gen Ent'!$AC:$AE,MATCH($AQ38,'Freeview-Gen Ent'!$AE:$AE,0),1))</f>
        <v>32</v>
      </c>
      <c r="AY38">
        <f>IF($AQ38="","",INDEX('Freeview-Gen Ent'!$AC:$AE,MATCH($AQ38,'Freeview-Gen Ent'!$AE:$AE,0),2))</f>
        <v>31</v>
      </c>
      <c r="AZ38">
        <f t="shared" si="11"/>
        <v>0</v>
      </c>
      <c r="BA38">
        <f t="shared" si="12"/>
        <v>1</v>
      </c>
      <c r="BE38">
        <f>IF($AQ38="","",INDEX('Freeview-Gen Ent-more than min'!$AC:$AE,MATCH($AQ38,'Freeview-Gen Ent-more than min'!$AE:$AE,0),1))</f>
        <v>32</v>
      </c>
      <c r="BF38">
        <f>IF($AQ38="","",INDEX('Freeview-Gen Ent-more than min'!$AC:$AE,MATCH($AQ38,'Freeview-Gen Ent-more than min'!$AE:$AE,0),2))</f>
        <v>31</v>
      </c>
      <c r="BG38">
        <f t="shared" si="13"/>
        <v>0</v>
      </c>
      <c r="BH38">
        <f t="shared" si="14"/>
        <v>1</v>
      </c>
    </row>
    <row r="39" spans="1:60" x14ac:dyDescent="0.45">
      <c r="A39" t="str">
        <f>IF('Freeview-Gen Ent'!C41&lt;&gt;0,'Freeview-Gen Ent'!C41,"")</f>
        <v>Sony Movie Channel</v>
      </c>
      <c r="B39">
        <f t="shared" si="0"/>
        <v>1</v>
      </c>
      <c r="C39">
        <f>IF($A39="","",INDEX('Freeview-Gen Ent'!$A:$C,MATCH($A39,'Freeview-Gen Ent'!$C:$C,0),1))</f>
        <v>32</v>
      </c>
      <c r="D39">
        <f>IF($A39="","",INDEX('Freeview-Gen Ent'!$A:$C,MATCH($A39,'Freeview-Gen Ent'!$C:$C,0),2))</f>
        <v>31</v>
      </c>
      <c r="H39">
        <f>IF($A39="","",INDEX('Freeview-Gen Ent'!$Q:$S,MATCH($A39,'Freeview-Gen Ent'!$S:$S,0),1))</f>
        <v>33</v>
      </c>
      <c r="I39">
        <f>IF($A39="","",INDEX('Freeview-Gen Ent'!$Q:$S,MATCH($A39,'Freeview-Gen Ent'!$S:$S,0),2))</f>
        <v>31</v>
      </c>
      <c r="J39">
        <f t="shared" si="1"/>
        <v>0</v>
      </c>
      <c r="K39">
        <f t="shared" si="2"/>
        <v>1</v>
      </c>
      <c r="O39">
        <f>IF($A39="","",INDEX('Freeview-Gen Ent-more than min'!$Q:$S,MATCH($A39,'Freeview-Gen Ent-more than min'!$S:$S,0),1))</f>
        <v>33</v>
      </c>
      <c r="P39">
        <f>IF($A39="","",INDEX('Freeview-Gen Ent-more than min'!$Q:$S,MATCH($A39,'Freeview-Gen Ent-more than min'!$S:$S,0),2))</f>
        <v>31</v>
      </c>
      <c r="Q39">
        <f t="shared" si="3"/>
        <v>0</v>
      </c>
      <c r="R39">
        <f t="shared" si="4"/>
        <v>1</v>
      </c>
      <c r="V39" t="str">
        <f>IF('Freeview-Gen Ent'!G41&lt;&gt;0,'Freeview-Gen Ent'!G41,"")</f>
        <v>Sony Movie Channel</v>
      </c>
      <c r="W39">
        <f t="shared" si="5"/>
        <v>1</v>
      </c>
      <c r="X39">
        <f>IF($V39="","",INDEX('Freeview-Gen Ent'!$E:$G,MATCH($V39,'Freeview-Gen Ent'!$G:$G,0),1))</f>
        <v>32</v>
      </c>
      <c r="Y39">
        <f>IF($V39="","",INDEX('Freeview-Gen Ent'!$E:$G,MATCH($V39,'Freeview-Gen Ent'!$G:$G,0),2))</f>
        <v>31</v>
      </c>
      <c r="AC39">
        <f>IF($V39="","",INDEX('Freeview-Gen Ent'!$U:$W,MATCH($V39,'Freeview-Gen Ent'!$W:$W,0),1))</f>
        <v>33</v>
      </c>
      <c r="AD39">
        <f>IF($V39="","",INDEX('Freeview-Gen Ent'!$U:$W,MATCH($V39,'Freeview-Gen Ent'!$W:$W,0),2))</f>
        <v>31</v>
      </c>
      <c r="AE39">
        <f t="shared" si="6"/>
        <v>0</v>
      </c>
      <c r="AF39">
        <f t="shared" si="7"/>
        <v>1</v>
      </c>
      <c r="AJ39">
        <f>IF($V39="","",INDEX('Freeview-Gen Ent-more than min'!$U:$W,MATCH($V39,'Freeview-Gen Ent-more than min'!$W:$W,0),1))</f>
        <v>33</v>
      </c>
      <c r="AK39">
        <f>IF($V39="","",INDEX('Freeview-Gen Ent-more than min'!$U:$W,MATCH($V39,'Freeview-Gen Ent-more than min'!$W:$W,0),2))</f>
        <v>31</v>
      </c>
      <c r="AL39">
        <f t="shared" si="8"/>
        <v>0</v>
      </c>
      <c r="AM39">
        <f t="shared" si="9"/>
        <v>1</v>
      </c>
      <c r="AQ39" t="str">
        <f>IF('Freeview-Gen Ent'!O41&lt;&gt;0,'Freeview-Gen Ent'!O41,"")</f>
        <v>Sony Movie Channel</v>
      </c>
      <c r="AR39">
        <f t="shared" si="10"/>
        <v>1</v>
      </c>
      <c r="AS39">
        <f>IF($AQ39="","",INDEX('Freeview-Gen Ent'!$M:$O,MATCH($AQ39,'Freeview-Gen Ent'!$O:$O,0),1))</f>
        <v>32</v>
      </c>
      <c r="AT39">
        <f>IF($AQ39="","",INDEX('Freeview-Gen Ent'!$M:$O,MATCH($AQ39,'Freeview-Gen Ent'!$O:$O,0),2))</f>
        <v>32</v>
      </c>
      <c r="AX39">
        <f>IF($AQ39="","",INDEX('Freeview-Gen Ent'!$AC:$AE,MATCH($AQ39,'Freeview-Gen Ent'!$AE:$AE,0),1))</f>
        <v>33</v>
      </c>
      <c r="AY39">
        <f>IF($AQ39="","",INDEX('Freeview-Gen Ent'!$AC:$AE,MATCH($AQ39,'Freeview-Gen Ent'!$AE:$AE,0),2))</f>
        <v>32</v>
      </c>
      <c r="AZ39">
        <f t="shared" si="11"/>
        <v>0</v>
      </c>
      <c r="BA39">
        <f t="shared" si="12"/>
        <v>1</v>
      </c>
      <c r="BE39">
        <f>IF($AQ39="","",INDEX('Freeview-Gen Ent-more than min'!$AC:$AE,MATCH($AQ39,'Freeview-Gen Ent-more than min'!$AE:$AE,0),1))</f>
        <v>33</v>
      </c>
      <c r="BF39">
        <f>IF($AQ39="","",INDEX('Freeview-Gen Ent-more than min'!$AC:$AE,MATCH($AQ39,'Freeview-Gen Ent-more than min'!$AE:$AE,0),2))</f>
        <v>32</v>
      </c>
      <c r="BG39">
        <f t="shared" si="13"/>
        <v>0</v>
      </c>
      <c r="BH39">
        <f t="shared" si="14"/>
        <v>1</v>
      </c>
    </row>
    <row r="40" spans="1:60" x14ac:dyDescent="0.45">
      <c r="A40" t="str">
        <f>IF('Freeview-Gen Ent'!C42&lt;&gt;0,'Freeview-Gen Ent'!C42,"")</f>
        <v>ITV +1</v>
      </c>
      <c r="B40">
        <f t="shared" si="0"/>
        <v>1</v>
      </c>
      <c r="C40">
        <f>IF($A40="","",INDEX('Freeview-Gen Ent'!$A:$C,MATCH($A40,'Freeview-Gen Ent'!$C:$C,0),1))</f>
        <v>33</v>
      </c>
      <c r="D40">
        <f>IF($A40="","",INDEX('Freeview-Gen Ent'!$A:$C,MATCH($A40,'Freeview-Gen Ent'!$C:$C,0),2))</f>
        <v>32</v>
      </c>
      <c r="H40">
        <f>IF($A40="","",INDEX('Freeview-Gen Ent'!$Q:$S,MATCH($A40,'Freeview-Gen Ent'!$S:$S,0),1))</f>
        <v>34</v>
      </c>
      <c r="I40">
        <f>IF($A40="","",INDEX('Freeview-Gen Ent'!$Q:$S,MATCH($A40,'Freeview-Gen Ent'!$S:$S,0),2))</f>
        <v>32</v>
      </c>
      <c r="J40">
        <f t="shared" si="1"/>
        <v>0</v>
      </c>
      <c r="K40">
        <f t="shared" si="2"/>
        <v>1</v>
      </c>
      <c r="O40">
        <f>IF($A40="","",INDEX('Freeview-Gen Ent-more than min'!$Q:$S,MATCH($A40,'Freeview-Gen Ent-more than min'!$S:$S,0),1))</f>
        <v>34</v>
      </c>
      <c r="P40">
        <f>IF($A40="","",INDEX('Freeview-Gen Ent-more than min'!$Q:$S,MATCH($A40,'Freeview-Gen Ent-more than min'!$S:$S,0),2))</f>
        <v>32</v>
      </c>
      <c r="Q40">
        <f t="shared" si="3"/>
        <v>0</v>
      </c>
      <c r="R40">
        <f t="shared" si="4"/>
        <v>1</v>
      </c>
      <c r="V40" t="str">
        <f>IF('Freeview-Gen Ent'!G42&lt;&gt;0,'Freeview-Gen Ent'!G42,"")</f>
        <v>ITV +1</v>
      </c>
      <c r="W40">
        <f t="shared" si="5"/>
        <v>1</v>
      </c>
      <c r="X40">
        <f>IF($V40="","",INDEX('Freeview-Gen Ent'!$E:$G,MATCH($V40,'Freeview-Gen Ent'!$G:$G,0),1))</f>
        <v>33</v>
      </c>
      <c r="Y40">
        <f>IF($V40="","",INDEX('Freeview-Gen Ent'!$E:$G,MATCH($V40,'Freeview-Gen Ent'!$G:$G,0),2))</f>
        <v>32</v>
      </c>
      <c r="AC40">
        <f>IF($V40="","",INDEX('Freeview-Gen Ent'!$U:$W,MATCH($V40,'Freeview-Gen Ent'!$W:$W,0),1))</f>
        <v>34</v>
      </c>
      <c r="AD40">
        <f>IF($V40="","",INDEX('Freeview-Gen Ent'!$U:$W,MATCH($V40,'Freeview-Gen Ent'!$W:$W,0),2))</f>
        <v>32</v>
      </c>
      <c r="AE40">
        <f t="shared" si="6"/>
        <v>0</v>
      </c>
      <c r="AF40">
        <f t="shared" si="7"/>
        <v>1</v>
      </c>
      <c r="AJ40">
        <f>IF($V40="","",INDEX('Freeview-Gen Ent-more than min'!$U:$W,MATCH($V40,'Freeview-Gen Ent-more than min'!$W:$W,0),1))</f>
        <v>34</v>
      </c>
      <c r="AK40">
        <f>IF($V40="","",INDEX('Freeview-Gen Ent-more than min'!$U:$W,MATCH($V40,'Freeview-Gen Ent-more than min'!$W:$W,0),2))</f>
        <v>32</v>
      </c>
      <c r="AL40">
        <f t="shared" si="8"/>
        <v>0</v>
      </c>
      <c r="AM40">
        <f t="shared" si="9"/>
        <v>1</v>
      </c>
      <c r="AQ40" t="str">
        <f>IF('Freeview-Gen Ent'!O42&lt;&gt;0,'Freeview-Gen Ent'!O42,"")</f>
        <v>ITV +1</v>
      </c>
      <c r="AR40">
        <f t="shared" si="10"/>
        <v>1</v>
      </c>
      <c r="AS40">
        <f>IF($AQ40="","",INDEX('Freeview-Gen Ent'!$M:$O,MATCH($AQ40,'Freeview-Gen Ent'!$O:$O,0),1))</f>
        <v>33</v>
      </c>
      <c r="AT40">
        <f>IF($AQ40="","",INDEX('Freeview-Gen Ent'!$M:$O,MATCH($AQ40,'Freeview-Gen Ent'!$O:$O,0),2))</f>
        <v>33</v>
      </c>
      <c r="AX40">
        <f>IF($AQ40="","",INDEX('Freeview-Gen Ent'!$AC:$AE,MATCH($AQ40,'Freeview-Gen Ent'!$AE:$AE,0),1))</f>
        <v>34</v>
      </c>
      <c r="AY40">
        <f>IF($AQ40="","",INDEX('Freeview-Gen Ent'!$AC:$AE,MATCH($AQ40,'Freeview-Gen Ent'!$AE:$AE,0),2))</f>
        <v>33</v>
      </c>
      <c r="AZ40">
        <f t="shared" si="11"/>
        <v>0</v>
      </c>
      <c r="BA40">
        <f t="shared" si="12"/>
        <v>1</v>
      </c>
      <c r="BE40">
        <f>IF($AQ40="","",INDEX('Freeview-Gen Ent-more than min'!$AC:$AE,MATCH($AQ40,'Freeview-Gen Ent-more than min'!$AE:$AE,0),1))</f>
        <v>34</v>
      </c>
      <c r="BF40">
        <f>IF($AQ40="","",INDEX('Freeview-Gen Ent-more than min'!$AC:$AE,MATCH($AQ40,'Freeview-Gen Ent-more than min'!$AE:$AE,0),2))</f>
        <v>33</v>
      </c>
      <c r="BG40">
        <f t="shared" si="13"/>
        <v>0</v>
      </c>
      <c r="BH40">
        <f t="shared" si="14"/>
        <v>1</v>
      </c>
    </row>
    <row r="41" spans="1:60" x14ac:dyDescent="0.45">
      <c r="A41" t="str">
        <f>IF('Freeview-Gen Ent'!C43&lt;&gt;0,'Freeview-Gen Ent'!C43,"")</f>
        <v>ITV3 +1</v>
      </c>
      <c r="B41">
        <f t="shared" si="0"/>
        <v>1</v>
      </c>
      <c r="C41">
        <f>IF($A41="","",INDEX('Freeview-Gen Ent'!$A:$C,MATCH($A41,'Freeview-Gen Ent'!$C:$C,0),1))</f>
        <v>34</v>
      </c>
      <c r="D41">
        <f>IF($A41="","",INDEX('Freeview-Gen Ent'!$A:$C,MATCH($A41,'Freeview-Gen Ent'!$C:$C,0),2))</f>
        <v>33</v>
      </c>
      <c r="H41">
        <f>IF($A41="","",INDEX('Freeview-Gen Ent'!$Q:$S,MATCH($A41,'Freeview-Gen Ent'!$S:$S,0),1))</f>
        <v>35</v>
      </c>
      <c r="I41">
        <f>IF($A41="","",INDEX('Freeview-Gen Ent'!$Q:$S,MATCH($A41,'Freeview-Gen Ent'!$S:$S,0),2))</f>
        <v>33</v>
      </c>
      <c r="J41">
        <f t="shared" si="1"/>
        <v>0</v>
      </c>
      <c r="K41">
        <f t="shared" si="2"/>
        <v>1</v>
      </c>
      <c r="O41">
        <f>IF($A41="","",INDEX('Freeview-Gen Ent-more than min'!$Q:$S,MATCH($A41,'Freeview-Gen Ent-more than min'!$S:$S,0),1))</f>
        <v>35</v>
      </c>
      <c r="P41">
        <f>IF($A41="","",INDEX('Freeview-Gen Ent-more than min'!$Q:$S,MATCH($A41,'Freeview-Gen Ent-more than min'!$S:$S,0),2))</f>
        <v>33</v>
      </c>
      <c r="Q41">
        <f t="shared" si="3"/>
        <v>0</v>
      </c>
      <c r="R41">
        <f t="shared" si="4"/>
        <v>1</v>
      </c>
      <c r="V41" t="str">
        <f>IF('Freeview-Gen Ent'!G43&lt;&gt;0,'Freeview-Gen Ent'!G43,"")</f>
        <v>ITV3 +1</v>
      </c>
      <c r="W41">
        <f t="shared" si="5"/>
        <v>1</v>
      </c>
      <c r="X41">
        <f>IF($V41="","",INDEX('Freeview-Gen Ent'!$E:$G,MATCH($V41,'Freeview-Gen Ent'!$G:$G,0),1))</f>
        <v>34</v>
      </c>
      <c r="Y41">
        <f>IF($V41="","",INDEX('Freeview-Gen Ent'!$E:$G,MATCH($V41,'Freeview-Gen Ent'!$G:$G,0),2))</f>
        <v>33</v>
      </c>
      <c r="AC41">
        <f>IF($V41="","",INDEX('Freeview-Gen Ent'!$U:$W,MATCH($V41,'Freeview-Gen Ent'!$W:$W,0),1))</f>
        <v>35</v>
      </c>
      <c r="AD41">
        <f>IF($V41="","",INDEX('Freeview-Gen Ent'!$U:$W,MATCH($V41,'Freeview-Gen Ent'!$W:$W,0),2))</f>
        <v>33</v>
      </c>
      <c r="AE41">
        <f t="shared" si="6"/>
        <v>0</v>
      </c>
      <c r="AF41">
        <f t="shared" si="7"/>
        <v>1</v>
      </c>
      <c r="AJ41">
        <f>IF($V41="","",INDEX('Freeview-Gen Ent-more than min'!$U:$W,MATCH($V41,'Freeview-Gen Ent-more than min'!$W:$W,0),1))</f>
        <v>35</v>
      </c>
      <c r="AK41">
        <f>IF($V41="","",INDEX('Freeview-Gen Ent-more than min'!$U:$W,MATCH($V41,'Freeview-Gen Ent-more than min'!$W:$W,0),2))</f>
        <v>33</v>
      </c>
      <c r="AL41">
        <f t="shared" si="8"/>
        <v>0</v>
      </c>
      <c r="AM41">
        <f t="shared" si="9"/>
        <v>1</v>
      </c>
      <c r="AQ41" t="str">
        <f>IF('Freeview-Gen Ent'!O43&lt;&gt;0,'Freeview-Gen Ent'!O43,"")</f>
        <v>ITV3 +1</v>
      </c>
      <c r="AR41">
        <f t="shared" si="10"/>
        <v>1</v>
      </c>
      <c r="AS41">
        <f>IF($AQ41="","",INDEX('Freeview-Gen Ent'!$M:$O,MATCH($AQ41,'Freeview-Gen Ent'!$O:$O,0),1))</f>
        <v>34</v>
      </c>
      <c r="AT41">
        <f>IF($AQ41="","",INDEX('Freeview-Gen Ent'!$M:$O,MATCH($AQ41,'Freeview-Gen Ent'!$O:$O,0),2))</f>
        <v>34</v>
      </c>
      <c r="AX41">
        <f>IF($AQ41="","",INDEX('Freeview-Gen Ent'!$AC:$AE,MATCH($AQ41,'Freeview-Gen Ent'!$AE:$AE,0),1))</f>
        <v>35</v>
      </c>
      <c r="AY41">
        <f>IF($AQ41="","",INDEX('Freeview-Gen Ent'!$AC:$AE,MATCH($AQ41,'Freeview-Gen Ent'!$AE:$AE,0),2))</f>
        <v>34</v>
      </c>
      <c r="AZ41">
        <f t="shared" si="11"/>
        <v>0</v>
      </c>
      <c r="BA41">
        <f t="shared" si="12"/>
        <v>1</v>
      </c>
      <c r="BE41">
        <f>IF($AQ41="","",INDEX('Freeview-Gen Ent-more than min'!$AC:$AE,MATCH($AQ41,'Freeview-Gen Ent-more than min'!$AE:$AE,0),1))</f>
        <v>35</v>
      </c>
      <c r="BF41">
        <f>IF($AQ41="","",INDEX('Freeview-Gen Ent-more than min'!$AC:$AE,MATCH($AQ41,'Freeview-Gen Ent-more than min'!$AE:$AE,0),2))</f>
        <v>34</v>
      </c>
      <c r="BG41">
        <f t="shared" si="13"/>
        <v>0</v>
      </c>
      <c r="BH41">
        <f t="shared" si="14"/>
        <v>1</v>
      </c>
    </row>
    <row r="42" spans="1:60" x14ac:dyDescent="0.45">
      <c r="A42" t="str">
        <f>IF('Freeview-Gen Ent'!C44&lt;&gt;0,'Freeview-Gen Ent'!C44,"")</f>
        <v>QVC Beauty</v>
      </c>
      <c r="B42">
        <f t="shared" si="0"/>
        <v>1</v>
      </c>
      <c r="C42">
        <f>IF($A42="","",INDEX('Freeview-Gen Ent'!$A:$C,MATCH($A42,'Freeview-Gen Ent'!$C:$C,0),1))</f>
        <v>35</v>
      </c>
      <c r="D42">
        <f>IF($A42="","",INDEX('Freeview-Gen Ent'!$A:$C,MATCH($A42,'Freeview-Gen Ent'!$C:$C,0),2))</f>
        <v>34</v>
      </c>
      <c r="H42">
        <f>IF($A42="","",INDEX('Freeview-Gen Ent'!$Q:$S,MATCH($A42,'Freeview-Gen Ent'!$S:$S,0),1))</f>
        <v>36</v>
      </c>
      <c r="I42">
        <f>IF($A42="","",INDEX('Freeview-Gen Ent'!$Q:$S,MATCH($A42,'Freeview-Gen Ent'!$S:$S,0),2))</f>
        <v>34</v>
      </c>
      <c r="J42">
        <f t="shared" si="1"/>
        <v>0</v>
      </c>
      <c r="K42">
        <f t="shared" si="2"/>
        <v>1</v>
      </c>
      <c r="O42">
        <f>IF($A42="","",INDEX('Freeview-Gen Ent-more than min'!$Q:$S,MATCH($A42,'Freeview-Gen Ent-more than min'!$S:$S,0),1))</f>
        <v>36</v>
      </c>
      <c r="P42">
        <f>IF($A42="","",INDEX('Freeview-Gen Ent-more than min'!$Q:$S,MATCH($A42,'Freeview-Gen Ent-more than min'!$S:$S,0),2))</f>
        <v>34</v>
      </c>
      <c r="Q42">
        <f t="shared" si="3"/>
        <v>0</v>
      </c>
      <c r="R42">
        <f t="shared" si="4"/>
        <v>1</v>
      </c>
      <c r="V42" t="str">
        <f>IF('Freeview-Gen Ent'!G44&lt;&gt;0,'Freeview-Gen Ent'!G44,"")</f>
        <v>QVC Beauty</v>
      </c>
      <c r="W42">
        <f t="shared" si="5"/>
        <v>1</v>
      </c>
      <c r="X42">
        <f>IF($V42="","",INDEX('Freeview-Gen Ent'!$E:$G,MATCH($V42,'Freeview-Gen Ent'!$G:$G,0),1))</f>
        <v>35</v>
      </c>
      <c r="Y42">
        <f>IF($V42="","",INDEX('Freeview-Gen Ent'!$E:$G,MATCH($V42,'Freeview-Gen Ent'!$G:$G,0),2))</f>
        <v>34</v>
      </c>
      <c r="AC42">
        <f>IF($V42="","",INDEX('Freeview-Gen Ent'!$U:$W,MATCH($V42,'Freeview-Gen Ent'!$W:$W,0),1))</f>
        <v>36</v>
      </c>
      <c r="AD42">
        <f>IF($V42="","",INDEX('Freeview-Gen Ent'!$U:$W,MATCH($V42,'Freeview-Gen Ent'!$W:$W,0),2))</f>
        <v>34</v>
      </c>
      <c r="AE42">
        <f t="shared" si="6"/>
        <v>0</v>
      </c>
      <c r="AF42">
        <f t="shared" si="7"/>
        <v>1</v>
      </c>
      <c r="AJ42">
        <f>IF($V42="","",INDEX('Freeview-Gen Ent-more than min'!$U:$W,MATCH($V42,'Freeview-Gen Ent-more than min'!$W:$W,0),1))</f>
        <v>36</v>
      </c>
      <c r="AK42">
        <f>IF($V42="","",INDEX('Freeview-Gen Ent-more than min'!$U:$W,MATCH($V42,'Freeview-Gen Ent-more than min'!$W:$W,0),2))</f>
        <v>34</v>
      </c>
      <c r="AL42">
        <f t="shared" si="8"/>
        <v>0</v>
      </c>
      <c r="AM42">
        <f t="shared" si="9"/>
        <v>1</v>
      </c>
      <c r="AQ42" t="str">
        <f>IF('Freeview-Gen Ent'!O44&lt;&gt;0,'Freeview-Gen Ent'!O44,"")</f>
        <v>QVC Beauty</v>
      </c>
      <c r="AR42">
        <f t="shared" si="10"/>
        <v>1</v>
      </c>
      <c r="AS42">
        <f>IF($AQ42="","",INDEX('Freeview-Gen Ent'!$M:$O,MATCH($AQ42,'Freeview-Gen Ent'!$O:$O,0),1))</f>
        <v>35</v>
      </c>
      <c r="AT42">
        <f>IF($AQ42="","",INDEX('Freeview-Gen Ent'!$M:$O,MATCH($AQ42,'Freeview-Gen Ent'!$O:$O,0),2))</f>
        <v>35</v>
      </c>
      <c r="AX42">
        <f>IF($AQ42="","",INDEX('Freeview-Gen Ent'!$AC:$AE,MATCH($AQ42,'Freeview-Gen Ent'!$AE:$AE,0),1))</f>
        <v>36</v>
      </c>
      <c r="AY42">
        <f>IF($AQ42="","",INDEX('Freeview-Gen Ent'!$AC:$AE,MATCH($AQ42,'Freeview-Gen Ent'!$AE:$AE,0),2))</f>
        <v>35</v>
      </c>
      <c r="AZ42">
        <f t="shared" si="11"/>
        <v>0</v>
      </c>
      <c r="BA42">
        <f t="shared" si="12"/>
        <v>1</v>
      </c>
      <c r="BE42">
        <f>IF($AQ42="","",INDEX('Freeview-Gen Ent-more than min'!$AC:$AE,MATCH($AQ42,'Freeview-Gen Ent-more than min'!$AE:$AE,0),1))</f>
        <v>36</v>
      </c>
      <c r="BF42">
        <f>IF($AQ42="","",INDEX('Freeview-Gen Ent-more than min'!$AC:$AE,MATCH($AQ42,'Freeview-Gen Ent-more than min'!$AE:$AE,0),2))</f>
        <v>35</v>
      </c>
      <c r="BG42">
        <f t="shared" si="13"/>
        <v>0</v>
      </c>
      <c r="BH42">
        <f t="shared" si="14"/>
        <v>1</v>
      </c>
    </row>
    <row r="43" spans="1:60" x14ac:dyDescent="0.45">
      <c r="A43" t="str">
        <f>IF('Freeview-Gen Ent'!C45&lt;&gt;0,'Freeview-Gen Ent'!C45,"")</f>
        <v>QVC Style</v>
      </c>
      <c r="B43">
        <f t="shared" si="0"/>
        <v>1</v>
      </c>
      <c r="C43">
        <f>IF($A43="","",INDEX('Freeview-Gen Ent'!$A:$C,MATCH($A43,'Freeview-Gen Ent'!$C:$C,0),1))</f>
        <v>36</v>
      </c>
      <c r="D43">
        <f>IF($A43="","",INDEX('Freeview-Gen Ent'!$A:$C,MATCH($A43,'Freeview-Gen Ent'!$C:$C,0),2))</f>
        <v>35</v>
      </c>
      <c r="H43">
        <f>IF($A43="","",INDEX('Freeview-Gen Ent'!$Q:$S,MATCH($A43,'Freeview-Gen Ent'!$S:$S,0),1))</f>
        <v>37</v>
      </c>
      <c r="I43">
        <f>IF($A43="","",INDEX('Freeview-Gen Ent'!$Q:$S,MATCH($A43,'Freeview-Gen Ent'!$S:$S,0),2))</f>
        <v>35</v>
      </c>
      <c r="J43">
        <f t="shared" si="1"/>
        <v>0</v>
      </c>
      <c r="K43">
        <f t="shared" si="2"/>
        <v>1</v>
      </c>
      <c r="O43">
        <f>IF($A43="","",INDEX('Freeview-Gen Ent-more than min'!$Q:$S,MATCH($A43,'Freeview-Gen Ent-more than min'!$S:$S,0),1))</f>
        <v>37</v>
      </c>
      <c r="P43">
        <f>IF($A43="","",INDEX('Freeview-Gen Ent-more than min'!$Q:$S,MATCH($A43,'Freeview-Gen Ent-more than min'!$S:$S,0),2))</f>
        <v>35</v>
      </c>
      <c r="Q43">
        <f t="shared" si="3"/>
        <v>0</v>
      </c>
      <c r="R43">
        <f t="shared" si="4"/>
        <v>1</v>
      </c>
      <c r="V43" t="str">
        <f>IF('Freeview-Gen Ent'!G45&lt;&gt;0,'Freeview-Gen Ent'!G45,"")</f>
        <v>QVC Style</v>
      </c>
      <c r="W43">
        <f t="shared" si="5"/>
        <v>1</v>
      </c>
      <c r="X43">
        <f>IF($V43="","",INDEX('Freeview-Gen Ent'!$E:$G,MATCH($V43,'Freeview-Gen Ent'!$G:$G,0),1))</f>
        <v>36</v>
      </c>
      <c r="Y43">
        <f>IF($V43="","",INDEX('Freeview-Gen Ent'!$E:$G,MATCH($V43,'Freeview-Gen Ent'!$G:$G,0),2))</f>
        <v>35</v>
      </c>
      <c r="AC43">
        <f>IF($V43="","",INDEX('Freeview-Gen Ent'!$U:$W,MATCH($V43,'Freeview-Gen Ent'!$W:$W,0),1))</f>
        <v>37</v>
      </c>
      <c r="AD43">
        <f>IF($V43="","",INDEX('Freeview-Gen Ent'!$U:$W,MATCH($V43,'Freeview-Gen Ent'!$W:$W,0),2))</f>
        <v>35</v>
      </c>
      <c r="AE43">
        <f t="shared" si="6"/>
        <v>0</v>
      </c>
      <c r="AF43">
        <f t="shared" si="7"/>
        <v>1</v>
      </c>
      <c r="AJ43">
        <f>IF($V43="","",INDEX('Freeview-Gen Ent-more than min'!$U:$W,MATCH($V43,'Freeview-Gen Ent-more than min'!$W:$W,0),1))</f>
        <v>37</v>
      </c>
      <c r="AK43">
        <f>IF($V43="","",INDEX('Freeview-Gen Ent-more than min'!$U:$W,MATCH($V43,'Freeview-Gen Ent-more than min'!$W:$W,0),2))</f>
        <v>35</v>
      </c>
      <c r="AL43">
        <f t="shared" si="8"/>
        <v>0</v>
      </c>
      <c r="AM43">
        <f t="shared" si="9"/>
        <v>1</v>
      </c>
      <c r="AQ43" t="str">
        <f>IF('Freeview-Gen Ent'!O45&lt;&gt;0,'Freeview-Gen Ent'!O45,"")</f>
        <v>QVC Style</v>
      </c>
      <c r="AR43">
        <f t="shared" si="10"/>
        <v>1</v>
      </c>
      <c r="AS43">
        <f>IF($AQ43="","",INDEX('Freeview-Gen Ent'!$M:$O,MATCH($AQ43,'Freeview-Gen Ent'!$O:$O,0),1))</f>
        <v>36</v>
      </c>
      <c r="AT43">
        <f>IF($AQ43="","",INDEX('Freeview-Gen Ent'!$M:$O,MATCH($AQ43,'Freeview-Gen Ent'!$O:$O,0),2))</f>
        <v>36</v>
      </c>
      <c r="AX43">
        <f>IF($AQ43="","",INDEX('Freeview-Gen Ent'!$AC:$AE,MATCH($AQ43,'Freeview-Gen Ent'!$AE:$AE,0),1))</f>
        <v>37</v>
      </c>
      <c r="AY43">
        <f>IF($AQ43="","",INDEX('Freeview-Gen Ent'!$AC:$AE,MATCH($AQ43,'Freeview-Gen Ent'!$AE:$AE,0),2))</f>
        <v>36</v>
      </c>
      <c r="AZ43">
        <f t="shared" si="11"/>
        <v>0</v>
      </c>
      <c r="BA43">
        <f t="shared" si="12"/>
        <v>1</v>
      </c>
      <c r="BE43">
        <f>IF($AQ43="","",INDEX('Freeview-Gen Ent-more than min'!$AC:$AE,MATCH($AQ43,'Freeview-Gen Ent-more than min'!$AE:$AE,0),1))</f>
        <v>37</v>
      </c>
      <c r="BF43">
        <f>IF($AQ43="","",INDEX('Freeview-Gen Ent-more than min'!$AC:$AE,MATCH($AQ43,'Freeview-Gen Ent-more than min'!$AE:$AE,0),2))</f>
        <v>36</v>
      </c>
      <c r="BG43">
        <f t="shared" si="13"/>
        <v>0</v>
      </c>
      <c r="BH43">
        <f t="shared" si="14"/>
        <v>1</v>
      </c>
    </row>
    <row r="44" spans="1:60" x14ac:dyDescent="0.45">
      <c r="A44" t="str">
        <f>IF('Freeview-Gen Ent'!C46&lt;&gt;0,'Freeview-Gen Ent'!C46,"")</f>
        <v>Quest</v>
      </c>
      <c r="B44">
        <f t="shared" si="0"/>
        <v>1</v>
      </c>
      <c r="C44">
        <f>IF($A44="","",INDEX('Freeview-Gen Ent'!$A:$C,MATCH($A44,'Freeview-Gen Ent'!$C:$C,0),1))</f>
        <v>37</v>
      </c>
      <c r="D44">
        <f>IF($A44="","",INDEX('Freeview-Gen Ent'!$A:$C,MATCH($A44,'Freeview-Gen Ent'!$C:$C,0),2))</f>
        <v>36</v>
      </c>
      <c r="H44">
        <f>IF($A44="","",INDEX('Freeview-Gen Ent'!$Q:$S,MATCH($A44,'Freeview-Gen Ent'!$S:$S,0),1))</f>
        <v>38</v>
      </c>
      <c r="I44">
        <f>IF($A44="","",INDEX('Freeview-Gen Ent'!$Q:$S,MATCH($A44,'Freeview-Gen Ent'!$S:$S,0),2))</f>
        <v>36</v>
      </c>
      <c r="J44">
        <f t="shared" si="1"/>
        <v>0</v>
      </c>
      <c r="K44">
        <f t="shared" si="2"/>
        <v>1</v>
      </c>
      <c r="O44">
        <f>IF($A44="","",INDEX('Freeview-Gen Ent-more than min'!$Q:$S,MATCH($A44,'Freeview-Gen Ent-more than min'!$S:$S,0),1))</f>
        <v>38</v>
      </c>
      <c r="P44">
        <f>IF($A44="","",INDEX('Freeview-Gen Ent-more than min'!$Q:$S,MATCH($A44,'Freeview-Gen Ent-more than min'!$S:$S,0),2))</f>
        <v>36</v>
      </c>
      <c r="Q44">
        <f t="shared" si="3"/>
        <v>0</v>
      </c>
      <c r="R44">
        <f t="shared" si="4"/>
        <v>1</v>
      </c>
      <c r="V44" t="str">
        <f>IF('Freeview-Gen Ent'!G46&lt;&gt;0,'Freeview-Gen Ent'!G46,"")</f>
        <v>Quest</v>
      </c>
      <c r="W44">
        <f t="shared" si="5"/>
        <v>1</v>
      </c>
      <c r="X44">
        <f>IF($V44="","",INDEX('Freeview-Gen Ent'!$E:$G,MATCH($V44,'Freeview-Gen Ent'!$G:$G,0),1))</f>
        <v>37</v>
      </c>
      <c r="Y44">
        <f>IF($V44="","",INDEX('Freeview-Gen Ent'!$E:$G,MATCH($V44,'Freeview-Gen Ent'!$G:$G,0),2))</f>
        <v>36</v>
      </c>
      <c r="AC44">
        <f>IF($V44="","",INDEX('Freeview-Gen Ent'!$U:$W,MATCH($V44,'Freeview-Gen Ent'!$W:$W,0),1))</f>
        <v>38</v>
      </c>
      <c r="AD44">
        <f>IF($V44="","",INDEX('Freeview-Gen Ent'!$U:$W,MATCH($V44,'Freeview-Gen Ent'!$W:$W,0),2))</f>
        <v>36</v>
      </c>
      <c r="AE44">
        <f t="shared" si="6"/>
        <v>0</v>
      </c>
      <c r="AF44">
        <f t="shared" si="7"/>
        <v>1</v>
      </c>
      <c r="AJ44">
        <f>IF($V44="","",INDEX('Freeview-Gen Ent-more than min'!$U:$W,MATCH($V44,'Freeview-Gen Ent-more than min'!$W:$W,0),1))</f>
        <v>38</v>
      </c>
      <c r="AK44">
        <f>IF($V44="","",INDEX('Freeview-Gen Ent-more than min'!$U:$W,MATCH($V44,'Freeview-Gen Ent-more than min'!$W:$W,0),2))</f>
        <v>36</v>
      </c>
      <c r="AL44">
        <f t="shared" si="8"/>
        <v>0</v>
      </c>
      <c r="AM44">
        <f t="shared" si="9"/>
        <v>1</v>
      </c>
      <c r="AQ44" t="str">
        <f>IF('Freeview-Gen Ent'!O46&lt;&gt;0,'Freeview-Gen Ent'!O46,"")</f>
        <v>Quest</v>
      </c>
      <c r="AR44">
        <f t="shared" si="10"/>
        <v>1</v>
      </c>
      <c r="AS44">
        <f>IF($AQ44="","",INDEX('Freeview-Gen Ent'!$M:$O,MATCH($AQ44,'Freeview-Gen Ent'!$O:$O,0),1))</f>
        <v>37</v>
      </c>
      <c r="AT44">
        <f>IF($AQ44="","",INDEX('Freeview-Gen Ent'!$M:$O,MATCH($AQ44,'Freeview-Gen Ent'!$O:$O,0),2))</f>
        <v>37</v>
      </c>
      <c r="AX44">
        <f>IF($AQ44="","",INDEX('Freeview-Gen Ent'!$AC:$AE,MATCH($AQ44,'Freeview-Gen Ent'!$AE:$AE,0),1))</f>
        <v>38</v>
      </c>
      <c r="AY44">
        <f>IF($AQ44="","",INDEX('Freeview-Gen Ent'!$AC:$AE,MATCH($AQ44,'Freeview-Gen Ent'!$AE:$AE,0),2))</f>
        <v>37</v>
      </c>
      <c r="AZ44">
        <f t="shared" si="11"/>
        <v>0</v>
      </c>
      <c r="BA44">
        <f t="shared" si="12"/>
        <v>1</v>
      </c>
      <c r="BE44">
        <f>IF($AQ44="","",INDEX('Freeview-Gen Ent-more than min'!$AC:$AE,MATCH($AQ44,'Freeview-Gen Ent-more than min'!$AE:$AE,0),1))</f>
        <v>38</v>
      </c>
      <c r="BF44">
        <f>IF($AQ44="","",INDEX('Freeview-Gen Ent-more than min'!$AC:$AE,MATCH($AQ44,'Freeview-Gen Ent-more than min'!$AE:$AE,0),2))</f>
        <v>37</v>
      </c>
      <c r="BG44">
        <f t="shared" si="13"/>
        <v>0</v>
      </c>
      <c r="BH44">
        <f t="shared" si="14"/>
        <v>1</v>
      </c>
    </row>
    <row r="45" spans="1:60" x14ac:dyDescent="0.45">
      <c r="A45" t="str">
        <f>IF('Freeview-Gen Ent'!C47&lt;&gt;0,'Freeview-Gen Ent'!C47,"")</f>
        <v>Quest Red</v>
      </c>
      <c r="B45">
        <f t="shared" si="0"/>
        <v>1</v>
      </c>
      <c r="C45">
        <f>IF($A45="","",INDEX('Freeview-Gen Ent'!$A:$C,MATCH($A45,'Freeview-Gen Ent'!$C:$C,0),1))</f>
        <v>38</v>
      </c>
      <c r="D45">
        <f>IF($A45="","",INDEX('Freeview-Gen Ent'!$A:$C,MATCH($A45,'Freeview-Gen Ent'!$C:$C,0),2))</f>
        <v>37</v>
      </c>
      <c r="H45">
        <f>IF($A45="","",INDEX('Freeview-Gen Ent'!$Q:$S,MATCH($A45,'Freeview-Gen Ent'!$S:$S,0),1))</f>
        <v>39</v>
      </c>
      <c r="I45">
        <f>IF($A45="","",INDEX('Freeview-Gen Ent'!$Q:$S,MATCH($A45,'Freeview-Gen Ent'!$S:$S,0),2))</f>
        <v>37</v>
      </c>
      <c r="J45">
        <f t="shared" si="1"/>
        <v>0</v>
      </c>
      <c r="K45">
        <f t="shared" si="2"/>
        <v>1</v>
      </c>
      <c r="O45">
        <f>IF($A45="","",INDEX('Freeview-Gen Ent-more than min'!$Q:$S,MATCH($A45,'Freeview-Gen Ent-more than min'!$S:$S,0),1))</f>
        <v>39</v>
      </c>
      <c r="P45">
        <f>IF($A45="","",INDEX('Freeview-Gen Ent-more than min'!$Q:$S,MATCH($A45,'Freeview-Gen Ent-more than min'!$S:$S,0),2))</f>
        <v>37</v>
      </c>
      <c r="Q45">
        <f t="shared" si="3"/>
        <v>0</v>
      </c>
      <c r="R45">
        <f t="shared" si="4"/>
        <v>1</v>
      </c>
      <c r="V45" t="str">
        <f>IF('Freeview-Gen Ent'!G47&lt;&gt;0,'Freeview-Gen Ent'!G47,"")</f>
        <v>Quest Red</v>
      </c>
      <c r="W45">
        <f t="shared" si="5"/>
        <v>1</v>
      </c>
      <c r="X45">
        <f>IF($V45="","",INDEX('Freeview-Gen Ent'!$E:$G,MATCH($V45,'Freeview-Gen Ent'!$G:$G,0),1))</f>
        <v>38</v>
      </c>
      <c r="Y45">
        <f>IF($V45="","",INDEX('Freeview-Gen Ent'!$E:$G,MATCH($V45,'Freeview-Gen Ent'!$G:$G,0),2))</f>
        <v>37</v>
      </c>
      <c r="AC45">
        <f>IF($V45="","",INDEX('Freeview-Gen Ent'!$U:$W,MATCH($V45,'Freeview-Gen Ent'!$W:$W,0),1))</f>
        <v>39</v>
      </c>
      <c r="AD45">
        <f>IF($V45="","",INDEX('Freeview-Gen Ent'!$U:$W,MATCH($V45,'Freeview-Gen Ent'!$W:$W,0),2))</f>
        <v>37</v>
      </c>
      <c r="AE45">
        <f t="shared" si="6"/>
        <v>0</v>
      </c>
      <c r="AF45">
        <f t="shared" si="7"/>
        <v>1</v>
      </c>
      <c r="AJ45">
        <f>IF($V45="","",INDEX('Freeview-Gen Ent-more than min'!$U:$W,MATCH($V45,'Freeview-Gen Ent-more than min'!$W:$W,0),1))</f>
        <v>39</v>
      </c>
      <c r="AK45">
        <f>IF($V45="","",INDEX('Freeview-Gen Ent-more than min'!$U:$W,MATCH($V45,'Freeview-Gen Ent-more than min'!$W:$W,0),2))</f>
        <v>37</v>
      </c>
      <c r="AL45">
        <f t="shared" si="8"/>
        <v>0</v>
      </c>
      <c r="AM45">
        <f t="shared" si="9"/>
        <v>1</v>
      </c>
      <c r="AQ45" t="str">
        <f>IF('Freeview-Gen Ent'!O47&lt;&gt;0,'Freeview-Gen Ent'!O47,"")</f>
        <v>Quest Red</v>
      </c>
      <c r="AR45">
        <f t="shared" si="10"/>
        <v>1</v>
      </c>
      <c r="AS45">
        <f>IF($AQ45="","",INDEX('Freeview-Gen Ent'!$M:$O,MATCH($AQ45,'Freeview-Gen Ent'!$O:$O,0),1))</f>
        <v>38</v>
      </c>
      <c r="AT45">
        <f>IF($AQ45="","",INDEX('Freeview-Gen Ent'!$M:$O,MATCH($AQ45,'Freeview-Gen Ent'!$O:$O,0),2))</f>
        <v>38</v>
      </c>
      <c r="AX45">
        <f>IF($AQ45="","",INDEX('Freeview-Gen Ent'!$AC:$AE,MATCH($AQ45,'Freeview-Gen Ent'!$AE:$AE,0),1))</f>
        <v>39</v>
      </c>
      <c r="AY45">
        <f>IF($AQ45="","",INDEX('Freeview-Gen Ent'!$AC:$AE,MATCH($AQ45,'Freeview-Gen Ent'!$AE:$AE,0),2))</f>
        <v>38</v>
      </c>
      <c r="AZ45">
        <f t="shared" si="11"/>
        <v>0</v>
      </c>
      <c r="BA45">
        <f t="shared" si="12"/>
        <v>1</v>
      </c>
      <c r="BE45">
        <f>IF($AQ45="","",INDEX('Freeview-Gen Ent-more than min'!$AC:$AE,MATCH($AQ45,'Freeview-Gen Ent-more than min'!$AE:$AE,0),1))</f>
        <v>39</v>
      </c>
      <c r="BF45">
        <f>IF($AQ45="","",INDEX('Freeview-Gen Ent-more than min'!$AC:$AE,MATCH($AQ45,'Freeview-Gen Ent-more than min'!$AE:$AE,0),2))</f>
        <v>38</v>
      </c>
      <c r="BG45">
        <f t="shared" si="13"/>
        <v>0</v>
      </c>
      <c r="BH45">
        <f t="shared" si="14"/>
        <v>1</v>
      </c>
    </row>
    <row r="46" spans="1:60" x14ac:dyDescent="0.45">
      <c r="A46" t="str">
        <f>IF('Freeview-Gen Ent'!C48&lt;&gt;0,'Freeview-Gen Ent'!C48,"")</f>
        <v>CBS Action</v>
      </c>
      <c r="B46">
        <f t="shared" si="0"/>
        <v>1</v>
      </c>
      <c r="C46">
        <f>IF($A46="","",INDEX('Freeview-Gen Ent'!$A:$C,MATCH($A46,'Freeview-Gen Ent'!$C:$C,0),1))</f>
        <v>39</v>
      </c>
      <c r="D46">
        <f>IF($A46="","",INDEX('Freeview-Gen Ent'!$A:$C,MATCH($A46,'Freeview-Gen Ent'!$C:$C,0),2))</f>
        <v>38</v>
      </c>
      <c r="H46">
        <f>IF($A46="","",INDEX('Freeview-Gen Ent'!$Q:$S,MATCH($A46,'Freeview-Gen Ent'!$S:$S,0),1))</f>
        <v>40</v>
      </c>
      <c r="I46">
        <f>IF($A46="","",INDEX('Freeview-Gen Ent'!$Q:$S,MATCH($A46,'Freeview-Gen Ent'!$S:$S,0),2))</f>
        <v>38</v>
      </c>
      <c r="J46">
        <f t="shared" si="1"/>
        <v>0</v>
      </c>
      <c r="K46">
        <f t="shared" si="2"/>
        <v>1</v>
      </c>
      <c r="O46">
        <f>IF($A46="","",INDEX('Freeview-Gen Ent-more than min'!$Q:$S,MATCH($A46,'Freeview-Gen Ent-more than min'!$S:$S,0),1))</f>
        <v>40</v>
      </c>
      <c r="P46">
        <f>IF($A46="","",INDEX('Freeview-Gen Ent-more than min'!$Q:$S,MATCH($A46,'Freeview-Gen Ent-more than min'!$S:$S,0),2))</f>
        <v>38</v>
      </c>
      <c r="Q46">
        <f t="shared" si="3"/>
        <v>0</v>
      </c>
      <c r="R46">
        <f t="shared" si="4"/>
        <v>1</v>
      </c>
      <c r="V46" t="str">
        <f>IF('Freeview-Gen Ent'!G48&lt;&gt;0,'Freeview-Gen Ent'!G48,"")</f>
        <v>CBS Action</v>
      </c>
      <c r="W46">
        <f t="shared" si="5"/>
        <v>1</v>
      </c>
      <c r="X46">
        <f>IF($V46="","",INDEX('Freeview-Gen Ent'!$E:$G,MATCH($V46,'Freeview-Gen Ent'!$G:$G,0),1))</f>
        <v>39</v>
      </c>
      <c r="Y46">
        <f>IF($V46="","",INDEX('Freeview-Gen Ent'!$E:$G,MATCH($V46,'Freeview-Gen Ent'!$G:$G,0),2))</f>
        <v>38</v>
      </c>
      <c r="AC46">
        <f>IF($V46="","",INDEX('Freeview-Gen Ent'!$U:$W,MATCH($V46,'Freeview-Gen Ent'!$W:$W,0),1))</f>
        <v>40</v>
      </c>
      <c r="AD46">
        <f>IF($V46="","",INDEX('Freeview-Gen Ent'!$U:$W,MATCH($V46,'Freeview-Gen Ent'!$W:$W,0),2))</f>
        <v>38</v>
      </c>
      <c r="AE46">
        <f t="shared" si="6"/>
        <v>0</v>
      </c>
      <c r="AF46">
        <f t="shared" si="7"/>
        <v>1</v>
      </c>
      <c r="AJ46">
        <f>IF($V46="","",INDEX('Freeview-Gen Ent-more than min'!$U:$W,MATCH($V46,'Freeview-Gen Ent-more than min'!$W:$W,0),1))</f>
        <v>40</v>
      </c>
      <c r="AK46">
        <f>IF($V46="","",INDEX('Freeview-Gen Ent-more than min'!$U:$W,MATCH($V46,'Freeview-Gen Ent-more than min'!$W:$W,0),2))</f>
        <v>38</v>
      </c>
      <c r="AL46">
        <f t="shared" si="8"/>
        <v>0</v>
      </c>
      <c r="AM46">
        <f t="shared" si="9"/>
        <v>1</v>
      </c>
      <c r="AQ46" t="str">
        <f>IF('Freeview-Gen Ent'!O48&lt;&gt;0,'Freeview-Gen Ent'!O48,"")</f>
        <v>CBS Action</v>
      </c>
      <c r="AR46">
        <f t="shared" si="10"/>
        <v>1</v>
      </c>
      <c r="AS46">
        <f>IF($AQ46="","",INDEX('Freeview-Gen Ent'!$M:$O,MATCH($AQ46,'Freeview-Gen Ent'!$O:$O,0),1))</f>
        <v>39</v>
      </c>
      <c r="AT46">
        <f>IF($AQ46="","",INDEX('Freeview-Gen Ent'!$M:$O,MATCH($AQ46,'Freeview-Gen Ent'!$O:$O,0),2))</f>
        <v>39</v>
      </c>
      <c r="AX46">
        <f>IF($AQ46="","",INDEX('Freeview-Gen Ent'!$AC:$AE,MATCH($AQ46,'Freeview-Gen Ent'!$AE:$AE,0),1))</f>
        <v>40</v>
      </c>
      <c r="AY46">
        <f>IF($AQ46="","",INDEX('Freeview-Gen Ent'!$AC:$AE,MATCH($AQ46,'Freeview-Gen Ent'!$AE:$AE,0),2))</f>
        <v>39</v>
      </c>
      <c r="AZ46">
        <f t="shared" si="11"/>
        <v>0</v>
      </c>
      <c r="BA46">
        <f t="shared" si="12"/>
        <v>1</v>
      </c>
      <c r="BE46">
        <f>IF($AQ46="","",INDEX('Freeview-Gen Ent-more than min'!$AC:$AE,MATCH($AQ46,'Freeview-Gen Ent-more than min'!$AE:$AE,0),1))</f>
        <v>40</v>
      </c>
      <c r="BF46">
        <f>IF($AQ46="","",INDEX('Freeview-Gen Ent-more than min'!$AC:$AE,MATCH($AQ46,'Freeview-Gen Ent-more than min'!$AE:$AE,0),2))</f>
        <v>39</v>
      </c>
      <c r="BG46">
        <f t="shared" si="13"/>
        <v>0</v>
      </c>
      <c r="BH46">
        <f t="shared" si="14"/>
        <v>1</v>
      </c>
    </row>
    <row r="47" spans="1:60" x14ac:dyDescent="0.45">
      <c r="A47" t="str">
        <f>IF('Freeview-Gen Ent'!C49&lt;&gt;0,'Freeview-Gen Ent'!C49,"")</f>
        <v>Sony Crime</v>
      </c>
      <c r="B47">
        <f t="shared" si="0"/>
        <v>1</v>
      </c>
      <c r="C47">
        <f>IF($A47="","",INDEX('Freeview-Gen Ent'!$A:$C,MATCH($A47,'Freeview-Gen Ent'!$C:$C,0),1))</f>
        <v>40</v>
      </c>
      <c r="D47">
        <f>IF($A47="","",INDEX('Freeview-Gen Ent'!$A:$C,MATCH($A47,'Freeview-Gen Ent'!$C:$C,0),2))</f>
        <v>39</v>
      </c>
      <c r="H47">
        <f>IF($A47="","",INDEX('Freeview-Gen Ent'!$Q:$S,MATCH($A47,'Freeview-Gen Ent'!$S:$S,0),1))</f>
        <v>41</v>
      </c>
      <c r="I47">
        <f>IF($A47="","",INDEX('Freeview-Gen Ent'!$Q:$S,MATCH($A47,'Freeview-Gen Ent'!$S:$S,0),2))</f>
        <v>39</v>
      </c>
      <c r="J47">
        <f t="shared" si="1"/>
        <v>0</v>
      </c>
      <c r="K47">
        <f t="shared" si="2"/>
        <v>1</v>
      </c>
      <c r="O47">
        <f>IF($A47="","",INDEX('Freeview-Gen Ent-more than min'!$Q:$S,MATCH($A47,'Freeview-Gen Ent-more than min'!$S:$S,0),1))</f>
        <v>41</v>
      </c>
      <c r="P47">
        <f>IF($A47="","",INDEX('Freeview-Gen Ent-more than min'!$Q:$S,MATCH($A47,'Freeview-Gen Ent-more than min'!$S:$S,0),2))</f>
        <v>39</v>
      </c>
      <c r="Q47">
        <f t="shared" si="3"/>
        <v>0</v>
      </c>
      <c r="R47">
        <f t="shared" si="4"/>
        <v>1</v>
      </c>
      <c r="V47" t="str">
        <f>IF('Freeview-Gen Ent'!G49&lt;&gt;0,'Freeview-Gen Ent'!G49,"")</f>
        <v>Sony Crime</v>
      </c>
      <c r="W47">
        <f t="shared" si="5"/>
        <v>1</v>
      </c>
      <c r="X47">
        <f>IF($V47="","",INDEX('Freeview-Gen Ent'!$E:$G,MATCH($V47,'Freeview-Gen Ent'!$G:$G,0),1))</f>
        <v>40</v>
      </c>
      <c r="Y47">
        <f>IF($V47="","",INDEX('Freeview-Gen Ent'!$E:$G,MATCH($V47,'Freeview-Gen Ent'!$G:$G,0),2))</f>
        <v>39</v>
      </c>
      <c r="AC47">
        <f>IF($V47="","",INDEX('Freeview-Gen Ent'!$U:$W,MATCH($V47,'Freeview-Gen Ent'!$W:$W,0),1))</f>
        <v>41</v>
      </c>
      <c r="AD47">
        <f>IF($V47="","",INDEX('Freeview-Gen Ent'!$U:$W,MATCH($V47,'Freeview-Gen Ent'!$W:$W,0),2))</f>
        <v>39</v>
      </c>
      <c r="AE47">
        <f t="shared" si="6"/>
        <v>0</v>
      </c>
      <c r="AF47">
        <f t="shared" si="7"/>
        <v>1</v>
      </c>
      <c r="AJ47">
        <f>IF($V47="","",INDEX('Freeview-Gen Ent-more than min'!$U:$W,MATCH($V47,'Freeview-Gen Ent-more than min'!$W:$W,0),1))</f>
        <v>41</v>
      </c>
      <c r="AK47">
        <f>IF($V47="","",INDEX('Freeview-Gen Ent-more than min'!$U:$W,MATCH($V47,'Freeview-Gen Ent-more than min'!$W:$W,0),2))</f>
        <v>39</v>
      </c>
      <c r="AL47">
        <f t="shared" si="8"/>
        <v>0</v>
      </c>
      <c r="AM47">
        <f t="shared" si="9"/>
        <v>1</v>
      </c>
      <c r="AQ47" t="str">
        <f>IF('Freeview-Gen Ent'!O49&lt;&gt;0,'Freeview-Gen Ent'!O49,"")</f>
        <v>Sony Crime</v>
      </c>
      <c r="AR47">
        <f t="shared" si="10"/>
        <v>1</v>
      </c>
      <c r="AS47">
        <f>IF($AQ47="","",INDEX('Freeview-Gen Ent'!$M:$O,MATCH($AQ47,'Freeview-Gen Ent'!$O:$O,0),1))</f>
        <v>40</v>
      </c>
      <c r="AT47">
        <f>IF($AQ47="","",INDEX('Freeview-Gen Ent'!$M:$O,MATCH($AQ47,'Freeview-Gen Ent'!$O:$O,0),2))</f>
        <v>40</v>
      </c>
      <c r="AX47">
        <f>IF($AQ47="","",INDEX('Freeview-Gen Ent'!$AC:$AE,MATCH($AQ47,'Freeview-Gen Ent'!$AE:$AE,0),1))</f>
        <v>41</v>
      </c>
      <c r="AY47">
        <f>IF($AQ47="","",INDEX('Freeview-Gen Ent'!$AC:$AE,MATCH($AQ47,'Freeview-Gen Ent'!$AE:$AE,0),2))</f>
        <v>40</v>
      </c>
      <c r="AZ47">
        <f t="shared" si="11"/>
        <v>0</v>
      </c>
      <c r="BA47">
        <f t="shared" si="12"/>
        <v>1</v>
      </c>
      <c r="BE47">
        <f>IF($AQ47="","",INDEX('Freeview-Gen Ent-more than min'!$AC:$AE,MATCH($AQ47,'Freeview-Gen Ent-more than min'!$AE:$AE,0),1))</f>
        <v>41</v>
      </c>
      <c r="BF47">
        <f>IF($AQ47="","",INDEX('Freeview-Gen Ent-more than min'!$AC:$AE,MATCH($AQ47,'Freeview-Gen Ent-more than min'!$AE:$AE,0),2))</f>
        <v>40</v>
      </c>
      <c r="BG47">
        <f t="shared" si="13"/>
        <v>0</v>
      </c>
      <c r="BH47">
        <f t="shared" si="14"/>
        <v>1</v>
      </c>
    </row>
    <row r="48" spans="1:60" x14ac:dyDescent="0.45">
      <c r="A48" t="str">
        <f>IF('Freeview-Gen Ent'!C50&lt;&gt;0,'Freeview-Gen Ent'!C50,"")</f>
        <v>Food Network</v>
      </c>
      <c r="B48">
        <f t="shared" si="0"/>
        <v>1</v>
      </c>
      <c r="C48">
        <f>IF($A48="","",INDEX('Freeview-Gen Ent'!$A:$C,MATCH($A48,'Freeview-Gen Ent'!$C:$C,0),1))</f>
        <v>41</v>
      </c>
      <c r="D48">
        <f>IF($A48="","",INDEX('Freeview-Gen Ent'!$A:$C,MATCH($A48,'Freeview-Gen Ent'!$C:$C,0),2))</f>
        <v>40</v>
      </c>
      <c r="H48">
        <f>IF($A48="","",INDEX('Freeview-Gen Ent'!$Q:$S,MATCH($A48,'Freeview-Gen Ent'!$S:$S,0),1))</f>
        <v>42</v>
      </c>
      <c r="I48">
        <f>IF($A48="","",INDEX('Freeview-Gen Ent'!$Q:$S,MATCH($A48,'Freeview-Gen Ent'!$S:$S,0),2))</f>
        <v>40</v>
      </c>
      <c r="J48">
        <f t="shared" si="1"/>
        <v>0</v>
      </c>
      <c r="K48">
        <f t="shared" si="2"/>
        <v>1</v>
      </c>
      <c r="O48">
        <f>IF($A48="","",INDEX('Freeview-Gen Ent-more than min'!$Q:$S,MATCH($A48,'Freeview-Gen Ent-more than min'!$S:$S,0),1))</f>
        <v>42</v>
      </c>
      <c r="P48">
        <f>IF($A48="","",INDEX('Freeview-Gen Ent-more than min'!$Q:$S,MATCH($A48,'Freeview-Gen Ent-more than min'!$S:$S,0),2))</f>
        <v>40</v>
      </c>
      <c r="Q48">
        <f t="shared" si="3"/>
        <v>0</v>
      </c>
      <c r="R48">
        <f t="shared" si="4"/>
        <v>1</v>
      </c>
      <c r="V48" t="str">
        <f>IF('Freeview-Gen Ent'!G50&lt;&gt;0,'Freeview-Gen Ent'!G50,"")</f>
        <v>Food Network</v>
      </c>
      <c r="W48">
        <f t="shared" si="5"/>
        <v>1</v>
      </c>
      <c r="X48">
        <f>IF($V48="","",INDEX('Freeview-Gen Ent'!$E:$G,MATCH($V48,'Freeview-Gen Ent'!$G:$G,0),1))</f>
        <v>41</v>
      </c>
      <c r="Y48">
        <f>IF($V48="","",INDEX('Freeview-Gen Ent'!$E:$G,MATCH($V48,'Freeview-Gen Ent'!$G:$G,0),2))</f>
        <v>40</v>
      </c>
      <c r="AC48">
        <f>IF($V48="","",INDEX('Freeview-Gen Ent'!$U:$W,MATCH($V48,'Freeview-Gen Ent'!$W:$W,0),1))</f>
        <v>42</v>
      </c>
      <c r="AD48">
        <f>IF($V48="","",INDEX('Freeview-Gen Ent'!$U:$W,MATCH($V48,'Freeview-Gen Ent'!$W:$W,0),2))</f>
        <v>40</v>
      </c>
      <c r="AE48">
        <f t="shared" si="6"/>
        <v>0</v>
      </c>
      <c r="AF48">
        <f t="shared" si="7"/>
        <v>1</v>
      </c>
      <c r="AJ48">
        <f>IF($V48="","",INDEX('Freeview-Gen Ent-more than min'!$U:$W,MATCH($V48,'Freeview-Gen Ent-more than min'!$W:$W,0),1))</f>
        <v>42</v>
      </c>
      <c r="AK48">
        <f>IF($V48="","",INDEX('Freeview-Gen Ent-more than min'!$U:$W,MATCH($V48,'Freeview-Gen Ent-more than min'!$W:$W,0),2))</f>
        <v>40</v>
      </c>
      <c r="AL48">
        <f t="shared" si="8"/>
        <v>0</v>
      </c>
      <c r="AM48">
        <f t="shared" si="9"/>
        <v>1</v>
      </c>
      <c r="AQ48" t="str">
        <f>IF('Freeview-Gen Ent'!O50&lt;&gt;0,'Freeview-Gen Ent'!O50,"")</f>
        <v>Food Network</v>
      </c>
      <c r="AR48">
        <f t="shared" si="10"/>
        <v>1</v>
      </c>
      <c r="AS48">
        <f>IF($AQ48="","",INDEX('Freeview-Gen Ent'!$M:$O,MATCH($AQ48,'Freeview-Gen Ent'!$O:$O,0),1))</f>
        <v>41</v>
      </c>
      <c r="AT48">
        <f>IF($AQ48="","",INDEX('Freeview-Gen Ent'!$M:$O,MATCH($AQ48,'Freeview-Gen Ent'!$O:$O,0),2))</f>
        <v>41</v>
      </c>
      <c r="AX48">
        <f>IF($AQ48="","",INDEX('Freeview-Gen Ent'!$AC:$AE,MATCH($AQ48,'Freeview-Gen Ent'!$AE:$AE,0),1))</f>
        <v>42</v>
      </c>
      <c r="AY48">
        <f>IF($AQ48="","",INDEX('Freeview-Gen Ent'!$AC:$AE,MATCH($AQ48,'Freeview-Gen Ent'!$AE:$AE,0),2))</f>
        <v>41</v>
      </c>
      <c r="AZ48">
        <f t="shared" si="11"/>
        <v>0</v>
      </c>
      <c r="BA48">
        <f t="shared" si="12"/>
        <v>1</v>
      </c>
      <c r="BE48">
        <f>IF($AQ48="","",INDEX('Freeview-Gen Ent-more than min'!$AC:$AE,MATCH($AQ48,'Freeview-Gen Ent-more than min'!$AE:$AE,0),1))</f>
        <v>42</v>
      </c>
      <c r="BF48">
        <f>IF($AQ48="","",INDEX('Freeview-Gen Ent-more than min'!$AC:$AE,MATCH($AQ48,'Freeview-Gen Ent-more than min'!$AE:$AE,0),2))</f>
        <v>41</v>
      </c>
      <c r="BG48">
        <f t="shared" si="13"/>
        <v>0</v>
      </c>
      <c r="BH48">
        <f t="shared" si="14"/>
        <v>1</v>
      </c>
    </row>
    <row r="49" spans="1:60" x14ac:dyDescent="0.45">
      <c r="A49" t="str">
        <f>IF('Freeview-Gen Ent'!C51&lt;&gt;0,'Freeview-Gen Ent'!C51,"")</f>
        <v>DMAX</v>
      </c>
      <c r="B49">
        <f t="shared" si="0"/>
        <v>1</v>
      </c>
      <c r="C49">
        <f>IF($A49="","",INDEX('Freeview-Gen Ent'!$A:$C,MATCH($A49,'Freeview-Gen Ent'!$C:$C,0),1))</f>
        <v>42</v>
      </c>
      <c r="D49">
        <f>IF($A49="","",INDEX('Freeview-Gen Ent'!$A:$C,MATCH($A49,'Freeview-Gen Ent'!$C:$C,0),2))</f>
        <v>41</v>
      </c>
      <c r="H49">
        <f>IF($A49="","",INDEX('Freeview-Gen Ent'!$Q:$S,MATCH($A49,'Freeview-Gen Ent'!$S:$S,0),1))</f>
        <v>43</v>
      </c>
      <c r="I49">
        <f>IF($A49="","",INDEX('Freeview-Gen Ent'!$Q:$S,MATCH($A49,'Freeview-Gen Ent'!$S:$S,0),2))</f>
        <v>41</v>
      </c>
      <c r="J49">
        <f t="shared" si="1"/>
        <v>0</v>
      </c>
      <c r="K49">
        <f t="shared" si="2"/>
        <v>1</v>
      </c>
      <c r="O49">
        <f>IF($A49="","",INDEX('Freeview-Gen Ent-more than min'!$Q:$S,MATCH($A49,'Freeview-Gen Ent-more than min'!$S:$S,0),1))</f>
        <v>43</v>
      </c>
      <c r="P49">
        <f>IF($A49="","",INDEX('Freeview-Gen Ent-more than min'!$Q:$S,MATCH($A49,'Freeview-Gen Ent-more than min'!$S:$S,0),2))</f>
        <v>41</v>
      </c>
      <c r="Q49">
        <f t="shared" si="3"/>
        <v>0</v>
      </c>
      <c r="R49">
        <f t="shared" si="4"/>
        <v>1</v>
      </c>
      <c r="V49" t="str">
        <f>IF('Freeview-Gen Ent'!G51&lt;&gt;0,'Freeview-Gen Ent'!G51,"")</f>
        <v>DMAX</v>
      </c>
      <c r="W49">
        <f t="shared" si="5"/>
        <v>1</v>
      </c>
      <c r="X49">
        <f>IF($V49="","",INDEX('Freeview-Gen Ent'!$E:$G,MATCH($V49,'Freeview-Gen Ent'!$G:$G,0),1))</f>
        <v>42</v>
      </c>
      <c r="Y49">
        <f>IF($V49="","",INDEX('Freeview-Gen Ent'!$E:$G,MATCH($V49,'Freeview-Gen Ent'!$G:$G,0),2))</f>
        <v>41</v>
      </c>
      <c r="AC49">
        <f>IF($V49="","",INDEX('Freeview-Gen Ent'!$U:$W,MATCH($V49,'Freeview-Gen Ent'!$W:$W,0),1))</f>
        <v>43</v>
      </c>
      <c r="AD49">
        <f>IF($V49="","",INDEX('Freeview-Gen Ent'!$U:$W,MATCH($V49,'Freeview-Gen Ent'!$W:$W,0),2))</f>
        <v>41</v>
      </c>
      <c r="AE49">
        <f t="shared" si="6"/>
        <v>0</v>
      </c>
      <c r="AF49">
        <f t="shared" si="7"/>
        <v>1</v>
      </c>
      <c r="AJ49">
        <f>IF($V49="","",INDEX('Freeview-Gen Ent-more than min'!$U:$W,MATCH($V49,'Freeview-Gen Ent-more than min'!$W:$W,0),1))</f>
        <v>43</v>
      </c>
      <c r="AK49">
        <f>IF($V49="","",INDEX('Freeview-Gen Ent-more than min'!$U:$W,MATCH($V49,'Freeview-Gen Ent-more than min'!$W:$W,0),2))</f>
        <v>41</v>
      </c>
      <c r="AL49">
        <f t="shared" si="8"/>
        <v>0</v>
      </c>
      <c r="AM49">
        <f t="shared" si="9"/>
        <v>1</v>
      </c>
      <c r="AQ49" t="str">
        <f>IF('Freeview-Gen Ent'!O51&lt;&gt;0,'Freeview-Gen Ent'!O51,"")</f>
        <v>DMAX</v>
      </c>
      <c r="AR49">
        <f t="shared" si="10"/>
        <v>1</v>
      </c>
      <c r="AS49">
        <f>IF($AQ49="","",INDEX('Freeview-Gen Ent'!$M:$O,MATCH($AQ49,'Freeview-Gen Ent'!$O:$O,0),1))</f>
        <v>42</v>
      </c>
      <c r="AT49">
        <f>IF($AQ49="","",INDEX('Freeview-Gen Ent'!$M:$O,MATCH($AQ49,'Freeview-Gen Ent'!$O:$O,0),2))</f>
        <v>42</v>
      </c>
      <c r="AX49">
        <f>IF($AQ49="","",INDEX('Freeview-Gen Ent'!$AC:$AE,MATCH($AQ49,'Freeview-Gen Ent'!$AE:$AE,0),1))</f>
        <v>43</v>
      </c>
      <c r="AY49">
        <f>IF($AQ49="","",INDEX('Freeview-Gen Ent'!$AC:$AE,MATCH($AQ49,'Freeview-Gen Ent'!$AE:$AE,0),2))</f>
        <v>42</v>
      </c>
      <c r="AZ49">
        <f t="shared" si="11"/>
        <v>0</v>
      </c>
      <c r="BA49">
        <f t="shared" si="12"/>
        <v>1</v>
      </c>
      <c r="BE49">
        <f>IF($AQ49="","",INDEX('Freeview-Gen Ent-more than min'!$AC:$AE,MATCH($AQ49,'Freeview-Gen Ent-more than min'!$AE:$AE,0),1))</f>
        <v>43</v>
      </c>
      <c r="BF49">
        <f>IF($AQ49="","",INDEX('Freeview-Gen Ent-more than min'!$AC:$AE,MATCH($AQ49,'Freeview-Gen Ent-more than min'!$AE:$AE,0),2))</f>
        <v>42</v>
      </c>
      <c r="BG49">
        <f t="shared" si="13"/>
        <v>0</v>
      </c>
      <c r="BH49">
        <f t="shared" si="14"/>
        <v>1</v>
      </c>
    </row>
    <row r="50" spans="1:60" x14ac:dyDescent="0.45">
      <c r="A50" t="str">
        <f>IF('Freeview-Gen Ent'!C52&lt;&gt;0,'Freeview-Gen Ent'!C52,"")</f>
        <v>Gems TV</v>
      </c>
      <c r="B50">
        <f t="shared" si="0"/>
        <v>1</v>
      </c>
      <c r="C50">
        <f>IF($A50="","",INDEX('Freeview-Gen Ent'!$A:$C,MATCH($A50,'Freeview-Gen Ent'!$C:$C,0),1))</f>
        <v>43</v>
      </c>
      <c r="D50">
        <f>IF($A50="","",INDEX('Freeview-Gen Ent'!$A:$C,MATCH($A50,'Freeview-Gen Ent'!$C:$C,0),2))</f>
        <v>42</v>
      </c>
      <c r="H50">
        <f>IF($A50="","",INDEX('Freeview-Gen Ent'!$Q:$S,MATCH($A50,'Freeview-Gen Ent'!$S:$S,0),1))</f>
        <v>44</v>
      </c>
      <c r="I50">
        <f>IF($A50="","",INDEX('Freeview-Gen Ent'!$Q:$S,MATCH($A50,'Freeview-Gen Ent'!$S:$S,0),2))</f>
        <v>42</v>
      </c>
      <c r="J50">
        <f t="shared" si="1"/>
        <v>0</v>
      </c>
      <c r="K50">
        <f t="shared" si="2"/>
        <v>1</v>
      </c>
      <c r="O50">
        <f>IF($A50="","",INDEX('Freeview-Gen Ent-more than min'!$Q:$S,MATCH($A50,'Freeview-Gen Ent-more than min'!$S:$S,0),1))</f>
        <v>44</v>
      </c>
      <c r="P50">
        <f>IF($A50="","",INDEX('Freeview-Gen Ent-more than min'!$Q:$S,MATCH($A50,'Freeview-Gen Ent-more than min'!$S:$S,0),2))</f>
        <v>42</v>
      </c>
      <c r="Q50">
        <f t="shared" si="3"/>
        <v>0</v>
      </c>
      <c r="R50">
        <f t="shared" si="4"/>
        <v>1</v>
      </c>
      <c r="V50" t="str">
        <f>IF('Freeview-Gen Ent'!G52&lt;&gt;0,'Freeview-Gen Ent'!G52,"")</f>
        <v>Gems TV</v>
      </c>
      <c r="W50">
        <f t="shared" si="5"/>
        <v>1</v>
      </c>
      <c r="X50">
        <f>IF($V50="","",INDEX('Freeview-Gen Ent'!$E:$G,MATCH($V50,'Freeview-Gen Ent'!$G:$G,0),1))</f>
        <v>43</v>
      </c>
      <c r="Y50">
        <f>IF($V50="","",INDEX('Freeview-Gen Ent'!$E:$G,MATCH($V50,'Freeview-Gen Ent'!$G:$G,0),2))</f>
        <v>42</v>
      </c>
      <c r="AC50">
        <f>IF($V50="","",INDEX('Freeview-Gen Ent'!$U:$W,MATCH($V50,'Freeview-Gen Ent'!$W:$W,0),1))</f>
        <v>44</v>
      </c>
      <c r="AD50">
        <f>IF($V50="","",INDEX('Freeview-Gen Ent'!$U:$W,MATCH($V50,'Freeview-Gen Ent'!$W:$W,0),2))</f>
        <v>42</v>
      </c>
      <c r="AE50">
        <f t="shared" si="6"/>
        <v>0</v>
      </c>
      <c r="AF50">
        <f t="shared" si="7"/>
        <v>1</v>
      </c>
      <c r="AJ50">
        <f>IF($V50="","",INDEX('Freeview-Gen Ent-more than min'!$U:$W,MATCH($V50,'Freeview-Gen Ent-more than min'!$W:$W,0),1))</f>
        <v>44</v>
      </c>
      <c r="AK50">
        <f>IF($V50="","",INDEX('Freeview-Gen Ent-more than min'!$U:$W,MATCH($V50,'Freeview-Gen Ent-more than min'!$W:$W,0),2))</f>
        <v>42</v>
      </c>
      <c r="AL50">
        <f t="shared" si="8"/>
        <v>0</v>
      </c>
      <c r="AM50">
        <f t="shared" si="9"/>
        <v>1</v>
      </c>
      <c r="AQ50" t="str">
        <f>IF('Freeview-Gen Ent'!O52&lt;&gt;0,'Freeview-Gen Ent'!O52,"")</f>
        <v>Gems TV</v>
      </c>
      <c r="AR50">
        <f t="shared" si="10"/>
        <v>1</v>
      </c>
      <c r="AS50">
        <f>IF($AQ50="","",INDEX('Freeview-Gen Ent'!$M:$O,MATCH($AQ50,'Freeview-Gen Ent'!$O:$O,0),1))</f>
        <v>43</v>
      </c>
      <c r="AT50">
        <f>IF($AQ50="","",INDEX('Freeview-Gen Ent'!$M:$O,MATCH($AQ50,'Freeview-Gen Ent'!$O:$O,0),2))</f>
        <v>43</v>
      </c>
      <c r="AX50">
        <f>IF($AQ50="","",INDEX('Freeview-Gen Ent'!$AC:$AE,MATCH($AQ50,'Freeview-Gen Ent'!$AE:$AE,0),1))</f>
        <v>44</v>
      </c>
      <c r="AY50">
        <f>IF($AQ50="","",INDEX('Freeview-Gen Ent'!$AC:$AE,MATCH($AQ50,'Freeview-Gen Ent'!$AE:$AE,0),2))</f>
        <v>43</v>
      </c>
      <c r="AZ50">
        <f t="shared" si="11"/>
        <v>0</v>
      </c>
      <c r="BA50">
        <f t="shared" si="12"/>
        <v>1</v>
      </c>
      <c r="BE50">
        <f>IF($AQ50="","",INDEX('Freeview-Gen Ent-more than min'!$AC:$AE,MATCH($AQ50,'Freeview-Gen Ent-more than min'!$AE:$AE,0),1))</f>
        <v>44</v>
      </c>
      <c r="BF50">
        <f>IF($AQ50="","",INDEX('Freeview-Gen Ent-more than min'!$AC:$AE,MATCH($AQ50,'Freeview-Gen Ent-more than min'!$AE:$AE,0),2))</f>
        <v>43</v>
      </c>
      <c r="BG50">
        <f t="shared" si="13"/>
        <v>0</v>
      </c>
      <c r="BH50">
        <f t="shared" si="14"/>
        <v>1</v>
      </c>
    </row>
    <row r="51" spans="1:60" x14ac:dyDescent="0.45">
      <c r="A51" t="str">
        <f>IF('Freeview-Gen Ent'!C53&lt;&gt;0,'Freeview-Gen Ent'!C53,"")</f>
        <v>Channel 5 +1</v>
      </c>
      <c r="B51">
        <f t="shared" si="0"/>
        <v>1</v>
      </c>
      <c r="C51">
        <f>IF($A51="","",INDEX('Freeview-Gen Ent'!$A:$C,MATCH($A51,'Freeview-Gen Ent'!$C:$C,0),1))</f>
        <v>44</v>
      </c>
      <c r="D51">
        <f>IF($A51="","",INDEX('Freeview-Gen Ent'!$A:$C,MATCH($A51,'Freeview-Gen Ent'!$C:$C,0),2))</f>
        <v>43</v>
      </c>
      <c r="H51">
        <f>IF($A51="","",INDEX('Freeview-Gen Ent'!$Q:$S,MATCH($A51,'Freeview-Gen Ent'!$S:$S,0),1))</f>
        <v>45</v>
      </c>
      <c r="I51">
        <f>IF($A51="","",INDEX('Freeview-Gen Ent'!$Q:$S,MATCH($A51,'Freeview-Gen Ent'!$S:$S,0),2))</f>
        <v>43</v>
      </c>
      <c r="J51">
        <f t="shared" si="1"/>
        <v>0</v>
      </c>
      <c r="K51">
        <f t="shared" si="2"/>
        <v>1</v>
      </c>
      <c r="O51">
        <f>IF($A51="","",INDEX('Freeview-Gen Ent-more than min'!$Q:$S,MATCH($A51,'Freeview-Gen Ent-more than min'!$S:$S,0),1))</f>
        <v>45</v>
      </c>
      <c r="P51">
        <f>IF($A51="","",INDEX('Freeview-Gen Ent-more than min'!$Q:$S,MATCH($A51,'Freeview-Gen Ent-more than min'!$S:$S,0),2))</f>
        <v>43</v>
      </c>
      <c r="Q51">
        <f t="shared" si="3"/>
        <v>0</v>
      </c>
      <c r="R51">
        <f t="shared" si="4"/>
        <v>1</v>
      </c>
      <c r="V51" t="str">
        <f>IF('Freeview-Gen Ent'!G53&lt;&gt;0,'Freeview-Gen Ent'!G53,"")</f>
        <v>Channel 5 +1</v>
      </c>
      <c r="W51">
        <f t="shared" si="5"/>
        <v>1</v>
      </c>
      <c r="X51">
        <f>IF($V51="","",INDEX('Freeview-Gen Ent'!$E:$G,MATCH($V51,'Freeview-Gen Ent'!$G:$G,0),1))</f>
        <v>44</v>
      </c>
      <c r="Y51">
        <f>IF($V51="","",INDEX('Freeview-Gen Ent'!$E:$G,MATCH($V51,'Freeview-Gen Ent'!$G:$G,0),2))</f>
        <v>43</v>
      </c>
      <c r="AC51">
        <f>IF($V51="","",INDEX('Freeview-Gen Ent'!$U:$W,MATCH($V51,'Freeview-Gen Ent'!$W:$W,0),1))</f>
        <v>45</v>
      </c>
      <c r="AD51">
        <f>IF($V51="","",INDEX('Freeview-Gen Ent'!$U:$W,MATCH($V51,'Freeview-Gen Ent'!$W:$W,0),2))</f>
        <v>43</v>
      </c>
      <c r="AE51">
        <f t="shared" si="6"/>
        <v>0</v>
      </c>
      <c r="AF51">
        <f t="shared" si="7"/>
        <v>1</v>
      </c>
      <c r="AJ51">
        <f>IF($V51="","",INDEX('Freeview-Gen Ent-more than min'!$U:$W,MATCH($V51,'Freeview-Gen Ent-more than min'!$W:$W,0),1))</f>
        <v>45</v>
      </c>
      <c r="AK51">
        <f>IF($V51="","",INDEX('Freeview-Gen Ent-more than min'!$U:$W,MATCH($V51,'Freeview-Gen Ent-more than min'!$W:$W,0),2))</f>
        <v>43</v>
      </c>
      <c r="AL51">
        <f t="shared" si="8"/>
        <v>0</v>
      </c>
      <c r="AM51">
        <f t="shared" si="9"/>
        <v>1</v>
      </c>
      <c r="AQ51" t="str">
        <f>IF('Freeview-Gen Ent'!O53&lt;&gt;0,'Freeview-Gen Ent'!O53,"")</f>
        <v>Channel 5 +1</v>
      </c>
      <c r="AR51">
        <f t="shared" si="10"/>
        <v>1</v>
      </c>
      <c r="AS51">
        <f>IF($AQ51="","",INDEX('Freeview-Gen Ent'!$M:$O,MATCH($AQ51,'Freeview-Gen Ent'!$O:$O,0),1))</f>
        <v>44</v>
      </c>
      <c r="AT51">
        <f>IF($AQ51="","",INDEX('Freeview-Gen Ent'!$M:$O,MATCH($AQ51,'Freeview-Gen Ent'!$O:$O,0),2))</f>
        <v>44</v>
      </c>
      <c r="AX51">
        <f>IF($AQ51="","",INDEX('Freeview-Gen Ent'!$AC:$AE,MATCH($AQ51,'Freeview-Gen Ent'!$AE:$AE,0),1))</f>
        <v>45</v>
      </c>
      <c r="AY51">
        <f>IF($AQ51="","",INDEX('Freeview-Gen Ent'!$AC:$AE,MATCH($AQ51,'Freeview-Gen Ent'!$AE:$AE,0),2))</f>
        <v>44</v>
      </c>
      <c r="AZ51">
        <f t="shared" si="11"/>
        <v>0</v>
      </c>
      <c r="BA51">
        <f t="shared" si="12"/>
        <v>1</v>
      </c>
      <c r="BE51">
        <f>IF($AQ51="","",INDEX('Freeview-Gen Ent-more than min'!$AC:$AE,MATCH($AQ51,'Freeview-Gen Ent-more than min'!$AE:$AE,0),1))</f>
        <v>45</v>
      </c>
      <c r="BF51">
        <f>IF($AQ51="","",INDEX('Freeview-Gen Ent-more than min'!$AC:$AE,MATCH($AQ51,'Freeview-Gen Ent-more than min'!$AE:$AE,0),2))</f>
        <v>44</v>
      </c>
      <c r="BG51">
        <f t="shared" si="13"/>
        <v>0</v>
      </c>
      <c r="BH51">
        <f t="shared" si="14"/>
        <v>1</v>
      </c>
    </row>
    <row r="52" spans="1:60" x14ac:dyDescent="0.45">
      <c r="A52" t="str">
        <f>IF('Freeview-Gen Ent'!C54&lt;&gt;0,'Freeview-Gen Ent'!C54,"")</f>
        <v>Film4 +1</v>
      </c>
      <c r="B52">
        <f t="shared" si="0"/>
        <v>1</v>
      </c>
      <c r="C52">
        <f>IF($A52="","",INDEX('Freeview-Gen Ent'!$A:$C,MATCH($A52,'Freeview-Gen Ent'!$C:$C,0),1))</f>
        <v>45</v>
      </c>
      <c r="D52">
        <f>IF($A52="","",INDEX('Freeview-Gen Ent'!$A:$C,MATCH($A52,'Freeview-Gen Ent'!$C:$C,0),2))</f>
        <v>44</v>
      </c>
      <c r="H52">
        <f>IF($A52="","",INDEX('Freeview-Gen Ent'!$Q:$S,MATCH($A52,'Freeview-Gen Ent'!$S:$S,0),1))</f>
        <v>46</v>
      </c>
      <c r="I52">
        <f>IF($A52="","",INDEX('Freeview-Gen Ent'!$Q:$S,MATCH($A52,'Freeview-Gen Ent'!$S:$S,0),2))</f>
        <v>44</v>
      </c>
      <c r="J52">
        <f t="shared" si="1"/>
        <v>0</v>
      </c>
      <c r="K52">
        <f t="shared" si="2"/>
        <v>1</v>
      </c>
      <c r="O52">
        <f>IF($A52="","",INDEX('Freeview-Gen Ent-more than min'!$Q:$S,MATCH($A52,'Freeview-Gen Ent-more than min'!$S:$S,0),1))</f>
        <v>46</v>
      </c>
      <c r="P52">
        <f>IF($A52="","",INDEX('Freeview-Gen Ent-more than min'!$Q:$S,MATCH($A52,'Freeview-Gen Ent-more than min'!$S:$S,0),2))</f>
        <v>44</v>
      </c>
      <c r="Q52">
        <f t="shared" si="3"/>
        <v>0</v>
      </c>
      <c r="R52">
        <f t="shared" si="4"/>
        <v>1</v>
      </c>
      <c r="V52" t="str">
        <f>IF('Freeview-Gen Ent'!G54&lt;&gt;0,'Freeview-Gen Ent'!G54,"")</f>
        <v>Film4 +1</v>
      </c>
      <c r="W52">
        <f t="shared" si="5"/>
        <v>1</v>
      </c>
      <c r="X52">
        <f>IF($V52="","",INDEX('Freeview-Gen Ent'!$E:$G,MATCH($V52,'Freeview-Gen Ent'!$G:$G,0),1))</f>
        <v>45</v>
      </c>
      <c r="Y52">
        <f>IF($V52="","",INDEX('Freeview-Gen Ent'!$E:$G,MATCH($V52,'Freeview-Gen Ent'!$G:$G,0),2))</f>
        <v>44</v>
      </c>
      <c r="AC52">
        <f>IF($V52="","",INDEX('Freeview-Gen Ent'!$U:$W,MATCH($V52,'Freeview-Gen Ent'!$W:$W,0),1))</f>
        <v>46</v>
      </c>
      <c r="AD52">
        <f>IF($V52="","",INDEX('Freeview-Gen Ent'!$U:$W,MATCH($V52,'Freeview-Gen Ent'!$W:$W,0),2))</f>
        <v>44</v>
      </c>
      <c r="AE52">
        <f t="shared" si="6"/>
        <v>0</v>
      </c>
      <c r="AF52">
        <f t="shared" si="7"/>
        <v>1</v>
      </c>
      <c r="AJ52">
        <f>IF($V52="","",INDEX('Freeview-Gen Ent-more than min'!$U:$W,MATCH($V52,'Freeview-Gen Ent-more than min'!$W:$W,0),1))</f>
        <v>46</v>
      </c>
      <c r="AK52">
        <f>IF($V52="","",INDEX('Freeview-Gen Ent-more than min'!$U:$W,MATCH($V52,'Freeview-Gen Ent-more than min'!$W:$W,0),2))</f>
        <v>44</v>
      </c>
      <c r="AL52">
        <f t="shared" si="8"/>
        <v>0</v>
      </c>
      <c r="AM52">
        <f t="shared" si="9"/>
        <v>1</v>
      </c>
      <c r="AQ52" t="str">
        <f>IF('Freeview-Gen Ent'!O54&lt;&gt;0,'Freeview-Gen Ent'!O54,"")</f>
        <v>Film4 +1</v>
      </c>
      <c r="AR52">
        <f t="shared" si="10"/>
        <v>1</v>
      </c>
      <c r="AS52">
        <f>IF($AQ52="","",INDEX('Freeview-Gen Ent'!$M:$O,MATCH($AQ52,'Freeview-Gen Ent'!$O:$O,0),1))</f>
        <v>45</v>
      </c>
      <c r="AT52">
        <f>IF($AQ52="","",INDEX('Freeview-Gen Ent'!$M:$O,MATCH($AQ52,'Freeview-Gen Ent'!$O:$O,0),2))</f>
        <v>45</v>
      </c>
      <c r="AX52">
        <f>IF($AQ52="","",INDEX('Freeview-Gen Ent'!$AC:$AE,MATCH($AQ52,'Freeview-Gen Ent'!$AE:$AE,0),1))</f>
        <v>46</v>
      </c>
      <c r="AY52">
        <f>IF($AQ52="","",INDEX('Freeview-Gen Ent'!$AC:$AE,MATCH($AQ52,'Freeview-Gen Ent'!$AE:$AE,0),2))</f>
        <v>45</v>
      </c>
      <c r="AZ52">
        <f t="shared" si="11"/>
        <v>0</v>
      </c>
      <c r="BA52">
        <f t="shared" si="12"/>
        <v>1</v>
      </c>
      <c r="BE52">
        <f>IF($AQ52="","",INDEX('Freeview-Gen Ent-more than min'!$AC:$AE,MATCH($AQ52,'Freeview-Gen Ent-more than min'!$AE:$AE,0),1))</f>
        <v>46</v>
      </c>
      <c r="BF52">
        <f>IF($AQ52="","",INDEX('Freeview-Gen Ent-more than min'!$AC:$AE,MATCH($AQ52,'Freeview-Gen Ent-more than min'!$AE:$AE,0),2))</f>
        <v>45</v>
      </c>
      <c r="BG52">
        <f t="shared" si="13"/>
        <v>0</v>
      </c>
      <c r="BH52">
        <f t="shared" si="14"/>
        <v>1</v>
      </c>
    </row>
    <row r="53" spans="1:60" x14ac:dyDescent="0.45">
      <c r="A53" t="str">
        <f>IF('Freeview-Gen Ent'!C55&lt;&gt;0,'Freeview-Gen Ent'!C55,"")</f>
        <v>Challenge</v>
      </c>
      <c r="B53">
        <f t="shared" si="0"/>
        <v>1</v>
      </c>
      <c r="C53">
        <f>IF($A53="","",INDEX('Freeview-Gen Ent'!$A:$C,MATCH($A53,'Freeview-Gen Ent'!$C:$C,0),1))</f>
        <v>46</v>
      </c>
      <c r="D53">
        <f>IF($A53="","",INDEX('Freeview-Gen Ent'!$A:$C,MATCH($A53,'Freeview-Gen Ent'!$C:$C,0),2))</f>
        <v>45</v>
      </c>
      <c r="H53">
        <f>IF($A53="","",INDEX('Freeview-Gen Ent'!$Q:$S,MATCH($A53,'Freeview-Gen Ent'!$S:$S,0),1))</f>
        <v>47</v>
      </c>
      <c r="I53">
        <f>IF($A53="","",INDEX('Freeview-Gen Ent'!$Q:$S,MATCH($A53,'Freeview-Gen Ent'!$S:$S,0),2))</f>
        <v>45</v>
      </c>
      <c r="J53">
        <f t="shared" si="1"/>
        <v>0</v>
      </c>
      <c r="K53">
        <f t="shared" si="2"/>
        <v>1</v>
      </c>
      <c r="O53">
        <f>IF($A53="","",INDEX('Freeview-Gen Ent-more than min'!$Q:$S,MATCH($A53,'Freeview-Gen Ent-more than min'!$S:$S,0),1))</f>
        <v>47</v>
      </c>
      <c r="P53">
        <f>IF($A53="","",INDEX('Freeview-Gen Ent-more than min'!$Q:$S,MATCH($A53,'Freeview-Gen Ent-more than min'!$S:$S,0),2))</f>
        <v>45</v>
      </c>
      <c r="Q53">
        <f t="shared" si="3"/>
        <v>0</v>
      </c>
      <c r="R53">
        <f t="shared" si="4"/>
        <v>1</v>
      </c>
      <c r="V53" t="str">
        <f>IF('Freeview-Gen Ent'!G55&lt;&gt;0,'Freeview-Gen Ent'!G55,"")</f>
        <v>Challenge</v>
      </c>
      <c r="W53">
        <f t="shared" si="5"/>
        <v>1</v>
      </c>
      <c r="X53">
        <f>IF($V53="","",INDEX('Freeview-Gen Ent'!$E:$G,MATCH($V53,'Freeview-Gen Ent'!$G:$G,0),1))</f>
        <v>46</v>
      </c>
      <c r="Y53">
        <f>IF($V53="","",INDEX('Freeview-Gen Ent'!$E:$G,MATCH($V53,'Freeview-Gen Ent'!$G:$G,0),2))</f>
        <v>45</v>
      </c>
      <c r="AC53">
        <f>IF($V53="","",INDEX('Freeview-Gen Ent'!$U:$W,MATCH($V53,'Freeview-Gen Ent'!$W:$W,0),1))</f>
        <v>47</v>
      </c>
      <c r="AD53">
        <f>IF($V53="","",INDEX('Freeview-Gen Ent'!$U:$W,MATCH($V53,'Freeview-Gen Ent'!$W:$W,0),2))</f>
        <v>45</v>
      </c>
      <c r="AE53">
        <f t="shared" si="6"/>
        <v>0</v>
      </c>
      <c r="AF53">
        <f t="shared" si="7"/>
        <v>1</v>
      </c>
      <c r="AJ53">
        <f>IF($V53="","",INDEX('Freeview-Gen Ent-more than min'!$U:$W,MATCH($V53,'Freeview-Gen Ent-more than min'!$W:$W,0),1))</f>
        <v>47</v>
      </c>
      <c r="AK53">
        <f>IF($V53="","",INDEX('Freeview-Gen Ent-more than min'!$U:$W,MATCH($V53,'Freeview-Gen Ent-more than min'!$W:$W,0),2))</f>
        <v>45</v>
      </c>
      <c r="AL53">
        <f t="shared" si="8"/>
        <v>0</v>
      </c>
      <c r="AM53">
        <f t="shared" si="9"/>
        <v>1</v>
      </c>
      <c r="AQ53" t="str">
        <f>IF('Freeview-Gen Ent'!O55&lt;&gt;0,'Freeview-Gen Ent'!O55,"")</f>
        <v>Challenge</v>
      </c>
      <c r="AR53">
        <f t="shared" si="10"/>
        <v>1</v>
      </c>
      <c r="AS53">
        <f>IF($AQ53="","",INDEX('Freeview-Gen Ent'!$M:$O,MATCH($AQ53,'Freeview-Gen Ent'!$O:$O,0),1))</f>
        <v>46</v>
      </c>
      <c r="AT53">
        <f>IF($AQ53="","",INDEX('Freeview-Gen Ent'!$M:$O,MATCH($AQ53,'Freeview-Gen Ent'!$O:$O,0),2))</f>
        <v>46</v>
      </c>
      <c r="AX53">
        <f>IF($AQ53="","",INDEX('Freeview-Gen Ent'!$AC:$AE,MATCH($AQ53,'Freeview-Gen Ent'!$AE:$AE,0),1))</f>
        <v>47</v>
      </c>
      <c r="AY53">
        <f>IF($AQ53="","",INDEX('Freeview-Gen Ent'!$AC:$AE,MATCH($AQ53,'Freeview-Gen Ent'!$AE:$AE,0),2))</f>
        <v>46</v>
      </c>
      <c r="AZ53">
        <f t="shared" si="11"/>
        <v>0</v>
      </c>
      <c r="BA53">
        <f t="shared" si="12"/>
        <v>1</v>
      </c>
      <c r="BE53">
        <f>IF($AQ53="","",INDEX('Freeview-Gen Ent-more than min'!$AC:$AE,MATCH($AQ53,'Freeview-Gen Ent-more than min'!$AE:$AE,0),1))</f>
        <v>47</v>
      </c>
      <c r="BF53">
        <f>IF($AQ53="","",INDEX('Freeview-Gen Ent-more than min'!$AC:$AE,MATCH($AQ53,'Freeview-Gen Ent-more than min'!$AE:$AE,0),2))</f>
        <v>46</v>
      </c>
      <c r="BG53">
        <f t="shared" si="13"/>
        <v>0</v>
      </c>
      <c r="BH53">
        <f t="shared" si="14"/>
        <v>1</v>
      </c>
    </row>
    <row r="54" spans="1:60" x14ac:dyDescent="0.45">
      <c r="A54" t="str">
        <f>IF('Freeview-Gen Ent'!C56&lt;&gt;0,'Freeview-Gen Ent'!C56,"")</f>
        <v>4Seven</v>
      </c>
      <c r="B54">
        <f t="shared" si="0"/>
        <v>1</v>
      </c>
      <c r="C54">
        <f>IF($A54="","",INDEX('Freeview-Gen Ent'!$A:$C,MATCH($A54,'Freeview-Gen Ent'!$C:$C,0),1))</f>
        <v>47</v>
      </c>
      <c r="D54">
        <f>IF($A54="","",INDEX('Freeview-Gen Ent'!$A:$C,MATCH($A54,'Freeview-Gen Ent'!$C:$C,0),2))</f>
        <v>46</v>
      </c>
      <c r="H54">
        <f>IF($A54="","",INDEX('Freeview-Gen Ent'!$Q:$S,MATCH($A54,'Freeview-Gen Ent'!$S:$S,0),1))</f>
        <v>48</v>
      </c>
      <c r="I54">
        <f>IF($A54="","",INDEX('Freeview-Gen Ent'!$Q:$S,MATCH($A54,'Freeview-Gen Ent'!$S:$S,0),2))</f>
        <v>46</v>
      </c>
      <c r="J54">
        <f t="shared" si="1"/>
        <v>0</v>
      </c>
      <c r="K54">
        <f t="shared" si="2"/>
        <v>1</v>
      </c>
      <c r="O54">
        <f>IF($A54="","",INDEX('Freeview-Gen Ent-more than min'!$Q:$S,MATCH($A54,'Freeview-Gen Ent-more than min'!$S:$S,0),1))</f>
        <v>48</v>
      </c>
      <c r="P54">
        <f>IF($A54="","",INDEX('Freeview-Gen Ent-more than min'!$Q:$S,MATCH($A54,'Freeview-Gen Ent-more than min'!$S:$S,0),2))</f>
        <v>46</v>
      </c>
      <c r="Q54">
        <f t="shared" si="3"/>
        <v>0</v>
      </c>
      <c r="R54">
        <f t="shared" si="4"/>
        <v>1</v>
      </c>
      <c r="V54" t="str">
        <f>IF('Freeview-Gen Ent'!G56&lt;&gt;0,'Freeview-Gen Ent'!G56,"")</f>
        <v>4Seven</v>
      </c>
      <c r="W54">
        <f t="shared" si="5"/>
        <v>1</v>
      </c>
      <c r="X54">
        <f>IF($V54="","",INDEX('Freeview-Gen Ent'!$E:$G,MATCH($V54,'Freeview-Gen Ent'!$G:$G,0),1))</f>
        <v>47</v>
      </c>
      <c r="Y54">
        <f>IF($V54="","",INDEX('Freeview-Gen Ent'!$E:$G,MATCH($V54,'Freeview-Gen Ent'!$G:$G,0),2))</f>
        <v>46</v>
      </c>
      <c r="AC54">
        <f>IF($V54="","",INDEX('Freeview-Gen Ent'!$U:$W,MATCH($V54,'Freeview-Gen Ent'!$W:$W,0),1))</f>
        <v>48</v>
      </c>
      <c r="AD54">
        <f>IF($V54="","",INDEX('Freeview-Gen Ent'!$U:$W,MATCH($V54,'Freeview-Gen Ent'!$W:$W,0),2))</f>
        <v>46</v>
      </c>
      <c r="AE54">
        <f t="shared" si="6"/>
        <v>0</v>
      </c>
      <c r="AF54">
        <f t="shared" si="7"/>
        <v>1</v>
      </c>
      <c r="AJ54">
        <f>IF($V54="","",INDEX('Freeview-Gen Ent-more than min'!$U:$W,MATCH($V54,'Freeview-Gen Ent-more than min'!$W:$W,0),1))</f>
        <v>48</v>
      </c>
      <c r="AK54">
        <f>IF($V54="","",INDEX('Freeview-Gen Ent-more than min'!$U:$W,MATCH($V54,'Freeview-Gen Ent-more than min'!$W:$W,0),2))</f>
        <v>46</v>
      </c>
      <c r="AL54">
        <f t="shared" si="8"/>
        <v>0</v>
      </c>
      <c r="AM54">
        <f t="shared" si="9"/>
        <v>1</v>
      </c>
      <c r="AQ54" t="str">
        <f>IF('Freeview-Gen Ent'!O56&lt;&gt;0,'Freeview-Gen Ent'!O56,"")</f>
        <v>4Seven</v>
      </c>
      <c r="AR54">
        <f t="shared" si="10"/>
        <v>1</v>
      </c>
      <c r="AS54">
        <f>IF($AQ54="","",INDEX('Freeview-Gen Ent'!$M:$O,MATCH($AQ54,'Freeview-Gen Ent'!$O:$O,0),1))</f>
        <v>47</v>
      </c>
      <c r="AT54">
        <f>IF($AQ54="","",INDEX('Freeview-Gen Ent'!$M:$O,MATCH($AQ54,'Freeview-Gen Ent'!$O:$O,0),2))</f>
        <v>47</v>
      </c>
      <c r="AX54">
        <f>IF($AQ54="","",INDEX('Freeview-Gen Ent'!$AC:$AE,MATCH($AQ54,'Freeview-Gen Ent'!$AE:$AE,0),1))</f>
        <v>48</v>
      </c>
      <c r="AY54">
        <f>IF($AQ54="","",INDEX('Freeview-Gen Ent'!$AC:$AE,MATCH($AQ54,'Freeview-Gen Ent'!$AE:$AE,0),2))</f>
        <v>47</v>
      </c>
      <c r="AZ54">
        <f t="shared" si="11"/>
        <v>0</v>
      </c>
      <c r="BA54">
        <f t="shared" si="12"/>
        <v>1</v>
      </c>
      <c r="BE54">
        <f>IF($AQ54="","",INDEX('Freeview-Gen Ent-more than min'!$AC:$AE,MATCH($AQ54,'Freeview-Gen Ent-more than min'!$AE:$AE,0),1))</f>
        <v>48</v>
      </c>
      <c r="BF54">
        <f>IF($AQ54="","",INDEX('Freeview-Gen Ent-more than min'!$AC:$AE,MATCH($AQ54,'Freeview-Gen Ent-more than min'!$AE:$AE,0),2))</f>
        <v>47</v>
      </c>
      <c r="BG54">
        <f t="shared" si="13"/>
        <v>0</v>
      </c>
      <c r="BH54">
        <f t="shared" si="14"/>
        <v>1</v>
      </c>
    </row>
    <row r="55" spans="1:60" x14ac:dyDescent="0.45">
      <c r="A55" t="str">
        <f>IF('Freeview-Gen Ent'!C57&lt;&gt;0,'Freeview-Gen Ent'!C57,"")</f>
        <v>movies 4men</v>
      </c>
      <c r="B55">
        <f t="shared" si="0"/>
        <v>1</v>
      </c>
      <c r="C55">
        <f>IF($A55="","",INDEX('Freeview-Gen Ent'!$A:$C,MATCH($A55,'Freeview-Gen Ent'!$C:$C,0),1))</f>
        <v>48</v>
      </c>
      <c r="D55">
        <f>IF($A55="","",INDEX('Freeview-Gen Ent'!$A:$C,MATCH($A55,'Freeview-Gen Ent'!$C:$C,0),2))</f>
        <v>47</v>
      </c>
      <c r="H55">
        <f>IF($A55="","",INDEX('Freeview-Gen Ent'!$Q:$S,MATCH($A55,'Freeview-Gen Ent'!$S:$S,0),1))</f>
        <v>49</v>
      </c>
      <c r="I55">
        <f>IF($A55="","",INDEX('Freeview-Gen Ent'!$Q:$S,MATCH($A55,'Freeview-Gen Ent'!$S:$S,0),2))</f>
        <v>47</v>
      </c>
      <c r="J55">
        <f t="shared" si="1"/>
        <v>0</v>
      </c>
      <c r="K55">
        <f t="shared" si="2"/>
        <v>1</v>
      </c>
      <c r="O55">
        <f>IF($A55="","",INDEX('Freeview-Gen Ent-more than min'!$Q:$S,MATCH($A55,'Freeview-Gen Ent-more than min'!$S:$S,0),1))</f>
        <v>49</v>
      </c>
      <c r="P55">
        <f>IF($A55="","",INDEX('Freeview-Gen Ent-more than min'!$Q:$S,MATCH($A55,'Freeview-Gen Ent-more than min'!$S:$S,0),2))</f>
        <v>47</v>
      </c>
      <c r="Q55">
        <f t="shared" si="3"/>
        <v>0</v>
      </c>
      <c r="R55">
        <f t="shared" si="4"/>
        <v>1</v>
      </c>
      <c r="V55" t="str">
        <f>IF('Freeview-Gen Ent'!G57&lt;&gt;0,'Freeview-Gen Ent'!G57,"")</f>
        <v>movies 4men</v>
      </c>
      <c r="W55">
        <f t="shared" si="5"/>
        <v>1</v>
      </c>
      <c r="X55">
        <f>IF($V55="","",INDEX('Freeview-Gen Ent'!$E:$G,MATCH($V55,'Freeview-Gen Ent'!$G:$G,0),1))</f>
        <v>48</v>
      </c>
      <c r="Y55">
        <f>IF($V55="","",INDEX('Freeview-Gen Ent'!$E:$G,MATCH($V55,'Freeview-Gen Ent'!$G:$G,0),2))</f>
        <v>47</v>
      </c>
      <c r="AC55">
        <f>IF($V55="","",INDEX('Freeview-Gen Ent'!$U:$W,MATCH($V55,'Freeview-Gen Ent'!$W:$W,0),1))</f>
        <v>49</v>
      </c>
      <c r="AD55">
        <f>IF($V55="","",INDEX('Freeview-Gen Ent'!$U:$W,MATCH($V55,'Freeview-Gen Ent'!$W:$W,0),2))</f>
        <v>47</v>
      </c>
      <c r="AE55">
        <f t="shared" si="6"/>
        <v>0</v>
      </c>
      <c r="AF55">
        <f t="shared" si="7"/>
        <v>1</v>
      </c>
      <c r="AJ55">
        <f>IF($V55="","",INDEX('Freeview-Gen Ent-more than min'!$U:$W,MATCH($V55,'Freeview-Gen Ent-more than min'!$W:$W,0),1))</f>
        <v>49</v>
      </c>
      <c r="AK55">
        <f>IF($V55="","",INDEX('Freeview-Gen Ent-more than min'!$U:$W,MATCH($V55,'Freeview-Gen Ent-more than min'!$W:$W,0),2))</f>
        <v>47</v>
      </c>
      <c r="AL55">
        <f t="shared" si="8"/>
        <v>0</v>
      </c>
      <c r="AM55">
        <f t="shared" si="9"/>
        <v>1</v>
      </c>
      <c r="AQ55" t="str">
        <f>IF('Freeview-Gen Ent'!O57&lt;&gt;0,'Freeview-Gen Ent'!O57,"")</f>
        <v>movies 4men</v>
      </c>
      <c r="AR55">
        <f t="shared" si="10"/>
        <v>1</v>
      </c>
      <c r="AS55">
        <f>IF($AQ55="","",INDEX('Freeview-Gen Ent'!$M:$O,MATCH($AQ55,'Freeview-Gen Ent'!$O:$O,0),1))</f>
        <v>48</v>
      </c>
      <c r="AT55">
        <f>IF($AQ55="","",INDEX('Freeview-Gen Ent'!$M:$O,MATCH($AQ55,'Freeview-Gen Ent'!$O:$O,0),2))</f>
        <v>48</v>
      </c>
      <c r="AX55">
        <f>IF($AQ55="","",INDEX('Freeview-Gen Ent'!$AC:$AE,MATCH($AQ55,'Freeview-Gen Ent'!$AE:$AE,0),1))</f>
        <v>49</v>
      </c>
      <c r="AY55">
        <f>IF($AQ55="","",INDEX('Freeview-Gen Ent'!$AC:$AE,MATCH($AQ55,'Freeview-Gen Ent'!$AE:$AE,0),2))</f>
        <v>48</v>
      </c>
      <c r="AZ55">
        <f t="shared" si="11"/>
        <v>0</v>
      </c>
      <c r="BA55">
        <f t="shared" si="12"/>
        <v>1</v>
      </c>
      <c r="BE55">
        <f>IF($AQ55="","",INDEX('Freeview-Gen Ent-more than min'!$AC:$AE,MATCH($AQ55,'Freeview-Gen Ent-more than min'!$AE:$AE,0),1))</f>
        <v>49</v>
      </c>
      <c r="BF55">
        <f>IF($AQ55="","",INDEX('Freeview-Gen Ent-more than min'!$AC:$AE,MATCH($AQ55,'Freeview-Gen Ent-more than min'!$AE:$AE,0),2))</f>
        <v>48</v>
      </c>
      <c r="BG55">
        <f t="shared" si="13"/>
        <v>0</v>
      </c>
      <c r="BH55">
        <f t="shared" si="14"/>
        <v>1</v>
      </c>
    </row>
    <row r="56" spans="1:60" x14ac:dyDescent="0.45">
      <c r="A56" t="str">
        <f>IF('Freeview-Gen Ent'!C58&lt;&gt;0,'Freeview-Gen Ent'!C58,"")</f>
        <v>The Jewellery Channel</v>
      </c>
      <c r="B56">
        <f t="shared" si="0"/>
        <v>1</v>
      </c>
      <c r="C56">
        <f>IF($A56="","",INDEX('Freeview-Gen Ent'!$A:$C,MATCH($A56,'Freeview-Gen Ent'!$C:$C,0),1))</f>
        <v>49</v>
      </c>
      <c r="D56">
        <f>IF($A56="","",INDEX('Freeview-Gen Ent'!$A:$C,MATCH($A56,'Freeview-Gen Ent'!$C:$C,0),2))</f>
        <v>48</v>
      </c>
      <c r="H56">
        <f>IF($A56="","",INDEX('Freeview-Gen Ent'!$Q:$S,MATCH($A56,'Freeview-Gen Ent'!$S:$S,0),1))</f>
        <v>50</v>
      </c>
      <c r="I56">
        <f>IF($A56="","",INDEX('Freeview-Gen Ent'!$Q:$S,MATCH($A56,'Freeview-Gen Ent'!$S:$S,0),2))</f>
        <v>48</v>
      </c>
      <c r="J56">
        <f t="shared" si="1"/>
        <v>0</v>
      </c>
      <c r="K56">
        <f t="shared" si="2"/>
        <v>1</v>
      </c>
      <c r="O56">
        <f>IF($A56="","",INDEX('Freeview-Gen Ent-more than min'!$Q:$S,MATCH($A56,'Freeview-Gen Ent-more than min'!$S:$S,0),1))</f>
        <v>50</v>
      </c>
      <c r="P56">
        <f>IF($A56="","",INDEX('Freeview-Gen Ent-more than min'!$Q:$S,MATCH($A56,'Freeview-Gen Ent-more than min'!$S:$S,0),2))</f>
        <v>48</v>
      </c>
      <c r="Q56">
        <f t="shared" si="3"/>
        <v>0</v>
      </c>
      <c r="R56">
        <f t="shared" si="4"/>
        <v>1</v>
      </c>
      <c r="V56" t="str">
        <f>IF('Freeview-Gen Ent'!G58&lt;&gt;0,'Freeview-Gen Ent'!G58,"")</f>
        <v>The Jewellery Channel</v>
      </c>
      <c r="W56">
        <f t="shared" si="5"/>
        <v>1</v>
      </c>
      <c r="X56">
        <f>IF($V56="","",INDEX('Freeview-Gen Ent'!$E:$G,MATCH($V56,'Freeview-Gen Ent'!$G:$G,0),1))</f>
        <v>49</v>
      </c>
      <c r="Y56">
        <f>IF($V56="","",INDEX('Freeview-Gen Ent'!$E:$G,MATCH($V56,'Freeview-Gen Ent'!$G:$G,0),2))</f>
        <v>48</v>
      </c>
      <c r="AC56">
        <f>IF($V56="","",INDEX('Freeview-Gen Ent'!$U:$W,MATCH($V56,'Freeview-Gen Ent'!$W:$W,0),1))</f>
        <v>50</v>
      </c>
      <c r="AD56">
        <f>IF($V56="","",INDEX('Freeview-Gen Ent'!$U:$W,MATCH($V56,'Freeview-Gen Ent'!$W:$W,0),2))</f>
        <v>48</v>
      </c>
      <c r="AE56">
        <f t="shared" si="6"/>
        <v>0</v>
      </c>
      <c r="AF56">
        <f t="shared" si="7"/>
        <v>1</v>
      </c>
      <c r="AJ56">
        <f>IF($V56="","",INDEX('Freeview-Gen Ent-more than min'!$U:$W,MATCH($V56,'Freeview-Gen Ent-more than min'!$W:$W,0),1))</f>
        <v>50</v>
      </c>
      <c r="AK56">
        <f>IF($V56="","",INDEX('Freeview-Gen Ent-more than min'!$U:$W,MATCH($V56,'Freeview-Gen Ent-more than min'!$W:$W,0),2))</f>
        <v>48</v>
      </c>
      <c r="AL56">
        <f t="shared" si="8"/>
        <v>0</v>
      </c>
      <c r="AM56">
        <f t="shared" si="9"/>
        <v>1</v>
      </c>
      <c r="AQ56" t="str">
        <f>IF('Freeview-Gen Ent'!O58&lt;&gt;0,'Freeview-Gen Ent'!O58,"")</f>
        <v>The Jewellery Channel</v>
      </c>
      <c r="AR56">
        <f t="shared" si="10"/>
        <v>1</v>
      </c>
      <c r="AS56">
        <f>IF($AQ56="","",INDEX('Freeview-Gen Ent'!$M:$O,MATCH($AQ56,'Freeview-Gen Ent'!$O:$O,0),1))</f>
        <v>49</v>
      </c>
      <c r="AT56">
        <f>IF($AQ56="","",INDEX('Freeview-Gen Ent'!$M:$O,MATCH($AQ56,'Freeview-Gen Ent'!$O:$O,0),2))</f>
        <v>49</v>
      </c>
      <c r="AX56">
        <f>IF($AQ56="","",INDEX('Freeview-Gen Ent'!$AC:$AE,MATCH($AQ56,'Freeview-Gen Ent'!$AE:$AE,0),1))</f>
        <v>50</v>
      </c>
      <c r="AY56">
        <f>IF($AQ56="","",INDEX('Freeview-Gen Ent'!$AC:$AE,MATCH($AQ56,'Freeview-Gen Ent'!$AE:$AE,0),2))</f>
        <v>49</v>
      </c>
      <c r="AZ56">
        <f t="shared" si="11"/>
        <v>0</v>
      </c>
      <c r="BA56">
        <f t="shared" si="12"/>
        <v>1</v>
      </c>
      <c r="BE56">
        <f>IF($AQ56="","",INDEX('Freeview-Gen Ent-more than min'!$AC:$AE,MATCH($AQ56,'Freeview-Gen Ent-more than min'!$AE:$AE,0),1))</f>
        <v>50</v>
      </c>
      <c r="BF56">
        <f>IF($AQ56="","",INDEX('Freeview-Gen Ent-more than min'!$AC:$AE,MATCH($AQ56,'Freeview-Gen Ent-more than min'!$AE:$AE,0),2))</f>
        <v>49</v>
      </c>
      <c r="BG56">
        <f t="shared" si="13"/>
        <v>0</v>
      </c>
      <c r="BH56">
        <f t="shared" si="14"/>
        <v>1</v>
      </c>
    </row>
    <row r="57" spans="1:60" x14ac:dyDescent="0.45">
      <c r="A57" t="str">
        <f>IF('Freeview-Gen Ent'!C59&lt;&gt;0,'Freeview-Gen Ent'!C59,"")</f>
        <v>Sony Movie Channel +1</v>
      </c>
      <c r="B57">
        <f t="shared" si="0"/>
        <v>1</v>
      </c>
      <c r="C57">
        <f>IF($A57="","",INDEX('Freeview-Gen Ent'!$A:$C,MATCH($A57,'Freeview-Gen Ent'!$C:$C,0),1))</f>
        <v>50</v>
      </c>
      <c r="D57">
        <f>IF($A57="","",INDEX('Freeview-Gen Ent'!$A:$C,MATCH($A57,'Freeview-Gen Ent'!$C:$C,0),2))</f>
        <v>49</v>
      </c>
      <c r="H57">
        <f>IF($A57="","",INDEX('Freeview-Gen Ent'!$Q:$S,MATCH($A57,'Freeview-Gen Ent'!$S:$S,0),1))</f>
        <v>51</v>
      </c>
      <c r="I57">
        <f>IF($A57="","",INDEX('Freeview-Gen Ent'!$Q:$S,MATCH($A57,'Freeview-Gen Ent'!$S:$S,0),2))</f>
        <v>49</v>
      </c>
      <c r="J57">
        <f t="shared" si="1"/>
        <v>0</v>
      </c>
      <c r="K57">
        <f t="shared" si="2"/>
        <v>1</v>
      </c>
      <c r="O57">
        <f>IF($A57="","",INDEX('Freeview-Gen Ent-more than min'!$Q:$S,MATCH($A57,'Freeview-Gen Ent-more than min'!$S:$S,0),1))</f>
        <v>51</v>
      </c>
      <c r="P57">
        <f>IF($A57="","",INDEX('Freeview-Gen Ent-more than min'!$Q:$S,MATCH($A57,'Freeview-Gen Ent-more than min'!$S:$S,0),2))</f>
        <v>49</v>
      </c>
      <c r="Q57">
        <f t="shared" si="3"/>
        <v>0</v>
      </c>
      <c r="R57">
        <f t="shared" si="4"/>
        <v>1</v>
      </c>
      <c r="V57" t="str">
        <f>IF('Freeview-Gen Ent'!G59&lt;&gt;0,'Freeview-Gen Ent'!G59,"")</f>
        <v>Sony Movie Channel +1</v>
      </c>
      <c r="W57">
        <f t="shared" si="5"/>
        <v>1</v>
      </c>
      <c r="X57">
        <f>IF($V57="","",INDEX('Freeview-Gen Ent'!$E:$G,MATCH($V57,'Freeview-Gen Ent'!$G:$G,0),1))</f>
        <v>50</v>
      </c>
      <c r="Y57">
        <f>IF($V57="","",INDEX('Freeview-Gen Ent'!$E:$G,MATCH($V57,'Freeview-Gen Ent'!$G:$G,0),2))</f>
        <v>49</v>
      </c>
      <c r="AC57">
        <f>IF($V57="","",INDEX('Freeview-Gen Ent'!$U:$W,MATCH($V57,'Freeview-Gen Ent'!$W:$W,0),1))</f>
        <v>51</v>
      </c>
      <c r="AD57">
        <f>IF($V57="","",INDEX('Freeview-Gen Ent'!$U:$W,MATCH($V57,'Freeview-Gen Ent'!$W:$W,0),2))</f>
        <v>49</v>
      </c>
      <c r="AE57">
        <f t="shared" si="6"/>
        <v>0</v>
      </c>
      <c r="AF57">
        <f t="shared" si="7"/>
        <v>1</v>
      </c>
      <c r="AJ57">
        <f>IF($V57="","",INDEX('Freeview-Gen Ent-more than min'!$U:$W,MATCH($V57,'Freeview-Gen Ent-more than min'!$W:$W,0),1))</f>
        <v>51</v>
      </c>
      <c r="AK57">
        <f>IF($V57="","",INDEX('Freeview-Gen Ent-more than min'!$U:$W,MATCH($V57,'Freeview-Gen Ent-more than min'!$W:$W,0),2))</f>
        <v>49</v>
      </c>
      <c r="AL57">
        <f t="shared" si="8"/>
        <v>0</v>
      </c>
      <c r="AM57">
        <f t="shared" si="9"/>
        <v>1</v>
      </c>
      <c r="AQ57" t="str">
        <f>IF('Freeview-Gen Ent'!O59&lt;&gt;0,'Freeview-Gen Ent'!O59,"")</f>
        <v>Sony Movie Channel +1</v>
      </c>
      <c r="AR57">
        <f t="shared" si="10"/>
        <v>1</v>
      </c>
      <c r="AS57">
        <f>IF($AQ57="","",INDEX('Freeview-Gen Ent'!$M:$O,MATCH($AQ57,'Freeview-Gen Ent'!$O:$O,0),1))</f>
        <v>50</v>
      </c>
      <c r="AT57">
        <f>IF($AQ57="","",INDEX('Freeview-Gen Ent'!$M:$O,MATCH($AQ57,'Freeview-Gen Ent'!$O:$O,0),2))</f>
        <v>50</v>
      </c>
      <c r="AX57">
        <f>IF($AQ57="","",INDEX('Freeview-Gen Ent'!$AC:$AE,MATCH($AQ57,'Freeview-Gen Ent'!$AE:$AE,0),1))</f>
        <v>51</v>
      </c>
      <c r="AY57">
        <f>IF($AQ57="","",INDEX('Freeview-Gen Ent'!$AC:$AE,MATCH($AQ57,'Freeview-Gen Ent'!$AE:$AE,0),2))</f>
        <v>50</v>
      </c>
      <c r="AZ57">
        <f t="shared" si="11"/>
        <v>0</v>
      </c>
      <c r="BA57">
        <f t="shared" si="12"/>
        <v>1</v>
      </c>
      <c r="BE57">
        <f>IF($AQ57="","",INDEX('Freeview-Gen Ent-more than min'!$AC:$AE,MATCH($AQ57,'Freeview-Gen Ent-more than min'!$AE:$AE,0),1))</f>
        <v>51</v>
      </c>
      <c r="BF57">
        <f>IF($AQ57="","",INDEX('Freeview-Gen Ent-more than min'!$AC:$AE,MATCH($AQ57,'Freeview-Gen Ent-more than min'!$AE:$AE,0),2))</f>
        <v>50</v>
      </c>
      <c r="BG57">
        <f t="shared" si="13"/>
        <v>0</v>
      </c>
      <c r="BH57">
        <f t="shared" si="14"/>
        <v>1</v>
      </c>
    </row>
    <row r="58" spans="1:60" x14ac:dyDescent="0.45">
      <c r="A58" t="str">
        <f>IF('Freeview-Gen Ent'!C60&lt;&gt;0,'Freeview-Gen Ent'!C60,"")</f>
        <v/>
      </c>
      <c r="B58" t="str">
        <f t="shared" si="0"/>
        <v/>
      </c>
      <c r="C58" t="str">
        <f>IF($A58="","",INDEX('Freeview-Gen Ent'!$A:$C,MATCH($A58,'Freeview-Gen Ent'!$C:$C,0),1))</f>
        <v/>
      </c>
      <c r="D58" t="str">
        <f>IF($A58="","",INDEX('Freeview-Gen Ent'!$A:$C,MATCH($A58,'Freeview-Gen Ent'!$C:$C,0),2))</f>
        <v/>
      </c>
      <c r="H58" t="str">
        <f>IF($A58="","",INDEX('Freeview-Gen Ent'!$Q:$S,MATCH($A58,'Freeview-Gen Ent'!$S:$S,0),1))</f>
        <v/>
      </c>
      <c r="I58" t="str">
        <f>IF($A58="","",INDEX('Freeview-Gen Ent'!$Q:$S,MATCH($A58,'Freeview-Gen Ent'!$S:$S,0),2))</f>
        <v/>
      </c>
      <c r="J58" t="str">
        <f t="shared" si="1"/>
        <v/>
      </c>
      <c r="K58" t="str">
        <f t="shared" si="2"/>
        <v/>
      </c>
      <c r="O58" t="str">
        <f>IF($A58="","",INDEX('Freeview-Gen Ent-more than min'!$Q:$S,MATCH($A58,'Freeview-Gen Ent-more than min'!$S:$S,0),1))</f>
        <v/>
      </c>
      <c r="P58" t="str">
        <f>IF($A58="","",INDEX('Freeview-Gen Ent-more than min'!$Q:$S,MATCH($A58,'Freeview-Gen Ent-more than min'!$S:$S,0),2))</f>
        <v/>
      </c>
      <c r="Q58" t="str">
        <f t="shared" si="3"/>
        <v/>
      </c>
      <c r="R58" t="str">
        <f t="shared" si="4"/>
        <v/>
      </c>
      <c r="V58" t="str">
        <f>IF('Freeview-Gen Ent'!G60&lt;&gt;0,'Freeview-Gen Ent'!G60,"")</f>
        <v>TG4</v>
      </c>
      <c r="W58">
        <f t="shared" si="5"/>
        <v>1</v>
      </c>
      <c r="X58">
        <f>IF($V58="","",INDEX('Freeview-Gen Ent'!$E:$G,MATCH($V58,'Freeview-Gen Ent'!$G:$G,0),1))</f>
        <v>51</v>
      </c>
      <c r="Y58">
        <f>IF($V58="","",INDEX('Freeview-Gen Ent'!$E:$G,MATCH($V58,'Freeview-Gen Ent'!$G:$G,0),2))</f>
        <v>50</v>
      </c>
      <c r="AC58">
        <f>IF($V58="","",INDEX('Freeview-Gen Ent'!$U:$W,MATCH($V58,'Freeview-Gen Ent'!$W:$W,0),1))</f>
        <v>52</v>
      </c>
      <c r="AD58">
        <f>IF($V58="","",INDEX('Freeview-Gen Ent'!$U:$W,MATCH($V58,'Freeview-Gen Ent'!$W:$W,0),2))</f>
        <v>50</v>
      </c>
      <c r="AE58">
        <f t="shared" si="6"/>
        <v>0</v>
      </c>
      <c r="AF58">
        <f t="shared" si="7"/>
        <v>1</v>
      </c>
      <c r="AJ58">
        <f>IF($V58="","",INDEX('Freeview-Gen Ent-more than min'!$U:$W,MATCH($V58,'Freeview-Gen Ent-more than min'!$W:$W,0),1))</f>
        <v>52</v>
      </c>
      <c r="AK58">
        <f>IF($V58="","",INDEX('Freeview-Gen Ent-more than min'!$U:$W,MATCH($V58,'Freeview-Gen Ent-more than min'!$W:$W,0),2))</f>
        <v>50</v>
      </c>
      <c r="AL58">
        <f t="shared" si="8"/>
        <v>0</v>
      </c>
      <c r="AM58">
        <f t="shared" si="9"/>
        <v>1</v>
      </c>
      <c r="AQ58" t="str">
        <f>IF('Freeview-Gen Ent'!O60&lt;&gt;0,'Freeview-Gen Ent'!O60,"")</f>
        <v/>
      </c>
      <c r="AR58" t="str">
        <f t="shared" si="10"/>
        <v/>
      </c>
      <c r="AS58" t="str">
        <f>IF($AQ58="","",INDEX('Freeview-Gen Ent'!$M:$O,MATCH($AQ58,'Freeview-Gen Ent'!$O:$O,0),1))</f>
        <v/>
      </c>
      <c r="AT58" t="str">
        <f>IF($AQ58="","",INDEX('Freeview-Gen Ent'!$M:$O,MATCH($AQ58,'Freeview-Gen Ent'!$O:$O,0),2))</f>
        <v/>
      </c>
      <c r="AX58" t="str">
        <f>IF($AQ58="","",INDEX('Freeview-Gen Ent'!$AC:$AE,MATCH($AQ58,'Freeview-Gen Ent'!$AE:$AE,0),1))</f>
        <v/>
      </c>
      <c r="AY58" t="str">
        <f>IF($AQ58="","",INDEX('Freeview-Gen Ent'!$AC:$AE,MATCH($AQ58,'Freeview-Gen Ent'!$AE:$AE,0),2))</f>
        <v/>
      </c>
      <c r="AZ58" t="str">
        <f t="shared" si="11"/>
        <v/>
      </c>
      <c r="BA58" t="str">
        <f t="shared" si="12"/>
        <v/>
      </c>
      <c r="BE58" t="str">
        <f>IF($AQ58="","",INDEX('Freeview-Gen Ent-more than min'!$AC:$AE,MATCH($AQ58,'Freeview-Gen Ent-more than min'!$AE:$AE,0),1))</f>
        <v/>
      </c>
      <c r="BF58" t="str">
        <f>IF($AQ58="","",INDEX('Freeview-Gen Ent-more than min'!$AC:$AE,MATCH($AQ58,'Freeview-Gen Ent-more than min'!$AE:$AE,0),2))</f>
        <v/>
      </c>
      <c r="BG58" t="str">
        <f t="shared" si="13"/>
        <v/>
      </c>
      <c r="BH58" t="str">
        <f t="shared" si="14"/>
        <v/>
      </c>
    </row>
    <row r="59" spans="1:60" x14ac:dyDescent="0.45">
      <c r="A59" t="str">
        <f>IF('Freeview-Gen Ent'!C61&lt;&gt;0,'Freeview-Gen Ent'!C61,"")</f>
        <v/>
      </c>
      <c r="B59" t="str">
        <f t="shared" si="0"/>
        <v/>
      </c>
      <c r="C59" t="str">
        <f>IF($A59="","",INDEX('Freeview-Gen Ent'!$A:$C,MATCH($A59,'Freeview-Gen Ent'!$C:$C,0),1))</f>
        <v/>
      </c>
      <c r="D59" t="str">
        <f>IF($A59="","",INDEX('Freeview-Gen Ent'!$A:$C,MATCH($A59,'Freeview-Gen Ent'!$C:$C,0),2))</f>
        <v/>
      </c>
      <c r="H59" t="str">
        <f>IF($A59="","",INDEX('Freeview-Gen Ent'!$Q:$S,MATCH($A59,'Freeview-Gen Ent'!$S:$S,0),1))</f>
        <v/>
      </c>
      <c r="I59" t="str">
        <f>IF($A59="","",INDEX('Freeview-Gen Ent'!$Q:$S,MATCH($A59,'Freeview-Gen Ent'!$S:$S,0),2))</f>
        <v/>
      </c>
      <c r="J59" t="str">
        <f t="shared" si="1"/>
        <v/>
      </c>
      <c r="K59" t="str">
        <f t="shared" si="2"/>
        <v/>
      </c>
      <c r="O59" t="str">
        <f>IF($A59="","",INDEX('Freeview-Gen Ent-more than min'!$Q:$S,MATCH($A59,'Freeview-Gen Ent-more than min'!$S:$S,0),1))</f>
        <v/>
      </c>
      <c r="P59" t="str">
        <f>IF($A59="","",INDEX('Freeview-Gen Ent-more than min'!$Q:$S,MATCH($A59,'Freeview-Gen Ent-more than min'!$S:$S,0),2))</f>
        <v/>
      </c>
      <c r="Q59" t="str">
        <f t="shared" si="3"/>
        <v/>
      </c>
      <c r="R59" t="str">
        <f t="shared" si="4"/>
        <v/>
      </c>
      <c r="V59" t="str">
        <f>IF('Freeview-Gen Ent'!G61&lt;&gt;0,'Freeview-Gen Ent'!G61,"")</f>
        <v>RTE One</v>
      </c>
      <c r="W59">
        <f t="shared" si="5"/>
        <v>1</v>
      </c>
      <c r="X59">
        <f>IF($V59="","",INDEX('Freeview-Gen Ent'!$E:$G,MATCH($V59,'Freeview-Gen Ent'!$G:$G,0),1))</f>
        <v>52</v>
      </c>
      <c r="Y59">
        <f>IF($V59="","",INDEX('Freeview-Gen Ent'!$E:$G,MATCH($V59,'Freeview-Gen Ent'!$G:$G,0),2))</f>
        <v>51</v>
      </c>
      <c r="AC59">
        <f>IF($V59="","",INDEX('Freeview-Gen Ent'!$U:$W,MATCH($V59,'Freeview-Gen Ent'!$W:$W,0),1))</f>
        <v>53</v>
      </c>
      <c r="AD59">
        <f>IF($V59="","",INDEX('Freeview-Gen Ent'!$U:$W,MATCH($V59,'Freeview-Gen Ent'!$W:$W,0),2))</f>
        <v>51</v>
      </c>
      <c r="AE59">
        <f t="shared" si="6"/>
        <v>0</v>
      </c>
      <c r="AF59">
        <f t="shared" si="7"/>
        <v>1</v>
      </c>
      <c r="AJ59">
        <f>IF($V59="","",INDEX('Freeview-Gen Ent-more than min'!$U:$W,MATCH($V59,'Freeview-Gen Ent-more than min'!$W:$W,0),1))</f>
        <v>53</v>
      </c>
      <c r="AK59">
        <f>IF($V59="","",INDEX('Freeview-Gen Ent-more than min'!$U:$W,MATCH($V59,'Freeview-Gen Ent-more than min'!$W:$W,0),2))</f>
        <v>51</v>
      </c>
      <c r="AL59">
        <f t="shared" si="8"/>
        <v>0</v>
      </c>
      <c r="AM59">
        <f t="shared" si="9"/>
        <v>1</v>
      </c>
      <c r="AQ59" t="str">
        <f>IF('Freeview-Gen Ent'!O61&lt;&gt;0,'Freeview-Gen Ent'!O61,"")</f>
        <v/>
      </c>
      <c r="AR59" t="str">
        <f t="shared" si="10"/>
        <v/>
      </c>
      <c r="AS59" t="str">
        <f>IF($AQ59="","",INDEX('Freeview-Gen Ent'!$M:$O,MATCH($AQ59,'Freeview-Gen Ent'!$O:$O,0),1))</f>
        <v/>
      </c>
      <c r="AT59" t="str">
        <f>IF($AQ59="","",INDEX('Freeview-Gen Ent'!$M:$O,MATCH($AQ59,'Freeview-Gen Ent'!$O:$O,0),2))</f>
        <v/>
      </c>
      <c r="AX59" t="str">
        <f>IF($AQ59="","",INDEX('Freeview-Gen Ent'!$AC:$AE,MATCH($AQ59,'Freeview-Gen Ent'!$AE:$AE,0),1))</f>
        <v/>
      </c>
      <c r="AY59" t="str">
        <f>IF($AQ59="","",INDEX('Freeview-Gen Ent'!$AC:$AE,MATCH($AQ59,'Freeview-Gen Ent'!$AE:$AE,0),2))</f>
        <v/>
      </c>
      <c r="AZ59" t="str">
        <f t="shared" si="11"/>
        <v/>
      </c>
      <c r="BA59" t="str">
        <f t="shared" si="12"/>
        <v/>
      </c>
      <c r="BE59" t="str">
        <f>IF($AQ59="","",INDEX('Freeview-Gen Ent-more than min'!$AC:$AE,MATCH($AQ59,'Freeview-Gen Ent-more than min'!$AE:$AE,0),1))</f>
        <v/>
      </c>
      <c r="BF59" t="str">
        <f>IF($AQ59="","",INDEX('Freeview-Gen Ent-more than min'!$AC:$AE,MATCH($AQ59,'Freeview-Gen Ent-more than min'!$AE:$AE,0),2))</f>
        <v/>
      </c>
      <c r="BG59" t="str">
        <f t="shared" si="13"/>
        <v/>
      </c>
      <c r="BH59" t="str">
        <f t="shared" si="14"/>
        <v/>
      </c>
    </row>
    <row r="60" spans="1:60" x14ac:dyDescent="0.45">
      <c r="A60" t="str">
        <f>IF('Freeview-Gen Ent'!C62&lt;&gt;0,'Freeview-Gen Ent'!C62,"")</f>
        <v/>
      </c>
      <c r="B60" t="str">
        <f t="shared" si="0"/>
        <v/>
      </c>
      <c r="C60" t="str">
        <f>IF($A60="","",INDEX('Freeview-Gen Ent'!$A:$C,MATCH($A60,'Freeview-Gen Ent'!$C:$C,0),1))</f>
        <v/>
      </c>
      <c r="D60" t="str">
        <f>IF($A60="","",INDEX('Freeview-Gen Ent'!$A:$C,MATCH($A60,'Freeview-Gen Ent'!$C:$C,0),2))</f>
        <v/>
      </c>
      <c r="H60" t="str">
        <f>IF($A60="","",INDEX('Freeview-Gen Ent'!$Q:$S,MATCH($A60,'Freeview-Gen Ent'!$S:$S,0),1))</f>
        <v/>
      </c>
      <c r="I60" t="str">
        <f>IF($A60="","",INDEX('Freeview-Gen Ent'!$Q:$S,MATCH($A60,'Freeview-Gen Ent'!$S:$S,0),2))</f>
        <v/>
      </c>
      <c r="J60" t="str">
        <f t="shared" si="1"/>
        <v/>
      </c>
      <c r="K60" t="str">
        <f t="shared" si="2"/>
        <v/>
      </c>
      <c r="O60" t="str">
        <f>IF($A60="","",INDEX('Freeview-Gen Ent-more than min'!$Q:$S,MATCH($A60,'Freeview-Gen Ent-more than min'!$S:$S,0),1))</f>
        <v/>
      </c>
      <c r="P60" t="str">
        <f>IF($A60="","",INDEX('Freeview-Gen Ent-more than min'!$Q:$S,MATCH($A60,'Freeview-Gen Ent-more than min'!$S:$S,0),2))</f>
        <v/>
      </c>
      <c r="Q60" t="str">
        <f t="shared" si="3"/>
        <v/>
      </c>
      <c r="R60" t="str">
        <f t="shared" si="4"/>
        <v/>
      </c>
      <c r="V60" t="str">
        <f>IF('Freeview-Gen Ent'!G62&lt;&gt;0,'Freeview-Gen Ent'!G62,"")</f>
        <v>RTE Two</v>
      </c>
      <c r="W60">
        <f t="shared" si="5"/>
        <v>1</v>
      </c>
      <c r="X60">
        <f>IF($V60="","",INDEX('Freeview-Gen Ent'!$E:$G,MATCH($V60,'Freeview-Gen Ent'!$G:$G,0),1))</f>
        <v>53</v>
      </c>
      <c r="Y60">
        <f>IF($V60="","",INDEX('Freeview-Gen Ent'!$E:$G,MATCH($V60,'Freeview-Gen Ent'!$G:$G,0),2))</f>
        <v>52</v>
      </c>
      <c r="AC60">
        <f>IF($V60="","",INDEX('Freeview-Gen Ent'!$U:$W,MATCH($V60,'Freeview-Gen Ent'!$W:$W,0),1))</f>
        <v>54</v>
      </c>
      <c r="AD60">
        <f>IF($V60="","",INDEX('Freeview-Gen Ent'!$U:$W,MATCH($V60,'Freeview-Gen Ent'!$W:$W,0),2))</f>
        <v>52</v>
      </c>
      <c r="AE60">
        <f t="shared" si="6"/>
        <v>0</v>
      </c>
      <c r="AF60">
        <f t="shared" si="7"/>
        <v>1</v>
      </c>
      <c r="AJ60">
        <f>IF($V60="","",INDEX('Freeview-Gen Ent-more than min'!$U:$W,MATCH($V60,'Freeview-Gen Ent-more than min'!$W:$W,0),1))</f>
        <v>54</v>
      </c>
      <c r="AK60">
        <f>IF($V60="","",INDEX('Freeview-Gen Ent-more than min'!$U:$W,MATCH($V60,'Freeview-Gen Ent-more than min'!$W:$W,0),2))</f>
        <v>52</v>
      </c>
      <c r="AL60">
        <f t="shared" si="8"/>
        <v>0</v>
      </c>
      <c r="AM60">
        <f t="shared" si="9"/>
        <v>1</v>
      </c>
      <c r="AQ60" t="str">
        <f>IF('Freeview-Gen Ent'!O62&lt;&gt;0,'Freeview-Gen Ent'!O62,"")</f>
        <v/>
      </c>
      <c r="AR60" t="str">
        <f t="shared" si="10"/>
        <v/>
      </c>
      <c r="AS60" t="str">
        <f>IF($AQ60="","",INDEX('Freeview-Gen Ent'!$M:$O,MATCH($AQ60,'Freeview-Gen Ent'!$O:$O,0),1))</f>
        <v/>
      </c>
      <c r="AT60" t="str">
        <f>IF($AQ60="","",INDEX('Freeview-Gen Ent'!$M:$O,MATCH($AQ60,'Freeview-Gen Ent'!$O:$O,0),2))</f>
        <v/>
      </c>
      <c r="AX60" t="str">
        <f>IF($AQ60="","",INDEX('Freeview-Gen Ent'!$AC:$AE,MATCH($AQ60,'Freeview-Gen Ent'!$AE:$AE,0),1))</f>
        <v/>
      </c>
      <c r="AY60" t="str">
        <f>IF($AQ60="","",INDEX('Freeview-Gen Ent'!$AC:$AE,MATCH($AQ60,'Freeview-Gen Ent'!$AE:$AE,0),2))</f>
        <v/>
      </c>
      <c r="AZ60" t="str">
        <f t="shared" si="11"/>
        <v/>
      </c>
      <c r="BA60" t="str">
        <f t="shared" si="12"/>
        <v/>
      </c>
      <c r="BE60" t="str">
        <f>IF($AQ60="","",INDEX('Freeview-Gen Ent-more than min'!$AC:$AE,MATCH($AQ60,'Freeview-Gen Ent-more than min'!$AE:$AE,0),1))</f>
        <v/>
      </c>
      <c r="BF60" t="str">
        <f>IF($AQ60="","",INDEX('Freeview-Gen Ent-more than min'!$AC:$AE,MATCH($AQ60,'Freeview-Gen Ent-more than min'!$AE:$AE,0),2))</f>
        <v/>
      </c>
      <c r="BG60" t="str">
        <f t="shared" si="13"/>
        <v/>
      </c>
      <c r="BH60" t="str">
        <f t="shared" si="14"/>
        <v/>
      </c>
    </row>
    <row r="61" spans="1:60" x14ac:dyDescent="0.45">
      <c r="A61" t="str">
        <f>IF('Freeview-Gen Ent'!C63&lt;&gt;0,'Freeview-Gen Ent'!C63,"")</f>
        <v>Paramount Network</v>
      </c>
      <c r="B61">
        <f t="shared" si="0"/>
        <v>1</v>
      </c>
      <c r="C61">
        <f>IF($A61="","",INDEX('Freeview-Gen Ent'!$A:$C,MATCH($A61,'Freeview-Gen Ent'!$C:$C,0),1))</f>
        <v>54</v>
      </c>
      <c r="D61">
        <f>IF($A61="","",INDEX('Freeview-Gen Ent'!$A:$C,MATCH($A61,'Freeview-Gen Ent'!$C:$C,0),2))</f>
        <v>50</v>
      </c>
      <c r="H61">
        <f>IF($A61="","",INDEX('Freeview-Gen Ent'!$Q:$S,MATCH($A61,'Freeview-Gen Ent'!$S:$S,0),1))</f>
        <v>55</v>
      </c>
      <c r="I61">
        <f>IF($A61="","",INDEX('Freeview-Gen Ent'!$Q:$S,MATCH($A61,'Freeview-Gen Ent'!$S:$S,0),2))</f>
        <v>50</v>
      </c>
      <c r="J61">
        <f t="shared" si="1"/>
        <v>0</v>
      </c>
      <c r="K61">
        <f t="shared" si="2"/>
        <v>1</v>
      </c>
      <c r="O61">
        <f>IF($A61="","",INDEX('Freeview-Gen Ent-more than min'!$Q:$S,MATCH($A61,'Freeview-Gen Ent-more than min'!$S:$S,0),1))</f>
        <v>55</v>
      </c>
      <c r="P61">
        <f>IF($A61="","",INDEX('Freeview-Gen Ent-more than min'!$Q:$S,MATCH($A61,'Freeview-Gen Ent-more than min'!$S:$S,0),2))</f>
        <v>50</v>
      </c>
      <c r="Q61">
        <f t="shared" si="3"/>
        <v>0</v>
      </c>
      <c r="R61">
        <f t="shared" si="4"/>
        <v>1</v>
      </c>
      <c r="V61" t="str">
        <f>IF('Freeview-Gen Ent'!G63&lt;&gt;0,'Freeview-Gen Ent'!G63,"")</f>
        <v>Paramount Network</v>
      </c>
      <c r="W61">
        <f t="shared" si="5"/>
        <v>1</v>
      </c>
      <c r="X61">
        <f>IF($V61="","",INDEX('Freeview-Gen Ent'!$E:$G,MATCH($V61,'Freeview-Gen Ent'!$G:$G,0),1))</f>
        <v>54</v>
      </c>
      <c r="Y61">
        <f>IF($V61="","",INDEX('Freeview-Gen Ent'!$E:$G,MATCH($V61,'Freeview-Gen Ent'!$G:$G,0),2))</f>
        <v>53</v>
      </c>
      <c r="AC61">
        <f>IF($V61="","",INDEX('Freeview-Gen Ent'!$U:$W,MATCH($V61,'Freeview-Gen Ent'!$W:$W,0),1))</f>
        <v>55</v>
      </c>
      <c r="AD61">
        <f>IF($V61="","",INDEX('Freeview-Gen Ent'!$U:$W,MATCH($V61,'Freeview-Gen Ent'!$W:$W,0),2))</f>
        <v>53</v>
      </c>
      <c r="AE61">
        <f t="shared" si="6"/>
        <v>0</v>
      </c>
      <c r="AF61">
        <f t="shared" si="7"/>
        <v>1</v>
      </c>
      <c r="AJ61">
        <f>IF($V61="","",INDEX('Freeview-Gen Ent-more than min'!$U:$W,MATCH($V61,'Freeview-Gen Ent-more than min'!$W:$W,0),1))</f>
        <v>55</v>
      </c>
      <c r="AK61">
        <f>IF($V61="","",INDEX('Freeview-Gen Ent-more than min'!$U:$W,MATCH($V61,'Freeview-Gen Ent-more than min'!$W:$W,0),2))</f>
        <v>53</v>
      </c>
      <c r="AL61">
        <f t="shared" si="8"/>
        <v>0</v>
      </c>
      <c r="AM61">
        <f t="shared" si="9"/>
        <v>1</v>
      </c>
      <c r="AQ61" t="str">
        <f>IF('Freeview-Gen Ent'!O63&lt;&gt;0,'Freeview-Gen Ent'!O63,"")</f>
        <v>Paramount Network</v>
      </c>
      <c r="AR61">
        <f t="shared" si="10"/>
        <v>1</v>
      </c>
      <c r="AS61">
        <f>IF($AQ61="","",INDEX('Freeview-Gen Ent'!$M:$O,MATCH($AQ61,'Freeview-Gen Ent'!$O:$O,0),1))</f>
        <v>54</v>
      </c>
      <c r="AT61">
        <f>IF($AQ61="","",INDEX('Freeview-Gen Ent'!$M:$O,MATCH($AQ61,'Freeview-Gen Ent'!$O:$O,0),2))</f>
        <v>51</v>
      </c>
      <c r="AX61">
        <f>IF($AQ61="","",INDEX('Freeview-Gen Ent'!$AC:$AE,MATCH($AQ61,'Freeview-Gen Ent'!$AE:$AE,0),1))</f>
        <v>55</v>
      </c>
      <c r="AY61">
        <f>IF($AQ61="","",INDEX('Freeview-Gen Ent'!$AC:$AE,MATCH($AQ61,'Freeview-Gen Ent'!$AE:$AE,0),2))</f>
        <v>51</v>
      </c>
      <c r="AZ61">
        <f t="shared" si="11"/>
        <v>0</v>
      </c>
      <c r="BA61">
        <f t="shared" si="12"/>
        <v>1</v>
      </c>
      <c r="BE61">
        <f>IF($AQ61="","",INDEX('Freeview-Gen Ent-more than min'!$AC:$AE,MATCH($AQ61,'Freeview-Gen Ent-more than min'!$AE:$AE,0),1))</f>
        <v>55</v>
      </c>
      <c r="BF61">
        <f>IF($AQ61="","",INDEX('Freeview-Gen Ent-more than min'!$AC:$AE,MATCH($AQ61,'Freeview-Gen Ent-more than min'!$AE:$AE,0),2))</f>
        <v>51</v>
      </c>
      <c r="BG61">
        <f t="shared" si="13"/>
        <v>0</v>
      </c>
      <c r="BH61">
        <f t="shared" si="14"/>
        <v>1</v>
      </c>
    </row>
    <row r="62" spans="1:60" x14ac:dyDescent="0.45">
      <c r="A62" t="str">
        <f>IF('Freeview-Gen Ent'!C64&lt;&gt;0,'Freeview-Gen Ent'!C64,"")</f>
        <v>5Select</v>
      </c>
      <c r="B62">
        <f t="shared" si="0"/>
        <v>1</v>
      </c>
      <c r="C62">
        <f>IF($A62="","",INDEX('Freeview-Gen Ent'!$A:$C,MATCH($A62,'Freeview-Gen Ent'!$C:$C,0),1))</f>
        <v>55</v>
      </c>
      <c r="D62">
        <f>IF($A62="","",INDEX('Freeview-Gen Ent'!$A:$C,MATCH($A62,'Freeview-Gen Ent'!$C:$C,0),2))</f>
        <v>51</v>
      </c>
      <c r="H62">
        <f>IF($A62="","",INDEX('Freeview-Gen Ent'!$Q:$S,MATCH($A62,'Freeview-Gen Ent'!$S:$S,0),1))</f>
        <v>56</v>
      </c>
      <c r="I62">
        <f>IF($A62="","",INDEX('Freeview-Gen Ent'!$Q:$S,MATCH($A62,'Freeview-Gen Ent'!$S:$S,0),2))</f>
        <v>51</v>
      </c>
      <c r="J62">
        <f t="shared" si="1"/>
        <v>0</v>
      </c>
      <c r="K62">
        <f t="shared" si="2"/>
        <v>1</v>
      </c>
      <c r="O62">
        <f>IF($A62="","",INDEX('Freeview-Gen Ent-more than min'!$Q:$S,MATCH($A62,'Freeview-Gen Ent-more than min'!$S:$S,0),1))</f>
        <v>56</v>
      </c>
      <c r="P62">
        <f>IF($A62="","",INDEX('Freeview-Gen Ent-more than min'!$Q:$S,MATCH($A62,'Freeview-Gen Ent-more than min'!$S:$S,0),2))</f>
        <v>51</v>
      </c>
      <c r="Q62">
        <f t="shared" si="3"/>
        <v>0</v>
      </c>
      <c r="R62">
        <f t="shared" si="4"/>
        <v>1</v>
      </c>
      <c r="V62" t="str">
        <f>IF('Freeview-Gen Ent'!G64&lt;&gt;0,'Freeview-Gen Ent'!G64,"")</f>
        <v>5Select</v>
      </c>
      <c r="W62">
        <f t="shared" si="5"/>
        <v>1</v>
      </c>
      <c r="X62">
        <f>IF($V62="","",INDEX('Freeview-Gen Ent'!$E:$G,MATCH($V62,'Freeview-Gen Ent'!$G:$G,0),1))</f>
        <v>55</v>
      </c>
      <c r="Y62">
        <f>IF($V62="","",INDEX('Freeview-Gen Ent'!$E:$G,MATCH($V62,'Freeview-Gen Ent'!$G:$G,0),2))</f>
        <v>54</v>
      </c>
      <c r="AC62">
        <f>IF($V62="","",INDEX('Freeview-Gen Ent'!$U:$W,MATCH($V62,'Freeview-Gen Ent'!$W:$W,0),1))</f>
        <v>56</v>
      </c>
      <c r="AD62">
        <f>IF($V62="","",INDEX('Freeview-Gen Ent'!$U:$W,MATCH($V62,'Freeview-Gen Ent'!$W:$W,0),2))</f>
        <v>54</v>
      </c>
      <c r="AE62">
        <f t="shared" si="6"/>
        <v>0</v>
      </c>
      <c r="AF62">
        <f t="shared" si="7"/>
        <v>1</v>
      </c>
      <c r="AJ62">
        <f>IF($V62="","",INDEX('Freeview-Gen Ent-more than min'!$U:$W,MATCH($V62,'Freeview-Gen Ent-more than min'!$W:$W,0),1))</f>
        <v>56</v>
      </c>
      <c r="AK62">
        <f>IF($V62="","",INDEX('Freeview-Gen Ent-more than min'!$U:$W,MATCH($V62,'Freeview-Gen Ent-more than min'!$W:$W,0),2))</f>
        <v>54</v>
      </c>
      <c r="AL62">
        <f t="shared" si="8"/>
        <v>0</v>
      </c>
      <c r="AM62">
        <f t="shared" si="9"/>
        <v>1</v>
      </c>
      <c r="AQ62" t="str">
        <f>IF('Freeview-Gen Ent'!O64&lt;&gt;0,'Freeview-Gen Ent'!O64,"")</f>
        <v>5Select</v>
      </c>
      <c r="AR62">
        <f t="shared" si="10"/>
        <v>1</v>
      </c>
      <c r="AS62">
        <f>IF($AQ62="","",INDEX('Freeview-Gen Ent'!$M:$O,MATCH($AQ62,'Freeview-Gen Ent'!$O:$O,0),1))</f>
        <v>55</v>
      </c>
      <c r="AT62">
        <f>IF($AQ62="","",INDEX('Freeview-Gen Ent'!$M:$O,MATCH($AQ62,'Freeview-Gen Ent'!$O:$O,0),2))</f>
        <v>52</v>
      </c>
      <c r="AX62">
        <f>IF($AQ62="","",INDEX('Freeview-Gen Ent'!$AC:$AE,MATCH($AQ62,'Freeview-Gen Ent'!$AE:$AE,0),1))</f>
        <v>56</v>
      </c>
      <c r="AY62">
        <f>IF($AQ62="","",INDEX('Freeview-Gen Ent'!$AC:$AE,MATCH($AQ62,'Freeview-Gen Ent'!$AE:$AE,0),2))</f>
        <v>52</v>
      </c>
      <c r="AZ62">
        <f t="shared" si="11"/>
        <v>0</v>
      </c>
      <c r="BA62">
        <f t="shared" si="12"/>
        <v>1</v>
      </c>
      <c r="BE62">
        <f>IF($AQ62="","",INDEX('Freeview-Gen Ent-more than min'!$AC:$AE,MATCH($AQ62,'Freeview-Gen Ent-more than min'!$AE:$AE,0),1))</f>
        <v>56</v>
      </c>
      <c r="BF62">
        <f>IF($AQ62="","",INDEX('Freeview-Gen Ent-more than min'!$AC:$AE,MATCH($AQ62,'Freeview-Gen Ent-more than min'!$AE:$AE,0),2))</f>
        <v>52</v>
      </c>
      <c r="BG62">
        <f t="shared" si="13"/>
        <v>0</v>
      </c>
      <c r="BH62">
        <f t="shared" si="14"/>
        <v>1</v>
      </c>
    </row>
    <row r="63" spans="1:60" x14ac:dyDescent="0.45">
      <c r="A63" t="str">
        <f>IF('Freeview-Gen Ent'!C65&lt;&gt;0,'Freeview-Gen Ent'!C65,"")</f>
        <v>5Star +1</v>
      </c>
      <c r="B63">
        <f t="shared" si="0"/>
        <v>1</v>
      </c>
      <c r="C63">
        <f>IF($A63="","",INDEX('Freeview-Gen Ent'!$A:$C,MATCH($A63,'Freeview-Gen Ent'!$C:$C,0),1))</f>
        <v>56</v>
      </c>
      <c r="D63">
        <f>IF($A63="","",INDEX('Freeview-Gen Ent'!$A:$C,MATCH($A63,'Freeview-Gen Ent'!$C:$C,0),2))</f>
        <v>52</v>
      </c>
      <c r="H63">
        <f>IF($A63="","",INDEX('Freeview-Gen Ent'!$Q:$S,MATCH($A63,'Freeview-Gen Ent'!$S:$S,0),1))</f>
        <v>57</v>
      </c>
      <c r="I63">
        <f>IF($A63="","",INDEX('Freeview-Gen Ent'!$Q:$S,MATCH($A63,'Freeview-Gen Ent'!$S:$S,0),2))</f>
        <v>52</v>
      </c>
      <c r="J63">
        <f t="shared" si="1"/>
        <v>0</v>
      </c>
      <c r="K63">
        <f t="shared" si="2"/>
        <v>1</v>
      </c>
      <c r="O63">
        <f>IF($A63="","",INDEX('Freeview-Gen Ent-more than min'!$Q:$S,MATCH($A63,'Freeview-Gen Ent-more than min'!$S:$S,0),1))</f>
        <v>57</v>
      </c>
      <c r="P63">
        <f>IF($A63="","",INDEX('Freeview-Gen Ent-more than min'!$Q:$S,MATCH($A63,'Freeview-Gen Ent-more than min'!$S:$S,0),2))</f>
        <v>52</v>
      </c>
      <c r="Q63">
        <f t="shared" si="3"/>
        <v>0</v>
      </c>
      <c r="R63">
        <f t="shared" si="4"/>
        <v>1</v>
      </c>
      <c r="V63" t="str">
        <f>IF('Freeview-Gen Ent'!G65&lt;&gt;0,'Freeview-Gen Ent'!G65,"")</f>
        <v>5Star +1</v>
      </c>
      <c r="W63">
        <f t="shared" si="5"/>
        <v>1</v>
      </c>
      <c r="X63">
        <f>IF($V63="","",INDEX('Freeview-Gen Ent'!$E:$G,MATCH($V63,'Freeview-Gen Ent'!$G:$G,0),1))</f>
        <v>56</v>
      </c>
      <c r="Y63">
        <f>IF($V63="","",INDEX('Freeview-Gen Ent'!$E:$G,MATCH($V63,'Freeview-Gen Ent'!$G:$G,0),2))</f>
        <v>55</v>
      </c>
      <c r="AC63">
        <f>IF($V63="","",INDEX('Freeview-Gen Ent'!$U:$W,MATCH($V63,'Freeview-Gen Ent'!$W:$W,0),1))</f>
        <v>57</v>
      </c>
      <c r="AD63">
        <f>IF($V63="","",INDEX('Freeview-Gen Ent'!$U:$W,MATCH($V63,'Freeview-Gen Ent'!$W:$W,0),2))</f>
        <v>55</v>
      </c>
      <c r="AE63">
        <f t="shared" si="6"/>
        <v>0</v>
      </c>
      <c r="AF63">
        <f t="shared" si="7"/>
        <v>1</v>
      </c>
      <c r="AJ63">
        <f>IF($V63="","",INDEX('Freeview-Gen Ent-more than min'!$U:$W,MATCH($V63,'Freeview-Gen Ent-more than min'!$W:$W,0),1))</f>
        <v>57</v>
      </c>
      <c r="AK63">
        <f>IF($V63="","",INDEX('Freeview-Gen Ent-more than min'!$U:$W,MATCH($V63,'Freeview-Gen Ent-more than min'!$W:$W,0),2))</f>
        <v>55</v>
      </c>
      <c r="AL63">
        <f t="shared" si="8"/>
        <v>0</v>
      </c>
      <c r="AM63">
        <f t="shared" si="9"/>
        <v>1</v>
      </c>
      <c r="AQ63" t="str">
        <f>IF('Freeview-Gen Ent'!O65&lt;&gt;0,'Freeview-Gen Ent'!O65,"")</f>
        <v>5Star +1</v>
      </c>
      <c r="AR63">
        <f t="shared" si="10"/>
        <v>1</v>
      </c>
      <c r="AS63">
        <f>IF($AQ63="","",INDEX('Freeview-Gen Ent'!$M:$O,MATCH($AQ63,'Freeview-Gen Ent'!$O:$O,0),1))</f>
        <v>56</v>
      </c>
      <c r="AT63">
        <f>IF($AQ63="","",INDEX('Freeview-Gen Ent'!$M:$O,MATCH($AQ63,'Freeview-Gen Ent'!$O:$O,0),2))</f>
        <v>53</v>
      </c>
      <c r="AX63">
        <f>IF($AQ63="","",INDEX('Freeview-Gen Ent'!$AC:$AE,MATCH($AQ63,'Freeview-Gen Ent'!$AE:$AE,0),1))</f>
        <v>57</v>
      </c>
      <c r="AY63">
        <f>IF($AQ63="","",INDEX('Freeview-Gen Ent'!$AC:$AE,MATCH($AQ63,'Freeview-Gen Ent'!$AE:$AE,0),2))</f>
        <v>53</v>
      </c>
      <c r="AZ63">
        <f t="shared" si="11"/>
        <v>0</v>
      </c>
      <c r="BA63">
        <f t="shared" si="12"/>
        <v>1</v>
      </c>
      <c r="BE63">
        <f>IF($AQ63="","",INDEX('Freeview-Gen Ent-more than min'!$AC:$AE,MATCH($AQ63,'Freeview-Gen Ent-more than min'!$AE:$AE,0),1))</f>
        <v>57</v>
      </c>
      <c r="BF63">
        <f>IF($AQ63="","",INDEX('Freeview-Gen Ent-more than min'!$AC:$AE,MATCH($AQ63,'Freeview-Gen Ent-more than min'!$AE:$AE,0),2))</f>
        <v>53</v>
      </c>
      <c r="BG63">
        <f t="shared" si="13"/>
        <v>0</v>
      </c>
      <c r="BH63">
        <f t="shared" si="14"/>
        <v>1</v>
      </c>
    </row>
    <row r="64" spans="1:60" x14ac:dyDescent="0.45">
      <c r="A64" t="str">
        <f>IF('Freeview-Gen Ent'!C66&lt;&gt;0,'Freeview-Gen Ent'!C66,"")</f>
        <v>5USA +1</v>
      </c>
      <c r="B64">
        <f t="shared" si="0"/>
        <v>1</v>
      </c>
      <c r="C64">
        <f>IF($A64="","",INDEX('Freeview-Gen Ent'!$A:$C,MATCH($A64,'Freeview-Gen Ent'!$C:$C,0),1))</f>
        <v>57</v>
      </c>
      <c r="D64">
        <f>IF($A64="","",INDEX('Freeview-Gen Ent'!$A:$C,MATCH($A64,'Freeview-Gen Ent'!$C:$C,0),2))</f>
        <v>53</v>
      </c>
      <c r="H64">
        <f>IF($A64="","",INDEX('Freeview-Gen Ent'!$Q:$S,MATCH($A64,'Freeview-Gen Ent'!$S:$S,0),1))</f>
        <v>58</v>
      </c>
      <c r="I64">
        <f>IF($A64="","",INDEX('Freeview-Gen Ent'!$Q:$S,MATCH($A64,'Freeview-Gen Ent'!$S:$S,0),2))</f>
        <v>53</v>
      </c>
      <c r="J64">
        <f t="shared" si="1"/>
        <v>0</v>
      </c>
      <c r="K64">
        <f t="shared" si="2"/>
        <v>1</v>
      </c>
      <c r="O64">
        <f>IF($A64="","",INDEX('Freeview-Gen Ent-more than min'!$Q:$S,MATCH($A64,'Freeview-Gen Ent-more than min'!$S:$S,0),1))</f>
        <v>58</v>
      </c>
      <c r="P64">
        <f>IF($A64="","",INDEX('Freeview-Gen Ent-more than min'!$Q:$S,MATCH($A64,'Freeview-Gen Ent-more than min'!$S:$S,0),2))</f>
        <v>53</v>
      </c>
      <c r="Q64">
        <f t="shared" si="3"/>
        <v>0</v>
      </c>
      <c r="R64">
        <f t="shared" si="4"/>
        <v>1</v>
      </c>
      <c r="V64" t="str">
        <f>IF('Freeview-Gen Ent'!G66&lt;&gt;0,'Freeview-Gen Ent'!G66,"")</f>
        <v>5USA +1</v>
      </c>
      <c r="W64">
        <f t="shared" si="5"/>
        <v>1</v>
      </c>
      <c r="X64">
        <f>IF($V64="","",INDEX('Freeview-Gen Ent'!$E:$G,MATCH($V64,'Freeview-Gen Ent'!$G:$G,0),1))</f>
        <v>57</v>
      </c>
      <c r="Y64">
        <f>IF($V64="","",INDEX('Freeview-Gen Ent'!$E:$G,MATCH($V64,'Freeview-Gen Ent'!$G:$G,0),2))</f>
        <v>56</v>
      </c>
      <c r="AC64">
        <f>IF($V64="","",INDEX('Freeview-Gen Ent'!$U:$W,MATCH($V64,'Freeview-Gen Ent'!$W:$W,0),1))</f>
        <v>58</v>
      </c>
      <c r="AD64">
        <f>IF($V64="","",INDEX('Freeview-Gen Ent'!$U:$W,MATCH($V64,'Freeview-Gen Ent'!$W:$W,0),2))</f>
        <v>56</v>
      </c>
      <c r="AE64">
        <f t="shared" si="6"/>
        <v>0</v>
      </c>
      <c r="AF64">
        <f t="shared" si="7"/>
        <v>1</v>
      </c>
      <c r="AJ64">
        <f>IF($V64="","",INDEX('Freeview-Gen Ent-more than min'!$U:$W,MATCH($V64,'Freeview-Gen Ent-more than min'!$W:$W,0),1))</f>
        <v>58</v>
      </c>
      <c r="AK64">
        <f>IF($V64="","",INDEX('Freeview-Gen Ent-more than min'!$U:$W,MATCH($V64,'Freeview-Gen Ent-more than min'!$W:$W,0),2))</f>
        <v>56</v>
      </c>
      <c r="AL64">
        <f t="shared" si="8"/>
        <v>0</v>
      </c>
      <c r="AM64">
        <f t="shared" si="9"/>
        <v>1</v>
      </c>
      <c r="AQ64" t="str">
        <f>IF('Freeview-Gen Ent'!O66&lt;&gt;0,'Freeview-Gen Ent'!O66,"")</f>
        <v>5USA +1</v>
      </c>
      <c r="AR64">
        <f t="shared" si="10"/>
        <v>1</v>
      </c>
      <c r="AS64">
        <f>IF($AQ64="","",INDEX('Freeview-Gen Ent'!$M:$O,MATCH($AQ64,'Freeview-Gen Ent'!$O:$O,0),1))</f>
        <v>57</v>
      </c>
      <c r="AT64">
        <f>IF($AQ64="","",INDEX('Freeview-Gen Ent'!$M:$O,MATCH($AQ64,'Freeview-Gen Ent'!$O:$O,0),2))</f>
        <v>54</v>
      </c>
      <c r="AX64">
        <f>IF($AQ64="","",INDEX('Freeview-Gen Ent'!$AC:$AE,MATCH($AQ64,'Freeview-Gen Ent'!$AE:$AE,0),1))</f>
        <v>58</v>
      </c>
      <c r="AY64">
        <f>IF($AQ64="","",INDEX('Freeview-Gen Ent'!$AC:$AE,MATCH($AQ64,'Freeview-Gen Ent'!$AE:$AE,0),2))</f>
        <v>54</v>
      </c>
      <c r="AZ64">
        <f t="shared" si="11"/>
        <v>0</v>
      </c>
      <c r="BA64">
        <f t="shared" si="12"/>
        <v>1</v>
      </c>
      <c r="BE64">
        <f>IF($AQ64="","",INDEX('Freeview-Gen Ent-more than min'!$AC:$AE,MATCH($AQ64,'Freeview-Gen Ent-more than min'!$AE:$AE,0),1))</f>
        <v>58</v>
      </c>
      <c r="BF64">
        <f>IF($AQ64="","",INDEX('Freeview-Gen Ent-more than min'!$AC:$AE,MATCH($AQ64,'Freeview-Gen Ent-more than min'!$AE:$AE,0),2))</f>
        <v>54</v>
      </c>
      <c r="BG64">
        <f t="shared" si="13"/>
        <v>0</v>
      </c>
      <c r="BH64">
        <f t="shared" si="14"/>
        <v>1</v>
      </c>
    </row>
    <row r="65" spans="1:60" x14ac:dyDescent="0.45">
      <c r="A65" t="str">
        <f>IF('Freeview-Gen Ent'!C67&lt;&gt;0,'Freeview-Gen Ent'!C67,"")</f>
        <v>ITVBe +1</v>
      </c>
      <c r="B65">
        <f t="shared" si="0"/>
        <v>1</v>
      </c>
      <c r="C65">
        <f>IF($A65="","",INDEX('Freeview-Gen Ent'!$A:$C,MATCH($A65,'Freeview-Gen Ent'!$C:$C,0),1))</f>
        <v>58</v>
      </c>
      <c r="D65">
        <f>IF($A65="","",INDEX('Freeview-Gen Ent'!$A:$C,MATCH($A65,'Freeview-Gen Ent'!$C:$C,0),2))</f>
        <v>54</v>
      </c>
      <c r="H65">
        <f>IF($A65="","",INDEX('Freeview-Gen Ent'!$Q:$S,MATCH($A65,'Freeview-Gen Ent'!$S:$S,0),1))</f>
        <v>59</v>
      </c>
      <c r="I65">
        <f>IF($A65="","",INDEX('Freeview-Gen Ent'!$Q:$S,MATCH($A65,'Freeview-Gen Ent'!$S:$S,0),2))</f>
        <v>54</v>
      </c>
      <c r="J65">
        <f t="shared" si="1"/>
        <v>0</v>
      </c>
      <c r="K65">
        <f t="shared" si="2"/>
        <v>1</v>
      </c>
      <c r="O65">
        <f>IF($A65="","",INDEX('Freeview-Gen Ent-more than min'!$Q:$S,MATCH($A65,'Freeview-Gen Ent-more than min'!$S:$S,0),1))</f>
        <v>59</v>
      </c>
      <c r="P65">
        <f>IF($A65="","",INDEX('Freeview-Gen Ent-more than min'!$Q:$S,MATCH($A65,'Freeview-Gen Ent-more than min'!$S:$S,0),2))</f>
        <v>54</v>
      </c>
      <c r="Q65">
        <f t="shared" si="3"/>
        <v>0</v>
      </c>
      <c r="R65">
        <f t="shared" si="4"/>
        <v>1</v>
      </c>
      <c r="V65" t="str">
        <f>IF('Freeview-Gen Ent'!G67&lt;&gt;0,'Freeview-Gen Ent'!G67,"")</f>
        <v>ITVBe +1</v>
      </c>
      <c r="W65">
        <f t="shared" si="5"/>
        <v>1</v>
      </c>
      <c r="X65">
        <f>IF($V65="","",INDEX('Freeview-Gen Ent'!$E:$G,MATCH($V65,'Freeview-Gen Ent'!$G:$G,0),1))</f>
        <v>58</v>
      </c>
      <c r="Y65">
        <f>IF($V65="","",INDEX('Freeview-Gen Ent'!$E:$G,MATCH($V65,'Freeview-Gen Ent'!$G:$G,0),2))</f>
        <v>57</v>
      </c>
      <c r="AC65">
        <f>IF($V65="","",INDEX('Freeview-Gen Ent'!$U:$W,MATCH($V65,'Freeview-Gen Ent'!$W:$W,0),1))</f>
        <v>59</v>
      </c>
      <c r="AD65">
        <f>IF($V65="","",INDEX('Freeview-Gen Ent'!$U:$W,MATCH($V65,'Freeview-Gen Ent'!$W:$W,0),2))</f>
        <v>57</v>
      </c>
      <c r="AE65">
        <f t="shared" si="6"/>
        <v>0</v>
      </c>
      <c r="AF65">
        <f t="shared" si="7"/>
        <v>1</v>
      </c>
      <c r="AJ65">
        <f>IF($V65="","",INDEX('Freeview-Gen Ent-more than min'!$U:$W,MATCH($V65,'Freeview-Gen Ent-more than min'!$W:$W,0),1))</f>
        <v>59</v>
      </c>
      <c r="AK65">
        <f>IF($V65="","",INDEX('Freeview-Gen Ent-more than min'!$U:$W,MATCH($V65,'Freeview-Gen Ent-more than min'!$W:$W,0),2))</f>
        <v>57</v>
      </c>
      <c r="AL65">
        <f t="shared" si="8"/>
        <v>0</v>
      </c>
      <c r="AM65">
        <f t="shared" si="9"/>
        <v>1</v>
      </c>
      <c r="AQ65" t="str">
        <f>IF('Freeview-Gen Ent'!O67&lt;&gt;0,'Freeview-Gen Ent'!O67,"")</f>
        <v>ITVBe +1</v>
      </c>
      <c r="AR65">
        <f t="shared" si="10"/>
        <v>1</v>
      </c>
      <c r="AS65">
        <f>IF($AQ65="","",INDEX('Freeview-Gen Ent'!$M:$O,MATCH($AQ65,'Freeview-Gen Ent'!$O:$O,0),1))</f>
        <v>58</v>
      </c>
      <c r="AT65">
        <f>IF($AQ65="","",INDEX('Freeview-Gen Ent'!$M:$O,MATCH($AQ65,'Freeview-Gen Ent'!$O:$O,0),2))</f>
        <v>55</v>
      </c>
      <c r="AX65">
        <f>IF($AQ65="","",INDEX('Freeview-Gen Ent'!$AC:$AE,MATCH($AQ65,'Freeview-Gen Ent'!$AE:$AE,0),1))</f>
        <v>59</v>
      </c>
      <c r="AY65">
        <f>IF($AQ65="","",INDEX('Freeview-Gen Ent'!$AC:$AE,MATCH($AQ65,'Freeview-Gen Ent'!$AE:$AE,0),2))</f>
        <v>55</v>
      </c>
      <c r="AZ65">
        <f t="shared" si="11"/>
        <v>0</v>
      </c>
      <c r="BA65">
        <f t="shared" si="12"/>
        <v>1</v>
      </c>
      <c r="BE65">
        <f>IF($AQ65="","",INDEX('Freeview-Gen Ent-more than min'!$AC:$AE,MATCH($AQ65,'Freeview-Gen Ent-more than min'!$AE:$AE,0),1))</f>
        <v>59</v>
      </c>
      <c r="BF65">
        <f>IF($AQ65="","",INDEX('Freeview-Gen Ent-more than min'!$AC:$AE,MATCH($AQ65,'Freeview-Gen Ent-more than min'!$AE:$AE,0),2))</f>
        <v>55</v>
      </c>
      <c r="BG65">
        <f t="shared" si="13"/>
        <v>0</v>
      </c>
      <c r="BH65">
        <f t="shared" si="14"/>
        <v>1</v>
      </c>
    </row>
    <row r="66" spans="1:60" x14ac:dyDescent="0.45">
      <c r="A66" t="str">
        <f>IF('Freeview-Gen Ent'!C68&lt;&gt;0,'Freeview-Gen Ent'!C68,"")</f>
        <v>ITV4 +1</v>
      </c>
      <c r="B66">
        <f t="shared" si="0"/>
        <v>1</v>
      </c>
      <c r="C66">
        <f>IF($A66="","",INDEX('Freeview-Gen Ent'!$A:$C,MATCH($A66,'Freeview-Gen Ent'!$C:$C,0),1))</f>
        <v>59</v>
      </c>
      <c r="D66">
        <f>IF($A66="","",INDEX('Freeview-Gen Ent'!$A:$C,MATCH($A66,'Freeview-Gen Ent'!$C:$C,0),2))</f>
        <v>55</v>
      </c>
      <c r="H66">
        <f>IF($A66="","",INDEX('Freeview-Gen Ent'!$Q:$S,MATCH($A66,'Freeview-Gen Ent'!$S:$S,0),1))</f>
        <v>60</v>
      </c>
      <c r="I66">
        <f>IF($A66="","",INDEX('Freeview-Gen Ent'!$Q:$S,MATCH($A66,'Freeview-Gen Ent'!$S:$S,0),2))</f>
        <v>55</v>
      </c>
      <c r="J66">
        <f t="shared" si="1"/>
        <v>0</v>
      </c>
      <c r="K66">
        <f t="shared" si="2"/>
        <v>1</v>
      </c>
      <c r="O66">
        <f>IF($A66="","",INDEX('Freeview-Gen Ent-more than min'!$Q:$S,MATCH($A66,'Freeview-Gen Ent-more than min'!$S:$S,0),1))</f>
        <v>60</v>
      </c>
      <c r="P66">
        <f>IF($A66="","",INDEX('Freeview-Gen Ent-more than min'!$Q:$S,MATCH($A66,'Freeview-Gen Ent-more than min'!$S:$S,0),2))</f>
        <v>55</v>
      </c>
      <c r="Q66">
        <f t="shared" si="3"/>
        <v>0</v>
      </c>
      <c r="R66">
        <f t="shared" si="4"/>
        <v>1</v>
      </c>
      <c r="V66" t="str">
        <f>IF('Freeview-Gen Ent'!G68&lt;&gt;0,'Freeview-Gen Ent'!G68,"")</f>
        <v>ITV4 +1</v>
      </c>
      <c r="W66">
        <f t="shared" si="5"/>
        <v>1</v>
      </c>
      <c r="X66">
        <f>IF($V66="","",INDEX('Freeview-Gen Ent'!$E:$G,MATCH($V66,'Freeview-Gen Ent'!$G:$G,0),1))</f>
        <v>59</v>
      </c>
      <c r="Y66">
        <f>IF($V66="","",INDEX('Freeview-Gen Ent'!$E:$G,MATCH($V66,'Freeview-Gen Ent'!$G:$G,0),2))</f>
        <v>58</v>
      </c>
      <c r="AC66">
        <f>IF($V66="","",INDEX('Freeview-Gen Ent'!$U:$W,MATCH($V66,'Freeview-Gen Ent'!$W:$W,0),1))</f>
        <v>60</v>
      </c>
      <c r="AD66">
        <f>IF($V66="","",INDEX('Freeview-Gen Ent'!$U:$W,MATCH($V66,'Freeview-Gen Ent'!$W:$W,0),2))</f>
        <v>58</v>
      </c>
      <c r="AE66">
        <f t="shared" si="6"/>
        <v>0</v>
      </c>
      <c r="AF66">
        <f t="shared" si="7"/>
        <v>1</v>
      </c>
      <c r="AJ66">
        <f>IF($V66="","",INDEX('Freeview-Gen Ent-more than min'!$U:$W,MATCH($V66,'Freeview-Gen Ent-more than min'!$W:$W,0),1))</f>
        <v>60</v>
      </c>
      <c r="AK66">
        <f>IF($V66="","",INDEX('Freeview-Gen Ent-more than min'!$U:$W,MATCH($V66,'Freeview-Gen Ent-more than min'!$W:$W,0),2))</f>
        <v>58</v>
      </c>
      <c r="AL66">
        <f t="shared" si="8"/>
        <v>0</v>
      </c>
      <c r="AM66">
        <f t="shared" si="9"/>
        <v>1</v>
      </c>
      <c r="AQ66" t="str">
        <f>IF('Freeview-Gen Ent'!O68&lt;&gt;0,'Freeview-Gen Ent'!O68,"")</f>
        <v>ITV4 +1</v>
      </c>
      <c r="AR66">
        <f t="shared" si="10"/>
        <v>1</v>
      </c>
      <c r="AS66">
        <f>IF($AQ66="","",INDEX('Freeview-Gen Ent'!$M:$O,MATCH($AQ66,'Freeview-Gen Ent'!$O:$O,0),1))</f>
        <v>59</v>
      </c>
      <c r="AT66">
        <f>IF($AQ66="","",INDEX('Freeview-Gen Ent'!$M:$O,MATCH($AQ66,'Freeview-Gen Ent'!$O:$O,0),2))</f>
        <v>56</v>
      </c>
      <c r="AX66">
        <f>IF($AQ66="","",INDEX('Freeview-Gen Ent'!$AC:$AE,MATCH($AQ66,'Freeview-Gen Ent'!$AE:$AE,0),1))</f>
        <v>60</v>
      </c>
      <c r="AY66">
        <f>IF($AQ66="","",INDEX('Freeview-Gen Ent'!$AC:$AE,MATCH($AQ66,'Freeview-Gen Ent'!$AE:$AE,0),2))</f>
        <v>56</v>
      </c>
      <c r="AZ66">
        <f t="shared" si="11"/>
        <v>0</v>
      </c>
      <c r="BA66">
        <f t="shared" si="12"/>
        <v>1</v>
      </c>
      <c r="BE66">
        <f>IF($AQ66="","",INDEX('Freeview-Gen Ent-more than min'!$AC:$AE,MATCH($AQ66,'Freeview-Gen Ent-more than min'!$AE:$AE,0),1))</f>
        <v>60</v>
      </c>
      <c r="BF66">
        <f>IF($AQ66="","",INDEX('Freeview-Gen Ent-more than min'!$AC:$AE,MATCH($AQ66,'Freeview-Gen Ent-more than min'!$AE:$AE,0),2))</f>
        <v>56</v>
      </c>
      <c r="BG66">
        <f t="shared" si="13"/>
        <v>0</v>
      </c>
      <c r="BH66">
        <f t="shared" si="14"/>
        <v>1</v>
      </c>
    </row>
    <row r="67" spans="1:60" x14ac:dyDescent="0.45">
      <c r="A67" t="str">
        <f>IF('Freeview-Gen Ent'!C69&lt;&gt;0,'Freeview-Gen Ent'!C69,"")</f>
        <v>Sony Crime Channel +1</v>
      </c>
      <c r="B67">
        <f t="shared" si="0"/>
        <v>1</v>
      </c>
      <c r="C67">
        <f>IF($A67="","",INDEX('Freeview-Gen Ent'!$A:$C,MATCH($A67,'Freeview-Gen Ent'!$C:$C,0),1))</f>
        <v>60</v>
      </c>
      <c r="D67">
        <f>IF($A67="","",INDEX('Freeview-Gen Ent'!$A:$C,MATCH($A67,'Freeview-Gen Ent'!$C:$C,0),2))</f>
        <v>56</v>
      </c>
      <c r="H67">
        <f>IF($A67="","",INDEX('Freeview-Gen Ent'!$Q:$S,MATCH($A67,'Freeview-Gen Ent'!$S:$S,0),1))</f>
        <v>61</v>
      </c>
      <c r="I67">
        <f>IF($A67="","",INDEX('Freeview-Gen Ent'!$Q:$S,MATCH($A67,'Freeview-Gen Ent'!$S:$S,0),2))</f>
        <v>56</v>
      </c>
      <c r="J67">
        <f t="shared" si="1"/>
        <v>0</v>
      </c>
      <c r="K67">
        <f t="shared" si="2"/>
        <v>1</v>
      </c>
      <c r="O67">
        <f>IF($A67="","",INDEX('Freeview-Gen Ent-more than min'!$Q:$S,MATCH($A67,'Freeview-Gen Ent-more than min'!$S:$S,0),1))</f>
        <v>61</v>
      </c>
      <c r="P67">
        <f>IF($A67="","",INDEX('Freeview-Gen Ent-more than min'!$Q:$S,MATCH($A67,'Freeview-Gen Ent-more than min'!$S:$S,0),2))</f>
        <v>56</v>
      </c>
      <c r="Q67">
        <f t="shared" si="3"/>
        <v>0</v>
      </c>
      <c r="R67">
        <f t="shared" si="4"/>
        <v>1</v>
      </c>
      <c r="V67" t="str">
        <f>IF('Freeview-Gen Ent'!G69&lt;&gt;0,'Freeview-Gen Ent'!G69,"")</f>
        <v>Sony Crime Channel +1</v>
      </c>
      <c r="W67">
        <f t="shared" si="5"/>
        <v>1</v>
      </c>
      <c r="X67">
        <f>IF($V67="","",INDEX('Freeview-Gen Ent'!$E:$G,MATCH($V67,'Freeview-Gen Ent'!$G:$G,0),1))</f>
        <v>60</v>
      </c>
      <c r="Y67">
        <f>IF($V67="","",INDEX('Freeview-Gen Ent'!$E:$G,MATCH($V67,'Freeview-Gen Ent'!$G:$G,0),2))</f>
        <v>59</v>
      </c>
      <c r="AC67">
        <f>IF($V67="","",INDEX('Freeview-Gen Ent'!$U:$W,MATCH($V67,'Freeview-Gen Ent'!$W:$W,0),1))</f>
        <v>61</v>
      </c>
      <c r="AD67">
        <f>IF($V67="","",INDEX('Freeview-Gen Ent'!$U:$W,MATCH($V67,'Freeview-Gen Ent'!$W:$W,0),2))</f>
        <v>59</v>
      </c>
      <c r="AE67">
        <f t="shared" si="6"/>
        <v>0</v>
      </c>
      <c r="AF67">
        <f t="shared" si="7"/>
        <v>1</v>
      </c>
      <c r="AJ67">
        <f>IF($V67="","",INDEX('Freeview-Gen Ent-more than min'!$U:$W,MATCH($V67,'Freeview-Gen Ent-more than min'!$W:$W,0),1))</f>
        <v>61</v>
      </c>
      <c r="AK67">
        <f>IF($V67="","",INDEX('Freeview-Gen Ent-more than min'!$U:$W,MATCH($V67,'Freeview-Gen Ent-more than min'!$W:$W,0),2))</f>
        <v>59</v>
      </c>
      <c r="AL67">
        <f t="shared" si="8"/>
        <v>0</v>
      </c>
      <c r="AM67">
        <f t="shared" si="9"/>
        <v>1</v>
      </c>
      <c r="AQ67" t="str">
        <f>IF('Freeview-Gen Ent'!O69&lt;&gt;0,'Freeview-Gen Ent'!O69,"")</f>
        <v>Sony Crime Channel +1</v>
      </c>
      <c r="AR67">
        <f t="shared" si="10"/>
        <v>1</v>
      </c>
      <c r="AS67">
        <f>IF($AQ67="","",INDEX('Freeview-Gen Ent'!$M:$O,MATCH($AQ67,'Freeview-Gen Ent'!$O:$O,0),1))</f>
        <v>60</v>
      </c>
      <c r="AT67">
        <f>IF($AQ67="","",INDEX('Freeview-Gen Ent'!$M:$O,MATCH($AQ67,'Freeview-Gen Ent'!$O:$O,0),2))</f>
        <v>57</v>
      </c>
      <c r="AX67">
        <f>IF($AQ67="","",INDEX('Freeview-Gen Ent'!$AC:$AE,MATCH($AQ67,'Freeview-Gen Ent'!$AE:$AE,0),1))</f>
        <v>61</v>
      </c>
      <c r="AY67">
        <f>IF($AQ67="","",INDEX('Freeview-Gen Ent'!$AC:$AE,MATCH($AQ67,'Freeview-Gen Ent'!$AE:$AE,0),2))</f>
        <v>57</v>
      </c>
      <c r="AZ67">
        <f t="shared" si="11"/>
        <v>0</v>
      </c>
      <c r="BA67">
        <f t="shared" si="12"/>
        <v>1</v>
      </c>
      <c r="BE67">
        <f>IF($AQ67="","",INDEX('Freeview-Gen Ent-more than min'!$AC:$AE,MATCH($AQ67,'Freeview-Gen Ent-more than min'!$AE:$AE,0),1))</f>
        <v>61</v>
      </c>
      <c r="BF67">
        <f>IF($AQ67="","",INDEX('Freeview-Gen Ent-more than min'!$AC:$AE,MATCH($AQ67,'Freeview-Gen Ent-more than min'!$AE:$AE,0),2))</f>
        <v>57</v>
      </c>
      <c r="BG67">
        <f t="shared" si="13"/>
        <v>0</v>
      </c>
      <c r="BH67">
        <f t="shared" si="14"/>
        <v>1</v>
      </c>
    </row>
    <row r="68" spans="1:60" x14ac:dyDescent="0.45">
      <c r="A68" t="str">
        <f>IF('Freeview-Gen Ent'!C70&lt;&gt;0,'Freeview-Gen Ent'!C70,"")</f>
        <v>True Entertainment</v>
      </c>
      <c r="B68">
        <f t="shared" si="0"/>
        <v>1</v>
      </c>
      <c r="C68">
        <f>IF($A68="","",INDEX('Freeview-Gen Ent'!$A:$C,MATCH($A68,'Freeview-Gen Ent'!$C:$C,0),1))</f>
        <v>61</v>
      </c>
      <c r="D68">
        <f>IF($A68="","",INDEX('Freeview-Gen Ent'!$A:$C,MATCH($A68,'Freeview-Gen Ent'!$C:$C,0),2))</f>
        <v>57</v>
      </c>
      <c r="H68">
        <f>IF($A68="","",INDEX('Freeview-Gen Ent'!$Q:$S,MATCH($A68,'Freeview-Gen Ent'!$S:$S,0),1))</f>
        <v>62</v>
      </c>
      <c r="I68">
        <f>IF($A68="","",INDEX('Freeview-Gen Ent'!$Q:$S,MATCH($A68,'Freeview-Gen Ent'!$S:$S,0),2))</f>
        <v>57</v>
      </c>
      <c r="J68">
        <f t="shared" si="1"/>
        <v>0</v>
      </c>
      <c r="K68">
        <f t="shared" si="2"/>
        <v>1</v>
      </c>
      <c r="O68">
        <f>IF($A68="","",INDEX('Freeview-Gen Ent-more than min'!$Q:$S,MATCH($A68,'Freeview-Gen Ent-more than min'!$S:$S,0),1))</f>
        <v>62</v>
      </c>
      <c r="P68">
        <f>IF($A68="","",INDEX('Freeview-Gen Ent-more than min'!$Q:$S,MATCH($A68,'Freeview-Gen Ent-more than min'!$S:$S,0),2))</f>
        <v>57</v>
      </c>
      <c r="Q68">
        <f t="shared" si="3"/>
        <v>0</v>
      </c>
      <c r="R68">
        <f t="shared" si="4"/>
        <v>1</v>
      </c>
      <c r="V68" t="str">
        <f>IF('Freeview-Gen Ent'!G70&lt;&gt;0,'Freeview-Gen Ent'!G70,"")</f>
        <v>True Entertainment</v>
      </c>
      <c r="W68">
        <f t="shared" si="5"/>
        <v>1</v>
      </c>
      <c r="X68">
        <f>IF($V68="","",INDEX('Freeview-Gen Ent'!$E:$G,MATCH($V68,'Freeview-Gen Ent'!$G:$G,0),1))</f>
        <v>61</v>
      </c>
      <c r="Y68">
        <f>IF($V68="","",INDEX('Freeview-Gen Ent'!$E:$G,MATCH($V68,'Freeview-Gen Ent'!$G:$G,0),2))</f>
        <v>60</v>
      </c>
      <c r="AC68">
        <f>IF($V68="","",INDEX('Freeview-Gen Ent'!$U:$W,MATCH($V68,'Freeview-Gen Ent'!$W:$W,0),1))</f>
        <v>62</v>
      </c>
      <c r="AD68">
        <f>IF($V68="","",INDEX('Freeview-Gen Ent'!$U:$W,MATCH($V68,'Freeview-Gen Ent'!$W:$W,0),2))</f>
        <v>60</v>
      </c>
      <c r="AE68">
        <f t="shared" si="6"/>
        <v>0</v>
      </c>
      <c r="AF68">
        <f t="shared" si="7"/>
        <v>1</v>
      </c>
      <c r="AJ68">
        <f>IF($V68="","",INDEX('Freeview-Gen Ent-more than min'!$U:$W,MATCH($V68,'Freeview-Gen Ent-more than min'!$W:$W,0),1))</f>
        <v>62</v>
      </c>
      <c r="AK68">
        <f>IF($V68="","",INDEX('Freeview-Gen Ent-more than min'!$U:$W,MATCH($V68,'Freeview-Gen Ent-more than min'!$W:$W,0),2))</f>
        <v>60</v>
      </c>
      <c r="AL68">
        <f t="shared" si="8"/>
        <v>0</v>
      </c>
      <c r="AM68">
        <f t="shared" si="9"/>
        <v>1</v>
      </c>
      <c r="AQ68" t="str">
        <f>IF('Freeview-Gen Ent'!O70&lt;&gt;0,'Freeview-Gen Ent'!O70,"")</f>
        <v>True Entertainment</v>
      </c>
      <c r="AR68">
        <f t="shared" si="10"/>
        <v>1</v>
      </c>
      <c r="AS68">
        <f>IF($AQ68="","",INDEX('Freeview-Gen Ent'!$M:$O,MATCH($AQ68,'Freeview-Gen Ent'!$O:$O,0),1))</f>
        <v>61</v>
      </c>
      <c r="AT68">
        <f>IF($AQ68="","",INDEX('Freeview-Gen Ent'!$M:$O,MATCH($AQ68,'Freeview-Gen Ent'!$O:$O,0),2))</f>
        <v>58</v>
      </c>
      <c r="AX68">
        <f>IF($AQ68="","",INDEX('Freeview-Gen Ent'!$AC:$AE,MATCH($AQ68,'Freeview-Gen Ent'!$AE:$AE,0),1))</f>
        <v>62</v>
      </c>
      <c r="AY68">
        <f>IF($AQ68="","",INDEX('Freeview-Gen Ent'!$AC:$AE,MATCH($AQ68,'Freeview-Gen Ent'!$AE:$AE,0),2))</f>
        <v>58</v>
      </c>
      <c r="AZ68">
        <f t="shared" si="11"/>
        <v>0</v>
      </c>
      <c r="BA68">
        <f t="shared" si="12"/>
        <v>1</v>
      </c>
      <c r="BE68">
        <f>IF($AQ68="","",INDEX('Freeview-Gen Ent-more than min'!$AC:$AE,MATCH($AQ68,'Freeview-Gen Ent-more than min'!$AE:$AE,0),1))</f>
        <v>62</v>
      </c>
      <c r="BF68">
        <f>IF($AQ68="","",INDEX('Freeview-Gen Ent-more than min'!$AC:$AE,MATCH($AQ68,'Freeview-Gen Ent-more than min'!$AE:$AE,0),2))</f>
        <v>58</v>
      </c>
      <c r="BG68">
        <f t="shared" si="13"/>
        <v>0</v>
      </c>
      <c r="BH68">
        <f t="shared" si="14"/>
        <v>1</v>
      </c>
    </row>
    <row r="69" spans="1:60" x14ac:dyDescent="0.45">
      <c r="A69" t="str">
        <f>IF('Freeview-Gen Ent'!C71&lt;&gt;0,'Freeview-Gen Ent'!C71,"")</f>
        <v>True Movies</v>
      </c>
      <c r="B69">
        <f t="shared" si="0"/>
        <v>1</v>
      </c>
      <c r="C69">
        <f>IF($A69="","",INDEX('Freeview-Gen Ent'!$A:$C,MATCH($A69,'Freeview-Gen Ent'!$C:$C,0),1))</f>
        <v>62</v>
      </c>
      <c r="D69">
        <f>IF($A69="","",INDEX('Freeview-Gen Ent'!$A:$C,MATCH($A69,'Freeview-Gen Ent'!$C:$C,0),2))</f>
        <v>58</v>
      </c>
      <c r="H69">
        <f>IF($A69="","",INDEX('Freeview-Gen Ent'!$Q:$S,MATCH($A69,'Freeview-Gen Ent'!$S:$S,0),1))</f>
        <v>63</v>
      </c>
      <c r="I69">
        <f>IF($A69="","",INDEX('Freeview-Gen Ent'!$Q:$S,MATCH($A69,'Freeview-Gen Ent'!$S:$S,0),2))</f>
        <v>58</v>
      </c>
      <c r="J69">
        <f t="shared" si="1"/>
        <v>0</v>
      </c>
      <c r="K69">
        <f t="shared" si="2"/>
        <v>1</v>
      </c>
      <c r="O69">
        <f>IF($A69="","",INDEX('Freeview-Gen Ent-more than min'!$Q:$S,MATCH($A69,'Freeview-Gen Ent-more than min'!$S:$S,0),1))</f>
        <v>63</v>
      </c>
      <c r="P69">
        <f>IF($A69="","",INDEX('Freeview-Gen Ent-more than min'!$Q:$S,MATCH($A69,'Freeview-Gen Ent-more than min'!$S:$S,0),2))</f>
        <v>58</v>
      </c>
      <c r="Q69">
        <f t="shared" si="3"/>
        <v>0</v>
      </c>
      <c r="R69">
        <f t="shared" si="4"/>
        <v>1</v>
      </c>
      <c r="V69" t="str">
        <f>IF('Freeview-Gen Ent'!G71&lt;&gt;0,'Freeview-Gen Ent'!G71,"")</f>
        <v>True Movies</v>
      </c>
      <c r="W69">
        <f t="shared" si="5"/>
        <v>1</v>
      </c>
      <c r="X69">
        <f>IF($V69="","",INDEX('Freeview-Gen Ent'!$E:$G,MATCH($V69,'Freeview-Gen Ent'!$G:$G,0),1))</f>
        <v>62</v>
      </c>
      <c r="Y69">
        <f>IF($V69="","",INDEX('Freeview-Gen Ent'!$E:$G,MATCH($V69,'Freeview-Gen Ent'!$G:$G,0),2))</f>
        <v>61</v>
      </c>
      <c r="AC69">
        <f>IF($V69="","",INDEX('Freeview-Gen Ent'!$U:$W,MATCH($V69,'Freeview-Gen Ent'!$W:$W,0),1))</f>
        <v>63</v>
      </c>
      <c r="AD69">
        <f>IF($V69="","",INDEX('Freeview-Gen Ent'!$U:$W,MATCH($V69,'Freeview-Gen Ent'!$W:$W,0),2))</f>
        <v>61</v>
      </c>
      <c r="AE69">
        <f t="shared" si="6"/>
        <v>0</v>
      </c>
      <c r="AF69">
        <f t="shared" si="7"/>
        <v>1</v>
      </c>
      <c r="AJ69">
        <f>IF($V69="","",INDEX('Freeview-Gen Ent-more than min'!$U:$W,MATCH($V69,'Freeview-Gen Ent-more than min'!$W:$W,0),1))</f>
        <v>63</v>
      </c>
      <c r="AK69">
        <f>IF($V69="","",INDEX('Freeview-Gen Ent-more than min'!$U:$W,MATCH($V69,'Freeview-Gen Ent-more than min'!$W:$W,0),2))</f>
        <v>61</v>
      </c>
      <c r="AL69">
        <f t="shared" si="8"/>
        <v>0</v>
      </c>
      <c r="AM69">
        <f t="shared" si="9"/>
        <v>1</v>
      </c>
      <c r="AQ69" t="str">
        <f>IF('Freeview-Gen Ent'!O71&lt;&gt;0,'Freeview-Gen Ent'!O71,"")</f>
        <v>True Movies</v>
      </c>
      <c r="AR69">
        <f t="shared" si="10"/>
        <v>1</v>
      </c>
      <c r="AS69">
        <f>IF($AQ69="","",INDEX('Freeview-Gen Ent'!$M:$O,MATCH($AQ69,'Freeview-Gen Ent'!$O:$O,0),1))</f>
        <v>62</v>
      </c>
      <c r="AT69">
        <f>IF($AQ69="","",INDEX('Freeview-Gen Ent'!$M:$O,MATCH($AQ69,'Freeview-Gen Ent'!$O:$O,0),2))</f>
        <v>59</v>
      </c>
      <c r="AX69">
        <f>IF($AQ69="","",INDEX('Freeview-Gen Ent'!$AC:$AE,MATCH($AQ69,'Freeview-Gen Ent'!$AE:$AE,0),1))</f>
        <v>63</v>
      </c>
      <c r="AY69">
        <f>IF($AQ69="","",INDEX('Freeview-Gen Ent'!$AC:$AE,MATCH($AQ69,'Freeview-Gen Ent'!$AE:$AE,0),2))</f>
        <v>59</v>
      </c>
      <c r="AZ69">
        <f t="shared" si="11"/>
        <v>0</v>
      </c>
      <c r="BA69">
        <f t="shared" si="12"/>
        <v>1</v>
      </c>
      <c r="BE69">
        <f>IF($AQ69="","",INDEX('Freeview-Gen Ent-more than min'!$AC:$AE,MATCH($AQ69,'Freeview-Gen Ent-more than min'!$AE:$AE,0),1))</f>
        <v>63</v>
      </c>
      <c r="BF69">
        <f>IF($AQ69="","",INDEX('Freeview-Gen Ent-more than min'!$AC:$AE,MATCH($AQ69,'Freeview-Gen Ent-more than min'!$AE:$AE,0),2))</f>
        <v>59</v>
      </c>
      <c r="BG69">
        <f t="shared" si="13"/>
        <v>0</v>
      </c>
      <c r="BH69">
        <f t="shared" si="14"/>
        <v>1</v>
      </c>
    </row>
    <row r="70" spans="1:60" x14ac:dyDescent="0.45">
      <c r="A70" t="str">
        <f>IF('Freeview-Gen Ent'!C72&lt;&gt;0,'Freeview-Gen Ent'!C72,"")</f>
        <v>Blaze</v>
      </c>
      <c r="B70">
        <f t="shared" si="0"/>
        <v>1</v>
      </c>
      <c r="C70">
        <f>IF($A70="","",INDEX('Freeview-Gen Ent'!$A:$C,MATCH($A70,'Freeview-Gen Ent'!$C:$C,0),1))</f>
        <v>63</v>
      </c>
      <c r="D70">
        <f>IF($A70="","",INDEX('Freeview-Gen Ent'!$A:$C,MATCH($A70,'Freeview-Gen Ent'!$C:$C,0),2))</f>
        <v>59</v>
      </c>
      <c r="H70">
        <f>IF($A70="","",INDEX('Freeview-Gen Ent'!$Q:$S,MATCH($A70,'Freeview-Gen Ent'!$S:$S,0),1))</f>
        <v>64</v>
      </c>
      <c r="I70">
        <f>IF($A70="","",INDEX('Freeview-Gen Ent'!$Q:$S,MATCH($A70,'Freeview-Gen Ent'!$S:$S,0),2))</f>
        <v>59</v>
      </c>
      <c r="J70">
        <f t="shared" si="1"/>
        <v>0</v>
      </c>
      <c r="K70">
        <f t="shared" si="2"/>
        <v>1</v>
      </c>
      <c r="O70">
        <f>IF($A70="","",INDEX('Freeview-Gen Ent-more than min'!$Q:$S,MATCH($A70,'Freeview-Gen Ent-more than min'!$S:$S,0),1))</f>
        <v>64</v>
      </c>
      <c r="P70">
        <f>IF($A70="","",INDEX('Freeview-Gen Ent-more than min'!$Q:$S,MATCH($A70,'Freeview-Gen Ent-more than min'!$S:$S,0),2))</f>
        <v>59</v>
      </c>
      <c r="Q70">
        <f t="shared" si="3"/>
        <v>0</v>
      </c>
      <c r="R70">
        <f t="shared" si="4"/>
        <v>1</v>
      </c>
      <c r="V70" t="str">
        <f>IF('Freeview-Gen Ent'!G72&lt;&gt;0,'Freeview-Gen Ent'!G72,"")</f>
        <v>Blaze</v>
      </c>
      <c r="W70">
        <f t="shared" si="5"/>
        <v>1</v>
      </c>
      <c r="X70">
        <f>IF($V70="","",INDEX('Freeview-Gen Ent'!$E:$G,MATCH($V70,'Freeview-Gen Ent'!$G:$G,0),1))</f>
        <v>63</v>
      </c>
      <c r="Y70">
        <f>IF($V70="","",INDEX('Freeview-Gen Ent'!$E:$G,MATCH($V70,'Freeview-Gen Ent'!$G:$G,0),2))</f>
        <v>62</v>
      </c>
      <c r="AC70">
        <f>IF($V70="","",INDEX('Freeview-Gen Ent'!$U:$W,MATCH($V70,'Freeview-Gen Ent'!$W:$W,0),1))</f>
        <v>64</v>
      </c>
      <c r="AD70">
        <f>IF($V70="","",INDEX('Freeview-Gen Ent'!$U:$W,MATCH($V70,'Freeview-Gen Ent'!$W:$W,0),2))</f>
        <v>62</v>
      </c>
      <c r="AE70">
        <f t="shared" si="6"/>
        <v>0</v>
      </c>
      <c r="AF70">
        <f t="shared" si="7"/>
        <v>1</v>
      </c>
      <c r="AJ70">
        <f>IF($V70="","",INDEX('Freeview-Gen Ent-more than min'!$U:$W,MATCH($V70,'Freeview-Gen Ent-more than min'!$W:$W,0),1))</f>
        <v>64</v>
      </c>
      <c r="AK70">
        <f>IF($V70="","",INDEX('Freeview-Gen Ent-more than min'!$U:$W,MATCH($V70,'Freeview-Gen Ent-more than min'!$W:$W,0),2))</f>
        <v>62</v>
      </c>
      <c r="AL70">
        <f t="shared" si="8"/>
        <v>0</v>
      </c>
      <c r="AM70">
        <f t="shared" si="9"/>
        <v>1</v>
      </c>
      <c r="AQ70" t="str">
        <f>IF('Freeview-Gen Ent'!O72&lt;&gt;0,'Freeview-Gen Ent'!O72,"")</f>
        <v>Blaze</v>
      </c>
      <c r="AR70">
        <f t="shared" si="10"/>
        <v>1</v>
      </c>
      <c r="AS70">
        <f>IF($AQ70="","",INDEX('Freeview-Gen Ent'!$M:$O,MATCH($AQ70,'Freeview-Gen Ent'!$O:$O,0),1))</f>
        <v>63</v>
      </c>
      <c r="AT70">
        <f>IF($AQ70="","",INDEX('Freeview-Gen Ent'!$M:$O,MATCH($AQ70,'Freeview-Gen Ent'!$O:$O,0),2))</f>
        <v>60</v>
      </c>
      <c r="AX70">
        <f>IF($AQ70="","",INDEX('Freeview-Gen Ent'!$AC:$AE,MATCH($AQ70,'Freeview-Gen Ent'!$AE:$AE,0),1))</f>
        <v>64</v>
      </c>
      <c r="AY70">
        <f>IF($AQ70="","",INDEX('Freeview-Gen Ent'!$AC:$AE,MATCH($AQ70,'Freeview-Gen Ent'!$AE:$AE,0),2))</f>
        <v>60</v>
      </c>
      <c r="AZ70">
        <f t="shared" si="11"/>
        <v>0</v>
      </c>
      <c r="BA70">
        <f t="shared" si="12"/>
        <v>1</v>
      </c>
      <c r="BE70">
        <f>IF($AQ70="","",INDEX('Freeview-Gen Ent-more than min'!$AC:$AE,MATCH($AQ70,'Freeview-Gen Ent-more than min'!$AE:$AE,0),1))</f>
        <v>64</v>
      </c>
      <c r="BF70">
        <f>IF($AQ70="","",INDEX('Freeview-Gen Ent-more than min'!$AC:$AE,MATCH($AQ70,'Freeview-Gen Ent-more than min'!$AE:$AE,0),2))</f>
        <v>60</v>
      </c>
      <c r="BG70">
        <f t="shared" si="13"/>
        <v>0</v>
      </c>
      <c r="BH70">
        <f t="shared" si="14"/>
        <v>1</v>
      </c>
    </row>
    <row r="71" spans="1:60" x14ac:dyDescent="0.45">
      <c r="A71" t="str">
        <f>IF('Freeview-Gen Ent'!C73&lt;&gt;0,'Freeview-Gen Ent'!C73,"")</f>
        <v>The Store</v>
      </c>
      <c r="B71">
        <f t="shared" si="0"/>
        <v>1</v>
      </c>
      <c r="C71">
        <f>IF($A71="","",INDEX('Freeview-Gen Ent'!$A:$C,MATCH($A71,'Freeview-Gen Ent'!$C:$C,0),1))</f>
        <v>64</v>
      </c>
      <c r="D71">
        <f>IF($A71="","",INDEX('Freeview-Gen Ent'!$A:$C,MATCH($A71,'Freeview-Gen Ent'!$C:$C,0),2))</f>
        <v>60</v>
      </c>
      <c r="H71">
        <f>IF($A71="","",INDEX('Freeview-Gen Ent'!$Q:$S,MATCH($A71,'Freeview-Gen Ent'!$S:$S,0),1))</f>
        <v>65</v>
      </c>
      <c r="I71">
        <f>IF($A71="","",INDEX('Freeview-Gen Ent'!$Q:$S,MATCH($A71,'Freeview-Gen Ent'!$S:$S,0),2))</f>
        <v>60</v>
      </c>
      <c r="J71">
        <f t="shared" si="1"/>
        <v>0</v>
      </c>
      <c r="K71">
        <f t="shared" si="2"/>
        <v>1</v>
      </c>
      <c r="O71">
        <f>IF($A71="","",INDEX('Freeview-Gen Ent-more than min'!$Q:$S,MATCH($A71,'Freeview-Gen Ent-more than min'!$S:$S,0),1))</f>
        <v>65</v>
      </c>
      <c r="P71">
        <f>IF($A71="","",INDEX('Freeview-Gen Ent-more than min'!$Q:$S,MATCH($A71,'Freeview-Gen Ent-more than min'!$S:$S,0),2))</f>
        <v>60</v>
      </c>
      <c r="Q71">
        <f t="shared" si="3"/>
        <v>0</v>
      </c>
      <c r="R71">
        <f t="shared" si="4"/>
        <v>1</v>
      </c>
      <c r="V71" t="str">
        <f>IF('Freeview-Gen Ent'!G73&lt;&gt;0,'Freeview-Gen Ent'!G73,"")</f>
        <v>The Store</v>
      </c>
      <c r="W71">
        <f t="shared" si="5"/>
        <v>1</v>
      </c>
      <c r="X71">
        <f>IF($V71="","",INDEX('Freeview-Gen Ent'!$E:$G,MATCH($V71,'Freeview-Gen Ent'!$G:$G,0),1))</f>
        <v>64</v>
      </c>
      <c r="Y71">
        <f>IF($V71="","",INDEX('Freeview-Gen Ent'!$E:$G,MATCH($V71,'Freeview-Gen Ent'!$G:$G,0),2))</f>
        <v>63</v>
      </c>
      <c r="AC71">
        <f>IF($V71="","",INDEX('Freeview-Gen Ent'!$U:$W,MATCH($V71,'Freeview-Gen Ent'!$W:$W,0),1))</f>
        <v>65</v>
      </c>
      <c r="AD71">
        <f>IF($V71="","",INDEX('Freeview-Gen Ent'!$U:$W,MATCH($V71,'Freeview-Gen Ent'!$W:$W,0),2))</f>
        <v>63</v>
      </c>
      <c r="AE71">
        <f t="shared" si="6"/>
        <v>0</v>
      </c>
      <c r="AF71">
        <f t="shared" si="7"/>
        <v>1</v>
      </c>
      <c r="AJ71">
        <f>IF($V71="","",INDEX('Freeview-Gen Ent-more than min'!$U:$W,MATCH($V71,'Freeview-Gen Ent-more than min'!$W:$W,0),1))</f>
        <v>65</v>
      </c>
      <c r="AK71">
        <f>IF($V71="","",INDEX('Freeview-Gen Ent-more than min'!$U:$W,MATCH($V71,'Freeview-Gen Ent-more than min'!$W:$W,0),2))</f>
        <v>63</v>
      </c>
      <c r="AL71">
        <f t="shared" si="8"/>
        <v>0</v>
      </c>
      <c r="AM71">
        <f t="shared" si="9"/>
        <v>1</v>
      </c>
      <c r="AQ71" t="str">
        <f>IF('Freeview-Gen Ent'!O73&lt;&gt;0,'Freeview-Gen Ent'!O73,"")</f>
        <v>The Store</v>
      </c>
      <c r="AR71">
        <f t="shared" si="10"/>
        <v>1</v>
      </c>
      <c r="AS71">
        <f>IF($AQ71="","",INDEX('Freeview-Gen Ent'!$M:$O,MATCH($AQ71,'Freeview-Gen Ent'!$O:$O,0),1))</f>
        <v>64</v>
      </c>
      <c r="AT71">
        <f>IF($AQ71="","",INDEX('Freeview-Gen Ent'!$M:$O,MATCH($AQ71,'Freeview-Gen Ent'!$O:$O,0),2))</f>
        <v>61</v>
      </c>
      <c r="AX71">
        <f>IF($AQ71="","",INDEX('Freeview-Gen Ent'!$AC:$AE,MATCH($AQ71,'Freeview-Gen Ent'!$AE:$AE,0),1))</f>
        <v>65</v>
      </c>
      <c r="AY71">
        <f>IF($AQ71="","",INDEX('Freeview-Gen Ent'!$AC:$AE,MATCH($AQ71,'Freeview-Gen Ent'!$AE:$AE,0),2))</f>
        <v>61</v>
      </c>
      <c r="AZ71">
        <f t="shared" si="11"/>
        <v>0</v>
      </c>
      <c r="BA71">
        <f t="shared" si="12"/>
        <v>1</v>
      </c>
      <c r="BE71">
        <f>IF($AQ71="","",INDEX('Freeview-Gen Ent-more than min'!$AC:$AE,MATCH($AQ71,'Freeview-Gen Ent-more than min'!$AE:$AE,0),1))</f>
        <v>65</v>
      </c>
      <c r="BF71">
        <f>IF($AQ71="","",INDEX('Freeview-Gen Ent-more than min'!$AC:$AE,MATCH($AQ71,'Freeview-Gen Ent-more than min'!$AE:$AE,0),2))</f>
        <v>61</v>
      </c>
      <c r="BG71">
        <f t="shared" si="13"/>
        <v>0</v>
      </c>
      <c r="BH71">
        <f t="shared" si="14"/>
        <v>1</v>
      </c>
    </row>
    <row r="72" spans="1:60" x14ac:dyDescent="0.45">
      <c r="A72" t="str">
        <f>IF('Freeview-Gen Ent'!C74&lt;&gt;0,'Freeview-Gen Ent'!C74,"")</f>
        <v>TBN UK</v>
      </c>
      <c r="B72">
        <f t="shared" si="0"/>
        <v>1</v>
      </c>
      <c r="C72">
        <f>IF($A72="","",INDEX('Freeview-Gen Ent'!$A:$C,MATCH($A72,'Freeview-Gen Ent'!$C:$C,0),1))</f>
        <v>65</v>
      </c>
      <c r="D72">
        <f>IF($A72="","",INDEX('Freeview-Gen Ent'!$A:$C,MATCH($A72,'Freeview-Gen Ent'!$C:$C,0),2))</f>
        <v>61</v>
      </c>
      <c r="H72">
        <f>IF($A72="","",INDEX('Freeview-Gen Ent'!$Q:$S,MATCH($A72,'Freeview-Gen Ent'!$S:$S,0),1))</f>
        <v>66</v>
      </c>
      <c r="I72">
        <f>IF($A72="","",INDEX('Freeview-Gen Ent'!$Q:$S,MATCH($A72,'Freeview-Gen Ent'!$S:$S,0),2))</f>
        <v>61</v>
      </c>
      <c r="J72">
        <f t="shared" si="1"/>
        <v>0</v>
      </c>
      <c r="K72">
        <f t="shared" si="2"/>
        <v>1</v>
      </c>
      <c r="O72">
        <f>IF($A72="","",INDEX('Freeview-Gen Ent-more than min'!$Q:$S,MATCH($A72,'Freeview-Gen Ent-more than min'!$S:$S,0),1))</f>
        <v>66</v>
      </c>
      <c r="P72">
        <f>IF($A72="","",INDEX('Freeview-Gen Ent-more than min'!$Q:$S,MATCH($A72,'Freeview-Gen Ent-more than min'!$S:$S,0),2))</f>
        <v>61</v>
      </c>
      <c r="Q72">
        <f t="shared" si="3"/>
        <v>0</v>
      </c>
      <c r="R72">
        <f t="shared" si="4"/>
        <v>1</v>
      </c>
      <c r="V72" t="str">
        <f>IF('Freeview-Gen Ent'!G74&lt;&gt;0,'Freeview-Gen Ent'!G74,"")</f>
        <v>TBN UK</v>
      </c>
      <c r="W72">
        <f t="shared" si="5"/>
        <v>1</v>
      </c>
      <c r="X72">
        <f>IF($V72="","",INDEX('Freeview-Gen Ent'!$E:$G,MATCH($V72,'Freeview-Gen Ent'!$G:$G,0),1))</f>
        <v>65</v>
      </c>
      <c r="Y72">
        <f>IF($V72="","",INDEX('Freeview-Gen Ent'!$E:$G,MATCH($V72,'Freeview-Gen Ent'!$G:$G,0),2))</f>
        <v>64</v>
      </c>
      <c r="AC72">
        <f>IF($V72="","",INDEX('Freeview-Gen Ent'!$U:$W,MATCH($V72,'Freeview-Gen Ent'!$W:$W,0),1))</f>
        <v>66</v>
      </c>
      <c r="AD72">
        <f>IF($V72="","",INDEX('Freeview-Gen Ent'!$U:$W,MATCH($V72,'Freeview-Gen Ent'!$W:$W,0),2))</f>
        <v>64</v>
      </c>
      <c r="AE72">
        <f t="shared" si="6"/>
        <v>0</v>
      </c>
      <c r="AF72">
        <f t="shared" si="7"/>
        <v>1</v>
      </c>
      <c r="AJ72">
        <f>IF($V72="","",INDEX('Freeview-Gen Ent-more than min'!$U:$W,MATCH($V72,'Freeview-Gen Ent-more than min'!$W:$W,0),1))</f>
        <v>66</v>
      </c>
      <c r="AK72">
        <f>IF($V72="","",INDEX('Freeview-Gen Ent-more than min'!$U:$W,MATCH($V72,'Freeview-Gen Ent-more than min'!$W:$W,0),2))</f>
        <v>64</v>
      </c>
      <c r="AL72">
        <f t="shared" si="8"/>
        <v>0</v>
      </c>
      <c r="AM72">
        <f t="shared" si="9"/>
        <v>1</v>
      </c>
      <c r="AQ72" t="str">
        <f>IF('Freeview-Gen Ent'!O74&lt;&gt;0,'Freeview-Gen Ent'!O74,"")</f>
        <v>TBN UK</v>
      </c>
      <c r="AR72">
        <f t="shared" si="10"/>
        <v>1</v>
      </c>
      <c r="AS72">
        <f>IF($AQ72="","",INDEX('Freeview-Gen Ent'!$M:$O,MATCH($AQ72,'Freeview-Gen Ent'!$O:$O,0),1))</f>
        <v>65</v>
      </c>
      <c r="AT72">
        <f>IF($AQ72="","",INDEX('Freeview-Gen Ent'!$M:$O,MATCH($AQ72,'Freeview-Gen Ent'!$O:$O,0),2))</f>
        <v>62</v>
      </c>
      <c r="AX72">
        <f>IF($AQ72="","",INDEX('Freeview-Gen Ent'!$AC:$AE,MATCH($AQ72,'Freeview-Gen Ent'!$AE:$AE,0),1))</f>
        <v>66</v>
      </c>
      <c r="AY72">
        <f>IF($AQ72="","",INDEX('Freeview-Gen Ent'!$AC:$AE,MATCH($AQ72,'Freeview-Gen Ent'!$AE:$AE,0),2))</f>
        <v>62</v>
      </c>
      <c r="AZ72">
        <f t="shared" si="11"/>
        <v>0</v>
      </c>
      <c r="BA72">
        <f t="shared" si="12"/>
        <v>1</v>
      </c>
      <c r="BE72">
        <f>IF($AQ72="","",INDEX('Freeview-Gen Ent-more than min'!$AC:$AE,MATCH($AQ72,'Freeview-Gen Ent-more than min'!$AE:$AE,0),1))</f>
        <v>66</v>
      </c>
      <c r="BF72">
        <f>IF($AQ72="","",INDEX('Freeview-Gen Ent-more than min'!$AC:$AE,MATCH($AQ72,'Freeview-Gen Ent-more than min'!$AE:$AE,0),2))</f>
        <v>62</v>
      </c>
      <c r="BG72">
        <f t="shared" si="13"/>
        <v>0</v>
      </c>
      <c r="BH72">
        <f t="shared" si="14"/>
        <v>1</v>
      </c>
    </row>
    <row r="73" spans="1:60" x14ac:dyDescent="0.45">
      <c r="A73" t="str">
        <f>IF('Freeview-Gen Ent'!C75&lt;&gt;0,'Freeview-Gen Ent'!C75,"")</f>
        <v>CBS Reality</v>
      </c>
      <c r="B73">
        <f t="shared" ref="B73:B92" si="15">IF(A73="","",(IF((LEFT(A73,3))="BBC",0,1)))</f>
        <v>1</v>
      </c>
      <c r="C73">
        <f>IF($A73="","",INDEX('Freeview-Gen Ent'!$A:$C,MATCH($A73,'Freeview-Gen Ent'!$C:$C,0),1))</f>
        <v>66</v>
      </c>
      <c r="D73">
        <f>IF($A73="","",INDEX('Freeview-Gen Ent'!$A:$C,MATCH($A73,'Freeview-Gen Ent'!$C:$C,0),2))</f>
        <v>62</v>
      </c>
      <c r="H73">
        <f>IF($A73="","",INDEX('Freeview-Gen Ent'!$Q:$S,MATCH($A73,'Freeview-Gen Ent'!$S:$S,0),1))</f>
        <v>67</v>
      </c>
      <c r="I73">
        <f>IF($A73="","",INDEX('Freeview-Gen Ent'!$Q:$S,MATCH($A73,'Freeview-Gen Ent'!$S:$S,0),2))</f>
        <v>62</v>
      </c>
      <c r="J73">
        <f t="shared" ref="J73:J92" si="16">IF($D73="","",$D73-I73)</f>
        <v>0</v>
      </c>
      <c r="K73">
        <f t="shared" ref="K73:K92" si="17">IF($D73="","",(IF(H73&lt;&gt;$C73,1,0)))</f>
        <v>1</v>
      </c>
      <c r="O73">
        <f>IF($A73="","",INDEX('Freeview-Gen Ent-more than min'!$Q:$S,MATCH($A73,'Freeview-Gen Ent-more than min'!$S:$S,0),1))</f>
        <v>67</v>
      </c>
      <c r="P73">
        <f>IF($A73="","",INDEX('Freeview-Gen Ent-more than min'!$Q:$S,MATCH($A73,'Freeview-Gen Ent-more than min'!$S:$S,0),2))</f>
        <v>62</v>
      </c>
      <c r="Q73">
        <f t="shared" ref="Q73:Q92" si="18">IF($D73="","",$D73-P73)</f>
        <v>0</v>
      </c>
      <c r="R73">
        <f t="shared" ref="R73:R92" si="19">IF($D73="","",(IF(O73&lt;&gt;$C73,1,0)))</f>
        <v>1</v>
      </c>
      <c r="V73" t="str">
        <f>IF('Freeview-Gen Ent'!G75&lt;&gt;0,'Freeview-Gen Ent'!G75,"")</f>
        <v>CBS Reality</v>
      </c>
      <c r="W73">
        <f t="shared" ref="W73:W92" si="20">IF(V73="","",(IF((LEFT(V73,3))="BBC",0,1)))</f>
        <v>1</v>
      </c>
      <c r="X73">
        <f>IF($V73="","",INDEX('Freeview-Gen Ent'!$E:$G,MATCH($V73,'Freeview-Gen Ent'!$G:$G,0),1))</f>
        <v>66</v>
      </c>
      <c r="Y73">
        <f>IF($V73="","",INDEX('Freeview-Gen Ent'!$E:$G,MATCH($V73,'Freeview-Gen Ent'!$G:$G,0),2))</f>
        <v>65</v>
      </c>
      <c r="AC73">
        <f>IF($V73="","",INDEX('Freeview-Gen Ent'!$U:$W,MATCH($V73,'Freeview-Gen Ent'!$W:$W,0),1))</f>
        <v>67</v>
      </c>
      <c r="AD73">
        <f>IF($V73="","",INDEX('Freeview-Gen Ent'!$U:$W,MATCH($V73,'Freeview-Gen Ent'!$W:$W,0),2))</f>
        <v>65</v>
      </c>
      <c r="AE73">
        <f t="shared" ref="AE73:AE92" si="21">IF($Y73="","",$Y73-AD73)</f>
        <v>0</v>
      </c>
      <c r="AF73">
        <f t="shared" ref="AF73:AF92" si="22">IF($Y73="","",(IF(AC73&lt;&gt;$X73,1,0)))</f>
        <v>1</v>
      </c>
      <c r="AJ73">
        <f>IF($V73="","",INDEX('Freeview-Gen Ent-more than min'!$U:$W,MATCH($V73,'Freeview-Gen Ent-more than min'!$W:$W,0),1))</f>
        <v>67</v>
      </c>
      <c r="AK73">
        <f>IF($V73="","",INDEX('Freeview-Gen Ent-more than min'!$U:$W,MATCH($V73,'Freeview-Gen Ent-more than min'!$W:$W,0),2))</f>
        <v>65</v>
      </c>
      <c r="AL73">
        <f t="shared" ref="AL73:AL92" si="23">IF($Y73="","",$Y73-AK73)</f>
        <v>0</v>
      </c>
      <c r="AM73">
        <f t="shared" ref="AM73:AM92" si="24">IF($Y73="","",(IF(AJ73&lt;&gt;$X73,1,0)))</f>
        <v>1</v>
      </c>
      <c r="AQ73" t="str">
        <f>IF('Freeview-Gen Ent'!O75&lt;&gt;0,'Freeview-Gen Ent'!O75,"")</f>
        <v>CBS Reality</v>
      </c>
      <c r="AR73">
        <f t="shared" ref="AR73:AR92" si="25">IF(AQ73="","",(IF((LEFT(AQ73,3))="BBC",0,1)))</f>
        <v>1</v>
      </c>
      <c r="AS73">
        <f>IF($AQ73="","",INDEX('Freeview-Gen Ent'!$M:$O,MATCH($AQ73,'Freeview-Gen Ent'!$O:$O,0),1))</f>
        <v>66</v>
      </c>
      <c r="AT73">
        <f>IF($AQ73="","",INDEX('Freeview-Gen Ent'!$M:$O,MATCH($AQ73,'Freeview-Gen Ent'!$O:$O,0),2))</f>
        <v>63</v>
      </c>
      <c r="AX73">
        <f>IF($AQ73="","",INDEX('Freeview-Gen Ent'!$AC:$AE,MATCH($AQ73,'Freeview-Gen Ent'!$AE:$AE,0),1))</f>
        <v>67</v>
      </c>
      <c r="AY73">
        <f>IF($AQ73="","",INDEX('Freeview-Gen Ent'!$AC:$AE,MATCH($AQ73,'Freeview-Gen Ent'!$AE:$AE,0),2))</f>
        <v>63</v>
      </c>
      <c r="AZ73">
        <f t="shared" ref="AZ73:AZ92" si="26">IF($AT73="","",$AT73-AY73)</f>
        <v>0</v>
      </c>
      <c r="BA73">
        <f t="shared" ref="BA73:BA92" si="27">IF($AT73="","",(IF(AX73&lt;&gt;$AS73,1,0)))</f>
        <v>1</v>
      </c>
      <c r="BE73">
        <f>IF($AQ73="","",INDEX('Freeview-Gen Ent-more than min'!$AC:$AE,MATCH($AQ73,'Freeview-Gen Ent-more than min'!$AE:$AE,0),1))</f>
        <v>67</v>
      </c>
      <c r="BF73">
        <f>IF($AQ73="","",INDEX('Freeview-Gen Ent-more than min'!$AC:$AE,MATCH($AQ73,'Freeview-Gen Ent-more than min'!$AE:$AE,0),2))</f>
        <v>63</v>
      </c>
      <c r="BG73">
        <f t="shared" ref="BG73:BG92" si="28">IF($AT73="","",$AT73-BF73)</f>
        <v>0</v>
      </c>
      <c r="BH73">
        <f t="shared" ref="BH73:BH92" si="29">IF($AT73="","",(IF(BE73&lt;&gt;$AS73,1,0)))</f>
        <v>1</v>
      </c>
    </row>
    <row r="74" spans="1:60" x14ac:dyDescent="0.45">
      <c r="A74" t="str">
        <f>IF('Freeview-Gen Ent'!C76&lt;&gt;0,'Freeview-Gen Ent'!C76,"")</f>
        <v>CBS Reality +1</v>
      </c>
      <c r="B74">
        <f t="shared" si="15"/>
        <v>1</v>
      </c>
      <c r="C74">
        <f>IF($A74="","",INDEX('Freeview-Gen Ent'!$A:$C,MATCH($A74,'Freeview-Gen Ent'!$C:$C,0),1))</f>
        <v>67</v>
      </c>
      <c r="D74">
        <f>IF($A74="","",INDEX('Freeview-Gen Ent'!$A:$C,MATCH($A74,'Freeview-Gen Ent'!$C:$C,0),2))</f>
        <v>63</v>
      </c>
      <c r="H74">
        <f>IF($A74="","",INDEX('Freeview-Gen Ent'!$Q:$S,MATCH($A74,'Freeview-Gen Ent'!$S:$S,0),1))</f>
        <v>68</v>
      </c>
      <c r="I74">
        <f>IF($A74="","",INDEX('Freeview-Gen Ent'!$Q:$S,MATCH($A74,'Freeview-Gen Ent'!$S:$S,0),2))</f>
        <v>63</v>
      </c>
      <c r="J74">
        <f t="shared" si="16"/>
        <v>0</v>
      </c>
      <c r="K74">
        <f t="shared" si="17"/>
        <v>1</v>
      </c>
      <c r="O74">
        <f>IF($A74="","",INDEX('Freeview-Gen Ent-more than min'!$Q:$S,MATCH($A74,'Freeview-Gen Ent-more than min'!$S:$S,0),1))</f>
        <v>68</v>
      </c>
      <c r="P74">
        <f>IF($A74="","",INDEX('Freeview-Gen Ent-more than min'!$Q:$S,MATCH($A74,'Freeview-Gen Ent-more than min'!$S:$S,0),2))</f>
        <v>63</v>
      </c>
      <c r="Q74">
        <f t="shared" si="18"/>
        <v>0</v>
      </c>
      <c r="R74">
        <f t="shared" si="19"/>
        <v>1</v>
      </c>
      <c r="V74" t="str">
        <f>IF('Freeview-Gen Ent'!G76&lt;&gt;0,'Freeview-Gen Ent'!G76,"")</f>
        <v>CBS Reality +1</v>
      </c>
      <c r="W74">
        <f t="shared" si="20"/>
        <v>1</v>
      </c>
      <c r="X74">
        <f>IF($V74="","",INDEX('Freeview-Gen Ent'!$E:$G,MATCH($V74,'Freeview-Gen Ent'!$G:$G,0),1))</f>
        <v>67</v>
      </c>
      <c r="Y74">
        <f>IF($V74="","",INDEX('Freeview-Gen Ent'!$E:$G,MATCH($V74,'Freeview-Gen Ent'!$G:$G,0),2))</f>
        <v>66</v>
      </c>
      <c r="AC74">
        <f>IF($V74="","",INDEX('Freeview-Gen Ent'!$U:$W,MATCH($V74,'Freeview-Gen Ent'!$W:$W,0),1))</f>
        <v>68</v>
      </c>
      <c r="AD74">
        <f>IF($V74="","",INDEX('Freeview-Gen Ent'!$U:$W,MATCH($V74,'Freeview-Gen Ent'!$W:$W,0),2))</f>
        <v>66</v>
      </c>
      <c r="AE74">
        <f t="shared" si="21"/>
        <v>0</v>
      </c>
      <c r="AF74">
        <f t="shared" si="22"/>
        <v>1</v>
      </c>
      <c r="AJ74">
        <f>IF($V74="","",INDEX('Freeview-Gen Ent-more than min'!$U:$W,MATCH($V74,'Freeview-Gen Ent-more than min'!$W:$W,0),1))</f>
        <v>68</v>
      </c>
      <c r="AK74">
        <f>IF($V74="","",INDEX('Freeview-Gen Ent-more than min'!$U:$W,MATCH($V74,'Freeview-Gen Ent-more than min'!$W:$W,0),2))</f>
        <v>66</v>
      </c>
      <c r="AL74">
        <f t="shared" si="23"/>
        <v>0</v>
      </c>
      <c r="AM74">
        <f t="shared" si="24"/>
        <v>1</v>
      </c>
      <c r="AQ74" t="str">
        <f>IF('Freeview-Gen Ent'!O76&lt;&gt;0,'Freeview-Gen Ent'!O76,"")</f>
        <v>CBS Reality +1</v>
      </c>
      <c r="AR74">
        <f t="shared" si="25"/>
        <v>1</v>
      </c>
      <c r="AS74">
        <f>IF($AQ74="","",INDEX('Freeview-Gen Ent'!$M:$O,MATCH($AQ74,'Freeview-Gen Ent'!$O:$O,0),1))</f>
        <v>67</v>
      </c>
      <c r="AT74">
        <f>IF($AQ74="","",INDEX('Freeview-Gen Ent'!$M:$O,MATCH($AQ74,'Freeview-Gen Ent'!$O:$O,0),2))</f>
        <v>64</v>
      </c>
      <c r="AX74">
        <f>IF($AQ74="","",INDEX('Freeview-Gen Ent'!$AC:$AE,MATCH($AQ74,'Freeview-Gen Ent'!$AE:$AE,0),1))</f>
        <v>68</v>
      </c>
      <c r="AY74">
        <f>IF($AQ74="","",INDEX('Freeview-Gen Ent'!$AC:$AE,MATCH($AQ74,'Freeview-Gen Ent'!$AE:$AE,0),2))</f>
        <v>64</v>
      </c>
      <c r="AZ74">
        <f t="shared" si="26"/>
        <v>0</v>
      </c>
      <c r="BA74">
        <f t="shared" si="27"/>
        <v>1</v>
      </c>
      <c r="BE74">
        <f>IF($AQ74="","",INDEX('Freeview-Gen Ent-more than min'!$AC:$AE,MATCH($AQ74,'Freeview-Gen Ent-more than min'!$AE:$AE,0),1))</f>
        <v>68</v>
      </c>
      <c r="BF74">
        <f>IF($AQ74="","",INDEX('Freeview-Gen Ent-more than min'!$AC:$AE,MATCH($AQ74,'Freeview-Gen Ent-more than min'!$AE:$AE,0),2))</f>
        <v>64</v>
      </c>
      <c r="BG74">
        <f t="shared" si="28"/>
        <v>0</v>
      </c>
      <c r="BH74">
        <f t="shared" si="29"/>
        <v>1</v>
      </c>
    </row>
    <row r="75" spans="1:60" x14ac:dyDescent="0.45">
      <c r="A75" t="str">
        <f>IF('Freeview-Gen Ent'!C77&lt;&gt;0,'Freeview-Gen Ent'!C77,"")</f>
        <v>Sony True Crime</v>
      </c>
      <c r="B75">
        <f t="shared" si="15"/>
        <v>1</v>
      </c>
      <c r="C75">
        <f>IF($A75="","",INDEX('Freeview-Gen Ent'!$A:$C,MATCH($A75,'Freeview-Gen Ent'!$C:$C,0),1))</f>
        <v>68</v>
      </c>
      <c r="D75">
        <f>IF($A75="","",INDEX('Freeview-Gen Ent'!$A:$C,MATCH($A75,'Freeview-Gen Ent'!$C:$C,0),2))</f>
        <v>64</v>
      </c>
      <c r="H75">
        <f>IF($A75="","",INDEX('Freeview-Gen Ent'!$Q:$S,MATCH($A75,'Freeview-Gen Ent'!$S:$S,0),1))</f>
        <v>69</v>
      </c>
      <c r="I75">
        <f>IF($A75="","",INDEX('Freeview-Gen Ent'!$Q:$S,MATCH($A75,'Freeview-Gen Ent'!$S:$S,0),2))</f>
        <v>64</v>
      </c>
      <c r="J75">
        <f t="shared" si="16"/>
        <v>0</v>
      </c>
      <c r="K75">
        <f t="shared" si="17"/>
        <v>1</v>
      </c>
      <c r="O75">
        <f>IF($A75="","",INDEX('Freeview-Gen Ent-more than min'!$Q:$S,MATCH($A75,'Freeview-Gen Ent-more than min'!$S:$S,0),1))</f>
        <v>69</v>
      </c>
      <c r="P75">
        <f>IF($A75="","",INDEX('Freeview-Gen Ent-more than min'!$Q:$S,MATCH($A75,'Freeview-Gen Ent-more than min'!$S:$S,0),2))</f>
        <v>64</v>
      </c>
      <c r="Q75">
        <f t="shared" si="18"/>
        <v>0</v>
      </c>
      <c r="R75">
        <f t="shared" si="19"/>
        <v>1</v>
      </c>
      <c r="V75" t="str">
        <f>IF('Freeview-Gen Ent'!G77&lt;&gt;0,'Freeview-Gen Ent'!G77,"")</f>
        <v>Sony True Crime</v>
      </c>
      <c r="W75">
        <f t="shared" si="20"/>
        <v>1</v>
      </c>
      <c r="X75">
        <f>IF($V75="","",INDEX('Freeview-Gen Ent'!$E:$G,MATCH($V75,'Freeview-Gen Ent'!$G:$G,0),1))</f>
        <v>68</v>
      </c>
      <c r="Y75">
        <f>IF($V75="","",INDEX('Freeview-Gen Ent'!$E:$G,MATCH($V75,'Freeview-Gen Ent'!$G:$G,0),2))</f>
        <v>67</v>
      </c>
      <c r="AC75">
        <f>IF($V75="","",INDEX('Freeview-Gen Ent'!$U:$W,MATCH($V75,'Freeview-Gen Ent'!$W:$W,0),1))</f>
        <v>69</v>
      </c>
      <c r="AD75">
        <f>IF($V75="","",INDEX('Freeview-Gen Ent'!$U:$W,MATCH($V75,'Freeview-Gen Ent'!$W:$W,0),2))</f>
        <v>67</v>
      </c>
      <c r="AE75">
        <f t="shared" si="21"/>
        <v>0</v>
      </c>
      <c r="AF75">
        <f t="shared" si="22"/>
        <v>1</v>
      </c>
      <c r="AJ75">
        <f>IF($V75="","",INDEX('Freeview-Gen Ent-more than min'!$U:$W,MATCH($V75,'Freeview-Gen Ent-more than min'!$W:$W,0),1))</f>
        <v>69</v>
      </c>
      <c r="AK75">
        <f>IF($V75="","",INDEX('Freeview-Gen Ent-more than min'!$U:$W,MATCH($V75,'Freeview-Gen Ent-more than min'!$W:$W,0),2))</f>
        <v>67</v>
      </c>
      <c r="AL75">
        <f t="shared" si="23"/>
        <v>0</v>
      </c>
      <c r="AM75">
        <f t="shared" si="24"/>
        <v>1</v>
      </c>
      <c r="AQ75" t="str">
        <f>IF('Freeview-Gen Ent'!O77&lt;&gt;0,'Freeview-Gen Ent'!O77,"")</f>
        <v>Sony True Crime</v>
      </c>
      <c r="AR75">
        <f t="shared" si="25"/>
        <v>1</v>
      </c>
      <c r="AS75">
        <f>IF($AQ75="","",INDEX('Freeview-Gen Ent'!$M:$O,MATCH($AQ75,'Freeview-Gen Ent'!$O:$O,0),1))</f>
        <v>68</v>
      </c>
      <c r="AT75">
        <f>IF($AQ75="","",INDEX('Freeview-Gen Ent'!$M:$O,MATCH($AQ75,'Freeview-Gen Ent'!$O:$O,0),2))</f>
        <v>65</v>
      </c>
      <c r="AX75">
        <f>IF($AQ75="","",INDEX('Freeview-Gen Ent'!$AC:$AE,MATCH($AQ75,'Freeview-Gen Ent'!$AE:$AE,0),1))</f>
        <v>69</v>
      </c>
      <c r="AY75">
        <f>IF($AQ75="","",INDEX('Freeview-Gen Ent'!$AC:$AE,MATCH($AQ75,'Freeview-Gen Ent'!$AE:$AE,0),2))</f>
        <v>65</v>
      </c>
      <c r="AZ75">
        <f t="shared" si="26"/>
        <v>0</v>
      </c>
      <c r="BA75">
        <f t="shared" si="27"/>
        <v>1</v>
      </c>
      <c r="BE75">
        <f>IF($AQ75="","",INDEX('Freeview-Gen Ent-more than min'!$AC:$AE,MATCH($AQ75,'Freeview-Gen Ent-more than min'!$AE:$AE,0),1))</f>
        <v>69</v>
      </c>
      <c r="BF75">
        <f>IF($AQ75="","",INDEX('Freeview-Gen Ent-more than min'!$AC:$AE,MATCH($AQ75,'Freeview-Gen Ent-more than min'!$AE:$AE,0),2))</f>
        <v>65</v>
      </c>
      <c r="BG75">
        <f t="shared" si="28"/>
        <v>0</v>
      </c>
      <c r="BH75">
        <f t="shared" si="29"/>
        <v>1</v>
      </c>
    </row>
    <row r="76" spans="1:60" x14ac:dyDescent="0.45">
      <c r="A76" t="str">
        <f>IF('Freeview-Gen Ent'!C78&lt;&gt;0,'Freeview-Gen Ent'!C78,"")</f>
        <v>Sony True Crime +1</v>
      </c>
      <c r="B76">
        <f t="shared" si="15"/>
        <v>1</v>
      </c>
      <c r="C76">
        <f>IF($A76="","",INDEX('Freeview-Gen Ent'!$A:$C,MATCH($A76,'Freeview-Gen Ent'!$C:$C,0),1))</f>
        <v>69</v>
      </c>
      <c r="D76">
        <f>IF($A76="","",INDEX('Freeview-Gen Ent'!$A:$C,MATCH($A76,'Freeview-Gen Ent'!$C:$C,0),2))</f>
        <v>65</v>
      </c>
      <c r="H76">
        <f>IF($A76="","",INDEX('Freeview-Gen Ent'!$Q:$S,MATCH($A76,'Freeview-Gen Ent'!$S:$S,0),1))</f>
        <v>70</v>
      </c>
      <c r="I76">
        <f>IF($A76="","",INDEX('Freeview-Gen Ent'!$Q:$S,MATCH($A76,'Freeview-Gen Ent'!$S:$S,0),2))</f>
        <v>65</v>
      </c>
      <c r="J76">
        <f t="shared" si="16"/>
        <v>0</v>
      </c>
      <c r="K76">
        <f t="shared" si="17"/>
        <v>1</v>
      </c>
      <c r="O76">
        <f>IF($A76="","",INDEX('Freeview-Gen Ent-more than min'!$Q:$S,MATCH($A76,'Freeview-Gen Ent-more than min'!$S:$S,0),1))</f>
        <v>70</v>
      </c>
      <c r="P76">
        <f>IF($A76="","",INDEX('Freeview-Gen Ent-more than min'!$Q:$S,MATCH($A76,'Freeview-Gen Ent-more than min'!$S:$S,0),2))</f>
        <v>65</v>
      </c>
      <c r="Q76">
        <f t="shared" si="18"/>
        <v>0</v>
      </c>
      <c r="R76">
        <f t="shared" si="19"/>
        <v>1</v>
      </c>
      <c r="V76" t="str">
        <f>IF('Freeview-Gen Ent'!G78&lt;&gt;0,'Freeview-Gen Ent'!G78,"")</f>
        <v>Sony True Crime +1</v>
      </c>
      <c r="W76">
        <f t="shared" si="20"/>
        <v>1</v>
      </c>
      <c r="X76">
        <f>IF($V76="","",INDEX('Freeview-Gen Ent'!$E:$G,MATCH($V76,'Freeview-Gen Ent'!$G:$G,0),1))</f>
        <v>69</v>
      </c>
      <c r="Y76">
        <f>IF($V76="","",INDEX('Freeview-Gen Ent'!$E:$G,MATCH($V76,'Freeview-Gen Ent'!$G:$G,0),2))</f>
        <v>68</v>
      </c>
      <c r="AC76">
        <f>IF($V76="","",INDEX('Freeview-Gen Ent'!$U:$W,MATCH($V76,'Freeview-Gen Ent'!$W:$W,0),1))</f>
        <v>70</v>
      </c>
      <c r="AD76">
        <f>IF($V76="","",INDEX('Freeview-Gen Ent'!$U:$W,MATCH($V76,'Freeview-Gen Ent'!$W:$W,0),2))</f>
        <v>68</v>
      </c>
      <c r="AE76">
        <f t="shared" si="21"/>
        <v>0</v>
      </c>
      <c r="AF76">
        <f t="shared" si="22"/>
        <v>1</v>
      </c>
      <c r="AJ76">
        <f>IF($V76="","",INDEX('Freeview-Gen Ent-more than min'!$U:$W,MATCH($V76,'Freeview-Gen Ent-more than min'!$W:$W,0),1))</f>
        <v>70</v>
      </c>
      <c r="AK76">
        <f>IF($V76="","",INDEX('Freeview-Gen Ent-more than min'!$U:$W,MATCH($V76,'Freeview-Gen Ent-more than min'!$W:$W,0),2))</f>
        <v>68</v>
      </c>
      <c r="AL76">
        <f t="shared" si="23"/>
        <v>0</v>
      </c>
      <c r="AM76">
        <f t="shared" si="24"/>
        <v>1</v>
      </c>
      <c r="AQ76" t="str">
        <f>IF('Freeview-Gen Ent'!O78&lt;&gt;0,'Freeview-Gen Ent'!O78,"")</f>
        <v>Sony True Crime +1</v>
      </c>
      <c r="AR76">
        <f t="shared" si="25"/>
        <v>1</v>
      </c>
      <c r="AS76">
        <f>IF($AQ76="","",INDEX('Freeview-Gen Ent'!$M:$O,MATCH($AQ76,'Freeview-Gen Ent'!$O:$O,0),1))</f>
        <v>69</v>
      </c>
      <c r="AT76">
        <f>IF($AQ76="","",INDEX('Freeview-Gen Ent'!$M:$O,MATCH($AQ76,'Freeview-Gen Ent'!$O:$O,0),2))</f>
        <v>66</v>
      </c>
      <c r="AX76">
        <f>IF($AQ76="","",INDEX('Freeview-Gen Ent'!$AC:$AE,MATCH($AQ76,'Freeview-Gen Ent'!$AE:$AE,0),1))</f>
        <v>70</v>
      </c>
      <c r="AY76">
        <f>IF($AQ76="","",INDEX('Freeview-Gen Ent'!$AC:$AE,MATCH($AQ76,'Freeview-Gen Ent'!$AE:$AE,0),2))</f>
        <v>66</v>
      </c>
      <c r="AZ76">
        <f t="shared" si="26"/>
        <v>0</v>
      </c>
      <c r="BA76">
        <f t="shared" si="27"/>
        <v>1</v>
      </c>
      <c r="BE76">
        <f>IF($AQ76="","",INDEX('Freeview-Gen Ent-more than min'!$AC:$AE,MATCH($AQ76,'Freeview-Gen Ent-more than min'!$AE:$AE,0),1))</f>
        <v>70</v>
      </c>
      <c r="BF76">
        <f>IF($AQ76="","",INDEX('Freeview-Gen Ent-more than min'!$AC:$AE,MATCH($AQ76,'Freeview-Gen Ent-more than min'!$AE:$AE,0),2))</f>
        <v>66</v>
      </c>
      <c r="BG76">
        <f t="shared" si="28"/>
        <v>0</v>
      </c>
      <c r="BH76">
        <f t="shared" si="29"/>
        <v>1</v>
      </c>
    </row>
    <row r="77" spans="1:60" x14ac:dyDescent="0.45">
      <c r="A77" t="str">
        <f>IF('Freeview-Gen Ent'!C79&lt;&gt;0,'Freeview-Gen Ent'!C79,"")</f>
        <v>Horror Channel</v>
      </c>
      <c r="B77">
        <f t="shared" si="15"/>
        <v>1</v>
      </c>
      <c r="C77">
        <f>IF($A77="","",INDEX('Freeview-Gen Ent'!$A:$C,MATCH($A77,'Freeview-Gen Ent'!$C:$C,0),1))</f>
        <v>70</v>
      </c>
      <c r="D77">
        <f>IF($A77="","",INDEX('Freeview-Gen Ent'!$A:$C,MATCH($A77,'Freeview-Gen Ent'!$C:$C,0),2))</f>
        <v>66</v>
      </c>
      <c r="H77">
        <f>IF($A77="","",INDEX('Freeview-Gen Ent'!$Q:$S,MATCH($A77,'Freeview-Gen Ent'!$S:$S,0),1))</f>
        <v>71</v>
      </c>
      <c r="I77">
        <f>IF($A77="","",INDEX('Freeview-Gen Ent'!$Q:$S,MATCH($A77,'Freeview-Gen Ent'!$S:$S,0),2))</f>
        <v>66</v>
      </c>
      <c r="J77">
        <f t="shared" si="16"/>
        <v>0</v>
      </c>
      <c r="K77">
        <f t="shared" si="17"/>
        <v>1</v>
      </c>
      <c r="O77">
        <f>IF($A77="","",INDEX('Freeview-Gen Ent-more than min'!$Q:$S,MATCH($A77,'Freeview-Gen Ent-more than min'!$S:$S,0),1))</f>
        <v>71</v>
      </c>
      <c r="P77">
        <f>IF($A77="","",INDEX('Freeview-Gen Ent-more than min'!$Q:$S,MATCH($A77,'Freeview-Gen Ent-more than min'!$S:$S,0),2))</f>
        <v>66</v>
      </c>
      <c r="Q77">
        <f t="shared" si="18"/>
        <v>0</v>
      </c>
      <c r="R77">
        <f t="shared" si="19"/>
        <v>1</v>
      </c>
      <c r="V77" t="str">
        <f>IF('Freeview-Gen Ent'!G79&lt;&gt;0,'Freeview-Gen Ent'!G79,"")</f>
        <v>Horror Channel</v>
      </c>
      <c r="W77">
        <f t="shared" si="20"/>
        <v>1</v>
      </c>
      <c r="X77">
        <f>IF($V77="","",INDEX('Freeview-Gen Ent'!$E:$G,MATCH($V77,'Freeview-Gen Ent'!$G:$G,0),1))</f>
        <v>70</v>
      </c>
      <c r="Y77">
        <f>IF($V77="","",INDEX('Freeview-Gen Ent'!$E:$G,MATCH($V77,'Freeview-Gen Ent'!$G:$G,0),2))</f>
        <v>69</v>
      </c>
      <c r="AC77">
        <f>IF($V77="","",INDEX('Freeview-Gen Ent'!$U:$W,MATCH($V77,'Freeview-Gen Ent'!$W:$W,0),1))</f>
        <v>71</v>
      </c>
      <c r="AD77">
        <f>IF($V77="","",INDEX('Freeview-Gen Ent'!$U:$W,MATCH($V77,'Freeview-Gen Ent'!$W:$W,0),2))</f>
        <v>69</v>
      </c>
      <c r="AE77">
        <f t="shared" si="21"/>
        <v>0</v>
      </c>
      <c r="AF77">
        <f t="shared" si="22"/>
        <v>1</v>
      </c>
      <c r="AJ77">
        <f>IF($V77="","",INDEX('Freeview-Gen Ent-more than min'!$U:$W,MATCH($V77,'Freeview-Gen Ent-more than min'!$W:$W,0),1))</f>
        <v>71</v>
      </c>
      <c r="AK77">
        <f>IF($V77="","",INDEX('Freeview-Gen Ent-more than min'!$U:$W,MATCH($V77,'Freeview-Gen Ent-more than min'!$W:$W,0),2))</f>
        <v>69</v>
      </c>
      <c r="AL77">
        <f t="shared" si="23"/>
        <v>0</v>
      </c>
      <c r="AM77">
        <f t="shared" si="24"/>
        <v>1</v>
      </c>
      <c r="AQ77" t="str">
        <f>IF('Freeview-Gen Ent'!O79&lt;&gt;0,'Freeview-Gen Ent'!O79,"")</f>
        <v>Horror Channel</v>
      </c>
      <c r="AR77">
        <f t="shared" si="25"/>
        <v>1</v>
      </c>
      <c r="AS77">
        <f>IF($AQ77="","",INDEX('Freeview-Gen Ent'!$M:$O,MATCH($AQ77,'Freeview-Gen Ent'!$O:$O,0),1))</f>
        <v>70</v>
      </c>
      <c r="AT77">
        <f>IF($AQ77="","",INDEX('Freeview-Gen Ent'!$M:$O,MATCH($AQ77,'Freeview-Gen Ent'!$O:$O,0),2))</f>
        <v>67</v>
      </c>
      <c r="AX77">
        <f>IF($AQ77="","",INDEX('Freeview-Gen Ent'!$AC:$AE,MATCH($AQ77,'Freeview-Gen Ent'!$AE:$AE,0),1))</f>
        <v>71</v>
      </c>
      <c r="AY77">
        <f>IF($AQ77="","",INDEX('Freeview-Gen Ent'!$AC:$AE,MATCH($AQ77,'Freeview-Gen Ent'!$AE:$AE,0),2))</f>
        <v>67</v>
      </c>
      <c r="AZ77">
        <f t="shared" si="26"/>
        <v>0</v>
      </c>
      <c r="BA77">
        <f t="shared" si="27"/>
        <v>1</v>
      </c>
      <c r="BE77">
        <f>IF($AQ77="","",INDEX('Freeview-Gen Ent-more than min'!$AC:$AE,MATCH($AQ77,'Freeview-Gen Ent-more than min'!$AE:$AE,0),1))</f>
        <v>71</v>
      </c>
      <c r="BF77">
        <f>IF($AQ77="","",INDEX('Freeview-Gen Ent-more than min'!$AC:$AE,MATCH($AQ77,'Freeview-Gen Ent-more than min'!$AE:$AE,0),2))</f>
        <v>67</v>
      </c>
      <c r="BG77">
        <f t="shared" si="28"/>
        <v>0</v>
      </c>
      <c r="BH77">
        <f t="shared" si="29"/>
        <v>1</v>
      </c>
    </row>
    <row r="78" spans="1:60" x14ac:dyDescent="0.45">
      <c r="A78" t="str">
        <f>IF('Freeview-Gen Ent'!C80&lt;&gt;0,'Freeview-Gen Ent'!C80,"")</f>
        <v>CBS Drama</v>
      </c>
      <c r="B78">
        <f t="shared" si="15"/>
        <v>1</v>
      </c>
      <c r="C78">
        <f>IF($A78="","",INDEX('Freeview-Gen Ent'!$A:$C,MATCH($A78,'Freeview-Gen Ent'!$C:$C,0),1))</f>
        <v>71</v>
      </c>
      <c r="D78">
        <f>IF($A78="","",INDEX('Freeview-Gen Ent'!$A:$C,MATCH($A78,'Freeview-Gen Ent'!$C:$C,0),2))</f>
        <v>67</v>
      </c>
      <c r="H78">
        <f>IF($A78="","",INDEX('Freeview-Gen Ent'!$Q:$S,MATCH($A78,'Freeview-Gen Ent'!$S:$S,0),1))</f>
        <v>72</v>
      </c>
      <c r="I78">
        <f>IF($A78="","",INDEX('Freeview-Gen Ent'!$Q:$S,MATCH($A78,'Freeview-Gen Ent'!$S:$S,0),2))</f>
        <v>67</v>
      </c>
      <c r="J78">
        <f t="shared" si="16"/>
        <v>0</v>
      </c>
      <c r="K78">
        <f t="shared" si="17"/>
        <v>1</v>
      </c>
      <c r="O78">
        <f>IF($A78="","",INDEX('Freeview-Gen Ent-more than min'!$Q:$S,MATCH($A78,'Freeview-Gen Ent-more than min'!$S:$S,0),1))</f>
        <v>72</v>
      </c>
      <c r="P78">
        <f>IF($A78="","",INDEX('Freeview-Gen Ent-more than min'!$Q:$S,MATCH($A78,'Freeview-Gen Ent-more than min'!$S:$S,0),2))</f>
        <v>67</v>
      </c>
      <c r="Q78">
        <f t="shared" si="18"/>
        <v>0</v>
      </c>
      <c r="R78">
        <f t="shared" si="19"/>
        <v>1</v>
      </c>
      <c r="V78" t="str">
        <f>IF('Freeview-Gen Ent'!G80&lt;&gt;0,'Freeview-Gen Ent'!G80,"")</f>
        <v>CBS Drama</v>
      </c>
      <c r="W78">
        <f t="shared" si="20"/>
        <v>1</v>
      </c>
      <c r="X78">
        <f>IF($V78="","",INDEX('Freeview-Gen Ent'!$E:$G,MATCH($V78,'Freeview-Gen Ent'!$G:$G,0),1))</f>
        <v>71</v>
      </c>
      <c r="Y78">
        <f>IF($V78="","",INDEX('Freeview-Gen Ent'!$E:$G,MATCH($V78,'Freeview-Gen Ent'!$G:$G,0),2))</f>
        <v>70</v>
      </c>
      <c r="AC78">
        <f>IF($V78="","",INDEX('Freeview-Gen Ent'!$U:$W,MATCH($V78,'Freeview-Gen Ent'!$W:$W,0),1))</f>
        <v>72</v>
      </c>
      <c r="AD78">
        <f>IF($V78="","",INDEX('Freeview-Gen Ent'!$U:$W,MATCH($V78,'Freeview-Gen Ent'!$W:$W,0),2))</f>
        <v>70</v>
      </c>
      <c r="AE78">
        <f t="shared" si="21"/>
        <v>0</v>
      </c>
      <c r="AF78">
        <f t="shared" si="22"/>
        <v>1</v>
      </c>
      <c r="AJ78">
        <f>IF($V78="","",INDEX('Freeview-Gen Ent-more than min'!$U:$W,MATCH($V78,'Freeview-Gen Ent-more than min'!$W:$W,0),1))</f>
        <v>72</v>
      </c>
      <c r="AK78">
        <f>IF($V78="","",INDEX('Freeview-Gen Ent-more than min'!$U:$W,MATCH($V78,'Freeview-Gen Ent-more than min'!$W:$W,0),2))</f>
        <v>70</v>
      </c>
      <c r="AL78">
        <f t="shared" si="23"/>
        <v>0</v>
      </c>
      <c r="AM78">
        <f t="shared" si="24"/>
        <v>1</v>
      </c>
      <c r="AQ78" t="str">
        <f>IF('Freeview-Gen Ent'!O80&lt;&gt;0,'Freeview-Gen Ent'!O80,"")</f>
        <v>CBS Drama</v>
      </c>
      <c r="AR78">
        <f t="shared" si="25"/>
        <v>1</v>
      </c>
      <c r="AS78">
        <f>IF($AQ78="","",INDEX('Freeview-Gen Ent'!$M:$O,MATCH($AQ78,'Freeview-Gen Ent'!$O:$O,0),1))</f>
        <v>71</v>
      </c>
      <c r="AT78">
        <f>IF($AQ78="","",INDEX('Freeview-Gen Ent'!$M:$O,MATCH($AQ78,'Freeview-Gen Ent'!$O:$O,0),2))</f>
        <v>68</v>
      </c>
      <c r="AX78">
        <f>IF($AQ78="","",INDEX('Freeview-Gen Ent'!$AC:$AE,MATCH($AQ78,'Freeview-Gen Ent'!$AE:$AE,0),1))</f>
        <v>72</v>
      </c>
      <c r="AY78">
        <f>IF($AQ78="","",INDEX('Freeview-Gen Ent'!$AC:$AE,MATCH($AQ78,'Freeview-Gen Ent'!$AE:$AE,0),2))</f>
        <v>68</v>
      </c>
      <c r="AZ78">
        <f t="shared" si="26"/>
        <v>0</v>
      </c>
      <c r="BA78">
        <f t="shared" si="27"/>
        <v>1</v>
      </c>
      <c r="BE78">
        <f>IF($AQ78="","",INDEX('Freeview-Gen Ent-more than min'!$AC:$AE,MATCH($AQ78,'Freeview-Gen Ent-more than min'!$AE:$AE,0),1))</f>
        <v>72</v>
      </c>
      <c r="BF78">
        <f>IF($AQ78="","",INDEX('Freeview-Gen Ent-more than min'!$AC:$AE,MATCH($AQ78,'Freeview-Gen Ent-more than min'!$AE:$AE,0),2))</f>
        <v>68</v>
      </c>
      <c r="BG78">
        <f t="shared" si="28"/>
        <v>0</v>
      </c>
      <c r="BH78">
        <f t="shared" si="29"/>
        <v>1</v>
      </c>
    </row>
    <row r="79" spans="1:60" x14ac:dyDescent="0.45">
      <c r="A79" t="str">
        <f>IF('Freeview-Gen Ent'!C81&lt;&gt;0,'Freeview-Gen Ent'!C81,"")</f>
        <v>Your TV</v>
      </c>
      <c r="B79">
        <f t="shared" si="15"/>
        <v>1</v>
      </c>
      <c r="C79">
        <f>IF($A79="","",INDEX('Freeview-Gen Ent'!$A:$C,MATCH($A79,'Freeview-Gen Ent'!$C:$C,0),1))</f>
        <v>72</v>
      </c>
      <c r="D79">
        <f>IF($A79="","",INDEX('Freeview-Gen Ent'!$A:$C,MATCH($A79,'Freeview-Gen Ent'!$C:$C,0),2))</f>
        <v>68</v>
      </c>
      <c r="H79">
        <f>IF($A79="","",INDEX('Freeview-Gen Ent'!$Q:$S,MATCH($A79,'Freeview-Gen Ent'!$S:$S,0),1))</f>
        <v>73</v>
      </c>
      <c r="I79">
        <f>IF($A79="","",INDEX('Freeview-Gen Ent'!$Q:$S,MATCH($A79,'Freeview-Gen Ent'!$S:$S,0),2))</f>
        <v>68</v>
      </c>
      <c r="J79">
        <f t="shared" si="16"/>
        <v>0</v>
      </c>
      <c r="K79">
        <f t="shared" si="17"/>
        <v>1</v>
      </c>
      <c r="O79">
        <f>IF($A79="","",INDEX('Freeview-Gen Ent-more than min'!$Q:$S,MATCH($A79,'Freeview-Gen Ent-more than min'!$S:$S,0),1))</f>
        <v>73</v>
      </c>
      <c r="P79">
        <f>IF($A79="","",INDEX('Freeview-Gen Ent-more than min'!$Q:$S,MATCH($A79,'Freeview-Gen Ent-more than min'!$S:$S,0),2))</f>
        <v>68</v>
      </c>
      <c r="Q79">
        <f t="shared" si="18"/>
        <v>0</v>
      </c>
      <c r="R79">
        <f t="shared" si="19"/>
        <v>1</v>
      </c>
      <c r="V79" t="str">
        <f>IF('Freeview-Gen Ent'!G81&lt;&gt;0,'Freeview-Gen Ent'!G81,"")</f>
        <v>Your TV</v>
      </c>
      <c r="W79">
        <f t="shared" si="20"/>
        <v>1</v>
      </c>
      <c r="X79">
        <f>IF($V79="","",INDEX('Freeview-Gen Ent'!$E:$G,MATCH($V79,'Freeview-Gen Ent'!$G:$G,0),1))</f>
        <v>72</v>
      </c>
      <c r="Y79">
        <f>IF($V79="","",INDEX('Freeview-Gen Ent'!$E:$G,MATCH($V79,'Freeview-Gen Ent'!$G:$G,0),2))</f>
        <v>71</v>
      </c>
      <c r="AC79">
        <f>IF($V79="","",INDEX('Freeview-Gen Ent'!$U:$W,MATCH($V79,'Freeview-Gen Ent'!$W:$W,0),1))</f>
        <v>73</v>
      </c>
      <c r="AD79">
        <f>IF($V79="","",INDEX('Freeview-Gen Ent'!$U:$W,MATCH($V79,'Freeview-Gen Ent'!$W:$W,0),2))</f>
        <v>71</v>
      </c>
      <c r="AE79">
        <f t="shared" si="21"/>
        <v>0</v>
      </c>
      <c r="AF79">
        <f t="shared" si="22"/>
        <v>1</v>
      </c>
      <c r="AJ79">
        <f>IF($V79="","",INDEX('Freeview-Gen Ent-more than min'!$U:$W,MATCH($V79,'Freeview-Gen Ent-more than min'!$W:$W,0),1))</f>
        <v>73</v>
      </c>
      <c r="AK79">
        <f>IF($V79="","",INDEX('Freeview-Gen Ent-more than min'!$U:$W,MATCH($V79,'Freeview-Gen Ent-more than min'!$W:$W,0),2))</f>
        <v>71</v>
      </c>
      <c r="AL79">
        <f t="shared" si="23"/>
        <v>0</v>
      </c>
      <c r="AM79">
        <f t="shared" si="24"/>
        <v>1</v>
      </c>
      <c r="AQ79" t="str">
        <f>IF('Freeview-Gen Ent'!O81&lt;&gt;0,'Freeview-Gen Ent'!O81,"")</f>
        <v>Your TV</v>
      </c>
      <c r="AR79">
        <f t="shared" si="25"/>
        <v>1</v>
      </c>
      <c r="AS79">
        <f>IF($AQ79="","",INDEX('Freeview-Gen Ent'!$M:$O,MATCH($AQ79,'Freeview-Gen Ent'!$O:$O,0),1))</f>
        <v>72</v>
      </c>
      <c r="AT79">
        <f>IF($AQ79="","",INDEX('Freeview-Gen Ent'!$M:$O,MATCH($AQ79,'Freeview-Gen Ent'!$O:$O,0),2))</f>
        <v>69</v>
      </c>
      <c r="AX79">
        <f>IF($AQ79="","",INDEX('Freeview-Gen Ent'!$AC:$AE,MATCH($AQ79,'Freeview-Gen Ent'!$AE:$AE,0),1))</f>
        <v>73</v>
      </c>
      <c r="AY79">
        <f>IF($AQ79="","",INDEX('Freeview-Gen Ent'!$AC:$AE,MATCH($AQ79,'Freeview-Gen Ent'!$AE:$AE,0),2))</f>
        <v>69</v>
      </c>
      <c r="AZ79">
        <f t="shared" si="26"/>
        <v>0</v>
      </c>
      <c r="BA79">
        <f t="shared" si="27"/>
        <v>1</v>
      </c>
      <c r="BE79">
        <f>IF($AQ79="","",INDEX('Freeview-Gen Ent-more than min'!$AC:$AE,MATCH($AQ79,'Freeview-Gen Ent-more than min'!$AE:$AE,0),1))</f>
        <v>73</v>
      </c>
      <c r="BF79">
        <f>IF($AQ79="","",INDEX('Freeview-Gen Ent-more than min'!$AC:$AE,MATCH($AQ79,'Freeview-Gen Ent-more than min'!$AE:$AE,0),2))</f>
        <v>69</v>
      </c>
      <c r="BG79">
        <f t="shared" si="28"/>
        <v>0</v>
      </c>
      <c r="BH79">
        <f t="shared" si="29"/>
        <v>1</v>
      </c>
    </row>
    <row r="80" spans="1:60" x14ac:dyDescent="0.45">
      <c r="A80" t="str">
        <f>IF('Freeview-Gen Ent'!C82&lt;&gt;0,'Freeview-Gen Ent'!C82,"")</f>
        <v>Sewing Quarter</v>
      </c>
      <c r="B80">
        <f t="shared" si="15"/>
        <v>1</v>
      </c>
      <c r="C80">
        <f>IF($A80="","",INDEX('Freeview-Gen Ent'!$A:$C,MATCH($A80,'Freeview-Gen Ent'!$C:$C,0),1))</f>
        <v>73</v>
      </c>
      <c r="D80">
        <f>IF($A80="","",INDEX('Freeview-Gen Ent'!$A:$C,MATCH($A80,'Freeview-Gen Ent'!$C:$C,0),2))</f>
        <v>69</v>
      </c>
      <c r="H80">
        <f>IF($A80="","",INDEX('Freeview-Gen Ent'!$Q:$S,MATCH($A80,'Freeview-Gen Ent'!$S:$S,0),1))</f>
        <v>74</v>
      </c>
      <c r="I80">
        <f>IF($A80="","",INDEX('Freeview-Gen Ent'!$Q:$S,MATCH($A80,'Freeview-Gen Ent'!$S:$S,0),2))</f>
        <v>69</v>
      </c>
      <c r="J80">
        <f t="shared" si="16"/>
        <v>0</v>
      </c>
      <c r="K80">
        <f t="shared" si="17"/>
        <v>1</v>
      </c>
      <c r="O80">
        <f>IF($A80="","",INDEX('Freeview-Gen Ent-more than min'!$Q:$S,MATCH($A80,'Freeview-Gen Ent-more than min'!$S:$S,0),1))</f>
        <v>74</v>
      </c>
      <c r="P80">
        <f>IF($A80="","",INDEX('Freeview-Gen Ent-more than min'!$Q:$S,MATCH($A80,'Freeview-Gen Ent-more than min'!$S:$S,0),2))</f>
        <v>69</v>
      </c>
      <c r="Q80">
        <f t="shared" si="18"/>
        <v>0</v>
      </c>
      <c r="R80">
        <f t="shared" si="19"/>
        <v>1</v>
      </c>
      <c r="V80" t="str">
        <f>IF('Freeview-Gen Ent'!G82&lt;&gt;0,'Freeview-Gen Ent'!G82,"")</f>
        <v>Sewing Quarter</v>
      </c>
      <c r="W80">
        <f t="shared" si="20"/>
        <v>1</v>
      </c>
      <c r="X80">
        <f>IF($V80="","",INDEX('Freeview-Gen Ent'!$E:$G,MATCH($V80,'Freeview-Gen Ent'!$G:$G,0),1))</f>
        <v>73</v>
      </c>
      <c r="Y80">
        <f>IF($V80="","",INDEX('Freeview-Gen Ent'!$E:$G,MATCH($V80,'Freeview-Gen Ent'!$G:$G,0),2))</f>
        <v>72</v>
      </c>
      <c r="AC80">
        <f>IF($V80="","",INDEX('Freeview-Gen Ent'!$U:$W,MATCH($V80,'Freeview-Gen Ent'!$W:$W,0),1))</f>
        <v>74</v>
      </c>
      <c r="AD80">
        <f>IF($V80="","",INDEX('Freeview-Gen Ent'!$U:$W,MATCH($V80,'Freeview-Gen Ent'!$W:$W,0),2))</f>
        <v>72</v>
      </c>
      <c r="AE80">
        <f t="shared" si="21"/>
        <v>0</v>
      </c>
      <c r="AF80">
        <f t="shared" si="22"/>
        <v>1</v>
      </c>
      <c r="AJ80">
        <f>IF($V80="","",INDEX('Freeview-Gen Ent-more than min'!$U:$W,MATCH($V80,'Freeview-Gen Ent-more than min'!$W:$W,0),1))</f>
        <v>74</v>
      </c>
      <c r="AK80">
        <f>IF($V80="","",INDEX('Freeview-Gen Ent-more than min'!$U:$W,MATCH($V80,'Freeview-Gen Ent-more than min'!$W:$W,0),2))</f>
        <v>72</v>
      </c>
      <c r="AL80">
        <f t="shared" si="23"/>
        <v>0</v>
      </c>
      <c r="AM80">
        <f t="shared" si="24"/>
        <v>1</v>
      </c>
      <c r="AQ80" t="str">
        <f>IF('Freeview-Gen Ent'!O82&lt;&gt;0,'Freeview-Gen Ent'!O82,"")</f>
        <v>Sewing Quarter</v>
      </c>
      <c r="AR80">
        <f t="shared" si="25"/>
        <v>1</v>
      </c>
      <c r="AS80">
        <f>IF($AQ80="","",INDEX('Freeview-Gen Ent'!$M:$O,MATCH($AQ80,'Freeview-Gen Ent'!$O:$O,0),1))</f>
        <v>73</v>
      </c>
      <c r="AT80">
        <f>IF($AQ80="","",INDEX('Freeview-Gen Ent'!$M:$O,MATCH($AQ80,'Freeview-Gen Ent'!$O:$O,0),2))</f>
        <v>70</v>
      </c>
      <c r="AX80">
        <f>IF($AQ80="","",INDEX('Freeview-Gen Ent'!$AC:$AE,MATCH($AQ80,'Freeview-Gen Ent'!$AE:$AE,0),1))</f>
        <v>74</v>
      </c>
      <c r="AY80">
        <f>IF($AQ80="","",INDEX('Freeview-Gen Ent'!$AC:$AE,MATCH($AQ80,'Freeview-Gen Ent'!$AE:$AE,0),2))</f>
        <v>70</v>
      </c>
      <c r="AZ80">
        <f t="shared" si="26"/>
        <v>0</v>
      </c>
      <c r="BA80">
        <f t="shared" si="27"/>
        <v>1</v>
      </c>
      <c r="BE80">
        <f>IF($AQ80="","",INDEX('Freeview-Gen Ent-more than min'!$AC:$AE,MATCH($AQ80,'Freeview-Gen Ent-more than min'!$AE:$AE,0),1))</f>
        <v>74</v>
      </c>
      <c r="BF80">
        <f>IF($AQ80="","",INDEX('Freeview-Gen Ent-more than min'!$AC:$AE,MATCH($AQ80,'Freeview-Gen Ent-more than min'!$AE:$AE,0),2))</f>
        <v>70</v>
      </c>
      <c r="BG80">
        <f t="shared" si="28"/>
        <v>0</v>
      </c>
      <c r="BH80">
        <f t="shared" si="29"/>
        <v>1</v>
      </c>
    </row>
    <row r="81" spans="1:60" x14ac:dyDescent="0.45">
      <c r="A81" t="str">
        <f>IF('Freeview-Gen Ent'!C83&lt;&gt;0,'Freeview-Gen Ent'!C83,"")</f>
        <v>Jewellery Maker</v>
      </c>
      <c r="B81">
        <f t="shared" si="15"/>
        <v>1</v>
      </c>
      <c r="C81">
        <f>IF($A81="","",INDEX('Freeview-Gen Ent'!$A:$C,MATCH($A81,'Freeview-Gen Ent'!$C:$C,0),1))</f>
        <v>74</v>
      </c>
      <c r="D81">
        <f>IF($A81="","",INDEX('Freeview-Gen Ent'!$A:$C,MATCH($A81,'Freeview-Gen Ent'!$C:$C,0),2))</f>
        <v>70</v>
      </c>
      <c r="H81">
        <f>IF($A81="","",INDEX('Freeview-Gen Ent'!$Q:$S,MATCH($A81,'Freeview-Gen Ent'!$S:$S,0),1))</f>
        <v>75</v>
      </c>
      <c r="I81">
        <f>IF($A81="","",INDEX('Freeview-Gen Ent'!$Q:$S,MATCH($A81,'Freeview-Gen Ent'!$S:$S,0),2))</f>
        <v>70</v>
      </c>
      <c r="J81">
        <f t="shared" si="16"/>
        <v>0</v>
      </c>
      <c r="K81">
        <f t="shared" si="17"/>
        <v>1</v>
      </c>
      <c r="O81">
        <f>IF($A81="","",INDEX('Freeview-Gen Ent-more than min'!$Q:$S,MATCH($A81,'Freeview-Gen Ent-more than min'!$S:$S,0),1))</f>
        <v>75</v>
      </c>
      <c r="P81">
        <f>IF($A81="","",INDEX('Freeview-Gen Ent-more than min'!$Q:$S,MATCH($A81,'Freeview-Gen Ent-more than min'!$S:$S,0),2))</f>
        <v>70</v>
      </c>
      <c r="Q81">
        <f t="shared" si="18"/>
        <v>0</v>
      </c>
      <c r="R81">
        <f t="shared" si="19"/>
        <v>1</v>
      </c>
      <c r="V81" t="str">
        <f>IF('Freeview-Gen Ent'!G83&lt;&gt;0,'Freeview-Gen Ent'!G83,"")</f>
        <v>Jewellery Maker</v>
      </c>
      <c r="W81">
        <f t="shared" si="20"/>
        <v>1</v>
      </c>
      <c r="X81">
        <f>IF($V81="","",INDEX('Freeview-Gen Ent'!$E:$G,MATCH($V81,'Freeview-Gen Ent'!$G:$G,0),1))</f>
        <v>74</v>
      </c>
      <c r="Y81">
        <f>IF($V81="","",INDEX('Freeview-Gen Ent'!$E:$G,MATCH($V81,'Freeview-Gen Ent'!$G:$G,0),2))</f>
        <v>73</v>
      </c>
      <c r="AC81">
        <f>IF($V81="","",INDEX('Freeview-Gen Ent'!$U:$W,MATCH($V81,'Freeview-Gen Ent'!$W:$W,0),1))</f>
        <v>75</v>
      </c>
      <c r="AD81">
        <f>IF($V81="","",INDEX('Freeview-Gen Ent'!$U:$W,MATCH($V81,'Freeview-Gen Ent'!$W:$W,0),2))</f>
        <v>73</v>
      </c>
      <c r="AE81">
        <f t="shared" si="21"/>
        <v>0</v>
      </c>
      <c r="AF81">
        <f t="shared" si="22"/>
        <v>1</v>
      </c>
      <c r="AJ81">
        <f>IF($V81="","",INDEX('Freeview-Gen Ent-more than min'!$U:$W,MATCH($V81,'Freeview-Gen Ent-more than min'!$W:$W,0),1))</f>
        <v>75</v>
      </c>
      <c r="AK81">
        <f>IF($V81="","",INDEX('Freeview-Gen Ent-more than min'!$U:$W,MATCH($V81,'Freeview-Gen Ent-more than min'!$W:$W,0),2))</f>
        <v>73</v>
      </c>
      <c r="AL81">
        <f t="shared" si="23"/>
        <v>0</v>
      </c>
      <c r="AM81">
        <f t="shared" si="24"/>
        <v>1</v>
      </c>
      <c r="AQ81" t="str">
        <f>IF('Freeview-Gen Ent'!O83&lt;&gt;0,'Freeview-Gen Ent'!O83,"")</f>
        <v>Jewellery Maker</v>
      </c>
      <c r="AR81">
        <f t="shared" si="25"/>
        <v>1</v>
      </c>
      <c r="AS81">
        <f>IF($AQ81="","",INDEX('Freeview-Gen Ent'!$M:$O,MATCH($AQ81,'Freeview-Gen Ent'!$O:$O,0),1))</f>
        <v>74</v>
      </c>
      <c r="AT81">
        <f>IF($AQ81="","",INDEX('Freeview-Gen Ent'!$M:$O,MATCH($AQ81,'Freeview-Gen Ent'!$O:$O,0),2))</f>
        <v>71</v>
      </c>
      <c r="AX81">
        <f>IF($AQ81="","",INDEX('Freeview-Gen Ent'!$AC:$AE,MATCH($AQ81,'Freeview-Gen Ent'!$AE:$AE,0),1))</f>
        <v>75</v>
      </c>
      <c r="AY81">
        <f>IF($AQ81="","",INDEX('Freeview-Gen Ent'!$AC:$AE,MATCH($AQ81,'Freeview-Gen Ent'!$AE:$AE,0),2))</f>
        <v>71</v>
      </c>
      <c r="AZ81">
        <f t="shared" si="26"/>
        <v>0</v>
      </c>
      <c r="BA81">
        <f t="shared" si="27"/>
        <v>1</v>
      </c>
      <c r="BE81">
        <f>IF($AQ81="","",INDEX('Freeview-Gen Ent-more than min'!$AC:$AE,MATCH($AQ81,'Freeview-Gen Ent-more than min'!$AE:$AE,0),1))</f>
        <v>75</v>
      </c>
      <c r="BF81">
        <f>IF($AQ81="","",INDEX('Freeview-Gen Ent-more than min'!$AC:$AE,MATCH($AQ81,'Freeview-Gen Ent-more than min'!$AE:$AE,0),2))</f>
        <v>71</v>
      </c>
      <c r="BG81">
        <f t="shared" si="28"/>
        <v>0</v>
      </c>
      <c r="BH81">
        <f t="shared" si="29"/>
        <v>1</v>
      </c>
    </row>
    <row r="82" spans="1:60" x14ac:dyDescent="0.45">
      <c r="A82" t="str">
        <f>IF('Freeview-Gen Ent'!C84&lt;&gt;0,'Freeview-Gen Ent'!C84,"")</f>
        <v/>
      </c>
      <c r="B82" t="str">
        <f t="shared" si="15"/>
        <v/>
      </c>
      <c r="C82" t="str">
        <f>IF($A82="","",INDEX('Freeview-Gen Ent'!$A:$C,MATCH($A82,'Freeview-Gen Ent'!$C:$C,0),1))</f>
        <v/>
      </c>
      <c r="D82" t="str">
        <f>IF($A82="","",INDEX('Freeview-Gen Ent'!$A:$C,MATCH($A82,'Freeview-Gen Ent'!$C:$C,0),2))</f>
        <v/>
      </c>
      <c r="H82" t="str">
        <f>IF($A82="","",INDEX('Freeview-Gen Ent'!$Q:$S,MATCH($A82,'Freeview-Gen Ent'!$S:$S,0),1))</f>
        <v/>
      </c>
      <c r="I82" t="str">
        <f>IF($A82="","",INDEX('Freeview-Gen Ent'!$Q:$S,MATCH($A82,'Freeview-Gen Ent'!$S:$S,0),2))</f>
        <v/>
      </c>
      <c r="J82" t="str">
        <f t="shared" si="16"/>
        <v/>
      </c>
      <c r="K82" t="str">
        <f t="shared" si="17"/>
        <v/>
      </c>
      <c r="O82" t="str">
        <f>IF($A82="","",INDEX('Freeview-Gen Ent-more than min'!$Q:$S,MATCH($A82,'Freeview-Gen Ent-more than min'!$S:$S,0),1))</f>
        <v/>
      </c>
      <c r="P82" t="str">
        <f>IF($A82="","",INDEX('Freeview-Gen Ent-more than min'!$Q:$S,MATCH($A82,'Freeview-Gen Ent-more than min'!$S:$S,0),2))</f>
        <v/>
      </c>
      <c r="Q82" t="str">
        <f t="shared" si="18"/>
        <v/>
      </c>
      <c r="R82" t="str">
        <f t="shared" si="19"/>
        <v/>
      </c>
      <c r="V82" t="str">
        <f>IF('Freeview-Gen Ent'!G84&lt;&gt;0,'Freeview-Gen Ent'!G84,"")</f>
        <v/>
      </c>
      <c r="W82" t="str">
        <f t="shared" si="20"/>
        <v/>
      </c>
      <c r="X82" t="str">
        <f>IF($V82="","",INDEX('Freeview-Gen Ent'!$E:$G,MATCH($V82,'Freeview-Gen Ent'!$G:$G,0),1))</f>
        <v/>
      </c>
      <c r="Y82" t="str">
        <f>IF($V82="","",INDEX('Freeview-Gen Ent'!$E:$G,MATCH($V82,'Freeview-Gen Ent'!$G:$G,0),2))</f>
        <v/>
      </c>
      <c r="AC82" t="str">
        <f>IF($V82="","",INDEX('Freeview-Gen Ent'!$U:$W,MATCH($V82,'Freeview-Gen Ent'!$W:$W,0),1))</f>
        <v/>
      </c>
      <c r="AD82" t="str">
        <f>IF($V82="","",INDEX('Freeview-Gen Ent'!$U:$W,MATCH($V82,'Freeview-Gen Ent'!$W:$W,0),2))</f>
        <v/>
      </c>
      <c r="AE82" t="str">
        <f t="shared" si="21"/>
        <v/>
      </c>
      <c r="AF82" t="str">
        <f t="shared" si="22"/>
        <v/>
      </c>
      <c r="AJ82" t="str">
        <f>IF($V82="","",INDEX('Freeview-Gen Ent-more than min'!$U:$W,MATCH($V82,'Freeview-Gen Ent-more than min'!$W:$W,0),1))</f>
        <v/>
      </c>
      <c r="AK82" t="str">
        <f>IF($V82="","",INDEX('Freeview-Gen Ent-more than min'!$U:$W,MATCH($V82,'Freeview-Gen Ent-more than min'!$W:$W,0),2))</f>
        <v/>
      </c>
      <c r="AL82" t="str">
        <f t="shared" si="23"/>
        <v/>
      </c>
      <c r="AM82" t="str">
        <f t="shared" si="24"/>
        <v/>
      </c>
      <c r="AQ82" t="str">
        <f>IF('Freeview-Gen Ent'!O84&lt;&gt;0,'Freeview-Gen Ent'!O84,"")</f>
        <v/>
      </c>
      <c r="AR82" t="str">
        <f t="shared" si="25"/>
        <v/>
      </c>
      <c r="AS82" t="str">
        <f>IF($AQ82="","",INDEX('Freeview-Gen Ent'!$M:$O,MATCH($AQ82,'Freeview-Gen Ent'!$O:$O,0),1))</f>
        <v/>
      </c>
      <c r="AT82" t="str">
        <f>IF($AQ82="","",INDEX('Freeview-Gen Ent'!$M:$O,MATCH($AQ82,'Freeview-Gen Ent'!$O:$O,0),2))</f>
        <v/>
      </c>
      <c r="AX82" t="str">
        <f>IF($AQ82="","",INDEX('Freeview-Gen Ent'!$AC:$AE,MATCH($AQ82,'Freeview-Gen Ent'!$AE:$AE,0),1))</f>
        <v/>
      </c>
      <c r="AY82" t="str">
        <f>IF($AQ82="","",INDEX('Freeview-Gen Ent'!$AC:$AE,MATCH($AQ82,'Freeview-Gen Ent'!$AE:$AE,0),2))</f>
        <v/>
      </c>
      <c r="AZ82" t="str">
        <f t="shared" si="26"/>
        <v/>
      </c>
      <c r="BA82" t="str">
        <f t="shared" si="27"/>
        <v/>
      </c>
      <c r="BE82" t="str">
        <f>IF($AQ82="","",INDEX('Freeview-Gen Ent-more than min'!$AC:$AE,MATCH($AQ82,'Freeview-Gen Ent-more than min'!$AE:$AE,0),1))</f>
        <v/>
      </c>
      <c r="BF82" t="str">
        <f>IF($AQ82="","",INDEX('Freeview-Gen Ent-more than min'!$AC:$AE,MATCH($AQ82,'Freeview-Gen Ent-more than min'!$AE:$AE,0),2))</f>
        <v/>
      </c>
      <c r="BG82" t="str">
        <f t="shared" si="28"/>
        <v/>
      </c>
      <c r="BH82" t="str">
        <f t="shared" si="29"/>
        <v/>
      </c>
    </row>
    <row r="83" spans="1:60" x14ac:dyDescent="0.45">
      <c r="A83" t="str">
        <f>IF('Freeview-Gen Ent'!C85&lt;&gt;0,'Freeview-Gen Ent'!C85,"")</f>
        <v>Quest +1</v>
      </c>
      <c r="B83">
        <f t="shared" si="15"/>
        <v>1</v>
      </c>
      <c r="C83">
        <f>IF($A83="","",INDEX('Freeview-Gen Ent'!$A:$C,MATCH($A83,'Freeview-Gen Ent'!$C:$C,0),1))</f>
        <v>76</v>
      </c>
      <c r="D83">
        <f>IF($A83="","",INDEX('Freeview-Gen Ent'!$A:$C,MATCH($A83,'Freeview-Gen Ent'!$C:$C,0),2))</f>
        <v>71</v>
      </c>
      <c r="H83">
        <f>IF($A83="","",INDEX('Freeview-Gen Ent'!$Q:$S,MATCH($A83,'Freeview-Gen Ent'!$S:$S,0),1))</f>
        <v>77</v>
      </c>
      <c r="I83">
        <f>IF($A83="","",INDEX('Freeview-Gen Ent'!$Q:$S,MATCH($A83,'Freeview-Gen Ent'!$S:$S,0),2))</f>
        <v>71</v>
      </c>
      <c r="J83">
        <f t="shared" si="16"/>
        <v>0</v>
      </c>
      <c r="K83">
        <f t="shared" si="17"/>
        <v>1</v>
      </c>
      <c r="O83">
        <f>IF($A83="","",INDEX('Freeview-Gen Ent-more than min'!$Q:$S,MATCH($A83,'Freeview-Gen Ent-more than min'!$S:$S,0),1))</f>
        <v>77</v>
      </c>
      <c r="P83">
        <f>IF($A83="","",INDEX('Freeview-Gen Ent-more than min'!$Q:$S,MATCH($A83,'Freeview-Gen Ent-more than min'!$S:$S,0),2))</f>
        <v>71</v>
      </c>
      <c r="Q83">
        <f t="shared" si="18"/>
        <v>0</v>
      </c>
      <c r="R83">
        <f t="shared" si="19"/>
        <v>1</v>
      </c>
      <c r="V83" t="str">
        <f>IF('Freeview-Gen Ent'!G85&lt;&gt;0,'Freeview-Gen Ent'!G85,"")</f>
        <v>Quest +1</v>
      </c>
      <c r="W83">
        <f t="shared" si="20"/>
        <v>1</v>
      </c>
      <c r="X83">
        <f>IF($V83="","",INDEX('Freeview-Gen Ent'!$E:$G,MATCH($V83,'Freeview-Gen Ent'!$G:$G,0),1))</f>
        <v>76</v>
      </c>
      <c r="Y83">
        <f>IF($V83="","",INDEX('Freeview-Gen Ent'!$E:$G,MATCH($V83,'Freeview-Gen Ent'!$G:$G,0),2))</f>
        <v>74</v>
      </c>
      <c r="AC83">
        <f>IF($V83="","",INDEX('Freeview-Gen Ent'!$U:$W,MATCH($V83,'Freeview-Gen Ent'!$W:$W,0),1))</f>
        <v>77</v>
      </c>
      <c r="AD83">
        <f>IF($V83="","",INDEX('Freeview-Gen Ent'!$U:$W,MATCH($V83,'Freeview-Gen Ent'!$W:$W,0),2))</f>
        <v>74</v>
      </c>
      <c r="AE83">
        <f t="shared" si="21"/>
        <v>0</v>
      </c>
      <c r="AF83">
        <f t="shared" si="22"/>
        <v>1</v>
      </c>
      <c r="AJ83">
        <f>IF($V83="","",INDEX('Freeview-Gen Ent-more than min'!$U:$W,MATCH($V83,'Freeview-Gen Ent-more than min'!$W:$W,0),1))</f>
        <v>77</v>
      </c>
      <c r="AK83">
        <f>IF($V83="","",INDEX('Freeview-Gen Ent-more than min'!$U:$W,MATCH($V83,'Freeview-Gen Ent-more than min'!$W:$W,0),2))</f>
        <v>74</v>
      </c>
      <c r="AL83">
        <f t="shared" si="23"/>
        <v>0</v>
      </c>
      <c r="AM83">
        <f t="shared" si="24"/>
        <v>1</v>
      </c>
      <c r="AQ83" t="str">
        <f>IF('Freeview-Gen Ent'!O85&lt;&gt;0,'Freeview-Gen Ent'!O85,"")</f>
        <v>Quest +1</v>
      </c>
      <c r="AR83">
        <f t="shared" si="25"/>
        <v>1</v>
      </c>
      <c r="AS83">
        <f>IF($AQ83="","",INDEX('Freeview-Gen Ent'!$M:$O,MATCH($AQ83,'Freeview-Gen Ent'!$O:$O,0),1))</f>
        <v>76</v>
      </c>
      <c r="AT83">
        <f>IF($AQ83="","",INDEX('Freeview-Gen Ent'!$M:$O,MATCH($AQ83,'Freeview-Gen Ent'!$O:$O,0),2))</f>
        <v>72</v>
      </c>
      <c r="AX83">
        <f>IF($AQ83="","",INDEX('Freeview-Gen Ent'!$AC:$AE,MATCH($AQ83,'Freeview-Gen Ent'!$AE:$AE,0),1))</f>
        <v>77</v>
      </c>
      <c r="AY83">
        <f>IF($AQ83="","",INDEX('Freeview-Gen Ent'!$AC:$AE,MATCH($AQ83,'Freeview-Gen Ent'!$AE:$AE,0),2))</f>
        <v>72</v>
      </c>
      <c r="AZ83">
        <f t="shared" si="26"/>
        <v>0</v>
      </c>
      <c r="BA83">
        <f t="shared" si="27"/>
        <v>1</v>
      </c>
      <c r="BE83">
        <f>IF($AQ83="","",INDEX('Freeview-Gen Ent-more than min'!$AC:$AE,MATCH($AQ83,'Freeview-Gen Ent-more than min'!$AE:$AE,0),1))</f>
        <v>77</v>
      </c>
      <c r="BF83">
        <f>IF($AQ83="","",INDEX('Freeview-Gen Ent-more than min'!$AC:$AE,MATCH($AQ83,'Freeview-Gen Ent-more than min'!$AE:$AE,0),2))</f>
        <v>72</v>
      </c>
      <c r="BG83">
        <f t="shared" si="28"/>
        <v>0</v>
      </c>
      <c r="BH83">
        <f t="shared" si="29"/>
        <v>1</v>
      </c>
    </row>
    <row r="84" spans="1:60" x14ac:dyDescent="0.45">
      <c r="A84" t="str">
        <f>IF('Freeview-Gen Ent'!C86&lt;&gt;0,'Freeview-Gen Ent'!C86,"")</f>
        <v/>
      </c>
      <c r="B84" t="str">
        <f t="shared" si="15"/>
        <v/>
      </c>
      <c r="C84" t="str">
        <f>IF($A84="","",INDEX('Freeview-Gen Ent'!$A:$C,MATCH($A84,'Freeview-Gen Ent'!$C:$C,0),1))</f>
        <v/>
      </c>
      <c r="D84" t="str">
        <f>IF($A84="","",INDEX('Freeview-Gen Ent'!$A:$C,MATCH($A84,'Freeview-Gen Ent'!$C:$C,0),2))</f>
        <v/>
      </c>
      <c r="H84" t="str">
        <f>IF($A84="","",INDEX('Freeview-Gen Ent'!$Q:$S,MATCH($A84,'Freeview-Gen Ent'!$S:$S,0),1))</f>
        <v/>
      </c>
      <c r="I84" t="str">
        <f>IF($A84="","",INDEX('Freeview-Gen Ent'!$Q:$S,MATCH($A84,'Freeview-Gen Ent'!$S:$S,0),2))</f>
        <v/>
      </c>
      <c r="J84" t="str">
        <f t="shared" si="16"/>
        <v/>
      </c>
      <c r="K84" t="str">
        <f t="shared" si="17"/>
        <v/>
      </c>
      <c r="O84" t="str">
        <f>IF($A84="","",INDEX('Freeview-Gen Ent-more than min'!$Q:$S,MATCH($A84,'Freeview-Gen Ent-more than min'!$S:$S,0),1))</f>
        <v/>
      </c>
      <c r="P84" t="str">
        <f>IF($A84="","",INDEX('Freeview-Gen Ent-more than min'!$Q:$S,MATCH($A84,'Freeview-Gen Ent-more than min'!$S:$S,0),2))</f>
        <v/>
      </c>
      <c r="Q84" t="str">
        <f t="shared" si="18"/>
        <v/>
      </c>
      <c r="R84" t="str">
        <f t="shared" si="19"/>
        <v/>
      </c>
      <c r="V84" t="str">
        <f>IF('Freeview-Gen Ent'!G86&lt;&gt;0,'Freeview-Gen Ent'!G86,"")</f>
        <v/>
      </c>
      <c r="W84" t="str">
        <f t="shared" si="20"/>
        <v/>
      </c>
      <c r="X84" t="str">
        <f>IF($V84="","",INDEX('Freeview-Gen Ent'!$E:$G,MATCH($V84,'Freeview-Gen Ent'!$G:$G,0),1))</f>
        <v/>
      </c>
      <c r="Y84" t="str">
        <f>IF($V84="","",INDEX('Freeview-Gen Ent'!$E:$G,MATCH($V84,'Freeview-Gen Ent'!$G:$G,0),2))</f>
        <v/>
      </c>
      <c r="AC84" t="str">
        <f>IF($V84="","",INDEX('Freeview-Gen Ent'!$U:$W,MATCH($V84,'Freeview-Gen Ent'!$W:$W,0),1))</f>
        <v/>
      </c>
      <c r="AD84" t="str">
        <f>IF($V84="","",INDEX('Freeview-Gen Ent'!$U:$W,MATCH($V84,'Freeview-Gen Ent'!$W:$W,0),2))</f>
        <v/>
      </c>
      <c r="AE84" t="str">
        <f t="shared" si="21"/>
        <v/>
      </c>
      <c r="AF84" t="str">
        <f t="shared" si="22"/>
        <v/>
      </c>
      <c r="AJ84" t="str">
        <f>IF($V84="","",INDEX('Freeview-Gen Ent-more than min'!$U:$W,MATCH($V84,'Freeview-Gen Ent-more than min'!$W:$W,0),1))</f>
        <v/>
      </c>
      <c r="AK84" t="str">
        <f>IF($V84="","",INDEX('Freeview-Gen Ent-more than min'!$U:$W,MATCH($V84,'Freeview-Gen Ent-more than min'!$W:$W,0),2))</f>
        <v/>
      </c>
      <c r="AL84" t="str">
        <f t="shared" si="23"/>
        <v/>
      </c>
      <c r="AM84" t="str">
        <f t="shared" si="24"/>
        <v/>
      </c>
      <c r="AQ84" t="str">
        <f>IF('Freeview-Gen Ent'!O86&lt;&gt;0,'Freeview-Gen Ent'!O86,"")</f>
        <v/>
      </c>
      <c r="AR84" t="str">
        <f t="shared" si="25"/>
        <v/>
      </c>
      <c r="AS84" t="str">
        <f>IF($AQ84="","",INDEX('Freeview-Gen Ent'!$M:$O,MATCH($AQ84,'Freeview-Gen Ent'!$O:$O,0),1))</f>
        <v/>
      </c>
      <c r="AT84" t="str">
        <f>IF($AQ84="","",INDEX('Freeview-Gen Ent'!$M:$O,MATCH($AQ84,'Freeview-Gen Ent'!$O:$O,0),2))</f>
        <v/>
      </c>
      <c r="AX84" t="str">
        <f>IF($AQ84="","",INDEX('Freeview-Gen Ent'!$AC:$AE,MATCH($AQ84,'Freeview-Gen Ent'!$AE:$AE,0),1))</f>
        <v/>
      </c>
      <c r="AY84" t="str">
        <f>IF($AQ84="","",INDEX('Freeview-Gen Ent'!$AC:$AE,MATCH($AQ84,'Freeview-Gen Ent'!$AE:$AE,0),2))</f>
        <v/>
      </c>
      <c r="AZ84" t="str">
        <f t="shared" si="26"/>
        <v/>
      </c>
      <c r="BA84" t="str">
        <f t="shared" si="27"/>
        <v/>
      </c>
      <c r="BE84" t="str">
        <f>IF($AQ84="","",INDEX('Freeview-Gen Ent-more than min'!$AC:$AE,MATCH($AQ84,'Freeview-Gen Ent-more than min'!$AE:$AE,0),1))</f>
        <v/>
      </c>
      <c r="BF84" t="str">
        <f>IF($AQ84="","",INDEX('Freeview-Gen Ent-more than min'!$AC:$AE,MATCH($AQ84,'Freeview-Gen Ent-more than min'!$AE:$AE,0),2))</f>
        <v/>
      </c>
      <c r="BG84" t="str">
        <f t="shared" si="28"/>
        <v/>
      </c>
      <c r="BH84" t="str">
        <f t="shared" si="29"/>
        <v/>
      </c>
    </row>
    <row r="85" spans="1:60" x14ac:dyDescent="0.45">
      <c r="A85" t="str">
        <f>IF('Freeview-Gen Ent'!C87&lt;&gt;0,'Freeview-Gen Ent'!C87,"")</f>
        <v>Quest Red +1</v>
      </c>
      <c r="B85">
        <f t="shared" si="15"/>
        <v>1</v>
      </c>
      <c r="C85">
        <f>IF($A85="","",INDEX('Freeview-Gen Ent'!$A:$C,MATCH($A85,'Freeview-Gen Ent'!$C:$C,0),1))</f>
        <v>78</v>
      </c>
      <c r="D85">
        <f>IF($A85="","",INDEX('Freeview-Gen Ent'!$A:$C,MATCH($A85,'Freeview-Gen Ent'!$C:$C,0),2))</f>
        <v>72</v>
      </c>
      <c r="H85">
        <f>IF($A85="","",INDEX('Freeview-Gen Ent'!$Q:$S,MATCH($A85,'Freeview-Gen Ent'!$S:$S,0),1))</f>
        <v>79</v>
      </c>
      <c r="I85">
        <f>IF($A85="","",INDEX('Freeview-Gen Ent'!$Q:$S,MATCH($A85,'Freeview-Gen Ent'!$S:$S,0),2))</f>
        <v>72</v>
      </c>
      <c r="J85">
        <f t="shared" si="16"/>
        <v>0</v>
      </c>
      <c r="K85">
        <f t="shared" si="17"/>
        <v>1</v>
      </c>
      <c r="O85">
        <f>IF($A85="","",INDEX('Freeview-Gen Ent-more than min'!$Q:$S,MATCH($A85,'Freeview-Gen Ent-more than min'!$S:$S,0),1))</f>
        <v>79</v>
      </c>
      <c r="P85">
        <f>IF($A85="","",INDEX('Freeview-Gen Ent-more than min'!$Q:$S,MATCH($A85,'Freeview-Gen Ent-more than min'!$S:$S,0),2))</f>
        <v>72</v>
      </c>
      <c r="Q85">
        <f t="shared" si="18"/>
        <v>0</v>
      </c>
      <c r="R85">
        <f t="shared" si="19"/>
        <v>1</v>
      </c>
      <c r="V85" t="str">
        <f>IF('Freeview-Gen Ent'!G87&lt;&gt;0,'Freeview-Gen Ent'!G87,"")</f>
        <v>Quest Red +1</v>
      </c>
      <c r="W85">
        <f t="shared" si="20"/>
        <v>1</v>
      </c>
      <c r="X85">
        <f>IF($V85="","",INDEX('Freeview-Gen Ent'!$E:$G,MATCH($V85,'Freeview-Gen Ent'!$G:$G,0),1))</f>
        <v>78</v>
      </c>
      <c r="Y85">
        <f>IF($V85="","",INDEX('Freeview-Gen Ent'!$E:$G,MATCH($V85,'Freeview-Gen Ent'!$G:$G,0),2))</f>
        <v>75</v>
      </c>
      <c r="AC85">
        <f>IF($V85="","",INDEX('Freeview-Gen Ent'!$U:$W,MATCH($V85,'Freeview-Gen Ent'!$W:$W,0),1))</f>
        <v>79</v>
      </c>
      <c r="AD85">
        <f>IF($V85="","",INDEX('Freeview-Gen Ent'!$U:$W,MATCH($V85,'Freeview-Gen Ent'!$W:$W,0),2))</f>
        <v>75</v>
      </c>
      <c r="AE85">
        <f t="shared" si="21"/>
        <v>0</v>
      </c>
      <c r="AF85">
        <f t="shared" si="22"/>
        <v>1</v>
      </c>
      <c r="AJ85">
        <f>IF($V85="","",INDEX('Freeview-Gen Ent-more than min'!$U:$W,MATCH($V85,'Freeview-Gen Ent-more than min'!$W:$W,0),1))</f>
        <v>79</v>
      </c>
      <c r="AK85">
        <f>IF($V85="","",INDEX('Freeview-Gen Ent-more than min'!$U:$W,MATCH($V85,'Freeview-Gen Ent-more than min'!$W:$W,0),2))</f>
        <v>75</v>
      </c>
      <c r="AL85">
        <f t="shared" si="23"/>
        <v>0</v>
      </c>
      <c r="AM85">
        <f t="shared" si="24"/>
        <v>1</v>
      </c>
      <c r="AQ85" t="str">
        <f>IF('Freeview-Gen Ent'!O87&lt;&gt;0,'Freeview-Gen Ent'!O87,"")</f>
        <v>Quest Red +1</v>
      </c>
      <c r="AR85">
        <f t="shared" si="25"/>
        <v>1</v>
      </c>
      <c r="AS85">
        <f>IF($AQ85="","",INDEX('Freeview-Gen Ent'!$M:$O,MATCH($AQ85,'Freeview-Gen Ent'!$O:$O,0),1))</f>
        <v>78</v>
      </c>
      <c r="AT85">
        <f>IF($AQ85="","",INDEX('Freeview-Gen Ent'!$M:$O,MATCH($AQ85,'Freeview-Gen Ent'!$O:$O,0),2))</f>
        <v>73</v>
      </c>
      <c r="AX85">
        <f>IF($AQ85="","",INDEX('Freeview-Gen Ent'!$AC:$AE,MATCH($AQ85,'Freeview-Gen Ent'!$AE:$AE,0),1))</f>
        <v>79</v>
      </c>
      <c r="AY85">
        <f>IF($AQ85="","",INDEX('Freeview-Gen Ent'!$AC:$AE,MATCH($AQ85,'Freeview-Gen Ent'!$AE:$AE,0),2))</f>
        <v>73</v>
      </c>
      <c r="AZ85">
        <f t="shared" si="26"/>
        <v>0</v>
      </c>
      <c r="BA85">
        <f t="shared" si="27"/>
        <v>1</v>
      </c>
      <c r="BE85">
        <f>IF($AQ85="","",INDEX('Freeview-Gen Ent-more than min'!$AC:$AE,MATCH($AQ85,'Freeview-Gen Ent-more than min'!$AE:$AE,0),1))</f>
        <v>79</v>
      </c>
      <c r="BF85">
        <f>IF($AQ85="","",INDEX('Freeview-Gen Ent-more than min'!$AC:$AE,MATCH($AQ85,'Freeview-Gen Ent-more than min'!$AE:$AE,0),2))</f>
        <v>73</v>
      </c>
      <c r="BG85">
        <f t="shared" si="28"/>
        <v>0</v>
      </c>
      <c r="BH85">
        <f t="shared" si="29"/>
        <v>1</v>
      </c>
    </row>
    <row r="86" spans="1:60" x14ac:dyDescent="0.45">
      <c r="A86" t="str">
        <f>IF('Freeview-Gen Ent'!C88&lt;&gt;0,'Freeview-Gen Ent'!C88,"")</f>
        <v>Dave Ja VU</v>
      </c>
      <c r="B86">
        <f t="shared" si="15"/>
        <v>1</v>
      </c>
      <c r="C86">
        <f>IF($A86="","",INDEX('Freeview-Gen Ent'!$A:$C,MATCH($A86,'Freeview-Gen Ent'!$C:$C,0),1))</f>
        <v>79</v>
      </c>
      <c r="D86">
        <f>IF($A86="","",INDEX('Freeview-Gen Ent'!$A:$C,MATCH($A86,'Freeview-Gen Ent'!$C:$C,0),2))</f>
        <v>73</v>
      </c>
      <c r="H86">
        <f>IF($A86="","",INDEX('Freeview-Gen Ent'!$Q:$S,MATCH($A86,'Freeview-Gen Ent'!$S:$S,0),1))</f>
        <v>80</v>
      </c>
      <c r="I86">
        <f>IF($A86="","",INDEX('Freeview-Gen Ent'!$Q:$S,MATCH($A86,'Freeview-Gen Ent'!$S:$S,0),2))</f>
        <v>73</v>
      </c>
      <c r="J86">
        <f t="shared" si="16"/>
        <v>0</v>
      </c>
      <c r="K86">
        <f t="shared" si="17"/>
        <v>1</v>
      </c>
      <c r="O86">
        <f>IF($A86="","",INDEX('Freeview-Gen Ent-more than min'!$Q:$S,MATCH($A86,'Freeview-Gen Ent-more than min'!$S:$S,0),1))</f>
        <v>80</v>
      </c>
      <c r="P86">
        <f>IF($A86="","",INDEX('Freeview-Gen Ent-more than min'!$Q:$S,MATCH($A86,'Freeview-Gen Ent-more than min'!$S:$S,0),2))</f>
        <v>73</v>
      </c>
      <c r="Q86">
        <f t="shared" si="18"/>
        <v>0</v>
      </c>
      <c r="R86">
        <f t="shared" si="19"/>
        <v>1</v>
      </c>
      <c r="V86" t="str">
        <f>IF('Freeview-Gen Ent'!G88&lt;&gt;0,'Freeview-Gen Ent'!G88,"")</f>
        <v>Dave Ja VU</v>
      </c>
      <c r="W86">
        <f t="shared" si="20"/>
        <v>1</v>
      </c>
      <c r="X86">
        <f>IF($V86="","",INDEX('Freeview-Gen Ent'!$E:$G,MATCH($V86,'Freeview-Gen Ent'!$G:$G,0),1))</f>
        <v>79</v>
      </c>
      <c r="Y86">
        <f>IF($V86="","",INDEX('Freeview-Gen Ent'!$E:$G,MATCH($V86,'Freeview-Gen Ent'!$G:$G,0),2))</f>
        <v>76</v>
      </c>
      <c r="AC86">
        <f>IF($V86="","",INDEX('Freeview-Gen Ent'!$U:$W,MATCH($V86,'Freeview-Gen Ent'!$W:$W,0),1))</f>
        <v>80</v>
      </c>
      <c r="AD86">
        <f>IF($V86="","",INDEX('Freeview-Gen Ent'!$U:$W,MATCH($V86,'Freeview-Gen Ent'!$W:$W,0),2))</f>
        <v>76</v>
      </c>
      <c r="AE86">
        <f t="shared" si="21"/>
        <v>0</v>
      </c>
      <c r="AF86">
        <f t="shared" si="22"/>
        <v>1</v>
      </c>
      <c r="AJ86">
        <f>IF($V86="","",INDEX('Freeview-Gen Ent-more than min'!$U:$W,MATCH($V86,'Freeview-Gen Ent-more than min'!$W:$W,0),1))</f>
        <v>80</v>
      </c>
      <c r="AK86">
        <f>IF($V86="","",INDEX('Freeview-Gen Ent-more than min'!$U:$W,MATCH($V86,'Freeview-Gen Ent-more than min'!$W:$W,0),2))</f>
        <v>76</v>
      </c>
      <c r="AL86">
        <f t="shared" si="23"/>
        <v>0</v>
      </c>
      <c r="AM86">
        <f t="shared" si="24"/>
        <v>1</v>
      </c>
      <c r="AQ86" t="str">
        <f>IF('Freeview-Gen Ent'!O88&lt;&gt;0,'Freeview-Gen Ent'!O88,"")</f>
        <v>Dave Ja VU</v>
      </c>
      <c r="AR86">
        <f t="shared" si="25"/>
        <v>1</v>
      </c>
      <c r="AS86">
        <f>IF($AQ86="","",INDEX('Freeview-Gen Ent'!$M:$O,MATCH($AQ86,'Freeview-Gen Ent'!$O:$O,0),1))</f>
        <v>79</v>
      </c>
      <c r="AT86">
        <f>IF($AQ86="","",INDEX('Freeview-Gen Ent'!$M:$O,MATCH($AQ86,'Freeview-Gen Ent'!$O:$O,0),2))</f>
        <v>74</v>
      </c>
      <c r="AX86">
        <f>IF($AQ86="","",INDEX('Freeview-Gen Ent'!$AC:$AE,MATCH($AQ86,'Freeview-Gen Ent'!$AE:$AE,0),1))</f>
        <v>80</v>
      </c>
      <c r="AY86">
        <f>IF($AQ86="","",INDEX('Freeview-Gen Ent'!$AC:$AE,MATCH($AQ86,'Freeview-Gen Ent'!$AE:$AE,0),2))</f>
        <v>74</v>
      </c>
      <c r="AZ86">
        <f t="shared" si="26"/>
        <v>0</v>
      </c>
      <c r="BA86">
        <f t="shared" si="27"/>
        <v>1</v>
      </c>
      <c r="BE86">
        <f>IF($AQ86="","",INDEX('Freeview-Gen Ent-more than min'!$AC:$AE,MATCH($AQ86,'Freeview-Gen Ent-more than min'!$AE:$AE,0),1))</f>
        <v>80</v>
      </c>
      <c r="BF86">
        <f>IF($AQ86="","",INDEX('Freeview-Gen Ent-more than min'!$AC:$AE,MATCH($AQ86,'Freeview-Gen Ent-more than min'!$AE:$AE,0),2))</f>
        <v>74</v>
      </c>
      <c r="BG86">
        <f t="shared" si="28"/>
        <v>0</v>
      </c>
      <c r="BH86">
        <f t="shared" si="29"/>
        <v>1</v>
      </c>
    </row>
    <row r="87" spans="1:60" x14ac:dyDescent="0.45">
      <c r="A87" t="str">
        <f>IF('Freeview-Gen Ent'!C89&lt;&gt;0,'Freeview-Gen Ent'!C89,"")</f>
        <v>Blaze +1</v>
      </c>
      <c r="B87">
        <f t="shared" si="15"/>
        <v>1</v>
      </c>
      <c r="C87">
        <f>IF($A87="","",INDEX('Freeview-Gen Ent'!$A:$C,MATCH($A87,'Freeview-Gen Ent'!$C:$C,0),1))</f>
        <v>80</v>
      </c>
      <c r="D87">
        <f>IF($A87="","",INDEX('Freeview-Gen Ent'!$A:$C,MATCH($A87,'Freeview-Gen Ent'!$C:$C,0),2))</f>
        <v>74</v>
      </c>
      <c r="H87">
        <f>IF($A87="","",INDEX('Freeview-Gen Ent'!$Q:$S,MATCH($A87,'Freeview-Gen Ent'!$S:$S,0),1))</f>
        <v>81</v>
      </c>
      <c r="I87">
        <f>IF($A87="","",INDEX('Freeview-Gen Ent'!$Q:$S,MATCH($A87,'Freeview-Gen Ent'!$S:$S,0),2))</f>
        <v>74</v>
      </c>
      <c r="J87">
        <f t="shared" si="16"/>
        <v>0</v>
      </c>
      <c r="K87">
        <f t="shared" si="17"/>
        <v>1</v>
      </c>
      <c r="O87">
        <f>IF($A87="","",INDEX('Freeview-Gen Ent-more than min'!$Q:$S,MATCH($A87,'Freeview-Gen Ent-more than min'!$S:$S,0),1))</f>
        <v>81</v>
      </c>
      <c r="P87">
        <f>IF($A87="","",INDEX('Freeview-Gen Ent-more than min'!$Q:$S,MATCH($A87,'Freeview-Gen Ent-more than min'!$S:$S,0),2))</f>
        <v>74</v>
      </c>
      <c r="Q87">
        <f t="shared" si="18"/>
        <v>0</v>
      </c>
      <c r="R87">
        <f t="shared" si="19"/>
        <v>1</v>
      </c>
      <c r="V87" t="str">
        <f>IF('Freeview-Gen Ent'!G89&lt;&gt;0,'Freeview-Gen Ent'!G89,"")</f>
        <v>Blaze +1</v>
      </c>
      <c r="W87">
        <f t="shared" si="20"/>
        <v>1</v>
      </c>
      <c r="X87">
        <f>IF($V87="","",INDEX('Freeview-Gen Ent'!$E:$G,MATCH($V87,'Freeview-Gen Ent'!$G:$G,0),1))</f>
        <v>80</v>
      </c>
      <c r="Y87">
        <f>IF($V87="","",INDEX('Freeview-Gen Ent'!$E:$G,MATCH($V87,'Freeview-Gen Ent'!$G:$G,0),2))</f>
        <v>77</v>
      </c>
      <c r="AC87">
        <f>IF($V87="","",INDEX('Freeview-Gen Ent'!$U:$W,MATCH($V87,'Freeview-Gen Ent'!$W:$W,0),1))</f>
        <v>81</v>
      </c>
      <c r="AD87">
        <f>IF($V87="","",INDEX('Freeview-Gen Ent'!$U:$W,MATCH($V87,'Freeview-Gen Ent'!$W:$W,0),2))</f>
        <v>77</v>
      </c>
      <c r="AE87">
        <f t="shared" si="21"/>
        <v>0</v>
      </c>
      <c r="AF87">
        <f t="shared" si="22"/>
        <v>1</v>
      </c>
      <c r="AJ87">
        <f>IF($V87="","",INDEX('Freeview-Gen Ent-more than min'!$U:$W,MATCH($V87,'Freeview-Gen Ent-more than min'!$W:$W,0),1))</f>
        <v>81</v>
      </c>
      <c r="AK87">
        <f>IF($V87="","",INDEX('Freeview-Gen Ent-more than min'!$U:$W,MATCH($V87,'Freeview-Gen Ent-more than min'!$W:$W,0),2))</f>
        <v>77</v>
      </c>
      <c r="AL87">
        <f t="shared" si="23"/>
        <v>0</v>
      </c>
      <c r="AM87">
        <f t="shared" si="24"/>
        <v>1</v>
      </c>
      <c r="AQ87" t="str">
        <f>IF('Freeview-Gen Ent'!O89&lt;&gt;0,'Freeview-Gen Ent'!O89,"")</f>
        <v>Blaze +1</v>
      </c>
      <c r="AR87">
        <f t="shared" si="25"/>
        <v>1</v>
      </c>
      <c r="AS87">
        <f>IF($AQ87="","",INDEX('Freeview-Gen Ent'!$M:$O,MATCH($AQ87,'Freeview-Gen Ent'!$O:$O,0),1))</f>
        <v>80</v>
      </c>
      <c r="AT87">
        <f>IF($AQ87="","",INDEX('Freeview-Gen Ent'!$M:$O,MATCH($AQ87,'Freeview-Gen Ent'!$O:$O,0),2))</f>
        <v>75</v>
      </c>
      <c r="AX87">
        <f>IF($AQ87="","",INDEX('Freeview-Gen Ent'!$AC:$AE,MATCH($AQ87,'Freeview-Gen Ent'!$AE:$AE,0),1))</f>
        <v>81</v>
      </c>
      <c r="AY87">
        <f>IF($AQ87="","",INDEX('Freeview-Gen Ent'!$AC:$AE,MATCH($AQ87,'Freeview-Gen Ent'!$AE:$AE,0),2))</f>
        <v>75</v>
      </c>
      <c r="AZ87">
        <f t="shared" si="26"/>
        <v>0</v>
      </c>
      <c r="BA87">
        <f t="shared" si="27"/>
        <v>1</v>
      </c>
      <c r="BE87">
        <f>IF($AQ87="","",INDEX('Freeview-Gen Ent-more than min'!$AC:$AE,MATCH($AQ87,'Freeview-Gen Ent-more than min'!$AE:$AE,0),1))</f>
        <v>81</v>
      </c>
      <c r="BF87">
        <f>IF($AQ87="","",INDEX('Freeview-Gen Ent-more than min'!$AC:$AE,MATCH($AQ87,'Freeview-Gen Ent-more than min'!$AE:$AE,0),2))</f>
        <v>75</v>
      </c>
      <c r="BG87">
        <f t="shared" si="28"/>
        <v>0</v>
      </c>
      <c r="BH87">
        <f t="shared" si="29"/>
        <v>1</v>
      </c>
    </row>
    <row r="88" spans="1:60" x14ac:dyDescent="0.45">
      <c r="A88" t="str">
        <f>IF('Freeview-Gen Ent'!C90&lt;&gt;0,'Freeview-Gen Ent'!C90,"")</f>
        <v>Talking Pictures TV</v>
      </c>
      <c r="B88">
        <f t="shared" si="15"/>
        <v>1</v>
      </c>
      <c r="C88">
        <f>IF($A88="","",INDEX('Freeview-Gen Ent'!$A:$C,MATCH($A88,'Freeview-Gen Ent'!$C:$C,0),1))</f>
        <v>81</v>
      </c>
      <c r="D88">
        <f>IF($A88="","",INDEX('Freeview-Gen Ent'!$A:$C,MATCH($A88,'Freeview-Gen Ent'!$C:$C,0),2))</f>
        <v>75</v>
      </c>
      <c r="H88">
        <f>IF($A88="","",INDEX('Freeview-Gen Ent'!$Q:$S,MATCH($A88,'Freeview-Gen Ent'!$S:$S,0),1))</f>
        <v>82</v>
      </c>
      <c r="I88">
        <f>IF($A88="","",INDEX('Freeview-Gen Ent'!$Q:$S,MATCH($A88,'Freeview-Gen Ent'!$S:$S,0),2))</f>
        <v>75</v>
      </c>
      <c r="J88">
        <f t="shared" si="16"/>
        <v>0</v>
      </c>
      <c r="K88">
        <f t="shared" si="17"/>
        <v>1</v>
      </c>
      <c r="O88">
        <f>IF($A88="","",INDEX('Freeview-Gen Ent-more than min'!$Q:$S,MATCH($A88,'Freeview-Gen Ent-more than min'!$S:$S,0),1))</f>
        <v>82</v>
      </c>
      <c r="P88">
        <f>IF($A88="","",INDEX('Freeview-Gen Ent-more than min'!$Q:$S,MATCH($A88,'Freeview-Gen Ent-more than min'!$S:$S,0),2))</f>
        <v>75</v>
      </c>
      <c r="Q88">
        <f t="shared" si="18"/>
        <v>0</v>
      </c>
      <c r="R88">
        <f t="shared" si="19"/>
        <v>1</v>
      </c>
      <c r="V88" t="str">
        <f>IF('Freeview-Gen Ent'!G90&lt;&gt;0,'Freeview-Gen Ent'!G90,"")</f>
        <v>Talking Pictures TV</v>
      </c>
      <c r="W88">
        <f t="shared" si="20"/>
        <v>1</v>
      </c>
      <c r="X88">
        <f>IF($V88="","",INDEX('Freeview-Gen Ent'!$E:$G,MATCH($V88,'Freeview-Gen Ent'!$G:$G,0),1))</f>
        <v>81</v>
      </c>
      <c r="Y88">
        <f>IF($V88="","",INDEX('Freeview-Gen Ent'!$E:$G,MATCH($V88,'Freeview-Gen Ent'!$G:$G,0),2))</f>
        <v>78</v>
      </c>
      <c r="AC88">
        <f>IF($V88="","",INDEX('Freeview-Gen Ent'!$U:$W,MATCH($V88,'Freeview-Gen Ent'!$W:$W,0),1))</f>
        <v>82</v>
      </c>
      <c r="AD88">
        <f>IF($V88="","",INDEX('Freeview-Gen Ent'!$U:$W,MATCH($V88,'Freeview-Gen Ent'!$W:$W,0),2))</f>
        <v>78</v>
      </c>
      <c r="AE88">
        <f t="shared" si="21"/>
        <v>0</v>
      </c>
      <c r="AF88">
        <f t="shared" si="22"/>
        <v>1</v>
      </c>
      <c r="AJ88">
        <f>IF($V88="","",INDEX('Freeview-Gen Ent-more than min'!$U:$W,MATCH($V88,'Freeview-Gen Ent-more than min'!$W:$W,0),1))</f>
        <v>82</v>
      </c>
      <c r="AK88">
        <f>IF($V88="","",INDEX('Freeview-Gen Ent-more than min'!$U:$W,MATCH($V88,'Freeview-Gen Ent-more than min'!$W:$W,0),2))</f>
        <v>78</v>
      </c>
      <c r="AL88">
        <f t="shared" si="23"/>
        <v>0</v>
      </c>
      <c r="AM88">
        <f t="shared" si="24"/>
        <v>1</v>
      </c>
      <c r="AQ88" t="str">
        <f>IF('Freeview-Gen Ent'!O90&lt;&gt;0,'Freeview-Gen Ent'!O90,"")</f>
        <v>Talking Pictures TV</v>
      </c>
      <c r="AR88">
        <f t="shared" si="25"/>
        <v>1</v>
      </c>
      <c r="AS88">
        <f>IF($AQ88="","",INDEX('Freeview-Gen Ent'!$M:$O,MATCH($AQ88,'Freeview-Gen Ent'!$O:$O,0),1))</f>
        <v>81</v>
      </c>
      <c r="AT88">
        <f>IF($AQ88="","",INDEX('Freeview-Gen Ent'!$M:$O,MATCH($AQ88,'Freeview-Gen Ent'!$O:$O,0),2))</f>
        <v>76</v>
      </c>
      <c r="AX88">
        <f>IF($AQ88="","",INDEX('Freeview-Gen Ent'!$AC:$AE,MATCH($AQ88,'Freeview-Gen Ent'!$AE:$AE,0),1))</f>
        <v>82</v>
      </c>
      <c r="AY88">
        <f>IF($AQ88="","",INDEX('Freeview-Gen Ent'!$AC:$AE,MATCH($AQ88,'Freeview-Gen Ent'!$AE:$AE,0),2))</f>
        <v>76</v>
      </c>
      <c r="AZ88">
        <f t="shared" si="26"/>
        <v>0</v>
      </c>
      <c r="BA88">
        <f t="shared" si="27"/>
        <v>1</v>
      </c>
      <c r="BE88">
        <f>IF($AQ88="","",INDEX('Freeview-Gen Ent-more than min'!$AC:$AE,MATCH($AQ88,'Freeview-Gen Ent-more than min'!$AE:$AE,0),1))</f>
        <v>82</v>
      </c>
      <c r="BF88">
        <f>IF($AQ88="","",INDEX('Freeview-Gen Ent-more than min'!$AC:$AE,MATCH($AQ88,'Freeview-Gen Ent-more than min'!$AE:$AE,0),2))</f>
        <v>76</v>
      </c>
      <c r="BG88">
        <f t="shared" si="28"/>
        <v>0</v>
      </c>
      <c r="BH88">
        <f t="shared" si="29"/>
        <v>1</v>
      </c>
    </row>
    <row r="89" spans="1:60" x14ac:dyDescent="0.45">
      <c r="A89" t="str">
        <f>IF('Freeview-Gen Ent'!C91&lt;&gt;0,'Freeview-Gen Ent'!C91,"")</f>
        <v/>
      </c>
      <c r="B89" t="str">
        <f t="shared" si="15"/>
        <v/>
      </c>
      <c r="C89" t="str">
        <f>IF($A89="","",INDEX('Freeview-Gen Ent'!$A:$C,MATCH($A89,'Freeview-Gen Ent'!$C:$C,0),1))</f>
        <v/>
      </c>
      <c r="D89" t="str">
        <f>IF($A89="","",INDEX('Freeview-Gen Ent'!$A:$C,MATCH($A89,'Freeview-Gen Ent'!$C:$C,0),2))</f>
        <v/>
      </c>
      <c r="H89" t="str">
        <f>IF($A89="","",INDEX('Freeview-Gen Ent'!$Q:$S,MATCH($A89,'Freeview-Gen Ent'!$S:$S,0),1))</f>
        <v/>
      </c>
      <c r="I89" t="str">
        <f>IF($A89="","",INDEX('Freeview-Gen Ent'!$Q:$S,MATCH($A89,'Freeview-Gen Ent'!$S:$S,0),2))</f>
        <v/>
      </c>
      <c r="J89" t="str">
        <f t="shared" si="16"/>
        <v/>
      </c>
      <c r="K89" t="str">
        <f t="shared" si="17"/>
        <v/>
      </c>
      <c r="O89" t="str">
        <f>IF($A89="","",INDEX('Freeview-Gen Ent-more than min'!$Q:$S,MATCH($A89,'Freeview-Gen Ent-more than min'!$S:$S,0),1))</f>
        <v/>
      </c>
      <c r="P89" t="str">
        <f>IF($A89="","",INDEX('Freeview-Gen Ent-more than min'!$Q:$S,MATCH($A89,'Freeview-Gen Ent-more than min'!$S:$S,0),2))</f>
        <v/>
      </c>
      <c r="Q89" t="str">
        <f t="shared" si="18"/>
        <v/>
      </c>
      <c r="R89" t="str">
        <f t="shared" si="19"/>
        <v/>
      </c>
      <c r="V89" t="str">
        <f>IF('Freeview-Gen Ent'!G91&lt;&gt;0,'Freeview-Gen Ent'!G91,"")</f>
        <v/>
      </c>
      <c r="W89" t="str">
        <f t="shared" si="20"/>
        <v/>
      </c>
      <c r="X89" t="str">
        <f>IF($V89="","",INDEX('Freeview-Gen Ent'!$E:$G,MATCH($V89,'Freeview-Gen Ent'!$G:$G,0),1))</f>
        <v/>
      </c>
      <c r="Y89" t="str">
        <f>IF($V89="","",INDEX('Freeview-Gen Ent'!$E:$G,MATCH($V89,'Freeview-Gen Ent'!$G:$G,0),2))</f>
        <v/>
      </c>
      <c r="AC89" t="str">
        <f>IF($V89="","",INDEX('Freeview-Gen Ent'!$U:$W,MATCH($V89,'Freeview-Gen Ent'!$W:$W,0),1))</f>
        <v/>
      </c>
      <c r="AD89" t="str">
        <f>IF($V89="","",INDEX('Freeview-Gen Ent'!$U:$W,MATCH($V89,'Freeview-Gen Ent'!$W:$W,0),2))</f>
        <v/>
      </c>
      <c r="AE89" t="str">
        <f t="shared" si="21"/>
        <v/>
      </c>
      <c r="AF89" t="str">
        <f t="shared" si="22"/>
        <v/>
      </c>
      <c r="AJ89" t="str">
        <f>IF($V89="","",INDEX('Freeview-Gen Ent-more than min'!$U:$W,MATCH($V89,'Freeview-Gen Ent-more than min'!$W:$W,0),1))</f>
        <v/>
      </c>
      <c r="AK89" t="str">
        <f>IF($V89="","",INDEX('Freeview-Gen Ent-more than min'!$U:$W,MATCH($V89,'Freeview-Gen Ent-more than min'!$W:$W,0),2))</f>
        <v/>
      </c>
      <c r="AL89" t="str">
        <f t="shared" si="23"/>
        <v/>
      </c>
      <c r="AM89" t="str">
        <f t="shared" si="24"/>
        <v/>
      </c>
      <c r="AQ89" t="str">
        <f>IF('Freeview-Gen Ent'!O91&lt;&gt;0,'Freeview-Gen Ent'!O91,"")</f>
        <v/>
      </c>
      <c r="AR89" t="str">
        <f t="shared" si="25"/>
        <v/>
      </c>
      <c r="AS89" t="str">
        <f>IF($AQ89="","",INDEX('Freeview-Gen Ent'!$M:$O,MATCH($AQ89,'Freeview-Gen Ent'!$O:$O,0),1))</f>
        <v/>
      </c>
      <c r="AT89" t="str">
        <f>IF($AQ89="","",INDEX('Freeview-Gen Ent'!$M:$O,MATCH($AQ89,'Freeview-Gen Ent'!$O:$O,0),2))</f>
        <v/>
      </c>
      <c r="AX89" t="str">
        <f>IF($AQ89="","",INDEX('Freeview-Gen Ent'!$AC:$AE,MATCH($AQ89,'Freeview-Gen Ent'!$AE:$AE,0),1))</f>
        <v/>
      </c>
      <c r="AY89" t="str">
        <f>IF($AQ89="","",INDEX('Freeview-Gen Ent'!$AC:$AE,MATCH($AQ89,'Freeview-Gen Ent'!$AE:$AE,0),2))</f>
        <v/>
      </c>
      <c r="AZ89" t="str">
        <f t="shared" si="26"/>
        <v/>
      </c>
      <c r="BA89" t="str">
        <f t="shared" si="27"/>
        <v/>
      </c>
      <c r="BE89" t="str">
        <f>IF($AQ89="","",INDEX('Freeview-Gen Ent-more than min'!$AC:$AE,MATCH($AQ89,'Freeview-Gen Ent-more than min'!$AE:$AE,0),1))</f>
        <v/>
      </c>
      <c r="BF89" t="str">
        <f>IF($AQ89="","",INDEX('Freeview-Gen Ent-more than min'!$AC:$AE,MATCH($AQ89,'Freeview-Gen Ent-more than min'!$AE:$AE,0),2))</f>
        <v/>
      </c>
      <c r="BG89" t="str">
        <f t="shared" si="28"/>
        <v/>
      </c>
      <c r="BH89" t="str">
        <f t="shared" si="29"/>
        <v/>
      </c>
    </row>
    <row r="90" spans="1:60" x14ac:dyDescent="0.45">
      <c r="A90" t="str">
        <f>IF('Freeview-Gen Ent'!C92&lt;&gt;0,'Freeview-Gen Ent'!C92,"")</f>
        <v/>
      </c>
      <c r="B90" t="str">
        <f t="shared" si="15"/>
        <v/>
      </c>
      <c r="C90" t="str">
        <f>IF($A90="","",INDEX('Freeview-Gen Ent'!$A:$C,MATCH($A90,'Freeview-Gen Ent'!$C:$C,0),1))</f>
        <v/>
      </c>
      <c r="D90" t="str">
        <f>IF($A90="","",INDEX('Freeview-Gen Ent'!$A:$C,MATCH($A90,'Freeview-Gen Ent'!$C:$C,0),2))</f>
        <v/>
      </c>
      <c r="H90" t="str">
        <f>IF($A90="","",INDEX('Freeview-Gen Ent'!$Q:$S,MATCH($A90,'Freeview-Gen Ent'!$S:$S,0),1))</f>
        <v/>
      </c>
      <c r="I90" t="str">
        <f>IF($A90="","",INDEX('Freeview-Gen Ent'!$Q:$S,MATCH($A90,'Freeview-Gen Ent'!$S:$S,0),2))</f>
        <v/>
      </c>
      <c r="J90" t="str">
        <f t="shared" si="16"/>
        <v/>
      </c>
      <c r="K90" t="str">
        <f t="shared" si="17"/>
        <v/>
      </c>
      <c r="O90" t="str">
        <f>IF($A90="","",INDEX('Freeview-Gen Ent-more than min'!$Q:$S,MATCH($A90,'Freeview-Gen Ent-more than min'!$S:$S,0),1))</f>
        <v/>
      </c>
      <c r="P90" t="str">
        <f>IF($A90="","",INDEX('Freeview-Gen Ent-more than min'!$Q:$S,MATCH($A90,'Freeview-Gen Ent-more than min'!$S:$S,0),2))</f>
        <v/>
      </c>
      <c r="Q90" t="str">
        <f t="shared" si="18"/>
        <v/>
      </c>
      <c r="R90" t="str">
        <f t="shared" si="19"/>
        <v/>
      </c>
      <c r="V90" t="str">
        <f>IF('Freeview-Gen Ent'!G92&lt;&gt;0,'Freeview-Gen Ent'!G92,"")</f>
        <v/>
      </c>
      <c r="W90" t="str">
        <f t="shared" si="20"/>
        <v/>
      </c>
      <c r="X90" t="str">
        <f>IF($V90="","",INDEX('Freeview-Gen Ent'!$E:$G,MATCH($V90,'Freeview-Gen Ent'!$G:$G,0),1))</f>
        <v/>
      </c>
      <c r="Y90" t="str">
        <f>IF($V90="","",INDEX('Freeview-Gen Ent'!$E:$G,MATCH($V90,'Freeview-Gen Ent'!$G:$G,0),2))</f>
        <v/>
      </c>
      <c r="AC90" t="str">
        <f>IF($V90="","",INDEX('Freeview-Gen Ent'!$U:$W,MATCH($V90,'Freeview-Gen Ent'!$W:$W,0),1))</f>
        <v/>
      </c>
      <c r="AD90" t="str">
        <f>IF($V90="","",INDEX('Freeview-Gen Ent'!$U:$W,MATCH($V90,'Freeview-Gen Ent'!$W:$W,0),2))</f>
        <v/>
      </c>
      <c r="AE90" t="str">
        <f t="shared" si="21"/>
        <v/>
      </c>
      <c r="AF90" t="str">
        <f t="shared" si="22"/>
        <v/>
      </c>
      <c r="AJ90" t="str">
        <f>IF($V90="","",INDEX('Freeview-Gen Ent-more than min'!$U:$W,MATCH($V90,'Freeview-Gen Ent-more than min'!$W:$W,0),1))</f>
        <v/>
      </c>
      <c r="AK90" t="str">
        <f>IF($V90="","",INDEX('Freeview-Gen Ent-more than min'!$U:$W,MATCH($V90,'Freeview-Gen Ent-more than min'!$W:$W,0),2))</f>
        <v/>
      </c>
      <c r="AL90" t="str">
        <f t="shared" si="23"/>
        <v/>
      </c>
      <c r="AM90" t="str">
        <f t="shared" si="24"/>
        <v/>
      </c>
      <c r="AQ90" t="str">
        <f>IF('Freeview-Gen Ent'!O92&lt;&gt;0,'Freeview-Gen Ent'!O92,"")</f>
        <v/>
      </c>
      <c r="AR90" t="str">
        <f t="shared" si="25"/>
        <v/>
      </c>
      <c r="AS90" t="str">
        <f>IF($AQ90="","",INDEX('Freeview-Gen Ent'!$M:$O,MATCH($AQ90,'Freeview-Gen Ent'!$O:$O,0),1))</f>
        <v/>
      </c>
      <c r="AT90" t="str">
        <f>IF($AQ90="","",INDEX('Freeview-Gen Ent'!$M:$O,MATCH($AQ90,'Freeview-Gen Ent'!$O:$O,0),2))</f>
        <v/>
      </c>
      <c r="AX90" t="str">
        <f>IF($AQ90="","",INDEX('Freeview-Gen Ent'!$AC:$AE,MATCH($AQ90,'Freeview-Gen Ent'!$AE:$AE,0),1))</f>
        <v/>
      </c>
      <c r="AY90" t="str">
        <f>IF($AQ90="","",INDEX('Freeview-Gen Ent'!$AC:$AE,MATCH($AQ90,'Freeview-Gen Ent'!$AE:$AE,0),2))</f>
        <v/>
      </c>
      <c r="AZ90" t="str">
        <f t="shared" si="26"/>
        <v/>
      </c>
      <c r="BA90" t="str">
        <f t="shared" si="27"/>
        <v/>
      </c>
      <c r="BE90" t="str">
        <f>IF($AQ90="","",INDEX('Freeview-Gen Ent-more than min'!$AC:$AE,MATCH($AQ90,'Freeview-Gen Ent-more than min'!$AE:$AE,0),1))</f>
        <v/>
      </c>
      <c r="BF90" t="str">
        <f>IF($AQ90="","",INDEX('Freeview-Gen Ent-more than min'!$AC:$AE,MATCH($AQ90,'Freeview-Gen Ent-more than min'!$AE:$AE,0),2))</f>
        <v/>
      </c>
      <c r="BG90" t="str">
        <f t="shared" si="28"/>
        <v/>
      </c>
      <c r="BH90" t="str">
        <f t="shared" si="29"/>
        <v/>
      </c>
    </row>
    <row r="91" spans="1:60" x14ac:dyDescent="0.45">
      <c r="A91" t="str">
        <f>IF('Freeview-Gen Ent'!C93&lt;&gt;0,'Freeview-Gen Ent'!C93,"")</f>
        <v/>
      </c>
      <c r="B91" t="str">
        <f t="shared" si="15"/>
        <v/>
      </c>
      <c r="C91" t="str">
        <f>IF($A91="","",INDEX('Freeview-Gen Ent'!$A:$C,MATCH($A91,'Freeview-Gen Ent'!$C:$C,0),1))</f>
        <v/>
      </c>
      <c r="D91" t="str">
        <f>IF($A91="","",INDEX('Freeview-Gen Ent'!$A:$C,MATCH($A91,'Freeview-Gen Ent'!$C:$C,0),2))</f>
        <v/>
      </c>
      <c r="H91" t="str">
        <f>IF($A91="","",INDEX('Freeview-Gen Ent'!$Q:$S,MATCH($A91,'Freeview-Gen Ent'!$S:$S,0),1))</f>
        <v/>
      </c>
      <c r="I91" t="str">
        <f>IF($A91="","",INDEX('Freeview-Gen Ent'!$Q:$S,MATCH($A91,'Freeview-Gen Ent'!$S:$S,0),2))</f>
        <v/>
      </c>
      <c r="J91" t="str">
        <f t="shared" si="16"/>
        <v/>
      </c>
      <c r="K91" t="str">
        <f t="shared" si="17"/>
        <v/>
      </c>
      <c r="O91" t="str">
        <f>IF($A91="","",INDEX('Freeview-Gen Ent-more than min'!$Q:$S,MATCH($A91,'Freeview-Gen Ent-more than min'!$S:$S,0),1))</f>
        <v/>
      </c>
      <c r="P91" t="str">
        <f>IF($A91="","",INDEX('Freeview-Gen Ent-more than min'!$Q:$S,MATCH($A91,'Freeview-Gen Ent-more than min'!$S:$S,0),2))</f>
        <v/>
      </c>
      <c r="Q91" t="str">
        <f t="shared" si="18"/>
        <v/>
      </c>
      <c r="R91" t="str">
        <f t="shared" si="19"/>
        <v/>
      </c>
      <c r="V91" t="str">
        <f>IF('Freeview-Gen Ent'!G93&lt;&gt;0,'Freeview-Gen Ent'!G93,"")</f>
        <v/>
      </c>
      <c r="W91" t="str">
        <f t="shared" si="20"/>
        <v/>
      </c>
      <c r="X91" t="str">
        <f>IF($V91="","",INDEX('Freeview-Gen Ent'!$E:$G,MATCH($V91,'Freeview-Gen Ent'!$G:$G,0),1))</f>
        <v/>
      </c>
      <c r="Y91" t="str">
        <f>IF($V91="","",INDEX('Freeview-Gen Ent'!$E:$G,MATCH($V91,'Freeview-Gen Ent'!$G:$G,0),2))</f>
        <v/>
      </c>
      <c r="AC91" t="str">
        <f>IF($V91="","",INDEX('Freeview-Gen Ent'!$U:$W,MATCH($V91,'Freeview-Gen Ent'!$W:$W,0),1))</f>
        <v/>
      </c>
      <c r="AD91" t="str">
        <f>IF($V91="","",INDEX('Freeview-Gen Ent'!$U:$W,MATCH($V91,'Freeview-Gen Ent'!$W:$W,0),2))</f>
        <v/>
      </c>
      <c r="AE91" t="str">
        <f t="shared" si="21"/>
        <v/>
      </c>
      <c r="AF91" t="str">
        <f t="shared" si="22"/>
        <v/>
      </c>
      <c r="AJ91" t="str">
        <f>IF($V91="","",INDEX('Freeview-Gen Ent-more than min'!$U:$W,MATCH($V91,'Freeview-Gen Ent-more than min'!$W:$W,0),1))</f>
        <v/>
      </c>
      <c r="AK91" t="str">
        <f>IF($V91="","",INDEX('Freeview-Gen Ent-more than min'!$U:$W,MATCH($V91,'Freeview-Gen Ent-more than min'!$W:$W,0),2))</f>
        <v/>
      </c>
      <c r="AL91" t="str">
        <f t="shared" si="23"/>
        <v/>
      </c>
      <c r="AM91" t="str">
        <f t="shared" si="24"/>
        <v/>
      </c>
      <c r="AQ91" t="str">
        <f>IF('Freeview-Gen Ent'!O93&lt;&gt;0,'Freeview-Gen Ent'!O93,"")</f>
        <v/>
      </c>
      <c r="AR91" t="str">
        <f t="shared" si="25"/>
        <v/>
      </c>
      <c r="AS91" t="str">
        <f>IF($AQ91="","",INDEX('Freeview-Gen Ent'!$M:$O,MATCH($AQ91,'Freeview-Gen Ent'!$O:$O,0),1))</f>
        <v/>
      </c>
      <c r="AT91" t="str">
        <f>IF($AQ91="","",INDEX('Freeview-Gen Ent'!$M:$O,MATCH($AQ91,'Freeview-Gen Ent'!$O:$O,0),2))</f>
        <v/>
      </c>
      <c r="AX91" t="str">
        <f>IF($AQ91="","",INDEX('Freeview-Gen Ent'!$AC:$AE,MATCH($AQ91,'Freeview-Gen Ent'!$AE:$AE,0),1))</f>
        <v/>
      </c>
      <c r="AY91" t="str">
        <f>IF($AQ91="","",INDEX('Freeview-Gen Ent'!$AC:$AE,MATCH($AQ91,'Freeview-Gen Ent'!$AE:$AE,0),2))</f>
        <v/>
      </c>
      <c r="AZ91" t="str">
        <f t="shared" si="26"/>
        <v/>
      </c>
      <c r="BA91" t="str">
        <f t="shared" si="27"/>
        <v/>
      </c>
      <c r="BE91" t="str">
        <f>IF($AQ91="","",INDEX('Freeview-Gen Ent-more than min'!$AC:$AE,MATCH($AQ91,'Freeview-Gen Ent-more than min'!$AE:$AE,0),1))</f>
        <v/>
      </c>
      <c r="BF91" t="str">
        <f>IF($AQ91="","",INDEX('Freeview-Gen Ent-more than min'!$AC:$AE,MATCH($AQ91,'Freeview-Gen Ent-more than min'!$AE:$AE,0),2))</f>
        <v/>
      </c>
      <c r="BG91" t="str">
        <f t="shared" si="28"/>
        <v/>
      </c>
      <c r="BH91" t="str">
        <f t="shared" si="29"/>
        <v/>
      </c>
    </row>
    <row r="92" spans="1:60" x14ac:dyDescent="0.45">
      <c r="A92" t="str">
        <f>IF('Freeview-Gen Ent'!C94&lt;&gt;0,'Freeview-Gen Ent'!C94,"")</f>
        <v>Hochanda</v>
      </c>
      <c r="B92">
        <f t="shared" si="15"/>
        <v>1</v>
      </c>
      <c r="C92">
        <f>IF($A92="","",INDEX('Freeview-Gen Ent'!$A:$C,MATCH($A92,'Freeview-Gen Ent'!$C:$C,0),1))</f>
        <v>85</v>
      </c>
      <c r="D92">
        <f>IF($A92="","",INDEX('Freeview-Gen Ent'!$A:$C,MATCH($A92,'Freeview-Gen Ent'!$C:$C,0),2))</f>
        <v>76</v>
      </c>
      <c r="H92">
        <f>IF($A92="","",INDEX('Freeview-Gen Ent'!$Q:$S,MATCH($A92,'Freeview-Gen Ent'!$S:$S,0),1))</f>
        <v>85</v>
      </c>
      <c r="I92">
        <f>IF($A92="","",INDEX('Freeview-Gen Ent'!$Q:$S,MATCH($A92,'Freeview-Gen Ent'!$S:$S,0),2))</f>
        <v>76</v>
      </c>
      <c r="J92">
        <f t="shared" si="16"/>
        <v>0</v>
      </c>
      <c r="K92">
        <f t="shared" si="17"/>
        <v>0</v>
      </c>
      <c r="O92">
        <f>IF($A92="","",INDEX('Freeview-Gen Ent-more than min'!$Q:$S,MATCH($A92,'Freeview-Gen Ent-more than min'!$S:$S,0),1))</f>
        <v>85</v>
      </c>
      <c r="P92">
        <f>IF($A92="","",INDEX('Freeview-Gen Ent-more than min'!$Q:$S,MATCH($A92,'Freeview-Gen Ent-more than min'!$S:$S,0),2))</f>
        <v>76</v>
      </c>
      <c r="Q92">
        <f t="shared" si="18"/>
        <v>0</v>
      </c>
      <c r="R92">
        <f t="shared" si="19"/>
        <v>0</v>
      </c>
      <c r="V92" t="str">
        <f>IF('Freeview-Gen Ent'!G94&lt;&gt;0,'Freeview-Gen Ent'!G94,"")</f>
        <v>Hochanda</v>
      </c>
      <c r="W92">
        <f t="shared" si="20"/>
        <v>1</v>
      </c>
      <c r="X92">
        <f>IF($V92="","",INDEX('Freeview-Gen Ent'!$E:$G,MATCH($V92,'Freeview-Gen Ent'!$G:$G,0),1))</f>
        <v>85</v>
      </c>
      <c r="Y92">
        <f>IF($V92="","",INDEX('Freeview-Gen Ent'!$E:$G,MATCH($V92,'Freeview-Gen Ent'!$G:$G,0),2))</f>
        <v>79</v>
      </c>
      <c r="AC92">
        <f>IF($V92="","",INDEX('Freeview-Gen Ent'!$U:$W,MATCH($V92,'Freeview-Gen Ent'!$W:$W,0),1))</f>
        <v>85</v>
      </c>
      <c r="AD92">
        <f>IF($V92="","",INDEX('Freeview-Gen Ent'!$U:$W,MATCH($V92,'Freeview-Gen Ent'!$W:$W,0),2))</f>
        <v>79</v>
      </c>
      <c r="AE92">
        <f t="shared" si="21"/>
        <v>0</v>
      </c>
      <c r="AF92">
        <f t="shared" si="22"/>
        <v>0</v>
      </c>
      <c r="AJ92">
        <f>IF($V92="","",INDEX('Freeview-Gen Ent-more than min'!$U:$W,MATCH($V92,'Freeview-Gen Ent-more than min'!$W:$W,0),1))</f>
        <v>85</v>
      </c>
      <c r="AK92">
        <f>IF($V92="","",INDEX('Freeview-Gen Ent-more than min'!$U:$W,MATCH($V92,'Freeview-Gen Ent-more than min'!$W:$W,0),2))</f>
        <v>79</v>
      </c>
      <c r="AL92">
        <f t="shared" si="23"/>
        <v>0</v>
      </c>
      <c r="AM92">
        <f t="shared" si="24"/>
        <v>0</v>
      </c>
      <c r="AQ92" t="str">
        <f>IF('Freeview-Gen Ent'!O94&lt;&gt;0,'Freeview-Gen Ent'!O94,"")</f>
        <v>Hochanda</v>
      </c>
      <c r="AR92">
        <f t="shared" si="25"/>
        <v>1</v>
      </c>
      <c r="AS92">
        <f>IF($AQ92="","",INDEX('Freeview-Gen Ent'!$M:$O,MATCH($AQ92,'Freeview-Gen Ent'!$O:$O,0),1))</f>
        <v>85</v>
      </c>
      <c r="AT92">
        <f>IF($AQ92="","",INDEX('Freeview-Gen Ent'!$M:$O,MATCH($AQ92,'Freeview-Gen Ent'!$O:$O,0),2))</f>
        <v>77</v>
      </c>
      <c r="AX92">
        <f>IF($AQ92="","",INDEX('Freeview-Gen Ent'!$AC:$AE,MATCH($AQ92,'Freeview-Gen Ent'!$AE:$AE,0),1))</f>
        <v>85</v>
      </c>
      <c r="AY92">
        <f>IF($AQ92="","",INDEX('Freeview-Gen Ent'!$AC:$AE,MATCH($AQ92,'Freeview-Gen Ent'!$AE:$AE,0),2))</f>
        <v>77</v>
      </c>
      <c r="AZ92">
        <f t="shared" si="26"/>
        <v>0</v>
      </c>
      <c r="BA92">
        <f t="shared" si="27"/>
        <v>0</v>
      </c>
      <c r="BE92">
        <f>IF($AQ92="","",INDEX('Freeview-Gen Ent-more than min'!$AC:$AE,MATCH($AQ92,'Freeview-Gen Ent-more than min'!$AE:$AE,0),1))</f>
        <v>85</v>
      </c>
      <c r="BF92">
        <f>IF($AQ92="","",INDEX('Freeview-Gen Ent-more than min'!$AC:$AE,MATCH($AQ92,'Freeview-Gen Ent-more than min'!$AE:$AE,0),2))</f>
        <v>77</v>
      </c>
      <c r="BG92">
        <f t="shared" si="28"/>
        <v>0</v>
      </c>
      <c r="BH92">
        <f t="shared" si="29"/>
        <v>0</v>
      </c>
    </row>
    <row r="93" spans="1:60" ht="28.5" x14ac:dyDescent="0.45">
      <c r="A93" s="2" t="s">
        <v>657</v>
      </c>
      <c r="H93" s="2" t="s">
        <v>201</v>
      </c>
      <c r="I93" s="2" t="s">
        <v>201</v>
      </c>
      <c r="O93" s="2" t="s">
        <v>201</v>
      </c>
      <c r="P93" s="2" t="s">
        <v>201</v>
      </c>
      <c r="AC93" s="2" t="s">
        <v>201</v>
      </c>
      <c r="AD93" s="2" t="s">
        <v>201</v>
      </c>
      <c r="AJ93" s="2" t="s">
        <v>201</v>
      </c>
      <c r="AK93" s="2" t="s">
        <v>201</v>
      </c>
      <c r="AX93" s="2" t="s">
        <v>201</v>
      </c>
      <c r="AY93" s="2" t="s">
        <v>201</v>
      </c>
      <c r="BE93" s="2" t="s">
        <v>201</v>
      </c>
      <c r="BF93" s="2" t="s">
        <v>201</v>
      </c>
    </row>
    <row r="94" spans="1:60" ht="42.75" x14ac:dyDescent="0.45">
      <c r="H94" s="2" t="s">
        <v>220</v>
      </c>
      <c r="K94">
        <f>COUNTIF(K8:K92,1)</f>
        <v>53</v>
      </c>
      <c r="R94">
        <f>COUNTIF(R8:R92,1)</f>
        <v>68</v>
      </c>
      <c r="AF94">
        <f>COUNTIF(AF8:AF92,1)</f>
        <v>56</v>
      </c>
      <c r="AM94">
        <f>COUNTIF(AM8:AM92,1)</f>
        <v>71</v>
      </c>
      <c r="BA94">
        <f>COUNTIF(BA8:BA92,1)</f>
        <v>53</v>
      </c>
      <c r="BH94">
        <f>COUNTIF(BH8:BH92,1)</f>
        <v>68</v>
      </c>
    </row>
    <row r="95" spans="1:60" ht="57" x14ac:dyDescent="0.45">
      <c r="H95" s="2" t="s">
        <v>207</v>
      </c>
      <c r="J95">
        <f>COUNTIFS($B$8:$B$92,1,J8:J92,"&lt;0")</f>
        <v>0</v>
      </c>
      <c r="Q95">
        <f>COUNTIFS($B$8:$B$92,1,Q8:Q92,"&lt;0")</f>
        <v>0</v>
      </c>
      <c r="AE95">
        <f>COUNTIFS($W$8:$W$92,1,AE8:AE92,"&lt;0")</f>
        <v>0</v>
      </c>
      <c r="AL95">
        <f>COUNTIFS($W$8:$W$92,1,AL8:AL92,"&lt;0")</f>
        <v>0</v>
      </c>
      <c r="AZ95">
        <f>COUNTIFS($AR$8:$AR$92,1,AZ8:AZ92,"&lt;0")</f>
        <v>0</v>
      </c>
      <c r="BG95">
        <f>COUNTIFS($AR$8:$AR$92,1,BG8:BG92,"&lt;0")</f>
        <v>0</v>
      </c>
    </row>
  </sheetData>
  <pageMargins left="0.70866141732283472" right="0.70866141732283472" top="0.74803149606299213" bottom="0.74803149606299213" header="0.31496062992125984" footer="0.31496062992125984"/>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EBC44-07F8-4C77-9F34-80A6DAC562F9}">
  <sheetPr>
    <tabColor theme="7" tint="0.59999389629810485"/>
  </sheetPr>
  <dimension ref="A1:V101"/>
  <sheetViews>
    <sheetView zoomScale="65" zoomScaleNormal="65" workbookViewId="0"/>
  </sheetViews>
  <sheetFormatPr defaultRowHeight="14.25" x14ac:dyDescent="0.45"/>
  <cols>
    <col min="2" max="2" width="33.796875" bestFit="1" customWidth="1"/>
    <col min="3" max="3" width="19.73046875" bestFit="1" customWidth="1"/>
    <col min="4" max="4" width="12.06640625" customWidth="1"/>
    <col min="7" max="8" width="10.265625" bestFit="1" customWidth="1"/>
    <col min="10" max="10" width="12.86328125" customWidth="1"/>
    <col min="11" max="11" width="13.265625" customWidth="1"/>
    <col min="17" max="17" width="12.46484375" customWidth="1"/>
    <col min="18" max="18" width="14.86328125" customWidth="1"/>
  </cols>
  <sheetData>
    <row r="1" spans="1:22" x14ac:dyDescent="0.45">
      <c r="A1" t="s">
        <v>695</v>
      </c>
    </row>
    <row r="3" spans="1:22" x14ac:dyDescent="0.45">
      <c r="C3" t="s">
        <v>155</v>
      </c>
      <c r="N3" t="s">
        <v>221</v>
      </c>
    </row>
    <row r="4" spans="1:22" x14ac:dyDescent="0.45">
      <c r="E4" t="s">
        <v>122</v>
      </c>
      <c r="J4" t="s">
        <v>658</v>
      </c>
      <c r="Q4" t="s">
        <v>629</v>
      </c>
    </row>
    <row r="7" spans="1:22" ht="114.4" thickBot="1" x14ac:dyDescent="0.5">
      <c r="A7" t="s">
        <v>659</v>
      </c>
      <c r="B7" t="s">
        <v>637</v>
      </c>
      <c r="C7" t="s">
        <v>197</v>
      </c>
      <c r="D7" s="2" t="s">
        <v>206</v>
      </c>
      <c r="E7" t="s">
        <v>12</v>
      </c>
      <c r="F7" s="2" t="s">
        <v>123</v>
      </c>
      <c r="G7" s="2" t="s">
        <v>660</v>
      </c>
      <c r="H7" s="2" t="s">
        <v>661</v>
      </c>
      <c r="J7" t="s">
        <v>12</v>
      </c>
      <c r="K7" t="s">
        <v>123</v>
      </c>
      <c r="L7" s="2" t="s">
        <v>152</v>
      </c>
      <c r="M7" s="2" t="s">
        <v>219</v>
      </c>
      <c r="N7" s="2" t="s">
        <v>662</v>
      </c>
      <c r="O7" s="2" t="s">
        <v>663</v>
      </c>
      <c r="P7" s="2"/>
      <c r="Q7" t="s">
        <v>12</v>
      </c>
      <c r="R7" t="s">
        <v>123</v>
      </c>
      <c r="S7" s="2" t="s">
        <v>152</v>
      </c>
      <c r="T7" s="2" t="s">
        <v>219</v>
      </c>
      <c r="U7" s="2" t="s">
        <v>662</v>
      </c>
      <c r="V7" s="2" t="s">
        <v>663</v>
      </c>
    </row>
    <row r="8" spans="1:22" ht="14.65" thickBot="1" x14ac:dyDescent="0.5">
      <c r="B8" s="128" t="s">
        <v>183</v>
      </c>
      <c r="C8" t="str">
        <f>IF('Freeview-Gen Ent'!K10&lt;&gt;0,'Freeview-Gen Ent'!K10,"")</f>
        <v>BBC One</v>
      </c>
      <c r="D8">
        <f>IF(C8="","",(IF((LEFT(C8,3))="BBC",0,1)))</f>
        <v>0</v>
      </c>
      <c r="E8">
        <f>IF($C8="","",INDEX('Freeview-Gen Ent'!$I:$K,MATCH($C8,'Freeview-Gen Ent'!$K:$K,0),1))</f>
        <v>1</v>
      </c>
      <c r="F8">
        <f>IF($C8="","",INDEX('Freeview-Gen Ent'!$I:$K,MATCH($C8,'Freeview-Gen Ent'!$K:$K,0),2))</f>
        <v>1</v>
      </c>
      <c r="G8" t="str">
        <f>IF(AND($L8=0,$S8=0),"Not needed",(IF($B8="Not available",0,(((INDEX('O&amp;O - Revenues &amp; viewing'!$B$6:$Z$237,MATCH($B8,'O&amp;O - Revenues &amp; viewing'!$B$6:$B$237,0),3))*('O&amp;O - other input parameters'!$C$4))/1000000))))</f>
        <v>Not needed</v>
      </c>
      <c r="H8" t="str">
        <f>IF(AND($L8=0,$S8=0),"Not needed",(IF($B8="Not available",0,(((INDEX('O&amp;O - Revenues &amp; viewing'!$B$6:$Z$237,MATCH($B8,'O&amp;O - Revenues &amp; viewing'!$B$6:$B$237,0),7))*('O&amp;O - other input parameters'!$C$4))/1000000))))</f>
        <v>Not needed</v>
      </c>
      <c r="J8">
        <f>IF($C8="","",INDEX('Freeview-Gen Ent'!$Y:$AA,MATCH($C8,'Freeview-Gen Ent'!$AA:$AA,0),1))</f>
        <v>1</v>
      </c>
      <c r="K8">
        <f>IF($C8="","",INDEX('Freeview-Gen Ent'!$Y:$AA,MATCH($C8,'Freeview-Gen Ent'!$AA:$AA,0),2))</f>
        <v>1</v>
      </c>
      <c r="L8">
        <f>IF($F8="","",$F8-K8)</f>
        <v>0</v>
      </c>
      <c r="M8">
        <f>IF($F8="","",(IF(J8&lt;&gt;$E8,1,0)))</f>
        <v>0</v>
      </c>
      <c r="N8" s="7">
        <f>IF($L8=0,0,G8*$L8*'O&amp;O - other input parameters'!$C$7)</f>
        <v>0</v>
      </c>
      <c r="O8" s="7">
        <f>IF($L8=0,0,H8*$L8*'O&amp;O - other input parameters'!$C$7)</f>
        <v>0</v>
      </c>
      <c r="Q8">
        <f>IF($C8="","",INDEX('Freeview-Gen Ent-more than min'!$Y:$AA,MATCH($C8,'Freeview-Gen Ent-more than min'!$AA:$AA,0),1))</f>
        <v>1</v>
      </c>
      <c r="R8">
        <f>IF($C8="","",INDEX('Freeview-Gen Ent-more than min'!$Y:$AA,MATCH($C8,'Freeview-Gen Ent-more than min'!$AA:$AA,0),2))</f>
        <v>1</v>
      </c>
      <c r="S8">
        <f>IF($F8="","",$F8-R8)</f>
        <v>0</v>
      </c>
      <c r="T8">
        <f>IF($F8="","",(IF(Q8&lt;&gt;$E8,1,0)))</f>
        <v>0</v>
      </c>
      <c r="U8" s="7">
        <f>IF($S8=0,0,G8*$S8*'O&amp;O - other input parameters'!$C$7)</f>
        <v>0</v>
      </c>
      <c r="V8" s="7">
        <f>IF($S8=0,0,H8*$S8*'O&amp;O - other input parameters'!$C$7)</f>
        <v>0</v>
      </c>
    </row>
    <row r="9" spans="1:22" ht="14.65" thickBot="1" x14ac:dyDescent="0.5">
      <c r="B9" s="129" t="s">
        <v>344</v>
      </c>
      <c r="C9" t="str">
        <f>IF('Freeview-Gen Ent'!K11&lt;&gt;0,'Freeview-Gen Ent'!K11,"")</f>
        <v xml:space="preserve">BBC Two </v>
      </c>
      <c r="D9">
        <f t="shared" ref="D9:D72" si="0">IF(C9="","",(IF((LEFT(C9,3))="BBC",0,1)))</f>
        <v>0</v>
      </c>
      <c r="E9">
        <f>IF($C9="","",INDEX('Freeview-Gen Ent'!$I:$K,MATCH($C9,'Freeview-Gen Ent'!$K:$K,0),1))</f>
        <v>2</v>
      </c>
      <c r="F9">
        <f>IF($C9="","",INDEX('Freeview-Gen Ent'!$I:$K,MATCH($C9,'Freeview-Gen Ent'!$K:$K,0),2))</f>
        <v>2</v>
      </c>
      <c r="G9" t="str">
        <f>IF(AND($L9=0,$S9=0),"Not needed",(IF($B9="Not available",0,(((INDEX('O&amp;O - Revenues &amp; viewing'!$B$6:$Z$237,MATCH($B9,'O&amp;O - Revenues &amp; viewing'!$B$6:$B$237,0),3))*('O&amp;O - other input parameters'!$C$4))/1000000))))</f>
        <v>Not needed</v>
      </c>
      <c r="H9" t="str">
        <f>IF(AND($L9=0,$S9=0),"Not needed",(IF($B9="Not available",0,(((INDEX('O&amp;O - Revenues &amp; viewing'!$B$6:$Z$237,MATCH($B9,'O&amp;O - Revenues &amp; viewing'!$B$6:$B$237,0),7))*('O&amp;O - other input parameters'!$C$4))/1000000))))</f>
        <v>Not needed</v>
      </c>
      <c r="J9">
        <f>IF($C9="","",INDEX('Freeview-Gen Ent'!$Y:$AA,MATCH($C9,'Freeview-Gen Ent'!$AA:$AA,0),1))</f>
        <v>2</v>
      </c>
      <c r="K9">
        <f>IF($C9="","",INDEX('Freeview-Gen Ent'!$Y:$AA,MATCH($C9,'Freeview-Gen Ent'!$AA:$AA,0),2))</f>
        <v>2</v>
      </c>
      <c r="L9">
        <f t="shared" ref="L9:L72" si="1">IF($F9="","",$F9-K9)</f>
        <v>0</v>
      </c>
      <c r="M9">
        <f t="shared" ref="M9:M72" si="2">IF($F9="","",(IF(J9&lt;&gt;$E9,1,0)))</f>
        <v>0</v>
      </c>
      <c r="N9" s="7">
        <f>IF($L9=0,0,G9*$L9*'O&amp;O - other input parameters'!$C$7)</f>
        <v>0</v>
      </c>
      <c r="O9" s="7">
        <f>IF($L9=0,0,H9*$L9*'O&amp;O - other input parameters'!$C$7)</f>
        <v>0</v>
      </c>
      <c r="Q9">
        <f>IF($C9="","",INDEX('Freeview-Gen Ent-more than min'!$Y:$AA,MATCH($C9,'Freeview-Gen Ent-more than min'!$AA:$AA,0),1))</f>
        <v>2</v>
      </c>
      <c r="R9">
        <f>IF($C9="","",INDEX('Freeview-Gen Ent-more than min'!$Y:$AA,MATCH($C9,'Freeview-Gen Ent-more than min'!$AA:$AA,0),2))</f>
        <v>2</v>
      </c>
      <c r="S9">
        <f t="shared" ref="S9:S72" si="3">IF($F9="","",$F9-R9)</f>
        <v>0</v>
      </c>
      <c r="T9">
        <f t="shared" ref="T9:T72" si="4">IF($F9="","",(IF(Q9&lt;&gt;$E9,1,0)))</f>
        <v>0</v>
      </c>
      <c r="U9" s="7">
        <f>IF($S9=0,0,G9*$S9*'O&amp;O - other input parameters'!$C$7)</f>
        <v>0</v>
      </c>
      <c r="V9" s="7">
        <f>IF($S9=0,0,H9*$S9*'O&amp;O - other input parameters'!$C$7)</f>
        <v>0</v>
      </c>
    </row>
    <row r="10" spans="1:22" ht="14.65" thickBot="1" x14ac:dyDescent="0.5">
      <c r="A10" t="s">
        <v>664</v>
      </c>
      <c r="B10" s="133" t="s">
        <v>665</v>
      </c>
      <c r="C10" t="str">
        <f>IF('Freeview-Gen Ent'!K12&lt;&gt;0,'Freeview-Gen Ent'!K12,"")</f>
        <v>STV</v>
      </c>
      <c r="D10">
        <f t="shared" si="0"/>
        <v>1</v>
      </c>
      <c r="E10">
        <f>IF($C10="","",INDEX('Freeview-Gen Ent'!$I:$K,MATCH($C10,'Freeview-Gen Ent'!$K:$K,0),1))</f>
        <v>3</v>
      </c>
      <c r="F10">
        <f>IF($C10="","",INDEX('Freeview-Gen Ent'!$I:$K,MATCH($C10,'Freeview-Gen Ent'!$K:$K,0),2))</f>
        <v>3</v>
      </c>
      <c r="G10" t="str">
        <f>IF(AND($L10=0,$S10=0),"Not needed",(IF($B10="Not available",0,(((INDEX('O&amp;O - Revenues &amp; viewing'!$B$6:$Z$237,MATCH($B10,'O&amp;O - Revenues &amp; viewing'!$B$6:$B$237,0),3))*('O&amp;O - other input parameters'!$C$4))/1000000))))</f>
        <v>Not needed</v>
      </c>
      <c r="H10" t="str">
        <f>IF(AND($L10=0,$S10=0),"Not needed",(IF($B10="Not available",0,(((INDEX('O&amp;O - Revenues &amp; viewing'!$B$6:$Z$237,MATCH($B10,'O&amp;O - Revenues &amp; viewing'!$B$6:$B$237,0),7))*('O&amp;O - other input parameters'!$C$4))/1000000))))</f>
        <v>Not needed</v>
      </c>
      <c r="J10">
        <f>IF($C10="","",INDEX('Freeview-Gen Ent'!$Y:$AA,MATCH($C10,'Freeview-Gen Ent'!$AA:$AA,0),1))</f>
        <v>3</v>
      </c>
      <c r="K10">
        <f>IF($C10="","",INDEX('Freeview-Gen Ent'!$Y:$AA,MATCH($C10,'Freeview-Gen Ent'!$AA:$AA,0),2))</f>
        <v>3</v>
      </c>
      <c r="L10">
        <f t="shared" si="1"/>
        <v>0</v>
      </c>
      <c r="M10">
        <f t="shared" si="2"/>
        <v>0</v>
      </c>
      <c r="N10" s="7">
        <f>IF($L10=0,0,G10*$L10*'O&amp;O - other input parameters'!$C$7)</f>
        <v>0</v>
      </c>
      <c r="O10" s="7">
        <f>IF($L10=0,0,H10*$L10*'O&amp;O - other input parameters'!$C$7)</f>
        <v>0</v>
      </c>
      <c r="Q10">
        <f>IF($C10="","",INDEX('Freeview-Gen Ent-more than min'!$Y:$AA,MATCH($C10,'Freeview-Gen Ent-more than min'!$AA:$AA,0),1))</f>
        <v>3</v>
      </c>
      <c r="R10">
        <f>IF($C10="","",INDEX('Freeview-Gen Ent-more than min'!$Y:$AA,MATCH($C10,'Freeview-Gen Ent-more than min'!$AA:$AA,0),2))</f>
        <v>3</v>
      </c>
      <c r="S10">
        <f t="shared" si="3"/>
        <v>0</v>
      </c>
      <c r="T10">
        <f t="shared" si="4"/>
        <v>0</v>
      </c>
      <c r="U10" s="7">
        <f>IF($S10=0,0,G10*$S10*'O&amp;O - other input parameters'!$C$7)</f>
        <v>0</v>
      </c>
      <c r="V10" s="7">
        <f>IF($S10=0,0,H10*$S10*'O&amp;O - other input parameters'!$C$7)</f>
        <v>0</v>
      </c>
    </row>
    <row r="11" spans="1:22" ht="14.65" thickBot="1" x14ac:dyDescent="0.5">
      <c r="B11" s="129" t="s">
        <v>345</v>
      </c>
      <c r="C11" t="str">
        <f>IF('Freeview-Gen Ent'!K13&lt;&gt;0,'Freeview-Gen Ent'!K13,"")</f>
        <v>Channel 4</v>
      </c>
      <c r="D11">
        <f t="shared" si="0"/>
        <v>1</v>
      </c>
      <c r="E11">
        <f>IF($C11="","",INDEX('Freeview-Gen Ent'!$I:$K,MATCH($C11,'Freeview-Gen Ent'!$K:$K,0),1))</f>
        <v>4</v>
      </c>
      <c r="F11">
        <f>IF($C11="","",INDEX('Freeview-Gen Ent'!$I:$K,MATCH($C11,'Freeview-Gen Ent'!$K:$K,0),2))</f>
        <v>4</v>
      </c>
      <c r="G11" t="str">
        <f>IF(AND($L11=0,$S11=0),"Not needed",(IF($B11="Not available",0,(((INDEX('O&amp;O - Revenues &amp; viewing'!$B$6:$Z$237,MATCH($B11,'O&amp;O - Revenues &amp; viewing'!$B$6:$B$237,0),3))*('O&amp;O - other input parameters'!$C$4))/1000000))))</f>
        <v>Not needed</v>
      </c>
      <c r="H11" t="str">
        <f>IF(AND($L11=0,$S11=0),"Not needed",(IF($B11="Not available",0,(((INDEX('O&amp;O - Revenues &amp; viewing'!$B$6:$Z$237,MATCH($B11,'O&amp;O - Revenues &amp; viewing'!$B$6:$B$237,0),7))*('O&amp;O - other input parameters'!$C$4))/1000000))))</f>
        <v>Not needed</v>
      </c>
      <c r="J11">
        <f>IF($C11="","",INDEX('Freeview-Gen Ent'!$Y:$AA,MATCH($C11,'Freeview-Gen Ent'!$AA:$AA,0),1))</f>
        <v>4</v>
      </c>
      <c r="K11">
        <f>IF($C11="","",INDEX('Freeview-Gen Ent'!$Y:$AA,MATCH($C11,'Freeview-Gen Ent'!$AA:$AA,0),2))</f>
        <v>4</v>
      </c>
      <c r="L11">
        <f t="shared" si="1"/>
        <v>0</v>
      </c>
      <c r="M11">
        <f t="shared" si="2"/>
        <v>0</v>
      </c>
      <c r="N11" s="7">
        <f>IF($L11=0,0,G11*$L11*'O&amp;O - other input parameters'!$C$7)</f>
        <v>0</v>
      </c>
      <c r="O11" s="7">
        <f>IF($L11=0,0,H11*$L11*'O&amp;O - other input parameters'!$C$7)</f>
        <v>0</v>
      </c>
      <c r="Q11">
        <f>IF($C11="","",INDEX('Freeview-Gen Ent-more than min'!$Y:$AA,MATCH($C11,'Freeview-Gen Ent-more than min'!$AA:$AA,0),1))</f>
        <v>4</v>
      </c>
      <c r="R11">
        <f>IF($C11="","",INDEX('Freeview-Gen Ent-more than min'!$Y:$AA,MATCH($C11,'Freeview-Gen Ent-more than min'!$AA:$AA,0),2))</f>
        <v>4</v>
      </c>
      <c r="S11">
        <f t="shared" si="3"/>
        <v>0</v>
      </c>
      <c r="T11">
        <f t="shared" si="4"/>
        <v>0</v>
      </c>
      <c r="U11" s="7">
        <f>IF($S11=0,0,G11*$S11*'O&amp;O - other input parameters'!$C$7)</f>
        <v>0</v>
      </c>
      <c r="V11" s="7">
        <f>IF($S11=0,0,H11*$S11*'O&amp;O - other input parameters'!$C$7)</f>
        <v>0</v>
      </c>
    </row>
    <row r="12" spans="1:22" ht="14.65" thickBot="1" x14ac:dyDescent="0.5">
      <c r="B12" s="129" t="s">
        <v>346</v>
      </c>
      <c r="C12" t="str">
        <f>IF('Freeview-Gen Ent'!K14&lt;&gt;0,'Freeview-Gen Ent'!K14,"")</f>
        <v>Channel 5</v>
      </c>
      <c r="D12">
        <f t="shared" si="0"/>
        <v>1</v>
      </c>
      <c r="E12">
        <f>IF($C12="","",INDEX('Freeview-Gen Ent'!$I:$K,MATCH($C12,'Freeview-Gen Ent'!$K:$K,0),1))</f>
        <v>5</v>
      </c>
      <c r="F12">
        <f>IF($C12="","",INDEX('Freeview-Gen Ent'!$I:$K,MATCH($C12,'Freeview-Gen Ent'!$K:$K,0),2))</f>
        <v>5</v>
      </c>
      <c r="G12" t="str">
        <f>IF(AND($L12=0,$S12=0),"Not needed",(IF($B12="Not available",0,(((INDEX('O&amp;O - Revenues &amp; viewing'!$B$6:$Z$237,MATCH($B12,'O&amp;O - Revenues &amp; viewing'!$B$6:$B$237,0),3))*('O&amp;O - other input parameters'!$C$4))/1000000))))</f>
        <v>Not needed</v>
      </c>
      <c r="H12" t="str">
        <f>IF(AND($L12=0,$S12=0),"Not needed",(IF($B12="Not available",0,(((INDEX('O&amp;O - Revenues &amp; viewing'!$B$6:$Z$237,MATCH($B12,'O&amp;O - Revenues &amp; viewing'!$B$6:$B$237,0),7))*('O&amp;O - other input parameters'!$C$4))/1000000))))</f>
        <v>Not needed</v>
      </c>
      <c r="J12">
        <f>IF($C12="","",INDEX('Freeview-Gen Ent'!$Y:$AA,MATCH($C12,'Freeview-Gen Ent'!$AA:$AA,0),1))</f>
        <v>5</v>
      </c>
      <c r="K12">
        <f>IF($C12="","",INDEX('Freeview-Gen Ent'!$Y:$AA,MATCH($C12,'Freeview-Gen Ent'!$AA:$AA,0),2))</f>
        <v>5</v>
      </c>
      <c r="L12">
        <f t="shared" si="1"/>
        <v>0</v>
      </c>
      <c r="M12">
        <f t="shared" si="2"/>
        <v>0</v>
      </c>
      <c r="N12" s="7">
        <f>IF($L12=0,0,G12*$L12*'O&amp;O - other input parameters'!$C$7)</f>
        <v>0</v>
      </c>
      <c r="O12" s="7">
        <f>IF($L12=0,0,H12*$L12*'O&amp;O - other input parameters'!$C$7)</f>
        <v>0</v>
      </c>
      <c r="Q12">
        <f>IF($C12="","",INDEX('Freeview-Gen Ent-more than min'!$Y:$AA,MATCH($C12,'Freeview-Gen Ent-more than min'!$AA:$AA,0),1))</f>
        <v>5</v>
      </c>
      <c r="R12">
        <f>IF($C12="","",INDEX('Freeview-Gen Ent-more than min'!$Y:$AA,MATCH($C12,'Freeview-Gen Ent-more than min'!$AA:$AA,0),2))</f>
        <v>5</v>
      </c>
      <c r="S12">
        <f>IF($F12="","",$F12-R12)</f>
        <v>0</v>
      </c>
      <c r="T12">
        <f t="shared" si="4"/>
        <v>0</v>
      </c>
      <c r="U12" s="7">
        <f>IF($S12=0,0,G12*$S12*'O&amp;O - other input parameters'!$C$7)</f>
        <v>0</v>
      </c>
      <c r="V12" s="7">
        <f>IF($S12=0,0,H12*$S12*'O&amp;O - other input parameters'!$C$7)</f>
        <v>0</v>
      </c>
    </row>
    <row r="13" spans="1:22" ht="14.65" thickBot="1" x14ac:dyDescent="0.5">
      <c r="B13" s="129" t="s">
        <v>57</v>
      </c>
      <c r="C13" t="str">
        <f>IF('Freeview-Gen Ent'!K15&lt;&gt;0,'Freeview-Gen Ent'!K15,"")</f>
        <v>ITV2</v>
      </c>
      <c r="D13">
        <f t="shared" si="0"/>
        <v>1</v>
      </c>
      <c r="E13">
        <f>IF($C13="","",INDEX('Freeview-Gen Ent'!$I:$K,MATCH($C13,'Freeview-Gen Ent'!$K:$K,0),1))</f>
        <v>6</v>
      </c>
      <c r="F13">
        <f>IF($C13="","",INDEX('Freeview-Gen Ent'!$I:$K,MATCH($C13,'Freeview-Gen Ent'!$K:$K,0),2))</f>
        <v>6</v>
      </c>
      <c r="G13" t="str">
        <f>IF(AND($L13=0,$S13=0),"Not needed",(IF($B13="Not available",0,(((INDEX('O&amp;O - Revenues &amp; viewing'!$B$6:$Z$237,MATCH($B13,'O&amp;O - Revenues &amp; viewing'!$B$6:$B$237,0),3))*('O&amp;O - other input parameters'!$C$4))/1000000))))</f>
        <v>Not needed</v>
      </c>
      <c r="H13" t="str">
        <f>IF(AND($L13=0,$S13=0),"Not needed",(IF($B13="Not available",0,(((INDEX('O&amp;O - Revenues &amp; viewing'!$B$6:$Z$237,MATCH($B13,'O&amp;O - Revenues &amp; viewing'!$B$6:$B$237,0),7))*('O&amp;O - other input parameters'!$C$4))/1000000))))</f>
        <v>Not needed</v>
      </c>
      <c r="J13">
        <f>IF($C13="","",INDEX('Freeview-Gen Ent'!$Y:$AA,MATCH($C13,'Freeview-Gen Ent'!$AA:$AA,0),1))</f>
        <v>6</v>
      </c>
      <c r="K13">
        <f>IF($C13="","",INDEX('Freeview-Gen Ent'!$Y:$AA,MATCH($C13,'Freeview-Gen Ent'!$AA:$AA,0),2))</f>
        <v>6</v>
      </c>
      <c r="L13">
        <f t="shared" si="1"/>
        <v>0</v>
      </c>
      <c r="M13">
        <f t="shared" si="2"/>
        <v>0</v>
      </c>
      <c r="N13" s="7">
        <f>IF($L13=0,0,G13*$L13*'O&amp;O - other input parameters'!$C$7)</f>
        <v>0</v>
      </c>
      <c r="O13" s="7">
        <f>IF($L13=0,0,H13*$L13*'O&amp;O - other input parameters'!$C$7)</f>
        <v>0</v>
      </c>
      <c r="Q13">
        <f>IF($C13="","",INDEX('Freeview-Gen Ent-more than min'!$Y:$AA,MATCH($C13,'Freeview-Gen Ent-more than min'!$AA:$AA,0),1))</f>
        <v>6</v>
      </c>
      <c r="R13">
        <f>IF($C13="","",INDEX('Freeview-Gen Ent-more than min'!$Y:$AA,MATCH($C13,'Freeview-Gen Ent-more than min'!$AA:$AA,0),2))</f>
        <v>6</v>
      </c>
      <c r="S13">
        <f t="shared" si="3"/>
        <v>0</v>
      </c>
      <c r="T13">
        <f t="shared" si="4"/>
        <v>0</v>
      </c>
      <c r="U13" s="7">
        <f>IF($S13=0,0,G13*$S13*'O&amp;O - other input parameters'!$C$7)</f>
        <v>0</v>
      </c>
      <c r="V13" s="7">
        <f>IF($S13=0,0,H13*$S13*'O&amp;O - other input parameters'!$C$7)</f>
        <v>0</v>
      </c>
    </row>
    <row r="14" spans="1:22" ht="14.65" thickBot="1" x14ac:dyDescent="0.5">
      <c r="B14" s="133" t="s">
        <v>643</v>
      </c>
      <c r="C14" t="str">
        <f>IF('Freeview-Gen Ent'!K16&lt;&gt;0,'Freeview-Gen Ent'!K16,"")</f>
        <v>BBC Alba</v>
      </c>
      <c r="D14">
        <f t="shared" si="0"/>
        <v>0</v>
      </c>
      <c r="E14">
        <f>IF($C14="","",INDEX('Freeview-Gen Ent'!$I:$K,MATCH($C14,'Freeview-Gen Ent'!$K:$K,0),1))</f>
        <v>7</v>
      </c>
      <c r="F14">
        <f>IF($C14="","",INDEX('Freeview-Gen Ent'!$I:$K,MATCH($C14,'Freeview-Gen Ent'!$K:$K,0),2))</f>
        <v>7</v>
      </c>
      <c r="G14" t="str">
        <f>IF(AND($L14=0,$S14=0),"Not needed",(IF($B14="Not available",0,(((INDEX('O&amp;O - Revenues &amp; viewing'!$B$6:$Z$237,MATCH($B14,'O&amp;O - Revenues &amp; viewing'!$B$6:$B$237,0),3))*('O&amp;O - other input parameters'!$C$4))/1000000))))</f>
        <v>Not needed</v>
      </c>
      <c r="H14" t="str">
        <f>IF(AND($L14=0,$S14=0),"Not needed",(IF($B14="Not available",0,(((INDEX('O&amp;O - Revenues &amp; viewing'!$B$6:$Z$237,MATCH($B14,'O&amp;O - Revenues &amp; viewing'!$B$6:$B$237,0),7))*('O&amp;O - other input parameters'!$C$4))/1000000))))</f>
        <v>Not needed</v>
      </c>
      <c r="J14">
        <f>IF($C14="","",INDEX('Freeview-Gen Ent'!$Y:$AA,MATCH($C14,'Freeview-Gen Ent'!$AA:$AA,0),1))</f>
        <v>7</v>
      </c>
      <c r="K14">
        <f>IF($C14="","",INDEX('Freeview-Gen Ent'!$Y:$AA,MATCH($C14,'Freeview-Gen Ent'!$AA:$AA,0),2))</f>
        <v>7</v>
      </c>
      <c r="L14">
        <f t="shared" si="1"/>
        <v>0</v>
      </c>
      <c r="M14">
        <f t="shared" si="2"/>
        <v>0</v>
      </c>
      <c r="N14" s="7">
        <f>IF($L14=0,0,G14*$L14*'O&amp;O - other input parameters'!$C$7)</f>
        <v>0</v>
      </c>
      <c r="O14" s="7">
        <f>IF($L14=0,0,H14*$L14*'O&amp;O - other input parameters'!$C$7)</f>
        <v>0</v>
      </c>
      <c r="Q14">
        <f>IF($C14="","",INDEX('Freeview-Gen Ent-more than min'!$Y:$AA,MATCH($C14,'Freeview-Gen Ent-more than min'!$AA:$AA,0),1))</f>
        <v>7</v>
      </c>
      <c r="R14">
        <f>IF($C14="","",INDEX('Freeview-Gen Ent-more than min'!$Y:$AA,MATCH($C14,'Freeview-Gen Ent-more than min'!$AA:$AA,0),2))</f>
        <v>7</v>
      </c>
      <c r="S14">
        <f t="shared" si="3"/>
        <v>0</v>
      </c>
      <c r="T14">
        <f t="shared" si="4"/>
        <v>0</v>
      </c>
      <c r="U14" s="7">
        <f>IF($S14=0,0,G14*$S14*'O&amp;O - other input parameters'!$C$7)</f>
        <v>0</v>
      </c>
      <c r="V14" s="7">
        <f>IF($S14=0,0,H14*$S14*'O&amp;O - other input parameters'!$C$7)</f>
        <v>0</v>
      </c>
    </row>
    <row r="15" spans="1:22" ht="14.65" thickBot="1" x14ac:dyDescent="0.5">
      <c r="B15" s="133" t="s">
        <v>643</v>
      </c>
      <c r="C15" t="str">
        <f>IF('Freeview-Gen Ent'!K17&lt;&gt;0,'Freeview-Gen Ent'!K17,"")</f>
        <v>Scotland Local TV</v>
      </c>
      <c r="D15">
        <f t="shared" si="0"/>
        <v>1</v>
      </c>
      <c r="E15">
        <f>IF($C15="","",INDEX('Freeview-Gen Ent'!$I:$K,MATCH($C15,'Freeview-Gen Ent'!$K:$K,0),1))</f>
        <v>8</v>
      </c>
      <c r="F15">
        <f>IF($C15="","",INDEX('Freeview-Gen Ent'!$I:$K,MATCH($C15,'Freeview-Gen Ent'!$K:$K,0),2))</f>
        <v>8</v>
      </c>
      <c r="G15" t="str">
        <f>IF(AND($L15=0,$S15=0),"Not needed",(IF($B15="Not available",0,(((INDEX('O&amp;O - Revenues &amp; viewing'!$B$6:$Z$237,MATCH($B15,'O&amp;O - Revenues &amp; viewing'!$B$6:$B$237,0),3))*('O&amp;O - other input parameters'!$C$4))/1000000))))</f>
        <v>Not needed</v>
      </c>
      <c r="H15" t="str">
        <f>IF(AND($L15=0,$S15=0),"Not needed",(IF($B15="Not available",0,(((INDEX('O&amp;O - Revenues &amp; viewing'!$B$6:$Z$237,MATCH($B15,'O&amp;O - Revenues &amp; viewing'!$B$6:$B$237,0),7))*('O&amp;O - other input parameters'!$C$4))/1000000))))</f>
        <v>Not needed</v>
      </c>
      <c r="J15">
        <f>IF($C15="","",INDEX('Freeview-Gen Ent'!$Y:$AA,MATCH($C15,'Freeview-Gen Ent'!$AA:$AA,0),1))</f>
        <v>8</v>
      </c>
      <c r="K15">
        <f>IF($C15="","",INDEX('Freeview-Gen Ent'!$Y:$AA,MATCH($C15,'Freeview-Gen Ent'!$AA:$AA,0),2))</f>
        <v>8</v>
      </c>
      <c r="L15">
        <f t="shared" si="1"/>
        <v>0</v>
      </c>
      <c r="M15">
        <f t="shared" si="2"/>
        <v>0</v>
      </c>
      <c r="N15" s="7">
        <f>IF($L15=0,0,G15*$L15*'O&amp;O - other input parameters'!$C$7)</f>
        <v>0</v>
      </c>
      <c r="O15" s="7">
        <f>IF($L15=0,0,H15*$L15*'O&amp;O - other input parameters'!$C$7)</f>
        <v>0</v>
      </c>
      <c r="Q15">
        <f>IF($C15="","",INDEX('Freeview-Gen Ent-more than min'!$Y:$AA,MATCH($C15,'Freeview-Gen Ent-more than min'!$AA:$AA,0),1))</f>
        <v>8</v>
      </c>
      <c r="R15">
        <f>IF($C15="","",INDEX('Freeview-Gen Ent-more than min'!$Y:$AA,MATCH($C15,'Freeview-Gen Ent-more than min'!$AA:$AA,0),2))</f>
        <v>8</v>
      </c>
      <c r="S15">
        <f t="shared" si="3"/>
        <v>0</v>
      </c>
      <c r="T15">
        <f t="shared" si="4"/>
        <v>0</v>
      </c>
      <c r="U15" s="7">
        <f>IF($S15=0,0,G15*$S15*'O&amp;O - other input parameters'!$C$7)</f>
        <v>0</v>
      </c>
      <c r="V15" s="7">
        <f>IF($S15=0,0,H15*$S15*'O&amp;O - other input parameters'!$C$7)</f>
        <v>0</v>
      </c>
    </row>
    <row r="16" spans="1:22" ht="14.65" thickBot="1" x14ac:dyDescent="0.5">
      <c r="B16" s="133" t="s">
        <v>643</v>
      </c>
      <c r="C16" t="str">
        <f>IF('Freeview-Gen Ent'!K18&lt;&gt;0,'Freeview-Gen Ent'!K18,"")</f>
        <v>BBC Scotland</v>
      </c>
      <c r="D16">
        <f t="shared" si="0"/>
        <v>0</v>
      </c>
      <c r="E16">
        <f>IF($C16="","",INDEX('Freeview-Gen Ent'!$I:$K,MATCH($C16,'Freeview-Gen Ent'!$K:$K,0),1))</f>
        <v>9</v>
      </c>
      <c r="F16">
        <f>IF($C16="","",INDEX('Freeview-Gen Ent'!$I:$K,MATCH($C16,'Freeview-Gen Ent'!$K:$K,0),2))</f>
        <v>9</v>
      </c>
      <c r="G16" t="str">
        <f>IF(AND($L16=0,$S16=0),"Not needed",(IF($B16="Not available",0,(((INDEX('O&amp;O - Revenues &amp; viewing'!$B$6:$Z$237,MATCH($B16,'O&amp;O - Revenues &amp; viewing'!$B$6:$B$237,0),3))*('O&amp;O - other input parameters'!$C$4))/1000000))))</f>
        <v>Not needed</v>
      </c>
      <c r="H16" t="str">
        <f>IF(AND($L16=0,$S16=0),"Not needed",(IF($B16="Not available",0,(((INDEX('O&amp;O - Revenues &amp; viewing'!$B$6:$Z$237,MATCH($B16,'O&amp;O - Revenues &amp; viewing'!$B$6:$B$237,0),7))*('O&amp;O - other input parameters'!$C$4))/1000000))))</f>
        <v>Not needed</v>
      </c>
      <c r="J16">
        <f>IF($C16="","",INDEX('Freeview-Gen Ent'!$Y:$AA,MATCH($C16,'Freeview-Gen Ent'!$AA:$AA,0),1))</f>
        <v>9</v>
      </c>
      <c r="K16">
        <f>IF($C16="","",INDEX('Freeview-Gen Ent'!$Y:$AA,MATCH($C16,'Freeview-Gen Ent'!$AA:$AA,0),2))</f>
        <v>9</v>
      </c>
      <c r="L16">
        <f t="shared" si="1"/>
        <v>0</v>
      </c>
      <c r="M16">
        <f t="shared" si="2"/>
        <v>0</v>
      </c>
      <c r="N16" s="7">
        <f>IF($L16=0,0,G16*$L16*'O&amp;O - other input parameters'!$C$7)</f>
        <v>0</v>
      </c>
      <c r="O16" s="7">
        <f>IF($L16=0,0,H16*$L16*'O&amp;O - other input parameters'!$C$7)</f>
        <v>0</v>
      </c>
      <c r="Q16">
        <f>IF($C16="","",INDEX('Freeview-Gen Ent-more than min'!$Y:$AA,MATCH($C16,'Freeview-Gen Ent-more than min'!$AA:$AA,0),1))</f>
        <v>9</v>
      </c>
      <c r="R16">
        <f>IF($C16="","",INDEX('Freeview-Gen Ent-more than min'!$Y:$AA,MATCH($C16,'Freeview-Gen Ent-more than min'!$AA:$AA,0),2))</f>
        <v>9</v>
      </c>
      <c r="S16">
        <f t="shared" si="3"/>
        <v>0</v>
      </c>
      <c r="T16">
        <f t="shared" si="4"/>
        <v>0</v>
      </c>
      <c r="U16" s="7">
        <f>IF($S16=0,0,G16*$S16*'O&amp;O - other input parameters'!$C$7)</f>
        <v>0</v>
      </c>
      <c r="V16" s="7">
        <f>IF($S16=0,0,H16*$S16*'O&amp;O - other input parameters'!$C$7)</f>
        <v>0</v>
      </c>
    </row>
    <row r="17" spans="2:22" ht="14.65" thickBot="1" x14ac:dyDescent="0.5">
      <c r="B17" s="129" t="s">
        <v>59</v>
      </c>
      <c r="C17" t="str">
        <f>IF('Freeview-Gen Ent'!K19&lt;&gt;0,'Freeview-Gen Ent'!K19,"")</f>
        <v>ITV3</v>
      </c>
      <c r="D17">
        <f t="shared" si="0"/>
        <v>1</v>
      </c>
      <c r="E17">
        <f>IF($C17="","",INDEX('Freeview-Gen Ent'!$I:$K,MATCH($C17,'Freeview-Gen Ent'!$K:$K,0),1))</f>
        <v>10</v>
      </c>
      <c r="F17">
        <f>IF($C17="","",INDEX('Freeview-Gen Ent'!$I:$K,MATCH($C17,'Freeview-Gen Ent'!$K:$K,0),2))</f>
        <v>10</v>
      </c>
      <c r="G17" s="73">
        <f>IF(AND($L17=0,$S17=0),"Not needed",(IF($B17="Not available",0,(((INDEX('O&amp;O - Revenues &amp; viewing'!$B$6:$Z$237,MATCH($B17,'O&amp;O - Revenues &amp; viewing'!$B$6:$B$237,0),3))*('O&amp;O - other input parameters'!$C$4))/1000000))))</f>
        <v>81.519374611345768</v>
      </c>
      <c r="H17" s="73">
        <f>IF(AND($L17=0,$S17=0),"Not needed",(IF($B17="Not available",0,(((INDEX('O&amp;O - Revenues &amp; viewing'!$B$6:$Z$237,MATCH($B17,'O&amp;O - Revenues &amp; viewing'!$B$6:$B$237,0),7))*('O&amp;O - other input parameters'!$C$4))/1000000))))</f>
        <v>5.7994691042038609</v>
      </c>
      <c r="J17">
        <f>IF($C17="","",INDEX('Freeview-Gen Ent'!$Y:$AA,MATCH($C17,'Freeview-Gen Ent'!$AA:$AA,0),1))</f>
        <v>10</v>
      </c>
      <c r="K17">
        <f>IF($C17="","",INDEX('Freeview-Gen Ent'!$Y:$AA,MATCH($C17,'Freeview-Gen Ent'!$AA:$AA,0),2))</f>
        <v>10</v>
      </c>
      <c r="L17">
        <f t="shared" si="1"/>
        <v>0</v>
      </c>
      <c r="M17">
        <f t="shared" si="2"/>
        <v>0</v>
      </c>
      <c r="N17" s="7">
        <f>IF($L17=0,0,G17*$L17*'O&amp;O - other input parameters'!$C$7)</f>
        <v>0</v>
      </c>
      <c r="O17" s="7">
        <f>IF($L17=0,0,H17*$L17*'O&amp;O - other input parameters'!$C$7)</f>
        <v>0</v>
      </c>
      <c r="Q17">
        <f>IF($C17="","",INDEX('Freeview-Gen Ent-more than min'!$Y:$AA,MATCH($C17,'Freeview-Gen Ent-more than min'!$AA:$AA,0),1))</f>
        <v>11</v>
      </c>
      <c r="R17">
        <f>IF($C17="","",INDEX('Freeview-Gen Ent-more than min'!$Y:$AA,MATCH($C17,'Freeview-Gen Ent-more than min'!$AA:$AA,0),2))</f>
        <v>11</v>
      </c>
      <c r="S17">
        <f t="shared" si="3"/>
        <v>-1</v>
      </c>
      <c r="T17">
        <f t="shared" si="4"/>
        <v>1</v>
      </c>
      <c r="U17" s="7">
        <f>IF($S17=0,0,G17*$S17*'O&amp;O - other input parameters'!$C$7)</f>
        <v>-1.2082955617703723</v>
      </c>
      <c r="V17" s="7">
        <f>IF($S17=0,0,H17*$S17*'O&amp;O - other input parameters'!$C$7)</f>
        <v>-8.5960826032375259E-2</v>
      </c>
    </row>
    <row r="18" spans="2:22" ht="14.65" thickBot="1" x14ac:dyDescent="0.5">
      <c r="B18" s="133" t="s">
        <v>535</v>
      </c>
      <c r="C18" t="str">
        <f>IF('Freeview-Gen Ent'!K20&lt;&gt;0,'Freeview-Gen Ent'!K20,"")</f>
        <v>Pick</v>
      </c>
      <c r="D18">
        <f t="shared" si="0"/>
        <v>1</v>
      </c>
      <c r="E18">
        <f>IF($C18="","",INDEX('Freeview-Gen Ent'!$I:$K,MATCH($C18,'Freeview-Gen Ent'!$K:$K,0),1))</f>
        <v>11</v>
      </c>
      <c r="F18">
        <f>IF($C18="","",INDEX('Freeview-Gen Ent'!$I:$K,MATCH($C18,'Freeview-Gen Ent'!$K:$K,0),2))</f>
        <v>11</v>
      </c>
      <c r="G18" s="73">
        <f>IF(AND($L18=0,$S18=0),"Not needed",(IF($B18="Not available",0,(((INDEX('O&amp;O - Revenues &amp; viewing'!$B$6:$Z$237,MATCH($B18,'O&amp;O - Revenues &amp; viewing'!$B$6:$B$237,0),3))*('O&amp;O - other input parameters'!$C$4))/1000000))))</f>
        <v>0</v>
      </c>
      <c r="H18" s="73">
        <f>IF(AND($L18=0,$S18=0),"Not needed",(IF($B18="Not available",0,(((INDEX('O&amp;O - Revenues &amp; viewing'!$B$6:$Z$237,MATCH($B18,'O&amp;O - Revenues &amp; viewing'!$B$6:$B$237,0),7))*('O&amp;O - other input parameters'!$C$4))/1000000))))</f>
        <v>0</v>
      </c>
      <c r="J18">
        <f>IF($C18="","",INDEX('Freeview-Gen Ent'!$Y:$AA,MATCH($C18,'Freeview-Gen Ent'!$AA:$AA,0),1))</f>
        <v>11</v>
      </c>
      <c r="K18">
        <f>IF($C18="","",INDEX('Freeview-Gen Ent'!$Y:$AA,MATCH($C18,'Freeview-Gen Ent'!$AA:$AA,0),2))</f>
        <v>11</v>
      </c>
      <c r="L18">
        <f t="shared" si="1"/>
        <v>0</v>
      </c>
      <c r="M18">
        <f t="shared" si="2"/>
        <v>0</v>
      </c>
      <c r="N18" s="7">
        <f>IF($L18=0,0,G18*$L18*'O&amp;O - other input parameters'!$C$7)</f>
        <v>0</v>
      </c>
      <c r="O18" s="7">
        <f>IF($L18=0,0,H18*$L18*'O&amp;O - other input parameters'!$C$7)</f>
        <v>0</v>
      </c>
      <c r="Q18">
        <f>IF($C18="","",INDEX('Freeview-Gen Ent-more than min'!$Y:$AA,MATCH($C18,'Freeview-Gen Ent-more than min'!$AA:$AA,0),1))</f>
        <v>12</v>
      </c>
      <c r="R18">
        <f>IF($C18="","",INDEX('Freeview-Gen Ent-more than min'!$Y:$AA,MATCH($C18,'Freeview-Gen Ent-more than min'!$AA:$AA,0),2))</f>
        <v>12</v>
      </c>
      <c r="S18">
        <f t="shared" si="3"/>
        <v>-1</v>
      </c>
      <c r="T18">
        <f t="shared" si="4"/>
        <v>1</v>
      </c>
      <c r="U18" s="7">
        <f>IF($S18=0,0,G18*$S18*'O&amp;O - other input parameters'!$C$7)</f>
        <v>0</v>
      </c>
      <c r="V18" s="7">
        <f>IF($S18=0,0,H18*$S18*'O&amp;O - other input parameters'!$C$7)</f>
        <v>0</v>
      </c>
    </row>
    <row r="19" spans="2:22" ht="14.65" thickBot="1" x14ac:dyDescent="0.5">
      <c r="B19" s="133" t="s">
        <v>352</v>
      </c>
      <c r="C19" t="str">
        <f>IF('Freeview-Gen Ent'!K21&lt;&gt;0,'Freeview-Gen Ent'!K21,"")</f>
        <v>Dave</v>
      </c>
      <c r="D19">
        <f t="shared" si="0"/>
        <v>1</v>
      </c>
      <c r="E19">
        <f>IF($C19="","",INDEX('Freeview-Gen Ent'!$I:$K,MATCH($C19,'Freeview-Gen Ent'!$K:$K,0),1))</f>
        <v>12</v>
      </c>
      <c r="F19">
        <f>IF($C19="","",INDEX('Freeview-Gen Ent'!$I:$K,MATCH($C19,'Freeview-Gen Ent'!$K:$K,0),2))</f>
        <v>12</v>
      </c>
      <c r="G19" s="73">
        <f>IF(AND($L19=0,$S19=0),"Not needed",(IF($B19="Not available",0,(((INDEX('O&amp;O - Revenues &amp; viewing'!$B$6:$Z$237,MATCH($B19,'O&amp;O - Revenues &amp; viewing'!$B$6:$B$237,0),3))*('O&amp;O - other input parameters'!$C$4))/1000000))))</f>
        <v>37.315680742877461</v>
      </c>
      <c r="H19" s="73">
        <f>IF(AND($L19=0,$S19=0),"Not needed",(IF($B19="Not available",0,(((INDEX('O&amp;O - Revenues &amp; viewing'!$B$6:$Z$237,MATCH($B19,'O&amp;O - Revenues &amp; viewing'!$B$6:$B$237,0),7))*('O&amp;O - other input parameters'!$C$4))/1000000))))</f>
        <v>1.8711686601941984</v>
      </c>
      <c r="J19">
        <f>IF($C19="","",INDEX('Freeview-Gen Ent'!$Y:$AA,MATCH($C19,'Freeview-Gen Ent'!$AA:$AA,0),1))</f>
        <v>12</v>
      </c>
      <c r="K19">
        <f>IF($C19="","",INDEX('Freeview-Gen Ent'!$Y:$AA,MATCH($C19,'Freeview-Gen Ent'!$AA:$AA,0),2))</f>
        <v>12</v>
      </c>
      <c r="L19">
        <f t="shared" si="1"/>
        <v>0</v>
      </c>
      <c r="M19">
        <f t="shared" si="2"/>
        <v>0</v>
      </c>
      <c r="N19" s="7">
        <f>IF($L19=0,0,G19*$L19*'O&amp;O - other input parameters'!$C$7)</f>
        <v>0</v>
      </c>
      <c r="O19" s="7">
        <f>IF($L19=0,0,H19*$L19*'O&amp;O - other input parameters'!$C$7)</f>
        <v>0</v>
      </c>
      <c r="Q19">
        <f>IF($C19="","",INDEX('Freeview-Gen Ent-more than min'!$Y:$AA,MATCH($C19,'Freeview-Gen Ent-more than min'!$AA:$AA,0),1))</f>
        <v>13</v>
      </c>
      <c r="R19">
        <f>IF($C19="","",INDEX('Freeview-Gen Ent-more than min'!$Y:$AA,MATCH($C19,'Freeview-Gen Ent-more than min'!$AA:$AA,0),2))</f>
        <v>13</v>
      </c>
      <c r="S19">
        <f t="shared" si="3"/>
        <v>-1</v>
      </c>
      <c r="T19">
        <f t="shared" si="4"/>
        <v>1</v>
      </c>
      <c r="U19" s="7">
        <f>IF($S19=0,0,G19*$S19*'O&amp;O - other input parameters'!$C$7)</f>
        <v>-0.55310006536511924</v>
      </c>
      <c r="V19" s="7">
        <f>IF($S19=0,0,H19*$S19*'O&amp;O - other input parameters'!$C$7)</f>
        <v>-2.7734815167752662E-2</v>
      </c>
    </row>
    <row r="20" spans="2:22" ht="14.65" thickBot="1" x14ac:dyDescent="0.5">
      <c r="B20" s="129" t="s">
        <v>360</v>
      </c>
      <c r="C20" t="str">
        <f>IF('Freeview-Gen Ent'!K22&lt;&gt;0,'Freeview-Gen Ent'!K22,"")</f>
        <v>Channel 4 +1</v>
      </c>
      <c r="D20">
        <f t="shared" si="0"/>
        <v>1</v>
      </c>
      <c r="E20">
        <f>IF($C20="","",INDEX('Freeview-Gen Ent'!$I:$K,MATCH($C20,'Freeview-Gen Ent'!$K:$K,0),1))</f>
        <v>13</v>
      </c>
      <c r="F20">
        <f>IF($C20="","",INDEX('Freeview-Gen Ent'!$I:$K,MATCH($C20,'Freeview-Gen Ent'!$K:$K,0),2))</f>
        <v>13</v>
      </c>
      <c r="G20" s="73">
        <f>IF(AND($L20=0,$S20=0),"Not needed",(IF($B20="Not available",0,(((INDEX('O&amp;O - Revenues &amp; viewing'!$B$6:$Z$237,MATCH($B20,'O&amp;O - Revenues &amp; viewing'!$B$6:$B$237,0),3))*('O&amp;O - other input parameters'!$C$4))/1000000))))</f>
        <v>33.914813147351744</v>
      </c>
      <c r="H20" s="73">
        <f>IF(AND($L20=0,$S20=0),"Not needed",(IF($B20="Not available",0,(((INDEX('O&amp;O - Revenues &amp; viewing'!$B$6:$Z$237,MATCH($B20,'O&amp;O - Revenues &amp; viewing'!$B$6:$B$237,0),7))*('O&amp;O - other input parameters'!$C$4))/1000000))))</f>
        <v>4.6235319150562333</v>
      </c>
      <c r="J20">
        <f>IF($C20="","",INDEX('Freeview-Gen Ent'!$Y:$AA,MATCH($C20,'Freeview-Gen Ent'!$AA:$AA,0),1))</f>
        <v>13</v>
      </c>
      <c r="K20">
        <f>IF($C20="","",INDEX('Freeview-Gen Ent'!$Y:$AA,MATCH($C20,'Freeview-Gen Ent'!$AA:$AA,0),2))</f>
        <v>13</v>
      </c>
      <c r="L20">
        <f t="shared" si="1"/>
        <v>0</v>
      </c>
      <c r="M20">
        <f t="shared" si="2"/>
        <v>0</v>
      </c>
      <c r="N20" s="7">
        <f>IF($L20=0,0,G20*$L20*'O&amp;O - other input parameters'!$C$7)</f>
        <v>0</v>
      </c>
      <c r="O20" s="7">
        <f>IF($L20=0,0,H20*$L20*'O&amp;O - other input parameters'!$C$7)</f>
        <v>0</v>
      </c>
      <c r="Q20">
        <f>IF($C20="","",INDEX('Freeview-Gen Ent-more than min'!$Y:$AA,MATCH($C20,'Freeview-Gen Ent-more than min'!$AA:$AA,0),1))</f>
        <v>14</v>
      </c>
      <c r="R20">
        <f>IF($C20="","",INDEX('Freeview-Gen Ent-more than min'!$Y:$AA,MATCH($C20,'Freeview-Gen Ent-more than min'!$AA:$AA,0),2))</f>
        <v>14</v>
      </c>
      <c r="S20">
        <f t="shared" si="3"/>
        <v>-1</v>
      </c>
      <c r="T20">
        <f t="shared" si="4"/>
        <v>1</v>
      </c>
      <c r="U20" s="7">
        <f>IF($S20=0,0,G20*$S20*'O&amp;O - other input parameters'!$C$7)</f>
        <v>-0.50269176376278479</v>
      </c>
      <c r="V20" s="7">
        <f>IF($S20=0,0,H20*$S20*'O&amp;O - other input parameters'!$C$7)</f>
        <v>-6.8530862991784791E-2</v>
      </c>
    </row>
    <row r="21" spans="2:22" ht="14.65" thickBot="1" x14ac:dyDescent="0.5">
      <c r="B21" s="133" t="s">
        <v>353</v>
      </c>
      <c r="C21" t="str">
        <f>IF('Freeview-Gen Ent'!K23&lt;&gt;0,'Freeview-Gen Ent'!K23,"")</f>
        <v>More4</v>
      </c>
      <c r="D21">
        <f t="shared" si="0"/>
        <v>1</v>
      </c>
      <c r="E21">
        <f>IF($C21="","",INDEX('Freeview-Gen Ent'!$I:$K,MATCH($C21,'Freeview-Gen Ent'!$K:$K,0),1))</f>
        <v>14</v>
      </c>
      <c r="F21">
        <f>IF($C21="","",INDEX('Freeview-Gen Ent'!$I:$K,MATCH($C21,'Freeview-Gen Ent'!$K:$K,0),2))</f>
        <v>14</v>
      </c>
      <c r="G21" s="73">
        <f>IF(AND($L21=0,$S21=0),"Not needed",(IF($B21="Not available",0,(((INDEX('O&amp;O - Revenues &amp; viewing'!$B$6:$Z$237,MATCH($B21,'O&amp;O - Revenues &amp; viewing'!$B$6:$B$237,0),3))*('O&amp;O - other input parameters'!$C$4))/1000000))))</f>
        <v>46.592928978790269</v>
      </c>
      <c r="H21" s="73">
        <f>IF(AND($L21=0,$S21=0),"Not needed",(IF($B21="Not available",0,(((INDEX('O&amp;O - Revenues &amp; viewing'!$B$6:$Z$237,MATCH($B21,'O&amp;O - Revenues &amp; viewing'!$B$6:$B$237,0),7))*('O&amp;O - other input parameters'!$C$4))/1000000))))</f>
        <v>3.8277530157345381</v>
      </c>
      <c r="J21">
        <f>IF($C21="","",INDEX('Freeview-Gen Ent'!$Y:$AA,MATCH($C21,'Freeview-Gen Ent'!$AA:$AA,0),1))</f>
        <v>14</v>
      </c>
      <c r="K21">
        <f>IF($C21="","",INDEX('Freeview-Gen Ent'!$Y:$AA,MATCH($C21,'Freeview-Gen Ent'!$AA:$AA,0),2))</f>
        <v>14</v>
      </c>
      <c r="L21">
        <f t="shared" si="1"/>
        <v>0</v>
      </c>
      <c r="M21">
        <f t="shared" si="2"/>
        <v>0</v>
      </c>
      <c r="N21" s="7">
        <f>IF($L21=0,0,G21*$L21*'O&amp;O - other input parameters'!$C$7)</f>
        <v>0</v>
      </c>
      <c r="O21" s="7">
        <f>IF($L21=0,0,H21*$L21*'O&amp;O - other input parameters'!$C$7)</f>
        <v>0</v>
      </c>
      <c r="Q21">
        <f>IF($C21="","",INDEX('Freeview-Gen Ent-more than min'!$Y:$AA,MATCH($C21,'Freeview-Gen Ent-more than min'!$AA:$AA,0),1))</f>
        <v>15</v>
      </c>
      <c r="R21">
        <f>IF($C21="","",INDEX('Freeview-Gen Ent-more than min'!$Y:$AA,MATCH($C21,'Freeview-Gen Ent-more than min'!$AA:$AA,0),2))</f>
        <v>15</v>
      </c>
      <c r="S21">
        <f t="shared" si="3"/>
        <v>-1</v>
      </c>
      <c r="T21">
        <f t="shared" si="4"/>
        <v>1</v>
      </c>
      <c r="U21" s="7">
        <f>IF($S21=0,0,G21*$S21*'O&amp;O - other input parameters'!$C$7)</f>
        <v>-0.690609190310434</v>
      </c>
      <c r="V21" s="7">
        <f>IF($S21=0,0,H21*$S21*'O&amp;O - other input parameters'!$C$7)</f>
        <v>-5.6735677898852414E-2</v>
      </c>
    </row>
    <row r="22" spans="2:22" ht="14.65" thickBot="1" x14ac:dyDescent="0.5">
      <c r="B22" s="133" t="s">
        <v>350</v>
      </c>
      <c r="C22" t="str">
        <f>IF('Freeview-Gen Ent'!K24&lt;&gt;0,'Freeview-Gen Ent'!K24,"")</f>
        <v xml:space="preserve">Film4 </v>
      </c>
      <c r="D22">
        <f t="shared" si="0"/>
        <v>1</v>
      </c>
      <c r="E22">
        <f>IF($C22="","",INDEX('Freeview-Gen Ent'!$I:$K,MATCH($C22,'Freeview-Gen Ent'!$K:$K,0),1))</f>
        <v>15</v>
      </c>
      <c r="F22">
        <f>IF($C22="","",INDEX('Freeview-Gen Ent'!$I:$K,MATCH($C22,'Freeview-Gen Ent'!$K:$K,0),2))</f>
        <v>15</v>
      </c>
      <c r="G22" s="73">
        <f>IF(AND($L22=0,$S22=0),"Not needed",(IF($B22="Not available",0,(((INDEX('O&amp;O - Revenues &amp; viewing'!$B$6:$Z$237,MATCH($B22,'O&amp;O - Revenues &amp; viewing'!$B$6:$B$237,0),3))*('O&amp;O - other input parameters'!$C$4))/1000000))))</f>
        <v>61.922906160852001</v>
      </c>
      <c r="H22" s="73">
        <f>IF(AND($L22=0,$S22=0),"Not needed",(IF($B22="Not available",0,(((INDEX('O&amp;O - Revenues &amp; viewing'!$B$6:$Z$237,MATCH($B22,'O&amp;O - Revenues &amp; viewing'!$B$6:$B$237,0),7))*('O&amp;O - other input parameters'!$C$4))/1000000))))</f>
        <v>5.0871579871732324</v>
      </c>
      <c r="J22">
        <f>IF($C22="","",INDEX('Freeview-Gen Ent'!$Y:$AA,MATCH($C22,'Freeview-Gen Ent'!$AA:$AA,0),1))</f>
        <v>15</v>
      </c>
      <c r="K22">
        <f>IF($C22="","",INDEX('Freeview-Gen Ent'!$Y:$AA,MATCH($C22,'Freeview-Gen Ent'!$AA:$AA,0),2))</f>
        <v>15</v>
      </c>
      <c r="L22">
        <f t="shared" si="1"/>
        <v>0</v>
      </c>
      <c r="M22">
        <f t="shared" si="2"/>
        <v>0</v>
      </c>
      <c r="N22" s="7">
        <f>IF($L22=0,0,G22*$L22*'O&amp;O - other input parameters'!$C$7)</f>
        <v>0</v>
      </c>
      <c r="O22" s="7">
        <f>IF($L22=0,0,H22*$L22*'O&amp;O - other input parameters'!$C$7)</f>
        <v>0</v>
      </c>
      <c r="Q22">
        <f>IF($C22="","",INDEX('Freeview-Gen Ent-more than min'!$Y:$AA,MATCH($C22,'Freeview-Gen Ent-more than min'!$AA:$AA,0),1))</f>
        <v>16</v>
      </c>
      <c r="R22">
        <f>IF($C22="","",INDEX('Freeview-Gen Ent-more than min'!$Y:$AA,MATCH($C22,'Freeview-Gen Ent-more than min'!$AA:$AA,0),2))</f>
        <v>16</v>
      </c>
      <c r="S22">
        <f t="shared" si="3"/>
        <v>-1</v>
      </c>
      <c r="T22">
        <f t="shared" si="4"/>
        <v>1</v>
      </c>
      <c r="U22" s="7">
        <f>IF($S22=0,0,G22*$S22*'O&amp;O - other input parameters'!$C$7)</f>
        <v>-0.91783300648220623</v>
      </c>
      <c r="V22" s="7">
        <f>IF($S22=0,0,H22*$S22*'O&amp;O - other input parameters'!$C$7)</f>
        <v>-7.540281616771155E-2</v>
      </c>
    </row>
    <row r="23" spans="2:22" ht="14.65" thickBot="1" x14ac:dyDescent="0.5">
      <c r="B23" s="133" t="s">
        <v>537</v>
      </c>
      <c r="C23" t="str">
        <f>IF('Freeview-Gen Ent'!K25&lt;&gt;0,'Freeview-Gen Ent'!K25,"")</f>
        <v>QVC</v>
      </c>
      <c r="D23">
        <f t="shared" si="0"/>
        <v>1</v>
      </c>
      <c r="E23">
        <f>IF($C23="","",INDEX('Freeview-Gen Ent'!$I:$K,MATCH($C23,'Freeview-Gen Ent'!$K:$K,0),1))</f>
        <v>16</v>
      </c>
      <c r="F23">
        <f>IF($C23="","",INDEX('Freeview-Gen Ent'!$I:$K,MATCH($C23,'Freeview-Gen Ent'!$K:$K,0),2))</f>
        <v>16</v>
      </c>
      <c r="G23" s="73">
        <f>IF(AND($L23=0,$S23=0),"Not needed",(IF($B23="Not available",0,(((INDEX('O&amp;O - Revenues &amp; viewing'!$B$6:$Z$237,MATCH($B23,'O&amp;O - Revenues &amp; viewing'!$B$6:$B$237,0),3))*('O&amp;O - other input parameters'!$C$4))/1000000))))</f>
        <v>0</v>
      </c>
      <c r="H23" s="73">
        <f>IF(AND($L23=0,$S23=0),"Not needed",(IF($B23="Not available",0,(((INDEX('O&amp;O - Revenues &amp; viewing'!$B$6:$Z$237,MATCH($B23,'O&amp;O - Revenues &amp; viewing'!$B$6:$B$237,0),7))*('O&amp;O - other input parameters'!$C$4))/1000000))))</f>
        <v>0</v>
      </c>
      <c r="J23">
        <f>IF($C23="","",INDEX('Freeview-Gen Ent'!$Y:$AA,MATCH($C23,'Freeview-Gen Ent'!$AA:$AA,0),1))</f>
        <v>16</v>
      </c>
      <c r="K23">
        <f>IF($C23="","",INDEX('Freeview-Gen Ent'!$Y:$AA,MATCH($C23,'Freeview-Gen Ent'!$AA:$AA,0),2))</f>
        <v>16</v>
      </c>
      <c r="L23">
        <f t="shared" si="1"/>
        <v>0</v>
      </c>
      <c r="M23">
        <f t="shared" si="2"/>
        <v>0</v>
      </c>
      <c r="N23" s="7">
        <f>IF($L23=0,0,G23*$L23*'O&amp;O - other input parameters'!$C$7)</f>
        <v>0</v>
      </c>
      <c r="O23" s="7">
        <f>IF($L23=0,0,H23*$L23*'O&amp;O - other input parameters'!$C$7)</f>
        <v>0</v>
      </c>
      <c r="Q23">
        <f>IF($C23="","",INDEX('Freeview-Gen Ent-more than min'!$Y:$AA,MATCH($C23,'Freeview-Gen Ent-more than min'!$AA:$AA,0),1))</f>
        <v>17</v>
      </c>
      <c r="R23">
        <f>IF($C23="","",INDEX('Freeview-Gen Ent-more than min'!$Y:$AA,MATCH($C23,'Freeview-Gen Ent-more than min'!$AA:$AA,0),2))</f>
        <v>17</v>
      </c>
      <c r="S23">
        <f t="shared" si="3"/>
        <v>-1</v>
      </c>
      <c r="T23">
        <f t="shared" si="4"/>
        <v>1</v>
      </c>
      <c r="U23" s="7">
        <f>IF($S23=0,0,G23*$S23*'O&amp;O - other input parameters'!$C$7)</f>
        <v>0</v>
      </c>
      <c r="V23" s="7">
        <f>IF($S23=0,0,H23*$S23*'O&amp;O - other input parameters'!$C$7)</f>
        <v>0</v>
      </c>
    </row>
    <row r="24" spans="2:22" ht="14.65" thickBot="1" x14ac:dyDescent="0.5">
      <c r="B24" s="133" t="s">
        <v>362</v>
      </c>
      <c r="C24" t="str">
        <f>IF('Freeview-Gen Ent'!K26&lt;&gt;0,'Freeview-Gen Ent'!K26,"")</f>
        <v>Really</v>
      </c>
      <c r="D24">
        <f t="shared" si="0"/>
        <v>1</v>
      </c>
      <c r="E24">
        <f>IF($C24="","",INDEX('Freeview-Gen Ent'!$I:$K,MATCH($C24,'Freeview-Gen Ent'!$K:$K,0),1))</f>
        <v>17</v>
      </c>
      <c r="F24">
        <f>IF($C24="","",INDEX('Freeview-Gen Ent'!$I:$K,MATCH($C24,'Freeview-Gen Ent'!$K:$K,0),2))</f>
        <v>17</v>
      </c>
      <c r="G24" s="73">
        <f>IF(AND($L24=0,$S24=0),"Not needed",(IF($B24="Not available",0,(((INDEX('O&amp;O - Revenues &amp; viewing'!$B$6:$Z$237,MATCH($B24,'O&amp;O - Revenues &amp; viewing'!$B$6:$B$237,0),3))*('O&amp;O - other input parameters'!$C$4))/1000000))))</f>
        <v>29.366733455203175</v>
      </c>
      <c r="H24" s="73">
        <f>IF(AND($L24=0,$S24=0),"Not needed",(IF($B24="Not available",0,(((INDEX('O&amp;O - Revenues &amp; viewing'!$B$6:$Z$237,MATCH($B24,'O&amp;O - Revenues &amp; viewing'!$B$6:$B$237,0),7))*('O&amp;O - other input parameters'!$C$4))/1000000))))</f>
        <v>1.4725742690394608</v>
      </c>
      <c r="J24">
        <f>IF($C24="","",INDEX('Freeview-Gen Ent'!$Y:$AA,MATCH($C24,'Freeview-Gen Ent'!$AA:$AA,0),1))</f>
        <v>17</v>
      </c>
      <c r="K24">
        <f>IF($C24="","",INDEX('Freeview-Gen Ent'!$Y:$AA,MATCH($C24,'Freeview-Gen Ent'!$AA:$AA,0),2))</f>
        <v>17</v>
      </c>
      <c r="L24">
        <f t="shared" si="1"/>
        <v>0</v>
      </c>
      <c r="M24">
        <f t="shared" si="2"/>
        <v>0</v>
      </c>
      <c r="N24" s="7">
        <f>IF($L24=0,0,G24*$L24*'O&amp;O - other input parameters'!$C$7)</f>
        <v>0</v>
      </c>
      <c r="O24" s="7">
        <f>IF($L24=0,0,H24*$L24*'O&amp;O - other input parameters'!$C$7)</f>
        <v>0</v>
      </c>
      <c r="Q24">
        <f>IF($C24="","",INDEX('Freeview-Gen Ent-more than min'!$Y:$AA,MATCH($C24,'Freeview-Gen Ent-more than min'!$AA:$AA,0),1))</f>
        <v>18</v>
      </c>
      <c r="R24">
        <f>IF($C24="","",INDEX('Freeview-Gen Ent-more than min'!$Y:$AA,MATCH($C24,'Freeview-Gen Ent-more than min'!$AA:$AA,0),2))</f>
        <v>18</v>
      </c>
      <c r="S24">
        <f t="shared" si="3"/>
        <v>-1</v>
      </c>
      <c r="T24">
        <f t="shared" si="4"/>
        <v>1</v>
      </c>
      <c r="U24" s="7">
        <f>IF($S24=0,0,G24*$S24*'O&amp;O - other input parameters'!$C$7)</f>
        <v>-0.43527926786470872</v>
      </c>
      <c r="V24" s="7">
        <f>IF($S24=0,0,H24*$S24*'O&amp;O - other input parameters'!$C$7)</f>
        <v>-2.1826773845367419E-2</v>
      </c>
    </row>
    <row r="25" spans="2:22" ht="14.65" thickBot="1" x14ac:dyDescent="0.5">
      <c r="B25" s="133" t="s">
        <v>388</v>
      </c>
      <c r="C25" t="str">
        <f>IF('Freeview-Gen Ent'!K27&lt;&gt;0,'Freeview-Gen Ent'!K27,"")</f>
        <v>4Music</v>
      </c>
      <c r="D25">
        <f t="shared" si="0"/>
        <v>1</v>
      </c>
      <c r="E25">
        <f>IF($C25="","",INDEX('Freeview-Gen Ent'!$I:$K,MATCH($C25,'Freeview-Gen Ent'!$K:$K,0),1))</f>
        <v>18</v>
      </c>
      <c r="F25">
        <f>IF($C25="","",INDEX('Freeview-Gen Ent'!$I:$K,MATCH($C25,'Freeview-Gen Ent'!$K:$K,0),2))</f>
        <v>18</v>
      </c>
      <c r="G25" s="73">
        <f>IF(AND($L25=0,$S25=0),"Not needed",(IF($B25="Not available",0,(((INDEX('O&amp;O - Revenues &amp; viewing'!$B$6:$Z$237,MATCH($B25,'O&amp;O - Revenues &amp; viewing'!$B$6:$B$237,0),3))*('O&amp;O - other input parameters'!$C$4))/1000000))))</f>
        <v>15.821097732516805</v>
      </c>
      <c r="H25" s="73">
        <f>IF(AND($L25=0,$S25=0),"Not needed",(IF($B25="Not available",0,(((INDEX('O&amp;O - Revenues &amp; viewing'!$B$6:$Z$237,MATCH($B25,'O&amp;O - Revenues &amp; viewing'!$B$6:$B$237,0),7))*('O&amp;O - other input parameters'!$C$4))/1000000))))</f>
        <v>1.2997520414619017</v>
      </c>
      <c r="J25">
        <f>IF($C25="","",INDEX('Freeview-Gen Ent'!$Y:$AA,MATCH($C25,'Freeview-Gen Ent'!$AA:$AA,0),1))</f>
        <v>18</v>
      </c>
      <c r="K25">
        <f>IF($C25="","",INDEX('Freeview-Gen Ent'!$Y:$AA,MATCH($C25,'Freeview-Gen Ent'!$AA:$AA,0),2))</f>
        <v>18</v>
      </c>
      <c r="L25">
        <f t="shared" si="1"/>
        <v>0</v>
      </c>
      <c r="M25">
        <f t="shared" si="2"/>
        <v>0</v>
      </c>
      <c r="N25" s="7">
        <f>IF($L25=0,0,G25*$L25*'O&amp;O - other input parameters'!$C$7)</f>
        <v>0</v>
      </c>
      <c r="O25" s="7">
        <f>IF($L25=0,0,H25*$L25*'O&amp;O - other input parameters'!$C$7)</f>
        <v>0</v>
      </c>
      <c r="Q25">
        <f>IF($C25="","",INDEX('Freeview-Gen Ent-more than min'!$Y:$AA,MATCH($C25,'Freeview-Gen Ent-more than min'!$AA:$AA,0),1))</f>
        <v>19</v>
      </c>
      <c r="R25">
        <f>IF($C25="","",INDEX('Freeview-Gen Ent-more than min'!$Y:$AA,MATCH($C25,'Freeview-Gen Ent-more than min'!$AA:$AA,0),2))</f>
        <v>19</v>
      </c>
      <c r="S25">
        <f t="shared" si="3"/>
        <v>-1</v>
      </c>
      <c r="T25">
        <f t="shared" si="4"/>
        <v>1</v>
      </c>
      <c r="U25" s="7">
        <f>IF($S25=0,0,G25*$S25*'O&amp;O - other input parameters'!$C$7)</f>
        <v>-0.23450329769672615</v>
      </c>
      <c r="V25" s="7">
        <f>IF($S25=0,0,H25*$S25*'O&amp;O - other input parameters'!$C$7)</f>
        <v>-1.9265170158479339E-2</v>
      </c>
    </row>
    <row r="26" spans="2:22" ht="14.65" thickBot="1" x14ac:dyDescent="0.5">
      <c r="B26" s="133" t="s">
        <v>364</v>
      </c>
      <c r="C26" t="str">
        <f>IF('Freeview-Gen Ent'!K28&lt;&gt;0,'Freeview-Gen Ent'!K28,"")</f>
        <v>Yesterday</v>
      </c>
      <c r="D26">
        <f t="shared" si="0"/>
        <v>1</v>
      </c>
      <c r="E26">
        <f>IF($C26="","",INDEX('Freeview-Gen Ent'!$I:$K,MATCH($C26,'Freeview-Gen Ent'!$K:$K,0),1))</f>
        <v>19</v>
      </c>
      <c r="F26">
        <f>IF($C26="","",INDEX('Freeview-Gen Ent'!$I:$K,MATCH($C26,'Freeview-Gen Ent'!$K:$K,0),2))</f>
        <v>19</v>
      </c>
      <c r="G26" s="73">
        <f>IF(AND($L26=0,$S26=0),"Not needed",(IF($B26="Not available",0,(((INDEX('O&amp;O - Revenues &amp; viewing'!$B$6:$Z$237,MATCH($B26,'O&amp;O - Revenues &amp; viewing'!$B$6:$B$237,0),3))*('O&amp;O - other input parameters'!$C$4))/1000000))))</f>
        <v>36.244317379915636</v>
      </c>
      <c r="H26" s="73">
        <f>IF(AND($L26=0,$S26=0),"Not needed",(IF($B26="Not available",0,(((INDEX('O&amp;O - Revenues &amp; viewing'!$B$6:$Z$237,MATCH($B26,'O&amp;O - Revenues &amp; viewing'!$B$6:$B$237,0),7))*('O&amp;O - other input parameters'!$C$4))/1000000))))</f>
        <v>1.8174458951649934</v>
      </c>
      <c r="J26">
        <f>IF($C26="","",INDEX('Freeview-Gen Ent'!$Y:$AA,MATCH($C26,'Freeview-Gen Ent'!$AA:$AA,0),1))</f>
        <v>19</v>
      </c>
      <c r="K26">
        <f>IF($C26="","",INDEX('Freeview-Gen Ent'!$Y:$AA,MATCH($C26,'Freeview-Gen Ent'!$AA:$AA,0),2))</f>
        <v>19</v>
      </c>
      <c r="L26">
        <f t="shared" si="1"/>
        <v>0</v>
      </c>
      <c r="M26">
        <f t="shared" si="2"/>
        <v>0</v>
      </c>
      <c r="N26" s="7">
        <f>IF($L26=0,0,G26*$L26*'O&amp;O - other input parameters'!$C$7)</f>
        <v>0</v>
      </c>
      <c r="O26" s="7">
        <f>IF($L26=0,0,H26*$L26*'O&amp;O - other input parameters'!$C$7)</f>
        <v>0</v>
      </c>
      <c r="Q26">
        <f>IF($C26="","",INDEX('Freeview-Gen Ent-more than min'!$Y:$AA,MATCH($C26,'Freeview-Gen Ent-more than min'!$AA:$AA,0),1))</f>
        <v>20</v>
      </c>
      <c r="R26">
        <f>IF($C26="","",INDEX('Freeview-Gen Ent-more than min'!$Y:$AA,MATCH($C26,'Freeview-Gen Ent-more than min'!$AA:$AA,0),2))</f>
        <v>20</v>
      </c>
      <c r="S26">
        <f t="shared" si="3"/>
        <v>-1</v>
      </c>
      <c r="T26">
        <f t="shared" si="4"/>
        <v>1</v>
      </c>
      <c r="U26" s="7">
        <f>IF($S26=0,0,G26*$S26*'O&amp;O - other input parameters'!$C$7)</f>
        <v>-0.53722011532033587</v>
      </c>
      <c r="V26" s="7">
        <f>IF($S26=0,0,H26*$S26*'O&amp;O - other input parameters'!$C$7)</f>
        <v>-2.6938526201352932E-2</v>
      </c>
    </row>
    <row r="27" spans="2:22" ht="14.65" thickBot="1" x14ac:dyDescent="0.5">
      <c r="B27" s="133" t="s">
        <v>349</v>
      </c>
      <c r="C27" t="str">
        <f>IF('Freeview-Gen Ent'!K29&lt;&gt;0,'Freeview-Gen Ent'!K29,"")</f>
        <v>Drama</v>
      </c>
      <c r="D27">
        <f t="shared" si="0"/>
        <v>1</v>
      </c>
      <c r="E27">
        <f>IF($C27="","",INDEX('Freeview-Gen Ent'!$I:$K,MATCH($C27,'Freeview-Gen Ent'!$K:$K,0),1))</f>
        <v>20</v>
      </c>
      <c r="F27">
        <f>IF($C27="","",INDEX('Freeview-Gen Ent'!$I:$K,MATCH($C27,'Freeview-Gen Ent'!$K:$K,0),2))</f>
        <v>20</v>
      </c>
      <c r="G27" s="73">
        <f>IF(AND($L27=0,$S27=0),"Not needed",(IF($B27="Not available",0,(((INDEX('O&amp;O - Revenues &amp; viewing'!$B$6:$Z$237,MATCH($B27,'O&amp;O - Revenues &amp; viewing'!$B$6:$B$237,0),3))*('O&amp;O - other input parameters'!$C$4))/1000000))))</f>
        <v>65.948577699910345</v>
      </c>
      <c r="H27" s="73">
        <f>IF(AND($L27=0,$S27=0),"Not needed",(IF($B27="Not available",0,(((INDEX('O&amp;O - Revenues &amp; viewing'!$B$6:$Z$237,MATCH($B27,'O&amp;O - Revenues &amp; viewing'!$B$6:$B$237,0),7))*('O&amp;O - other input parameters'!$C$4))/1000000))))</f>
        <v>3.3069452123021517</v>
      </c>
      <c r="J27">
        <f>IF($C27="","",INDEX('Freeview-Gen Ent'!$Y:$AA,MATCH($C27,'Freeview-Gen Ent'!$AA:$AA,0),1))</f>
        <v>20</v>
      </c>
      <c r="K27">
        <f>IF($C27="","",INDEX('Freeview-Gen Ent'!$Y:$AA,MATCH($C27,'Freeview-Gen Ent'!$AA:$AA,0),2))</f>
        <v>20</v>
      </c>
      <c r="L27">
        <f t="shared" si="1"/>
        <v>0</v>
      </c>
      <c r="M27">
        <f t="shared" si="2"/>
        <v>0</v>
      </c>
      <c r="N27" s="7">
        <f>IF($L27=0,0,G27*$L27*'O&amp;O - other input parameters'!$C$7)</f>
        <v>0</v>
      </c>
      <c r="O27" s="7">
        <f>IF($L27=0,0,H27*$L27*'O&amp;O - other input parameters'!$C$7)</f>
        <v>0</v>
      </c>
      <c r="Q27">
        <f>IF($C27="","",INDEX('Freeview-Gen Ent-more than min'!$Y:$AA,MATCH($C27,'Freeview-Gen Ent-more than min'!$AA:$AA,0),1))</f>
        <v>21</v>
      </c>
      <c r="R27">
        <f>IF($C27="","",INDEX('Freeview-Gen Ent-more than min'!$Y:$AA,MATCH($C27,'Freeview-Gen Ent-more than min'!$AA:$AA,0),2))</f>
        <v>21</v>
      </c>
      <c r="S27">
        <f t="shared" si="3"/>
        <v>-1</v>
      </c>
      <c r="T27">
        <f t="shared" si="4"/>
        <v>1</v>
      </c>
      <c r="U27" s="7">
        <f>IF($S27=0,0,G27*$S27*'O&amp;O - other input parameters'!$C$7)</f>
        <v>-0.97750227010180846</v>
      </c>
      <c r="V27" s="7">
        <f>IF($S27=0,0,H27*$S27*'O&amp;O - other input parameters'!$C$7)</f>
        <v>-4.9016166305161347E-2</v>
      </c>
    </row>
    <row r="28" spans="2:22" ht="14.65" thickBot="1" x14ac:dyDescent="0.5">
      <c r="B28" s="129" t="s">
        <v>85</v>
      </c>
      <c r="C28" t="str">
        <f>IF('Freeview-Gen Ent'!K30&lt;&gt;0,'Freeview-Gen Ent'!K30,"")</f>
        <v>5USA</v>
      </c>
      <c r="D28">
        <f t="shared" si="0"/>
        <v>1</v>
      </c>
      <c r="E28">
        <f>IF($C28="","",INDEX('Freeview-Gen Ent'!$I:$K,MATCH($C28,'Freeview-Gen Ent'!$K:$K,0),1))</f>
        <v>21</v>
      </c>
      <c r="F28">
        <f>IF($C28="","",INDEX('Freeview-Gen Ent'!$I:$K,MATCH($C28,'Freeview-Gen Ent'!$K:$K,0),2))</f>
        <v>21</v>
      </c>
      <c r="G28" s="73">
        <f>IF(AND($L28=0,$S28=0),"Not needed",(IF($B28="Not available",0,(((INDEX('O&amp;O - Revenues &amp; viewing'!$B$6:$Z$237,MATCH($B28,'O&amp;O - Revenues &amp; viewing'!$B$6:$B$237,0),3))*('O&amp;O - other input parameters'!$C$4))/1000000))))</f>
        <v>51.749694758568467</v>
      </c>
      <c r="H28" s="73">
        <f>IF(AND($L28=0,$S28=0),"Not needed",(IF($B28="Not available",0,(((INDEX('O&amp;O - Revenues &amp; viewing'!$B$6:$Z$237,MATCH($B28,'O&amp;O - Revenues &amp; viewing'!$B$6:$B$237,0),7))*('O&amp;O - other input parameters'!$C$4))/1000000))))</f>
        <v>2.5318936659940099</v>
      </c>
      <c r="J28">
        <f>IF($C28="","",INDEX('Freeview-Gen Ent'!$Y:$AA,MATCH($C28,'Freeview-Gen Ent'!$AA:$AA,0),1))</f>
        <v>21</v>
      </c>
      <c r="K28">
        <f>IF($C28="","",INDEX('Freeview-Gen Ent'!$Y:$AA,MATCH($C28,'Freeview-Gen Ent'!$AA:$AA,0),2))</f>
        <v>21</v>
      </c>
      <c r="L28">
        <f t="shared" si="1"/>
        <v>0</v>
      </c>
      <c r="M28">
        <f t="shared" si="2"/>
        <v>0</v>
      </c>
      <c r="N28" s="7">
        <f>IF($L28=0,0,G28*$L28*'O&amp;O - other input parameters'!$C$7)</f>
        <v>0</v>
      </c>
      <c r="O28" s="7">
        <f>IF($L28=0,0,H28*$L28*'O&amp;O - other input parameters'!$C$7)</f>
        <v>0</v>
      </c>
      <c r="Q28">
        <f>IF($C28="","",INDEX('Freeview-Gen Ent-more than min'!$Y:$AA,MATCH($C28,'Freeview-Gen Ent-more than min'!$AA:$AA,0),1))</f>
        <v>22</v>
      </c>
      <c r="R28">
        <f>IF($C28="","",INDEX('Freeview-Gen Ent-more than min'!$Y:$AA,MATCH($C28,'Freeview-Gen Ent-more than min'!$AA:$AA,0),2))</f>
        <v>22</v>
      </c>
      <c r="S28">
        <f t="shared" si="3"/>
        <v>-1</v>
      </c>
      <c r="T28">
        <f t="shared" si="4"/>
        <v>1</v>
      </c>
      <c r="U28" s="7">
        <f>IF($S28=0,0,G28*$S28*'O&amp;O - other input parameters'!$C$7)</f>
        <v>-0.76704374632244887</v>
      </c>
      <c r="V28" s="7">
        <f>IF($S28=0,0,H28*$S28*'O&amp;O - other input parameters'!$C$7)</f>
        <v>-3.7528205952027674E-2</v>
      </c>
    </row>
    <row r="29" spans="2:22" ht="14.65" thickBot="1" x14ac:dyDescent="0.5">
      <c r="B29" s="133" t="s">
        <v>524</v>
      </c>
      <c r="C29" t="str">
        <f>IF('Freeview-Gen Ent'!K31&lt;&gt;0,'Freeview-Gen Ent'!K31,"")</f>
        <v>Ideal World</v>
      </c>
      <c r="D29">
        <f t="shared" si="0"/>
        <v>1</v>
      </c>
      <c r="E29">
        <f>IF($C29="","",INDEX('Freeview-Gen Ent'!$I:$K,MATCH($C29,'Freeview-Gen Ent'!$K:$K,0),1))</f>
        <v>22</v>
      </c>
      <c r="F29">
        <f>IF($C29="","",INDEX('Freeview-Gen Ent'!$I:$K,MATCH($C29,'Freeview-Gen Ent'!$K:$K,0),2))</f>
        <v>22</v>
      </c>
      <c r="G29" s="73">
        <f>IF(AND($L29=0,$S29=0),"Not needed",(IF($B29="Not available",0,(((INDEX('O&amp;O - Revenues &amp; viewing'!$B$6:$Z$237,MATCH($B29,'O&amp;O - Revenues &amp; viewing'!$B$6:$B$237,0),3))*('O&amp;O - other input parameters'!$C$4))/1000000))))</f>
        <v>0</v>
      </c>
      <c r="H29" s="73">
        <f>IF(AND($L29=0,$S29=0),"Not needed",(IF($B29="Not available",0,(((INDEX('O&amp;O - Revenues &amp; viewing'!$B$6:$Z$237,MATCH($B29,'O&amp;O - Revenues &amp; viewing'!$B$6:$B$237,0),7))*('O&amp;O - other input parameters'!$C$4))/1000000))))</f>
        <v>0</v>
      </c>
      <c r="J29">
        <f>IF($C29="","",INDEX('Freeview-Gen Ent'!$Y:$AA,MATCH($C29,'Freeview-Gen Ent'!$AA:$AA,0),1))</f>
        <v>22</v>
      </c>
      <c r="K29">
        <f>IF($C29="","",INDEX('Freeview-Gen Ent'!$Y:$AA,MATCH($C29,'Freeview-Gen Ent'!$AA:$AA,0),2))</f>
        <v>22</v>
      </c>
      <c r="L29">
        <f t="shared" si="1"/>
        <v>0</v>
      </c>
      <c r="M29">
        <f t="shared" si="2"/>
        <v>0</v>
      </c>
      <c r="N29" s="7">
        <f>IF($L29=0,0,G29*$L29*'O&amp;O - other input parameters'!$C$7)</f>
        <v>0</v>
      </c>
      <c r="O29" s="7">
        <f>IF($L29=0,0,H29*$L29*'O&amp;O - other input parameters'!$C$7)</f>
        <v>0</v>
      </c>
      <c r="Q29">
        <f>IF($C29="","",INDEX('Freeview-Gen Ent-more than min'!$Y:$AA,MATCH($C29,'Freeview-Gen Ent-more than min'!$AA:$AA,0),1))</f>
        <v>23</v>
      </c>
      <c r="R29">
        <f>IF($C29="","",INDEX('Freeview-Gen Ent-more than min'!$Y:$AA,MATCH($C29,'Freeview-Gen Ent-more than min'!$AA:$AA,0),2))</f>
        <v>23</v>
      </c>
      <c r="S29">
        <f t="shared" si="3"/>
        <v>-1</v>
      </c>
      <c r="T29">
        <f t="shared" si="4"/>
        <v>1</v>
      </c>
      <c r="U29" s="7">
        <f>IF($S29=0,0,G29*$S29*'O&amp;O - other input parameters'!$C$7)</f>
        <v>0</v>
      </c>
      <c r="V29" s="7">
        <f>IF($S29=0,0,H29*$S29*'O&amp;O - other input parameters'!$C$7)</f>
        <v>0</v>
      </c>
    </row>
    <row r="30" spans="2:22" ht="14.65" thickBot="1" x14ac:dyDescent="0.5">
      <c r="B30" s="133" t="s">
        <v>643</v>
      </c>
      <c r="C30" t="str">
        <f>IF('Freeview-Gen Ent'!K32&lt;&gt;0,'Freeview-Gen Ent'!K32,"")</f>
        <v>Create and Craft</v>
      </c>
      <c r="D30">
        <f t="shared" si="0"/>
        <v>1</v>
      </c>
      <c r="E30">
        <f>IF($C30="","",INDEX('Freeview-Gen Ent'!$I:$K,MATCH($C30,'Freeview-Gen Ent'!$K:$K,0),1))</f>
        <v>23</v>
      </c>
      <c r="F30">
        <f>IF($C30="","",INDEX('Freeview-Gen Ent'!$I:$K,MATCH($C30,'Freeview-Gen Ent'!$K:$K,0),2))</f>
        <v>23</v>
      </c>
      <c r="G30" s="73">
        <f>IF(AND($L30=0,$S30=0),"Not needed",(IF($B30="Not available",0,(((INDEX('O&amp;O - Revenues &amp; viewing'!$B$6:$Z$237,MATCH($B30,'O&amp;O - Revenues &amp; viewing'!$B$6:$B$237,0),3))*('O&amp;O - other input parameters'!$C$4))/1000000))))</f>
        <v>0</v>
      </c>
      <c r="H30" s="73">
        <f>IF(AND($L30=0,$S30=0),"Not needed",(IF($B30="Not available",0,(((INDEX('O&amp;O - Revenues &amp; viewing'!$B$6:$Z$237,MATCH($B30,'O&amp;O - Revenues &amp; viewing'!$B$6:$B$237,0),7))*('O&amp;O - other input parameters'!$C$4))/1000000))))</f>
        <v>0</v>
      </c>
      <c r="J30">
        <f>IF($C30="","",INDEX('Freeview-Gen Ent'!$Y:$AA,MATCH($C30,'Freeview-Gen Ent'!$AA:$AA,0),1))</f>
        <v>23</v>
      </c>
      <c r="K30">
        <f>IF($C30="","",INDEX('Freeview-Gen Ent'!$Y:$AA,MATCH($C30,'Freeview-Gen Ent'!$AA:$AA,0),2))</f>
        <v>23</v>
      </c>
      <c r="L30">
        <f t="shared" si="1"/>
        <v>0</v>
      </c>
      <c r="M30">
        <f t="shared" si="2"/>
        <v>0</v>
      </c>
      <c r="N30" s="7">
        <f>IF($L30=0,0,G30*$L30*'O&amp;O - other input parameters'!$C$7)</f>
        <v>0</v>
      </c>
      <c r="O30" s="7">
        <f>IF($L30=0,0,H30*$L30*'O&amp;O - other input parameters'!$C$7)</f>
        <v>0</v>
      </c>
      <c r="Q30">
        <f>IF($C30="","",INDEX('Freeview-Gen Ent-more than min'!$Y:$AA,MATCH($C30,'Freeview-Gen Ent-more than min'!$AA:$AA,0),1))</f>
        <v>24</v>
      </c>
      <c r="R30">
        <f>IF($C30="","",INDEX('Freeview-Gen Ent-more than min'!$Y:$AA,MATCH($C30,'Freeview-Gen Ent-more than min'!$AA:$AA,0),2))</f>
        <v>24</v>
      </c>
      <c r="S30">
        <f t="shared" si="3"/>
        <v>-1</v>
      </c>
      <c r="T30">
        <f t="shared" si="4"/>
        <v>1</v>
      </c>
      <c r="U30" s="7">
        <f>IF($S30=0,0,G30*$S30*'O&amp;O - other input parameters'!$C$7)</f>
        <v>0</v>
      </c>
      <c r="V30" s="7">
        <f>IF($S30=0,0,H30*$S30*'O&amp;O - other input parameters'!$C$7)</f>
        <v>0</v>
      </c>
    </row>
    <row r="31" spans="2:22" ht="14.65" thickBot="1" x14ac:dyDescent="0.5">
      <c r="B31" s="129" t="s">
        <v>60</v>
      </c>
      <c r="C31" t="str">
        <f>IF('Freeview-Gen Ent'!K33&lt;&gt;0,'Freeview-Gen Ent'!K33,"")</f>
        <v>ITV4</v>
      </c>
      <c r="D31">
        <f t="shared" si="0"/>
        <v>1</v>
      </c>
      <c r="E31">
        <f>IF($C31="","",INDEX('Freeview-Gen Ent'!$I:$K,MATCH($C31,'Freeview-Gen Ent'!$K:$K,0),1))</f>
        <v>24</v>
      </c>
      <c r="F31">
        <f>IF($C31="","",INDEX('Freeview-Gen Ent'!$I:$K,MATCH($C31,'Freeview-Gen Ent'!$K:$K,0),2))</f>
        <v>24</v>
      </c>
      <c r="G31" s="73">
        <f>IF(AND($L31=0,$S31=0),"Not needed",(IF($B31="Not available",0,(((INDEX('O&amp;O - Revenues &amp; viewing'!$B$6:$Z$237,MATCH($B31,'O&amp;O - Revenues &amp; viewing'!$B$6:$B$237,0),3))*('O&amp;O - other input parameters'!$C$4))/1000000))))</f>
        <v>44.722309584875497</v>
      </c>
      <c r="H31" s="73">
        <f>IF(AND($L31=0,$S31=0),"Not needed",(IF($B31="Not available",0,(((INDEX('O&amp;O - Revenues &amp; viewing'!$B$6:$Z$237,MATCH($B31,'O&amp;O - Revenues &amp; viewing'!$B$6:$B$237,0),7))*('O&amp;O - other input parameters'!$C$4))/1000000))))</f>
        <v>3.1816442893813304</v>
      </c>
      <c r="J31">
        <f>IF($C31="","",INDEX('Freeview-Gen Ent'!$Y:$AA,MATCH($C31,'Freeview-Gen Ent'!$AA:$AA,0),1))</f>
        <v>25</v>
      </c>
      <c r="K31">
        <f>IF($C31="","",INDEX('Freeview-Gen Ent'!$Y:$AA,MATCH($C31,'Freeview-Gen Ent'!$AA:$AA,0),2))</f>
        <v>25</v>
      </c>
      <c r="L31">
        <f t="shared" si="1"/>
        <v>-1</v>
      </c>
      <c r="M31">
        <f t="shared" si="2"/>
        <v>1</v>
      </c>
      <c r="N31" s="7">
        <f>IF($L31=0,0,G31*$L31*'O&amp;O - other input parameters'!$C$7)</f>
        <v>-0.66288251647117924</v>
      </c>
      <c r="O31" s="7">
        <f>IF($L31=0,0,H31*$L31*'O&amp;O - other input parameters'!$C$7)</f>
        <v>-4.7158932368164382E-2</v>
      </c>
      <c r="Q31">
        <f>IF($C31="","",INDEX('Freeview-Gen Ent-more than min'!$Y:$AA,MATCH($C31,'Freeview-Gen Ent-more than min'!$AA:$AA,0),1))</f>
        <v>25</v>
      </c>
      <c r="R31">
        <f>IF($C31="","",INDEX('Freeview-Gen Ent-more than min'!$Y:$AA,MATCH($C31,'Freeview-Gen Ent-more than min'!$AA:$AA,0),2))</f>
        <v>25</v>
      </c>
      <c r="S31">
        <f t="shared" si="3"/>
        <v>-1</v>
      </c>
      <c r="T31">
        <f t="shared" si="4"/>
        <v>1</v>
      </c>
      <c r="U31" s="7">
        <f>IF($S31=0,0,G31*$S31*'O&amp;O - other input parameters'!$C$7)</f>
        <v>-0.66288251647117924</v>
      </c>
      <c r="V31" s="7">
        <f>IF($S31=0,0,H31*$S31*'O&amp;O - other input parameters'!$C$7)</f>
        <v>-4.7158932368164382E-2</v>
      </c>
    </row>
    <row r="32" spans="2:22" ht="14.65" thickBot="1" x14ac:dyDescent="0.5">
      <c r="B32" s="133" t="s">
        <v>385</v>
      </c>
      <c r="C32" t="str">
        <f>IF('Freeview-Gen Ent'!K34&lt;&gt;0,'Freeview-Gen Ent'!K34,"")</f>
        <v>Home</v>
      </c>
      <c r="D32">
        <f t="shared" si="0"/>
        <v>1</v>
      </c>
      <c r="E32">
        <f>IF($C32="","",INDEX('Freeview-Gen Ent'!$I:$K,MATCH($C32,'Freeview-Gen Ent'!$K:$K,0),1))</f>
        <v>25</v>
      </c>
      <c r="F32">
        <f>IF($C32="","",INDEX('Freeview-Gen Ent'!$I:$K,MATCH($C32,'Freeview-Gen Ent'!$K:$K,0),2))</f>
        <v>25</v>
      </c>
      <c r="G32" s="73">
        <f>IF(AND($L32=0,$S32=0),"Not needed",(IF($B32="Not available",0,(((INDEX('O&amp;O - Revenues &amp; viewing'!$B$6:$Z$237,MATCH($B32,'O&amp;O - Revenues &amp; viewing'!$B$6:$B$237,0),3))*('O&amp;O - other input parameters'!$C$4))/1000000))))</f>
        <v>15.146044002933774</v>
      </c>
      <c r="H32" s="73">
        <f>IF(AND($L32=0,$S32=0),"Not needed",(IF($B32="Not available",0,(((INDEX('O&amp;O - Revenues &amp; viewing'!$B$6:$Z$237,MATCH($B32,'O&amp;O - Revenues &amp; viewing'!$B$6:$B$237,0),7))*('O&amp;O - other input parameters'!$C$4))/1000000))))</f>
        <v>0.75948776224915682</v>
      </c>
      <c r="J32">
        <f>IF($C32="","",INDEX('Freeview-Gen Ent'!$Y:$AA,MATCH($C32,'Freeview-Gen Ent'!$AA:$AA,0),1))</f>
        <v>26</v>
      </c>
      <c r="K32">
        <f>IF($C32="","",INDEX('Freeview-Gen Ent'!$Y:$AA,MATCH($C32,'Freeview-Gen Ent'!$AA:$AA,0),2))</f>
        <v>26</v>
      </c>
      <c r="L32">
        <f t="shared" si="1"/>
        <v>-1</v>
      </c>
      <c r="M32">
        <f t="shared" si="2"/>
        <v>1</v>
      </c>
      <c r="N32" s="7">
        <f>IF($L32=0,0,G32*$L32*'O&amp;O - other input parameters'!$C$7)</f>
        <v>-0.22449752386319885</v>
      </c>
      <c r="O32" s="7">
        <f>IF($L32=0,0,H32*$L32*'O&amp;O - other input parameters'!$C$7)</f>
        <v>-1.1257271007288194E-2</v>
      </c>
      <c r="Q32">
        <f>IF($C32="","",INDEX('Freeview-Gen Ent-more than min'!$Y:$AA,MATCH($C32,'Freeview-Gen Ent-more than min'!$AA:$AA,0),1))</f>
        <v>26</v>
      </c>
      <c r="R32">
        <f>IF($C32="","",INDEX('Freeview-Gen Ent-more than min'!$Y:$AA,MATCH($C32,'Freeview-Gen Ent-more than min'!$AA:$AA,0),2))</f>
        <v>26</v>
      </c>
      <c r="S32">
        <f t="shared" si="3"/>
        <v>-1</v>
      </c>
      <c r="T32">
        <f t="shared" si="4"/>
        <v>1</v>
      </c>
      <c r="U32" s="7">
        <f>IF($S32=0,0,G32*$S32*'O&amp;O - other input parameters'!$C$7)</f>
        <v>-0.22449752386319885</v>
      </c>
      <c r="V32" s="7">
        <f>IF($S32=0,0,H32*$S32*'O&amp;O - other input parameters'!$C$7)</f>
        <v>-1.1257271007288194E-2</v>
      </c>
    </row>
    <row r="33" spans="2:22" ht="14.65" thickBot="1" x14ac:dyDescent="0.5">
      <c r="B33" s="129" t="s">
        <v>375</v>
      </c>
      <c r="C33" t="str">
        <f>IF('Freeview-Gen Ent'!K35&lt;&gt;0,'Freeview-Gen Ent'!K35,"")</f>
        <v>ITVBe</v>
      </c>
      <c r="D33">
        <f t="shared" si="0"/>
        <v>1</v>
      </c>
      <c r="E33">
        <f>IF($C33="","",INDEX('Freeview-Gen Ent'!$I:$K,MATCH($C33,'Freeview-Gen Ent'!$K:$K,0),1))</f>
        <v>26</v>
      </c>
      <c r="F33">
        <f>IF($C33="","",INDEX('Freeview-Gen Ent'!$I:$K,MATCH($C33,'Freeview-Gen Ent'!$K:$K,0),2))</f>
        <v>26</v>
      </c>
      <c r="G33" s="73">
        <f>IF(AND($L33=0,$S33=0),"Not needed",(IF($B33="Not available",0,(((INDEX('O&amp;O - Revenues &amp; viewing'!$B$6:$Z$237,MATCH($B33,'O&amp;O - Revenues &amp; viewing'!$B$6:$B$237,0),3))*('O&amp;O - other input parameters'!$C$4))/1000000))))</f>
        <v>15.003827627319369</v>
      </c>
      <c r="H33" s="73">
        <f>IF(AND($L33=0,$S33=0),"Not needed",(IF($B33="Not available",0,(((INDEX('O&amp;O - Revenues &amp; viewing'!$B$6:$Z$237,MATCH($B33,'O&amp;O - Revenues &amp; viewing'!$B$6:$B$237,0),7))*('O&amp;O - other input parameters'!$C$4))/1000000))))</f>
        <v>1.06740557302225</v>
      </c>
      <c r="J33">
        <f>IF($C33="","",INDEX('Freeview-Gen Ent'!$Y:$AA,MATCH($C33,'Freeview-Gen Ent'!$AA:$AA,0),1))</f>
        <v>27</v>
      </c>
      <c r="K33">
        <f>IF($C33="","",INDEX('Freeview-Gen Ent'!$Y:$AA,MATCH($C33,'Freeview-Gen Ent'!$AA:$AA,0),2))</f>
        <v>27</v>
      </c>
      <c r="L33">
        <f t="shared" si="1"/>
        <v>-1</v>
      </c>
      <c r="M33">
        <f t="shared" si="2"/>
        <v>1</v>
      </c>
      <c r="N33" s="7">
        <f>IF($L33=0,0,G33*$L33*'O&amp;O - other input parameters'!$C$7)</f>
        <v>-0.22238956589265235</v>
      </c>
      <c r="O33" s="7">
        <f>IF($L33=0,0,H33*$L33*'O&amp;O - other input parameters'!$C$7)</f>
        <v>-1.5821286935047724E-2</v>
      </c>
      <c r="Q33">
        <f>IF($C33="","",INDEX('Freeview-Gen Ent-more than min'!$Y:$AA,MATCH($C33,'Freeview-Gen Ent-more than min'!$AA:$AA,0),1))</f>
        <v>27</v>
      </c>
      <c r="R33">
        <f>IF($C33="","",INDEX('Freeview-Gen Ent-more than min'!$Y:$AA,MATCH($C33,'Freeview-Gen Ent-more than min'!$AA:$AA,0),2))</f>
        <v>27</v>
      </c>
      <c r="S33">
        <f t="shared" si="3"/>
        <v>-1</v>
      </c>
      <c r="T33">
        <f t="shared" si="4"/>
        <v>1</v>
      </c>
      <c r="U33" s="7">
        <f>IF($S33=0,0,G33*$S33*'O&amp;O - other input parameters'!$C$7)</f>
        <v>-0.22238956589265235</v>
      </c>
      <c r="V33" s="7">
        <f>IF($S33=0,0,H33*$S33*'O&amp;O - other input parameters'!$C$7)</f>
        <v>-1.5821286935047724E-2</v>
      </c>
    </row>
    <row r="34" spans="2:22" ht="14.65" thickBot="1" x14ac:dyDescent="0.5">
      <c r="B34" s="129" t="s">
        <v>372</v>
      </c>
      <c r="C34" t="str">
        <f>IF('Freeview-Gen Ent'!K36&lt;&gt;0,'Freeview-Gen Ent'!K36,"")</f>
        <v>ITV2 +1</v>
      </c>
      <c r="D34">
        <f t="shared" si="0"/>
        <v>1</v>
      </c>
      <c r="E34">
        <f>IF($C34="","",INDEX('Freeview-Gen Ent'!$I:$K,MATCH($C34,'Freeview-Gen Ent'!$K:$K,0),1))</f>
        <v>27</v>
      </c>
      <c r="F34">
        <f>IF($C34="","",INDEX('Freeview-Gen Ent'!$I:$K,MATCH($C34,'Freeview-Gen Ent'!$K:$K,0),2))</f>
        <v>27</v>
      </c>
      <c r="G34" s="73">
        <f>IF(AND($L34=0,$S34=0),"Not needed",(IF($B34="Not available",0,(((INDEX('O&amp;O - Revenues &amp; viewing'!$B$6:$Z$237,MATCH($B34,'O&amp;O - Revenues &amp; viewing'!$B$6:$B$237,0),3))*('O&amp;O - other input parameters'!$C$4))/1000000))))</f>
        <v>16.577688850785417</v>
      </c>
      <c r="H34" s="73">
        <f>IF(AND($L34=0,$S34=0),"Not needed",(IF($B34="Not available",0,(((INDEX('O&amp;O - Revenues &amp; viewing'!$B$6:$Z$237,MATCH($B34,'O&amp;O - Revenues &amp; viewing'!$B$6:$B$237,0),7))*('O&amp;O - other input parameters'!$C$4))/1000000))))</f>
        <v>1.1793735509822465</v>
      </c>
      <c r="J34">
        <f>IF($C34="","",INDEX('Freeview-Gen Ent'!$Y:$AA,MATCH($C34,'Freeview-Gen Ent'!$AA:$AA,0),1))</f>
        <v>28</v>
      </c>
      <c r="K34">
        <f>IF($C34="","",INDEX('Freeview-Gen Ent'!$Y:$AA,MATCH($C34,'Freeview-Gen Ent'!$AA:$AA,0),2))</f>
        <v>28</v>
      </c>
      <c r="L34">
        <f t="shared" si="1"/>
        <v>-1</v>
      </c>
      <c r="M34">
        <f t="shared" si="2"/>
        <v>1</v>
      </c>
      <c r="N34" s="7">
        <f>IF($L34=0,0,G34*$L34*'O&amp;O - other input parameters'!$C$7)</f>
        <v>-0.24571763410003331</v>
      </c>
      <c r="O34" s="7">
        <f>IF($L34=0,0,H34*$L34*'O&amp;O - other input parameters'!$C$7)</f>
        <v>-1.7480897444506132E-2</v>
      </c>
      <c r="Q34">
        <f>IF($C34="","",INDEX('Freeview-Gen Ent-more than min'!$Y:$AA,MATCH($C34,'Freeview-Gen Ent-more than min'!$AA:$AA,0),1))</f>
        <v>28</v>
      </c>
      <c r="R34">
        <f>IF($C34="","",INDEX('Freeview-Gen Ent-more than min'!$Y:$AA,MATCH($C34,'Freeview-Gen Ent-more than min'!$AA:$AA,0),2))</f>
        <v>28</v>
      </c>
      <c r="S34">
        <f t="shared" si="3"/>
        <v>-1</v>
      </c>
      <c r="T34">
        <f t="shared" si="4"/>
        <v>1</v>
      </c>
      <c r="U34" s="7">
        <f>IF($S34=0,0,G34*$S34*'O&amp;O - other input parameters'!$C$7)</f>
        <v>-0.24571763410003331</v>
      </c>
      <c r="V34" s="7">
        <f>IF($S34=0,0,H34*$S34*'O&amp;O - other input parameters'!$C$7)</f>
        <v>-1.7480897444506132E-2</v>
      </c>
    </row>
    <row r="35" spans="2:22" ht="14.65" thickBot="1" x14ac:dyDescent="0.5">
      <c r="B35" s="133" t="s">
        <v>119</v>
      </c>
      <c r="C35" t="str">
        <f>IF('Freeview-Gen Ent'!K37&lt;&gt;0,'Freeview-Gen Ent'!K37,"")</f>
        <v>E4</v>
      </c>
      <c r="D35">
        <f t="shared" si="0"/>
        <v>1</v>
      </c>
      <c r="E35">
        <f>IF($C35="","",INDEX('Freeview-Gen Ent'!$I:$K,MATCH($C35,'Freeview-Gen Ent'!$K:$K,0),1))</f>
        <v>28</v>
      </c>
      <c r="F35">
        <f>IF($C35="","",INDEX('Freeview-Gen Ent'!$I:$K,MATCH($C35,'Freeview-Gen Ent'!$K:$K,0),2))</f>
        <v>28</v>
      </c>
      <c r="G35" s="73">
        <f>IF(AND($L35=0,$S35=0),"Not needed",(IF($B35="Not available",0,(((INDEX('O&amp;O - Revenues &amp; viewing'!$B$6:$Z$237,MATCH($B35,'O&amp;O - Revenues &amp; viewing'!$B$6:$B$237,0),3))*('O&amp;O - other input parameters'!$C$4))/1000000))))</f>
        <v>42.909524850377259</v>
      </c>
      <c r="H35" s="73">
        <f>IF(AND($L35=0,$S35=0),"Not needed",(IF($B35="Not available",0,(((INDEX('O&amp;O - Revenues &amp; viewing'!$B$6:$Z$237,MATCH($B35,'O&amp;O - Revenues &amp; viewing'!$B$6:$B$237,0),7))*('O&amp;O - other input parameters'!$C$4))/1000000))))</f>
        <v>3.5251499905604815</v>
      </c>
      <c r="J35">
        <f>IF($C35="","",INDEX('Freeview-Gen Ent'!$Y:$AA,MATCH($C35,'Freeview-Gen Ent'!$AA:$AA,0),1))</f>
        <v>29</v>
      </c>
      <c r="K35">
        <f>IF($C35="","",INDEX('Freeview-Gen Ent'!$Y:$AA,MATCH($C35,'Freeview-Gen Ent'!$AA:$AA,0),2))</f>
        <v>29</v>
      </c>
      <c r="L35">
        <f t="shared" si="1"/>
        <v>-1</v>
      </c>
      <c r="M35">
        <f t="shared" si="2"/>
        <v>1</v>
      </c>
      <c r="N35" s="7">
        <f>IF($L35=0,0,G35*$L35*'O&amp;O - other input parameters'!$C$7)</f>
        <v>-0.63601307887328029</v>
      </c>
      <c r="O35" s="7">
        <f>IF($L35=0,0,H35*$L35*'O&amp;O - other input parameters'!$C$7)</f>
        <v>-5.2250438726700911E-2</v>
      </c>
      <c r="Q35">
        <f>IF($C35="","",INDEX('Freeview-Gen Ent-more than min'!$Y:$AA,MATCH($C35,'Freeview-Gen Ent-more than min'!$AA:$AA,0),1))</f>
        <v>29</v>
      </c>
      <c r="R35">
        <f>IF($C35="","",INDEX('Freeview-Gen Ent-more than min'!$Y:$AA,MATCH($C35,'Freeview-Gen Ent-more than min'!$AA:$AA,0),2))</f>
        <v>29</v>
      </c>
      <c r="S35">
        <f t="shared" si="3"/>
        <v>-1</v>
      </c>
      <c r="T35">
        <f t="shared" si="4"/>
        <v>1</v>
      </c>
      <c r="U35" s="7">
        <f>IF($S35=0,0,G35*$S35*'O&amp;O - other input parameters'!$C$7)</f>
        <v>-0.63601307887328029</v>
      </c>
      <c r="V35" s="7">
        <f>IF($S35=0,0,H35*$S35*'O&amp;O - other input parameters'!$C$7)</f>
        <v>-5.2250438726700911E-2</v>
      </c>
    </row>
    <row r="36" spans="2:22" ht="14.65" thickBot="1" x14ac:dyDescent="0.5">
      <c r="B36" s="133" t="s">
        <v>366</v>
      </c>
      <c r="C36" t="str">
        <f>IF('Freeview-Gen Ent'!K38&lt;&gt;0,'Freeview-Gen Ent'!K38,"")</f>
        <v>E4 +1</v>
      </c>
      <c r="D36">
        <f t="shared" si="0"/>
        <v>1</v>
      </c>
      <c r="E36">
        <f>IF($C36="","",INDEX('Freeview-Gen Ent'!$I:$K,MATCH($C36,'Freeview-Gen Ent'!$K:$K,0),1))</f>
        <v>29</v>
      </c>
      <c r="F36">
        <f>IF($C36="","",INDEX('Freeview-Gen Ent'!$I:$K,MATCH($C36,'Freeview-Gen Ent'!$K:$K,0),2))</f>
        <v>29</v>
      </c>
      <c r="G36" s="73">
        <f>IF(AND($L36=0,$S36=0),"Not needed",(IF($B36="Not available",0,(((INDEX('O&amp;O - Revenues &amp; viewing'!$B$6:$Z$237,MATCH($B36,'O&amp;O - Revenues &amp; viewing'!$B$6:$B$237,0),3))*('O&amp;O - other input parameters'!$C$4))/1000000))))</f>
        <v>18.467270428115437</v>
      </c>
      <c r="H36" s="73">
        <f>IF(AND($L36=0,$S36=0),"Not needed",(IF($B36="Not available",0,(((INDEX('O&amp;O - Revenues &amp; viewing'!$B$6:$Z$237,MATCH($B36,'O&amp;O - Revenues &amp; viewing'!$B$6:$B$237,0),7))*('O&amp;O - other input parameters'!$C$4))/1000000))))</f>
        <v>1.5171433009884894</v>
      </c>
      <c r="J36">
        <f>IF($C36="","",INDEX('Freeview-Gen Ent'!$Y:$AA,MATCH($C36,'Freeview-Gen Ent'!$AA:$AA,0),1))</f>
        <v>30</v>
      </c>
      <c r="K36">
        <f>IF($C36="","",INDEX('Freeview-Gen Ent'!$Y:$AA,MATCH($C36,'Freeview-Gen Ent'!$AA:$AA,0),2))</f>
        <v>30</v>
      </c>
      <c r="L36">
        <f t="shared" si="1"/>
        <v>-1</v>
      </c>
      <c r="M36">
        <f t="shared" si="2"/>
        <v>1</v>
      </c>
      <c r="N36" s="7">
        <f>IF($L36=0,0,G36*$L36*'O&amp;O - other input parameters'!$C$7)</f>
        <v>-0.27372536900202743</v>
      </c>
      <c r="O36" s="7">
        <f>IF($L36=0,0,H36*$L36*'O&amp;O - other input parameters'!$C$7)</f>
        <v>-2.2487384451780463E-2</v>
      </c>
      <c r="Q36">
        <f>IF($C36="","",INDEX('Freeview-Gen Ent-more than min'!$Y:$AA,MATCH($C36,'Freeview-Gen Ent-more than min'!$AA:$AA,0),1))</f>
        <v>30</v>
      </c>
      <c r="R36">
        <f>IF($C36="","",INDEX('Freeview-Gen Ent-more than min'!$Y:$AA,MATCH($C36,'Freeview-Gen Ent-more than min'!$AA:$AA,0),2))</f>
        <v>30</v>
      </c>
      <c r="S36">
        <f t="shared" si="3"/>
        <v>-1</v>
      </c>
      <c r="T36">
        <f t="shared" si="4"/>
        <v>1</v>
      </c>
      <c r="U36" s="7">
        <f>IF($S36=0,0,G36*$S36*'O&amp;O - other input parameters'!$C$7)</f>
        <v>-0.27372536900202743</v>
      </c>
      <c r="V36" s="7">
        <f>IF($S36=0,0,H36*$S36*'O&amp;O - other input parameters'!$C$7)</f>
        <v>-2.2487384451780463E-2</v>
      </c>
    </row>
    <row r="37" spans="2:22" ht="14.65" thickBot="1" x14ac:dyDescent="0.5">
      <c r="B37" s="129" t="s">
        <v>83</v>
      </c>
      <c r="C37" t="str">
        <f>IF('Freeview-Gen Ent'!K39&lt;&gt;0,'Freeview-Gen Ent'!K39,"")</f>
        <v>5Star</v>
      </c>
      <c r="D37">
        <f t="shared" si="0"/>
        <v>1</v>
      </c>
      <c r="E37">
        <f>IF($C37="","",INDEX('Freeview-Gen Ent'!$I:$K,MATCH($C37,'Freeview-Gen Ent'!$K:$K,0),1))</f>
        <v>30</v>
      </c>
      <c r="F37">
        <f>IF($C37="","",INDEX('Freeview-Gen Ent'!$I:$K,MATCH($C37,'Freeview-Gen Ent'!$K:$K,0),2))</f>
        <v>30</v>
      </c>
      <c r="G37" s="73">
        <f>IF(AND($L37=0,$S37=0),"Not needed",(IF($B37="Not available",0,(((INDEX('O&amp;O - Revenues &amp; viewing'!$B$6:$Z$237,MATCH($B37,'O&amp;O - Revenues &amp; viewing'!$B$6:$B$237,0),3))*('O&amp;O - other input parameters'!$C$4))/1000000))))</f>
        <v>24.72005040929529</v>
      </c>
      <c r="H37" s="73">
        <f>IF(AND($L37=0,$S37=0),"Not needed",(IF($B37="Not available",0,(((INDEX('O&amp;O - Revenues &amp; viewing'!$B$6:$Z$237,MATCH($B37,'O&amp;O - Revenues &amp; viewing'!$B$6:$B$237,0),7))*('O&amp;O - other input parameters'!$C$4))/1000000))))</f>
        <v>1.2094475019871354</v>
      </c>
      <c r="J37">
        <f>IF($C37="","",INDEX('Freeview-Gen Ent'!$Y:$AA,MATCH($C37,'Freeview-Gen Ent'!$AA:$AA,0),1))</f>
        <v>31</v>
      </c>
      <c r="K37">
        <f>IF($C37="","",INDEX('Freeview-Gen Ent'!$Y:$AA,MATCH($C37,'Freeview-Gen Ent'!$AA:$AA,0),2))</f>
        <v>31</v>
      </c>
      <c r="L37">
        <f t="shared" si="1"/>
        <v>-1</v>
      </c>
      <c r="M37">
        <f t="shared" si="2"/>
        <v>1</v>
      </c>
      <c r="N37" s="7">
        <f>IF($L37=0,0,G37*$L37*'O&amp;O - other input parameters'!$C$7)</f>
        <v>-0.36640525444038707</v>
      </c>
      <c r="O37" s="7">
        <f>IF($L37=0,0,H37*$L37*'O&amp;O - other input parameters'!$C$7)</f>
        <v>-1.7926659224418627E-2</v>
      </c>
      <c r="Q37">
        <f>IF($C37="","",INDEX('Freeview-Gen Ent-more than min'!$Y:$AA,MATCH($C37,'Freeview-Gen Ent-more than min'!$AA:$AA,0),1))</f>
        <v>31</v>
      </c>
      <c r="R37">
        <f>IF($C37="","",INDEX('Freeview-Gen Ent-more than min'!$Y:$AA,MATCH($C37,'Freeview-Gen Ent-more than min'!$AA:$AA,0),2))</f>
        <v>31</v>
      </c>
      <c r="S37">
        <f t="shared" si="3"/>
        <v>-1</v>
      </c>
      <c r="T37">
        <f t="shared" si="4"/>
        <v>1</v>
      </c>
      <c r="U37" s="7">
        <f>IF($S37=0,0,G37*$S37*'O&amp;O - other input parameters'!$C$7)</f>
        <v>-0.36640525444038707</v>
      </c>
      <c r="V37" s="7">
        <f>IF($S37=0,0,H37*$S37*'O&amp;O - other input parameters'!$C$7)</f>
        <v>-1.7926659224418627E-2</v>
      </c>
    </row>
    <row r="38" spans="2:22" ht="14.65" thickBot="1" x14ac:dyDescent="0.5">
      <c r="B38" s="129" t="s">
        <v>365</v>
      </c>
      <c r="C38" t="str">
        <f>IF('Freeview-Gen Ent'!K40&lt;&gt;0,'Freeview-Gen Ent'!K40,"")</f>
        <v>5Spike</v>
      </c>
      <c r="D38">
        <f t="shared" si="0"/>
        <v>1</v>
      </c>
      <c r="E38">
        <f>IF($C38="","",INDEX('Freeview-Gen Ent'!$I:$K,MATCH($C38,'Freeview-Gen Ent'!$K:$K,0),1))</f>
        <v>31</v>
      </c>
      <c r="F38">
        <f>IF($C38="","",INDEX('Freeview-Gen Ent'!$I:$K,MATCH($C38,'Freeview-Gen Ent'!$K:$K,0),2))</f>
        <v>31</v>
      </c>
      <c r="G38" s="73">
        <f>IF(AND($L38=0,$S38=0),"Not needed",(IF($B38="Not available",0,(((INDEX('O&amp;O - Revenues &amp; viewing'!$B$6:$Z$237,MATCH($B38,'O&amp;O - Revenues &amp; viewing'!$B$6:$B$237,0),3))*('O&amp;O - other input parameters'!$C$4))/1000000))))</f>
        <v>26.073950305144397</v>
      </c>
      <c r="H38" s="73">
        <f>IF(AND($L38=0,$S38=0),"Not needed",(IF($B38="Not available",0,(((INDEX('O&amp;O - Revenues &amp; viewing'!$B$6:$Z$237,MATCH($B38,'O&amp;O - Revenues &amp; viewing'!$B$6:$B$237,0),7))*('O&amp;O - other input parameters'!$C$4))/1000000))))</f>
        <v>1.2756880969642237</v>
      </c>
      <c r="J38">
        <f>IF($C38="","",INDEX('Freeview-Gen Ent'!$Y:$AA,MATCH($C38,'Freeview-Gen Ent'!$AA:$AA,0),1))</f>
        <v>32</v>
      </c>
      <c r="K38">
        <f>IF($C38="","",INDEX('Freeview-Gen Ent'!$Y:$AA,MATCH($C38,'Freeview-Gen Ent'!$AA:$AA,0),2))</f>
        <v>32</v>
      </c>
      <c r="L38">
        <f t="shared" si="1"/>
        <v>-1</v>
      </c>
      <c r="M38">
        <f t="shared" si="2"/>
        <v>1</v>
      </c>
      <c r="N38" s="7">
        <f>IF($L38=0,0,G38*$L38*'O&amp;O - other input parameters'!$C$7)</f>
        <v>-0.38647301431998948</v>
      </c>
      <c r="O38" s="7">
        <f>IF($L38=0,0,H38*$L38*'O&amp;O - other input parameters'!$C$7)</f>
        <v>-1.8908489829737144E-2</v>
      </c>
      <c r="Q38">
        <f>IF($C38="","",INDEX('Freeview-Gen Ent-more than min'!$Y:$AA,MATCH($C38,'Freeview-Gen Ent-more than min'!$AA:$AA,0),1))</f>
        <v>32</v>
      </c>
      <c r="R38">
        <f>IF($C38="","",INDEX('Freeview-Gen Ent-more than min'!$Y:$AA,MATCH($C38,'Freeview-Gen Ent-more than min'!$AA:$AA,0),2))</f>
        <v>32</v>
      </c>
      <c r="S38">
        <f t="shared" si="3"/>
        <v>-1</v>
      </c>
      <c r="T38">
        <f t="shared" si="4"/>
        <v>1</v>
      </c>
      <c r="U38" s="7">
        <f>IF($S38=0,0,G38*$S38*'O&amp;O - other input parameters'!$C$7)</f>
        <v>-0.38647301431998948</v>
      </c>
      <c r="V38" s="7">
        <f>IF($S38=0,0,H38*$S38*'O&amp;O - other input parameters'!$C$7)</f>
        <v>-1.8908489829737144E-2</v>
      </c>
    </row>
    <row r="39" spans="2:22" ht="14.65" thickBot="1" x14ac:dyDescent="0.5">
      <c r="B39" s="133" t="s">
        <v>369</v>
      </c>
      <c r="C39" t="str">
        <f>IF('Freeview-Gen Ent'!K41&lt;&gt;0,'Freeview-Gen Ent'!K41,"")</f>
        <v>Sony Movie Channel</v>
      </c>
      <c r="D39">
        <f t="shared" si="0"/>
        <v>1</v>
      </c>
      <c r="E39">
        <f>IF($C39="","",INDEX('Freeview-Gen Ent'!$I:$K,MATCH($C39,'Freeview-Gen Ent'!$K:$K,0),1))</f>
        <v>32</v>
      </c>
      <c r="F39">
        <f>IF($C39="","",INDEX('Freeview-Gen Ent'!$I:$K,MATCH($C39,'Freeview-Gen Ent'!$K:$K,0),2))</f>
        <v>32</v>
      </c>
      <c r="G39" s="73">
        <f>IF(AND($L39=0,$S39=0),"Not needed",(IF($B39="Not available",0,(((INDEX('O&amp;O - Revenues &amp; viewing'!$B$6:$Z$237,MATCH($B39,'O&amp;O - Revenues &amp; viewing'!$B$6:$B$237,0),3))*('O&amp;O - other input parameters'!$C$4))/1000000))))</f>
        <v>26.573603838136325</v>
      </c>
      <c r="H39" s="73">
        <f>IF(AND($L39=0,$S39=0),"Not needed",(IF($B39="Not available",0,(((INDEX('O&amp;O - Revenues &amp; viewing'!$B$6:$Z$237,MATCH($B39,'O&amp;O - Revenues &amp; viewing'!$B$6:$B$237,0),7))*('O&amp;O - other input parameters'!$C$4))/1000000))))</f>
        <v>1.3001340308248162</v>
      </c>
      <c r="J39">
        <f>IF($C39="","",INDEX('Freeview-Gen Ent'!$Y:$AA,MATCH($C39,'Freeview-Gen Ent'!$AA:$AA,0),1))</f>
        <v>33</v>
      </c>
      <c r="K39">
        <f>IF($C39="","",INDEX('Freeview-Gen Ent'!$Y:$AA,MATCH($C39,'Freeview-Gen Ent'!$AA:$AA,0),2))</f>
        <v>33</v>
      </c>
      <c r="L39">
        <f t="shared" si="1"/>
        <v>-1</v>
      </c>
      <c r="M39">
        <f t="shared" si="2"/>
        <v>1</v>
      </c>
      <c r="N39" s="7">
        <f>IF($L39=0,0,G39*$L39*'O&amp;O - other input parameters'!$C$7)</f>
        <v>-0.39387897332317606</v>
      </c>
      <c r="O39" s="7">
        <f>IF($L39=0,0,H39*$L39*'O&amp;O - other input parameters'!$C$7)</f>
        <v>-1.927083207693803E-2</v>
      </c>
      <c r="Q39">
        <f>IF($C39="","",INDEX('Freeview-Gen Ent-more than min'!$Y:$AA,MATCH($C39,'Freeview-Gen Ent-more than min'!$AA:$AA,0),1))</f>
        <v>33</v>
      </c>
      <c r="R39">
        <f>IF($C39="","",INDEX('Freeview-Gen Ent-more than min'!$Y:$AA,MATCH($C39,'Freeview-Gen Ent-more than min'!$AA:$AA,0),2))</f>
        <v>33</v>
      </c>
      <c r="S39">
        <f t="shared" si="3"/>
        <v>-1</v>
      </c>
      <c r="T39">
        <f t="shared" si="4"/>
        <v>1</v>
      </c>
      <c r="U39" s="7">
        <f>IF($S39=0,0,G39*$S39*'O&amp;O - other input parameters'!$C$7)</f>
        <v>-0.39387897332317606</v>
      </c>
      <c r="V39" s="7">
        <f>IF($S39=0,0,H39*$S39*'O&amp;O - other input parameters'!$C$7)</f>
        <v>-1.927083207693803E-2</v>
      </c>
    </row>
    <row r="40" spans="2:22" ht="14.65" thickBot="1" x14ac:dyDescent="0.5">
      <c r="B40" s="133" t="s">
        <v>643</v>
      </c>
      <c r="C40" t="str">
        <f>IF('Freeview-Gen Ent'!K42&lt;&gt;0,'Freeview-Gen Ent'!K42,"")</f>
        <v>STV +1</v>
      </c>
      <c r="D40">
        <f t="shared" si="0"/>
        <v>1</v>
      </c>
      <c r="E40">
        <f>IF($C40="","",INDEX('Freeview-Gen Ent'!$I:$K,MATCH($C40,'Freeview-Gen Ent'!$K:$K,0),1))</f>
        <v>33</v>
      </c>
      <c r="F40">
        <f>IF($C40="","",INDEX('Freeview-Gen Ent'!$I:$K,MATCH($C40,'Freeview-Gen Ent'!$K:$K,0),2))</f>
        <v>33</v>
      </c>
      <c r="G40" s="73">
        <f>IF(AND($L40=0,$S40=0),"Not needed",(IF($B40="Not available",0,(((INDEX('O&amp;O - Revenues &amp; viewing'!$B$6:$Z$237,MATCH($B40,'O&amp;O - Revenues &amp; viewing'!$B$6:$B$237,0),3))*('O&amp;O - other input parameters'!$C$4))/1000000))))</f>
        <v>0</v>
      </c>
      <c r="H40" s="73">
        <f>IF(AND($L40=0,$S40=0),"Not needed",(IF($B40="Not available",0,(((INDEX('O&amp;O - Revenues &amp; viewing'!$B$6:$Z$237,MATCH($B40,'O&amp;O - Revenues &amp; viewing'!$B$6:$B$237,0),7))*('O&amp;O - other input parameters'!$C$4))/1000000))))</f>
        <v>0</v>
      </c>
      <c r="J40">
        <f>IF($C40="","",INDEX('Freeview-Gen Ent'!$Y:$AA,MATCH($C40,'Freeview-Gen Ent'!$AA:$AA,0),1))</f>
        <v>34</v>
      </c>
      <c r="K40">
        <f>IF($C40="","",INDEX('Freeview-Gen Ent'!$Y:$AA,MATCH($C40,'Freeview-Gen Ent'!$AA:$AA,0),2))</f>
        <v>34</v>
      </c>
      <c r="L40">
        <f t="shared" si="1"/>
        <v>-1</v>
      </c>
      <c r="M40">
        <f t="shared" si="2"/>
        <v>1</v>
      </c>
      <c r="N40" s="7">
        <f>IF($L40=0,0,G40*$L40*'O&amp;O - other input parameters'!$C$7)</f>
        <v>0</v>
      </c>
      <c r="O40" s="7">
        <f>IF($L40=0,0,H40*$L40*'O&amp;O - other input parameters'!$C$7)</f>
        <v>0</v>
      </c>
      <c r="Q40">
        <f>IF($C40="","",INDEX('Freeview-Gen Ent-more than min'!$Y:$AA,MATCH($C40,'Freeview-Gen Ent-more than min'!$AA:$AA,0),1))</f>
        <v>34</v>
      </c>
      <c r="R40">
        <f>IF($C40="","",INDEX('Freeview-Gen Ent-more than min'!$Y:$AA,MATCH($C40,'Freeview-Gen Ent-more than min'!$AA:$AA,0),2))</f>
        <v>34</v>
      </c>
      <c r="S40">
        <f t="shared" si="3"/>
        <v>-1</v>
      </c>
      <c r="T40">
        <f t="shared" si="4"/>
        <v>1</v>
      </c>
      <c r="U40" s="7">
        <f>IF($S40=0,0,G40*$S40*'O&amp;O - other input parameters'!$C$7)</f>
        <v>0</v>
      </c>
      <c r="V40" s="7">
        <f>IF($S40=0,0,H40*$S40*'O&amp;O - other input parameters'!$C$7)</f>
        <v>0</v>
      </c>
    </row>
    <row r="41" spans="2:22" ht="14.65" thickBot="1" x14ac:dyDescent="0.5">
      <c r="B41" s="133" t="s">
        <v>395</v>
      </c>
      <c r="C41" t="str">
        <f>IF('Freeview-Gen Ent'!K43&lt;&gt;0,'Freeview-Gen Ent'!K43,"")</f>
        <v>ITV3 +1</v>
      </c>
      <c r="D41">
        <f t="shared" si="0"/>
        <v>1</v>
      </c>
      <c r="E41">
        <f>IF($C41="","",INDEX('Freeview-Gen Ent'!$I:$K,MATCH($C41,'Freeview-Gen Ent'!$K:$K,0),1))</f>
        <v>34</v>
      </c>
      <c r="F41">
        <f>IF($C41="","",INDEX('Freeview-Gen Ent'!$I:$K,MATCH($C41,'Freeview-Gen Ent'!$K:$K,0),2))</f>
        <v>34</v>
      </c>
      <c r="G41" s="73">
        <f>IF(AND($L41=0,$S41=0),"Not needed",(IF($B41="Not available",0,(((INDEX('O&amp;O - Revenues &amp; viewing'!$B$6:$Z$237,MATCH($B41,'O&amp;O - Revenues &amp; viewing'!$B$6:$B$237,0),3))*('O&amp;O - other input parameters'!$C$4))/1000000))))</f>
        <v>4.6675414476646626</v>
      </c>
      <c r="H41" s="73">
        <f>IF(AND($L41=0,$S41=0),"Not needed",(IF($B41="Not available",0,(((INDEX('O&amp;O - Revenues &amp; viewing'!$B$6:$Z$237,MATCH($B41,'O&amp;O - Revenues &amp; viewing'!$B$6:$B$237,0),7))*('O&amp;O - other input parameters'!$C$4))/1000000))))</f>
        <v>0.33205925029943373</v>
      </c>
      <c r="J41">
        <f>IF($C41="","",INDEX('Freeview-Gen Ent'!$Y:$AA,MATCH($C41,'Freeview-Gen Ent'!$AA:$AA,0),1))</f>
        <v>35</v>
      </c>
      <c r="K41">
        <f>IF($C41="","",INDEX('Freeview-Gen Ent'!$Y:$AA,MATCH($C41,'Freeview-Gen Ent'!$AA:$AA,0),2))</f>
        <v>35</v>
      </c>
      <c r="L41">
        <f t="shared" si="1"/>
        <v>-1</v>
      </c>
      <c r="M41">
        <f t="shared" si="2"/>
        <v>1</v>
      </c>
      <c r="N41" s="7">
        <f>IF($L41=0,0,G41*$L41*'O&amp;O - other input parameters'!$C$7)</f>
        <v>-6.91831805933351E-2</v>
      </c>
      <c r="O41" s="7">
        <f>IF($L41=0,0,H41*$L41*'O&amp;O - other input parameters'!$C$7)</f>
        <v>-4.9218449024480233E-3</v>
      </c>
      <c r="Q41">
        <f>IF($C41="","",INDEX('Freeview-Gen Ent-more than min'!$Y:$AA,MATCH($C41,'Freeview-Gen Ent-more than min'!$AA:$AA,0),1))</f>
        <v>35</v>
      </c>
      <c r="R41">
        <f>IF($C41="","",INDEX('Freeview-Gen Ent-more than min'!$Y:$AA,MATCH($C41,'Freeview-Gen Ent-more than min'!$AA:$AA,0),2))</f>
        <v>35</v>
      </c>
      <c r="S41">
        <f t="shared" si="3"/>
        <v>-1</v>
      </c>
      <c r="T41">
        <f t="shared" si="4"/>
        <v>1</v>
      </c>
      <c r="U41" s="7">
        <f>IF($S41=0,0,G41*$S41*'O&amp;O - other input parameters'!$C$7)</f>
        <v>-6.91831805933351E-2</v>
      </c>
      <c r="V41" s="7">
        <f>IF($S41=0,0,H41*$S41*'O&amp;O - other input parameters'!$C$7)</f>
        <v>-4.9218449024480233E-3</v>
      </c>
    </row>
    <row r="42" spans="2:22" ht="14.65" thickBot="1" x14ac:dyDescent="0.5">
      <c r="B42" s="133" t="s">
        <v>643</v>
      </c>
      <c r="C42" t="str">
        <f>IF('Freeview-Gen Ent'!K44&lt;&gt;0,'Freeview-Gen Ent'!K44,"")</f>
        <v>QVC Beauty</v>
      </c>
      <c r="D42">
        <f t="shared" si="0"/>
        <v>1</v>
      </c>
      <c r="E42">
        <f>IF($C42="","",INDEX('Freeview-Gen Ent'!$I:$K,MATCH($C42,'Freeview-Gen Ent'!$K:$K,0),1))</f>
        <v>35</v>
      </c>
      <c r="F42">
        <f>IF($C42="","",INDEX('Freeview-Gen Ent'!$I:$K,MATCH($C42,'Freeview-Gen Ent'!$K:$K,0),2))</f>
        <v>35</v>
      </c>
      <c r="G42" s="73">
        <f>IF(AND($L42=0,$S42=0),"Not needed",(IF($B42="Not available",0,(((INDEX('O&amp;O - Revenues &amp; viewing'!$B$6:$Z$237,MATCH($B42,'O&amp;O - Revenues &amp; viewing'!$B$6:$B$237,0),3))*('O&amp;O - other input parameters'!$C$4))/1000000))))</f>
        <v>0</v>
      </c>
      <c r="H42" s="73">
        <f>IF(AND($L42=0,$S42=0),"Not needed",(IF($B42="Not available",0,(((INDEX('O&amp;O - Revenues &amp; viewing'!$B$6:$Z$237,MATCH($B42,'O&amp;O - Revenues &amp; viewing'!$B$6:$B$237,0),7))*('O&amp;O - other input parameters'!$C$4))/1000000))))</f>
        <v>0</v>
      </c>
      <c r="J42">
        <f>IF($C42="","",INDEX('Freeview-Gen Ent'!$Y:$AA,MATCH($C42,'Freeview-Gen Ent'!$AA:$AA,0),1))</f>
        <v>36</v>
      </c>
      <c r="K42">
        <f>IF($C42="","",INDEX('Freeview-Gen Ent'!$Y:$AA,MATCH($C42,'Freeview-Gen Ent'!$AA:$AA,0),2))</f>
        <v>36</v>
      </c>
      <c r="L42">
        <f t="shared" si="1"/>
        <v>-1</v>
      </c>
      <c r="M42">
        <f t="shared" si="2"/>
        <v>1</v>
      </c>
      <c r="N42" s="7">
        <f>IF($L42=0,0,G42*$L42*'O&amp;O - other input parameters'!$C$7)</f>
        <v>0</v>
      </c>
      <c r="O42" s="7">
        <f>IF($L42=0,0,H42*$L42*'O&amp;O - other input parameters'!$C$7)</f>
        <v>0</v>
      </c>
      <c r="Q42">
        <f>IF($C42="","",INDEX('Freeview-Gen Ent-more than min'!$Y:$AA,MATCH($C42,'Freeview-Gen Ent-more than min'!$AA:$AA,0),1))</f>
        <v>36</v>
      </c>
      <c r="R42">
        <f>IF($C42="","",INDEX('Freeview-Gen Ent-more than min'!$Y:$AA,MATCH($C42,'Freeview-Gen Ent-more than min'!$AA:$AA,0),2))</f>
        <v>36</v>
      </c>
      <c r="S42">
        <f t="shared" si="3"/>
        <v>-1</v>
      </c>
      <c r="T42">
        <f t="shared" si="4"/>
        <v>1</v>
      </c>
      <c r="U42" s="7">
        <f>IF($S42=0,0,G42*$S42*'O&amp;O - other input parameters'!$C$7)</f>
        <v>0</v>
      </c>
      <c r="V42" s="7">
        <f>IF($S42=0,0,H42*$S42*'O&amp;O - other input parameters'!$C$7)</f>
        <v>0</v>
      </c>
    </row>
    <row r="43" spans="2:22" ht="14.65" thickBot="1" x14ac:dyDescent="0.5">
      <c r="B43" s="133" t="s">
        <v>643</v>
      </c>
      <c r="C43" t="str">
        <f>IF('Freeview-Gen Ent'!K45&lt;&gt;0,'Freeview-Gen Ent'!K45,"")</f>
        <v>QVC Style</v>
      </c>
      <c r="D43">
        <f t="shared" si="0"/>
        <v>1</v>
      </c>
      <c r="E43">
        <f>IF($C43="","",INDEX('Freeview-Gen Ent'!$I:$K,MATCH($C43,'Freeview-Gen Ent'!$K:$K,0),1))</f>
        <v>36</v>
      </c>
      <c r="F43">
        <f>IF($C43="","",INDEX('Freeview-Gen Ent'!$I:$K,MATCH($C43,'Freeview-Gen Ent'!$K:$K,0),2))</f>
        <v>36</v>
      </c>
      <c r="G43" s="73">
        <f>IF(AND($L43=0,$S43=0),"Not needed",(IF($B43="Not available",0,(((INDEX('O&amp;O - Revenues &amp; viewing'!$B$6:$Z$237,MATCH($B43,'O&amp;O - Revenues &amp; viewing'!$B$6:$B$237,0),3))*('O&amp;O - other input parameters'!$C$4))/1000000))))</f>
        <v>0</v>
      </c>
      <c r="H43" s="73">
        <f>IF(AND($L43=0,$S43=0),"Not needed",(IF($B43="Not available",0,(((INDEX('O&amp;O - Revenues &amp; viewing'!$B$6:$Z$237,MATCH($B43,'O&amp;O - Revenues &amp; viewing'!$B$6:$B$237,0),7))*('O&amp;O - other input parameters'!$C$4))/1000000))))</f>
        <v>0</v>
      </c>
      <c r="J43">
        <f>IF($C43="","",INDEX('Freeview-Gen Ent'!$Y:$AA,MATCH($C43,'Freeview-Gen Ent'!$AA:$AA,0),1))</f>
        <v>37</v>
      </c>
      <c r="K43">
        <f>IF($C43="","",INDEX('Freeview-Gen Ent'!$Y:$AA,MATCH($C43,'Freeview-Gen Ent'!$AA:$AA,0),2))</f>
        <v>37</v>
      </c>
      <c r="L43">
        <f t="shared" si="1"/>
        <v>-1</v>
      </c>
      <c r="M43">
        <f t="shared" si="2"/>
        <v>1</v>
      </c>
      <c r="N43" s="7">
        <f>IF($L43=0,0,G43*$L43*'O&amp;O - other input parameters'!$C$7)</f>
        <v>0</v>
      </c>
      <c r="O43" s="7">
        <f>IF($L43=0,0,H43*$L43*'O&amp;O - other input parameters'!$C$7)</f>
        <v>0</v>
      </c>
      <c r="Q43">
        <f>IF($C43="","",INDEX('Freeview-Gen Ent-more than min'!$Y:$AA,MATCH($C43,'Freeview-Gen Ent-more than min'!$AA:$AA,0),1))</f>
        <v>37</v>
      </c>
      <c r="R43">
        <f>IF($C43="","",INDEX('Freeview-Gen Ent-more than min'!$Y:$AA,MATCH($C43,'Freeview-Gen Ent-more than min'!$AA:$AA,0),2))</f>
        <v>37</v>
      </c>
      <c r="S43">
        <f t="shared" si="3"/>
        <v>-1</v>
      </c>
      <c r="T43">
        <f t="shared" si="4"/>
        <v>1</v>
      </c>
      <c r="U43" s="7">
        <f>IF($S43=0,0,G43*$S43*'O&amp;O - other input parameters'!$C$7)</f>
        <v>0</v>
      </c>
      <c r="V43" s="7">
        <f>IF($S43=0,0,H43*$S43*'O&amp;O - other input parameters'!$C$7)</f>
        <v>0</v>
      </c>
    </row>
    <row r="44" spans="2:22" ht="14.65" thickBot="1" x14ac:dyDescent="0.5">
      <c r="B44" s="133" t="s">
        <v>178</v>
      </c>
      <c r="C44" t="str">
        <f>IF('Freeview-Gen Ent'!K46&lt;&gt;0,'Freeview-Gen Ent'!K46,"")</f>
        <v>Quest</v>
      </c>
      <c r="D44">
        <f t="shared" si="0"/>
        <v>1</v>
      </c>
      <c r="E44">
        <f>IF($C44="","",INDEX('Freeview-Gen Ent'!$I:$K,MATCH($C44,'Freeview-Gen Ent'!$K:$K,0),1))</f>
        <v>37</v>
      </c>
      <c r="F44">
        <f>IF($C44="","",INDEX('Freeview-Gen Ent'!$I:$K,MATCH($C44,'Freeview-Gen Ent'!$K:$K,0),2))</f>
        <v>37</v>
      </c>
      <c r="G44" s="73">
        <f>IF(AND($L44=0,$S44=0),"Not needed",(IF($B44="Not available",0,(((INDEX('O&amp;O - Revenues &amp; viewing'!$B$6:$Z$237,MATCH($B44,'O&amp;O - Revenues &amp; viewing'!$B$6:$B$237,0),3))*('O&amp;O - other input parameters'!$C$4))/1000000))))</f>
        <v>32.117198159585705</v>
      </c>
      <c r="H44" s="73">
        <f>IF(AND($L44=0,$S44=0),"Not needed",(IF($B44="Not available",0,(((INDEX('O&amp;O - Revenues &amp; viewing'!$B$6:$Z$237,MATCH($B44,'O&amp;O - Revenues &amp; viewing'!$B$6:$B$237,0),7))*('O&amp;O - other input parameters'!$C$4))/1000000))))</f>
        <v>1.5713586518549538</v>
      </c>
      <c r="J44">
        <f>IF($C44="","",INDEX('Freeview-Gen Ent'!$Y:$AA,MATCH($C44,'Freeview-Gen Ent'!$AA:$AA,0),1))</f>
        <v>38</v>
      </c>
      <c r="K44">
        <f>IF($C44="","",INDEX('Freeview-Gen Ent'!$Y:$AA,MATCH($C44,'Freeview-Gen Ent'!$AA:$AA,0),2))</f>
        <v>38</v>
      </c>
      <c r="L44">
        <f t="shared" si="1"/>
        <v>-1</v>
      </c>
      <c r="M44">
        <f t="shared" si="2"/>
        <v>1</v>
      </c>
      <c r="N44" s="7">
        <f>IF($L44=0,0,G44*$L44*'O&amp;O - other input parameters'!$C$7)</f>
        <v>-0.47604717501507743</v>
      </c>
      <c r="O44" s="7">
        <f>IF($L44=0,0,H44*$L44*'O&amp;O - other input parameters'!$C$7)</f>
        <v>-2.3290974618462815E-2</v>
      </c>
      <c r="Q44">
        <f>IF($C44="","",INDEX('Freeview-Gen Ent-more than min'!$Y:$AA,MATCH($C44,'Freeview-Gen Ent-more than min'!$AA:$AA,0),1))</f>
        <v>38</v>
      </c>
      <c r="R44">
        <f>IF($C44="","",INDEX('Freeview-Gen Ent-more than min'!$Y:$AA,MATCH($C44,'Freeview-Gen Ent-more than min'!$AA:$AA,0),2))</f>
        <v>38</v>
      </c>
      <c r="S44">
        <f t="shared" si="3"/>
        <v>-1</v>
      </c>
      <c r="T44">
        <f t="shared" si="4"/>
        <v>1</v>
      </c>
      <c r="U44" s="7">
        <f>IF($S44=0,0,G44*$S44*'O&amp;O - other input parameters'!$C$7)</f>
        <v>-0.47604717501507743</v>
      </c>
      <c r="V44" s="7">
        <f>IF($S44=0,0,H44*$S44*'O&amp;O - other input parameters'!$C$7)</f>
        <v>-2.3290974618462815E-2</v>
      </c>
    </row>
    <row r="45" spans="2:22" ht="14.65" thickBot="1" x14ac:dyDescent="0.5">
      <c r="B45" s="133" t="s">
        <v>387</v>
      </c>
      <c r="C45" t="str">
        <f>IF('Freeview-Gen Ent'!K47&lt;&gt;0,'Freeview-Gen Ent'!K47,"")</f>
        <v>Quest Red</v>
      </c>
      <c r="D45">
        <f t="shared" si="0"/>
        <v>1</v>
      </c>
      <c r="E45">
        <f>IF($C45="","",INDEX('Freeview-Gen Ent'!$I:$K,MATCH($C45,'Freeview-Gen Ent'!$K:$K,0),1))</f>
        <v>38</v>
      </c>
      <c r="F45">
        <f>IF($C45="","",INDEX('Freeview-Gen Ent'!$I:$K,MATCH($C45,'Freeview-Gen Ent'!$K:$K,0),2))</f>
        <v>38</v>
      </c>
      <c r="G45" s="73">
        <f>IF(AND($L45=0,$S45=0),"Not needed",(IF($B45="Not available",0,(((INDEX('O&amp;O - Revenues &amp; viewing'!$B$6:$Z$237,MATCH($B45,'O&amp;O - Revenues &amp; viewing'!$B$6:$B$237,0),3))*('O&amp;O - other input parameters'!$C$4))/1000000))))</f>
        <v>13.308608429995706</v>
      </c>
      <c r="H45" s="73">
        <f>IF(AND($L45=0,$S45=0),"Not needed",(IF($B45="Not available",0,(((INDEX('O&amp;O - Revenues &amp; viewing'!$B$6:$Z$237,MATCH($B45,'O&amp;O - Revenues &amp; viewing'!$B$6:$B$237,0),7))*('O&amp;O - other input parameters'!$C$4))/1000000))))</f>
        <v>0.6511339157516749</v>
      </c>
      <c r="J45">
        <f>IF($C45="","",INDEX('Freeview-Gen Ent'!$Y:$AA,MATCH($C45,'Freeview-Gen Ent'!$AA:$AA,0),1))</f>
        <v>39</v>
      </c>
      <c r="K45">
        <f>IF($C45="","",INDEX('Freeview-Gen Ent'!$Y:$AA,MATCH($C45,'Freeview-Gen Ent'!$AA:$AA,0),2))</f>
        <v>39</v>
      </c>
      <c r="L45">
        <f t="shared" si="1"/>
        <v>-1</v>
      </c>
      <c r="M45">
        <f t="shared" si="2"/>
        <v>1</v>
      </c>
      <c r="N45" s="7">
        <f>IF($L45=0,0,G45*$L45*'O&amp;O - other input parameters'!$C$7)</f>
        <v>-0.19726270688373851</v>
      </c>
      <c r="O45" s="7">
        <f>IF($L45=0,0,H45*$L45*'O&amp;O - other input parameters'!$C$7)</f>
        <v>-9.6512298367339502E-3</v>
      </c>
      <c r="Q45">
        <f>IF($C45="","",INDEX('Freeview-Gen Ent-more than min'!$Y:$AA,MATCH($C45,'Freeview-Gen Ent-more than min'!$AA:$AA,0),1))</f>
        <v>39</v>
      </c>
      <c r="R45">
        <f>IF($C45="","",INDEX('Freeview-Gen Ent-more than min'!$Y:$AA,MATCH($C45,'Freeview-Gen Ent-more than min'!$AA:$AA,0),2))</f>
        <v>39</v>
      </c>
      <c r="S45">
        <f t="shared" si="3"/>
        <v>-1</v>
      </c>
      <c r="T45">
        <f t="shared" si="4"/>
        <v>1</v>
      </c>
      <c r="U45" s="7">
        <f>IF($S45=0,0,G45*$S45*'O&amp;O - other input parameters'!$C$7)</f>
        <v>-0.19726270688373851</v>
      </c>
      <c r="V45" s="7">
        <f>IF($S45=0,0,H45*$S45*'O&amp;O - other input parameters'!$C$7)</f>
        <v>-9.6512298367339502E-3</v>
      </c>
    </row>
    <row r="46" spans="2:22" ht="14.65" thickBot="1" x14ac:dyDescent="0.5">
      <c r="B46" s="133" t="s">
        <v>377</v>
      </c>
      <c r="C46" t="str">
        <f>IF('Freeview-Gen Ent'!K48&lt;&gt;0,'Freeview-Gen Ent'!K48,"")</f>
        <v>CBS Action</v>
      </c>
      <c r="D46">
        <f t="shared" si="0"/>
        <v>1</v>
      </c>
      <c r="E46">
        <f>IF($C46="","",INDEX('Freeview-Gen Ent'!$I:$K,MATCH($C46,'Freeview-Gen Ent'!$K:$K,0),1))</f>
        <v>39</v>
      </c>
      <c r="F46">
        <f>IF($C46="","",INDEX('Freeview-Gen Ent'!$I:$K,MATCH($C46,'Freeview-Gen Ent'!$K:$K,0),2))</f>
        <v>39</v>
      </c>
      <c r="G46" s="73">
        <f>IF(AND($L46=0,$S46=0),"Not needed",(IF($B46="Not available",0,(((INDEX('O&amp;O - Revenues &amp; viewing'!$B$6:$Z$237,MATCH($B46,'O&amp;O - Revenues &amp; viewing'!$B$6:$B$237,0),3))*('O&amp;O - other input parameters'!$C$4))/1000000))))</f>
        <v>18.03019210039384</v>
      </c>
      <c r="H46" s="73">
        <f>IF(AND($L46=0,$S46=0),"Not needed",(IF($B46="Not available",0,(((INDEX('O&amp;O - Revenues &amp; viewing'!$B$6:$Z$237,MATCH($B46,'O&amp;O - Revenues &amp; viewing'!$B$6:$B$237,0),7))*('O&amp;O - other input parameters'!$C$4))/1000000))))</f>
        <v>0.88214103268858024</v>
      </c>
      <c r="J46">
        <f>IF($C46="","",INDEX('Freeview-Gen Ent'!$Y:$AA,MATCH($C46,'Freeview-Gen Ent'!$AA:$AA,0),1))</f>
        <v>40</v>
      </c>
      <c r="K46">
        <f>IF($C46="","",INDEX('Freeview-Gen Ent'!$Y:$AA,MATCH($C46,'Freeview-Gen Ent'!$AA:$AA,0),2))</f>
        <v>40</v>
      </c>
      <c r="L46">
        <f t="shared" si="1"/>
        <v>-1</v>
      </c>
      <c r="M46">
        <f t="shared" si="2"/>
        <v>1</v>
      </c>
      <c r="N46" s="7">
        <f>IF($L46=0,0,G46*$L46*'O&amp;O - other input parameters'!$C$7)</f>
        <v>-0.26724691150588126</v>
      </c>
      <c r="O46" s="7">
        <f>IF($L46=0,0,H46*$L46*'O&amp;O - other input parameters'!$C$7)</f>
        <v>-1.3075260939315346E-2</v>
      </c>
      <c r="Q46">
        <f>IF($C46="","",INDEX('Freeview-Gen Ent-more than min'!$Y:$AA,MATCH($C46,'Freeview-Gen Ent-more than min'!$AA:$AA,0),1))</f>
        <v>40</v>
      </c>
      <c r="R46">
        <f>IF($C46="","",INDEX('Freeview-Gen Ent-more than min'!$Y:$AA,MATCH($C46,'Freeview-Gen Ent-more than min'!$AA:$AA,0),2))</f>
        <v>40</v>
      </c>
      <c r="S46">
        <f t="shared" si="3"/>
        <v>-1</v>
      </c>
      <c r="T46">
        <f t="shared" si="4"/>
        <v>1</v>
      </c>
      <c r="U46" s="7">
        <f>IF($S46=0,0,G46*$S46*'O&amp;O - other input parameters'!$C$7)</f>
        <v>-0.26724691150588126</v>
      </c>
      <c r="V46" s="7">
        <f>IF($S46=0,0,H46*$S46*'O&amp;O - other input parameters'!$C$7)</f>
        <v>-1.3075260939315346E-2</v>
      </c>
    </row>
    <row r="47" spans="2:22" ht="14.65" thickBot="1" x14ac:dyDescent="0.5">
      <c r="B47" s="133" t="s">
        <v>434</v>
      </c>
      <c r="C47" t="str">
        <f>IF('Freeview-Gen Ent'!K49&lt;&gt;0,'Freeview-Gen Ent'!K49,"")</f>
        <v>Sony Crime</v>
      </c>
      <c r="D47">
        <f t="shared" si="0"/>
        <v>1</v>
      </c>
      <c r="E47">
        <f>IF($C47="","",INDEX('Freeview-Gen Ent'!$I:$K,MATCH($C47,'Freeview-Gen Ent'!$K:$K,0),1))</f>
        <v>40</v>
      </c>
      <c r="F47">
        <f>IF($C47="","",INDEX('Freeview-Gen Ent'!$I:$K,MATCH($C47,'Freeview-Gen Ent'!$K:$K,0),2))</f>
        <v>40</v>
      </c>
      <c r="G47" s="73">
        <f>IF(AND($L47=0,$S47=0),"Not needed",(IF($B47="Not available",0,(((INDEX('O&amp;O - Revenues &amp; viewing'!$B$6:$Z$237,MATCH($B47,'O&amp;O - Revenues &amp; viewing'!$B$6:$B$237,0),3))*('O&amp;O - other input parameters'!$C$4))/1000000))))</f>
        <v>0.12515041054067347</v>
      </c>
      <c r="H47" s="73">
        <f>IF(AND($L47=0,$S47=0),"Not needed",(IF($B47="Not available",0,(((INDEX('O&amp;O - Revenues &amp; viewing'!$B$6:$Z$237,MATCH($B47,'O&amp;O - Revenues &amp; viewing'!$B$6:$B$237,0),7))*('O&amp;O - other input parameters'!$C$4))/1000000))))</f>
        <v>6.123080207966169E-3</v>
      </c>
      <c r="J47">
        <f>IF($C47="","",INDEX('Freeview-Gen Ent'!$Y:$AA,MATCH($C47,'Freeview-Gen Ent'!$AA:$AA,0),1))</f>
        <v>41</v>
      </c>
      <c r="K47">
        <f>IF($C47="","",INDEX('Freeview-Gen Ent'!$Y:$AA,MATCH($C47,'Freeview-Gen Ent'!$AA:$AA,0),2))</f>
        <v>41</v>
      </c>
      <c r="L47">
        <f t="shared" si="1"/>
        <v>-1</v>
      </c>
      <c r="M47">
        <f t="shared" si="2"/>
        <v>1</v>
      </c>
      <c r="N47" s="7">
        <f>IF($L47=0,0,G47*$L47*'O&amp;O - other input parameters'!$C$7)</f>
        <v>-1.8550030140808923E-3</v>
      </c>
      <c r="O47" s="7">
        <f>IF($L47=0,0,H47*$L47*'O&amp;O - other input parameters'!$C$7)</f>
        <v>-9.07574509117961E-5</v>
      </c>
      <c r="Q47">
        <f>IF($C47="","",INDEX('Freeview-Gen Ent-more than min'!$Y:$AA,MATCH($C47,'Freeview-Gen Ent-more than min'!$AA:$AA,0),1))</f>
        <v>41</v>
      </c>
      <c r="R47">
        <f>IF($C47="","",INDEX('Freeview-Gen Ent-more than min'!$Y:$AA,MATCH($C47,'Freeview-Gen Ent-more than min'!$AA:$AA,0),2))</f>
        <v>41</v>
      </c>
      <c r="S47">
        <f t="shared" si="3"/>
        <v>-1</v>
      </c>
      <c r="T47">
        <f t="shared" si="4"/>
        <v>1</v>
      </c>
      <c r="U47" s="7">
        <f>IF($S47=0,0,G47*$S47*'O&amp;O - other input parameters'!$C$7)</f>
        <v>-1.8550030140808923E-3</v>
      </c>
      <c r="V47" s="7">
        <f>IF($S47=0,0,H47*$S47*'O&amp;O - other input parameters'!$C$7)</f>
        <v>-9.07574509117961E-5</v>
      </c>
    </row>
    <row r="48" spans="2:22" ht="14.65" thickBot="1" x14ac:dyDescent="0.5">
      <c r="B48" s="133" t="s">
        <v>390</v>
      </c>
      <c r="C48" t="str">
        <f>IF('Freeview-Gen Ent'!K50&lt;&gt;0,'Freeview-Gen Ent'!K50,"")</f>
        <v>Food Network</v>
      </c>
      <c r="D48">
        <f t="shared" si="0"/>
        <v>1</v>
      </c>
      <c r="E48">
        <f>IF($C48="","",INDEX('Freeview-Gen Ent'!$I:$K,MATCH($C48,'Freeview-Gen Ent'!$K:$K,0),1))</f>
        <v>41</v>
      </c>
      <c r="F48">
        <f>IF($C48="","",INDEX('Freeview-Gen Ent'!$I:$K,MATCH($C48,'Freeview-Gen Ent'!$K:$K,0),2))</f>
        <v>41</v>
      </c>
      <c r="G48" s="73">
        <f>IF(AND($L48=0,$S48=0),"Not needed",(IF($B48="Not available",0,(((INDEX('O&amp;O - Revenues &amp; viewing'!$B$6:$Z$237,MATCH($B48,'O&amp;O - Revenues &amp; viewing'!$B$6:$B$237,0),3))*('O&amp;O - other input parameters'!$C$4))/1000000))))</f>
        <v>12.029609158636854</v>
      </c>
      <c r="H48" s="73">
        <f>IF(AND($L48=0,$S48=0),"Not needed",(IF($B48="Not available",0,(((INDEX('O&amp;O - Revenues &amp; viewing'!$B$6:$Z$237,MATCH($B48,'O&amp;O - Revenues &amp; viewing'!$B$6:$B$237,0),7))*('O&amp;O - other input parameters'!$C$4))/1000000))))</f>
        <v>0.58855789150511151</v>
      </c>
      <c r="J48">
        <f>IF($C48="","",INDEX('Freeview-Gen Ent'!$Y:$AA,MATCH($C48,'Freeview-Gen Ent'!$AA:$AA,0),1))</f>
        <v>42</v>
      </c>
      <c r="K48">
        <f>IF($C48="","",INDEX('Freeview-Gen Ent'!$Y:$AA,MATCH($C48,'Freeview-Gen Ent'!$AA:$AA,0),2))</f>
        <v>42</v>
      </c>
      <c r="L48">
        <f t="shared" si="1"/>
        <v>-1</v>
      </c>
      <c r="M48">
        <f t="shared" si="2"/>
        <v>1</v>
      </c>
      <c r="N48" s="7">
        <f>IF($L48=0,0,G48*$L48*'O&amp;O - other input parameters'!$C$7)</f>
        <v>-0.17830513820195726</v>
      </c>
      <c r="O48" s="7">
        <f>IF($L48=0,0,H48*$L48*'O&amp;O - other input parameters'!$C$7)</f>
        <v>-8.7237161906732457E-3</v>
      </c>
      <c r="Q48">
        <f>IF($C48="","",INDEX('Freeview-Gen Ent-more than min'!$Y:$AA,MATCH($C48,'Freeview-Gen Ent-more than min'!$AA:$AA,0),1))</f>
        <v>42</v>
      </c>
      <c r="R48">
        <f>IF($C48="","",INDEX('Freeview-Gen Ent-more than min'!$Y:$AA,MATCH($C48,'Freeview-Gen Ent-more than min'!$AA:$AA,0),2))</f>
        <v>42</v>
      </c>
      <c r="S48">
        <f t="shared" si="3"/>
        <v>-1</v>
      </c>
      <c r="T48">
        <f t="shared" si="4"/>
        <v>1</v>
      </c>
      <c r="U48" s="7">
        <f>IF($S48=0,0,G48*$S48*'O&amp;O - other input parameters'!$C$7)</f>
        <v>-0.17830513820195726</v>
      </c>
      <c r="V48" s="7">
        <f>IF($S48=0,0,H48*$S48*'O&amp;O - other input parameters'!$C$7)</f>
        <v>-8.7237161906732457E-3</v>
      </c>
    </row>
    <row r="49" spans="2:22" ht="14.65" thickBot="1" x14ac:dyDescent="0.5">
      <c r="B49" s="133" t="s">
        <v>471</v>
      </c>
      <c r="C49" t="str">
        <f>IF('Freeview-Gen Ent'!K51&lt;&gt;0,'Freeview-Gen Ent'!K51,"")</f>
        <v>DMAX</v>
      </c>
      <c r="D49">
        <f t="shared" si="0"/>
        <v>1</v>
      </c>
      <c r="E49">
        <f>IF($C49="","",INDEX('Freeview-Gen Ent'!$I:$K,MATCH($C49,'Freeview-Gen Ent'!$K:$K,0),1))</f>
        <v>42</v>
      </c>
      <c r="F49">
        <f>IF($C49="","",INDEX('Freeview-Gen Ent'!$I:$K,MATCH($C49,'Freeview-Gen Ent'!$K:$K,0),2))</f>
        <v>42</v>
      </c>
      <c r="G49" s="73">
        <f>IF(AND($L49=0,$S49=0),"Not needed",(IF($B49="Not available",0,(((INDEX('O&amp;O - Revenues &amp; viewing'!$B$6:$Z$237,MATCH($B49,'O&amp;O - Revenues &amp; viewing'!$B$6:$B$237,0),3))*('O&amp;O - other input parameters'!$C$4))/1000000))))</f>
        <v>1.9910292586016228E-2</v>
      </c>
      <c r="H49" s="73">
        <f>IF(AND($L49=0,$S49=0),"Not needed",(IF($B49="Not available",0,(((INDEX('O&amp;O - Revenues &amp; viewing'!$B$6:$Z$237,MATCH($B49,'O&amp;O - Revenues &amp; viewing'!$B$6:$B$237,0),7))*('O&amp;O - other input parameters'!$C$4))/1000000))))</f>
        <v>2.3351227760335974E-3</v>
      </c>
      <c r="J49">
        <f>IF($C49="","",INDEX('Freeview-Gen Ent'!$Y:$AA,MATCH($C49,'Freeview-Gen Ent'!$AA:$AA,0),1))</f>
        <v>43</v>
      </c>
      <c r="K49">
        <f>IF($C49="","",INDEX('Freeview-Gen Ent'!$Y:$AA,MATCH($C49,'Freeview-Gen Ent'!$AA:$AA,0),2))</f>
        <v>43</v>
      </c>
      <c r="L49">
        <f t="shared" si="1"/>
        <v>-1</v>
      </c>
      <c r="M49">
        <f t="shared" si="2"/>
        <v>1</v>
      </c>
      <c r="N49" s="7">
        <f>IF($L49=0,0,G49*$L49*'O&amp;O - other input parameters'!$C$7)</f>
        <v>-2.9511411587650551E-4</v>
      </c>
      <c r="O49" s="7">
        <f>IF($L49=0,0,H49*$L49*'O&amp;O - other input parameters'!$C$7)</f>
        <v>-3.4611630669669189E-5</v>
      </c>
      <c r="Q49">
        <f>IF($C49="","",INDEX('Freeview-Gen Ent-more than min'!$Y:$AA,MATCH($C49,'Freeview-Gen Ent-more than min'!$AA:$AA,0),1))</f>
        <v>43</v>
      </c>
      <c r="R49">
        <f>IF($C49="","",INDEX('Freeview-Gen Ent-more than min'!$Y:$AA,MATCH($C49,'Freeview-Gen Ent-more than min'!$AA:$AA,0),2))</f>
        <v>43</v>
      </c>
      <c r="S49">
        <f t="shared" si="3"/>
        <v>-1</v>
      </c>
      <c r="T49">
        <f t="shared" si="4"/>
        <v>1</v>
      </c>
      <c r="U49" s="7">
        <f>IF($S49=0,0,G49*$S49*'O&amp;O - other input parameters'!$C$7)</f>
        <v>-2.9511411587650551E-4</v>
      </c>
      <c r="V49" s="7">
        <f>IF($S49=0,0,H49*$S49*'O&amp;O - other input parameters'!$C$7)</f>
        <v>-3.4611630669669189E-5</v>
      </c>
    </row>
    <row r="50" spans="2:22" ht="14.65" thickBot="1" x14ac:dyDescent="0.5">
      <c r="B50" s="133" t="s">
        <v>643</v>
      </c>
      <c r="C50" t="str">
        <f>IF('Freeview-Gen Ent'!K52&lt;&gt;0,'Freeview-Gen Ent'!K52,"")</f>
        <v>Gems TV</v>
      </c>
      <c r="D50">
        <f t="shared" si="0"/>
        <v>1</v>
      </c>
      <c r="E50">
        <f>IF($C50="","",INDEX('Freeview-Gen Ent'!$I:$K,MATCH($C50,'Freeview-Gen Ent'!$K:$K,0),1))</f>
        <v>43</v>
      </c>
      <c r="F50">
        <f>IF($C50="","",INDEX('Freeview-Gen Ent'!$I:$K,MATCH($C50,'Freeview-Gen Ent'!$K:$K,0),2))</f>
        <v>43</v>
      </c>
      <c r="G50" s="73">
        <f>IF(AND($L50=0,$S50=0),"Not needed",(IF($B50="Not available",0,(((INDEX('O&amp;O - Revenues &amp; viewing'!$B$6:$Z$237,MATCH($B50,'O&amp;O - Revenues &amp; viewing'!$B$6:$B$237,0),3))*('O&amp;O - other input parameters'!$C$4))/1000000))))</f>
        <v>0</v>
      </c>
      <c r="H50" s="73">
        <f>IF(AND($L50=0,$S50=0),"Not needed",(IF($B50="Not available",0,(((INDEX('O&amp;O - Revenues &amp; viewing'!$B$6:$Z$237,MATCH($B50,'O&amp;O - Revenues &amp; viewing'!$B$6:$B$237,0),7))*('O&amp;O - other input parameters'!$C$4))/1000000))))</f>
        <v>0</v>
      </c>
      <c r="J50">
        <f>IF($C50="","",INDEX('Freeview-Gen Ent'!$Y:$AA,MATCH($C50,'Freeview-Gen Ent'!$AA:$AA,0),1))</f>
        <v>44</v>
      </c>
      <c r="K50">
        <f>IF($C50="","",INDEX('Freeview-Gen Ent'!$Y:$AA,MATCH($C50,'Freeview-Gen Ent'!$AA:$AA,0),2))</f>
        <v>44</v>
      </c>
      <c r="L50">
        <f t="shared" si="1"/>
        <v>-1</v>
      </c>
      <c r="M50">
        <f t="shared" si="2"/>
        <v>1</v>
      </c>
      <c r="N50" s="7">
        <f>IF($L50=0,0,G50*$L50*'O&amp;O - other input parameters'!$C$7)</f>
        <v>0</v>
      </c>
      <c r="O50" s="7">
        <f>IF($L50=0,0,H50*$L50*'O&amp;O - other input parameters'!$C$7)</f>
        <v>0</v>
      </c>
      <c r="Q50">
        <f>IF($C50="","",INDEX('Freeview-Gen Ent-more than min'!$Y:$AA,MATCH($C50,'Freeview-Gen Ent-more than min'!$AA:$AA,0),1))</f>
        <v>44</v>
      </c>
      <c r="R50">
        <f>IF($C50="","",INDEX('Freeview-Gen Ent-more than min'!$Y:$AA,MATCH($C50,'Freeview-Gen Ent-more than min'!$AA:$AA,0),2))</f>
        <v>44</v>
      </c>
      <c r="S50">
        <f t="shared" si="3"/>
        <v>-1</v>
      </c>
      <c r="T50">
        <f t="shared" si="4"/>
        <v>1</v>
      </c>
      <c r="U50" s="7">
        <f>IF($S50=0,0,G50*$S50*'O&amp;O - other input parameters'!$C$7)</f>
        <v>0</v>
      </c>
      <c r="V50" s="7">
        <f>IF($S50=0,0,H50*$S50*'O&amp;O - other input parameters'!$C$7)</f>
        <v>0</v>
      </c>
    </row>
    <row r="51" spans="2:22" ht="14.65" thickBot="1" x14ac:dyDescent="0.5">
      <c r="B51" s="129" t="s">
        <v>382</v>
      </c>
      <c r="C51" t="str">
        <f>IF('Freeview-Gen Ent'!K53&lt;&gt;0,'Freeview-Gen Ent'!K53,"")</f>
        <v>Channel 5 +1</v>
      </c>
      <c r="D51">
        <f t="shared" si="0"/>
        <v>1</v>
      </c>
      <c r="E51">
        <f>IF($C51="","",INDEX('Freeview-Gen Ent'!$I:$K,MATCH($C51,'Freeview-Gen Ent'!$K:$K,0),1))</f>
        <v>44</v>
      </c>
      <c r="F51">
        <f>IF($C51="","",INDEX('Freeview-Gen Ent'!$I:$K,MATCH($C51,'Freeview-Gen Ent'!$K:$K,0),2))</f>
        <v>44</v>
      </c>
      <c r="G51" s="73">
        <f>IF(AND($L51=0,$S51=0),"Not needed",(IF($B51="Not available",0,(((INDEX('O&amp;O - Revenues &amp; viewing'!$B$6:$Z$237,MATCH($B51,'O&amp;O - Revenues &amp; viewing'!$B$6:$B$237,0),3))*('O&amp;O - other input parameters'!$C$4))/1000000))))</f>
        <v>12.304560818158031</v>
      </c>
      <c r="H51" s="73">
        <f>IF(AND($L51=0,$S51=0),"Not needed",(IF($B51="Not available",0,(((INDEX('O&amp;O - Revenues &amp; viewing'!$B$6:$Z$237,MATCH($B51,'O&amp;O - Revenues &amp; viewing'!$B$6:$B$237,0),7))*('O&amp;O - other input parameters'!$C$4))/1000000))))</f>
        <v>0.60201011317412811</v>
      </c>
      <c r="J51">
        <f>IF($C51="","",INDEX('Freeview-Gen Ent'!$Y:$AA,MATCH($C51,'Freeview-Gen Ent'!$AA:$AA,0),1))</f>
        <v>45</v>
      </c>
      <c r="K51">
        <f>IF($C51="","",INDEX('Freeview-Gen Ent'!$Y:$AA,MATCH($C51,'Freeview-Gen Ent'!$AA:$AA,0),2))</f>
        <v>45</v>
      </c>
      <c r="L51">
        <f t="shared" si="1"/>
        <v>-1</v>
      </c>
      <c r="M51">
        <f t="shared" si="2"/>
        <v>1</v>
      </c>
      <c r="N51" s="7">
        <f>IF($L51=0,0,G51*$L51*'O&amp;O - other input parameters'!$C$7)</f>
        <v>-0.18238052361168045</v>
      </c>
      <c r="O51" s="7">
        <f>IF($L51=0,0,H51*$L51*'O&amp;O - other input parameters'!$C$7)</f>
        <v>-8.9231075601006772E-3</v>
      </c>
      <c r="Q51">
        <f>IF($C51="","",INDEX('Freeview-Gen Ent-more than min'!$Y:$AA,MATCH($C51,'Freeview-Gen Ent-more than min'!$AA:$AA,0),1))</f>
        <v>45</v>
      </c>
      <c r="R51">
        <f>IF($C51="","",INDEX('Freeview-Gen Ent-more than min'!$Y:$AA,MATCH($C51,'Freeview-Gen Ent-more than min'!$AA:$AA,0),2))</f>
        <v>45</v>
      </c>
      <c r="S51">
        <f t="shared" si="3"/>
        <v>-1</v>
      </c>
      <c r="T51">
        <f t="shared" si="4"/>
        <v>1</v>
      </c>
      <c r="U51" s="7">
        <f>IF($S51=0,0,G51*$S51*'O&amp;O - other input parameters'!$C$7)</f>
        <v>-0.18238052361168045</v>
      </c>
      <c r="V51" s="7">
        <f>IF($S51=0,0,H51*$S51*'O&amp;O - other input parameters'!$C$7)</f>
        <v>-8.9231075601006772E-3</v>
      </c>
    </row>
    <row r="52" spans="2:22" ht="14.65" thickBot="1" x14ac:dyDescent="0.5">
      <c r="B52" s="133" t="s">
        <v>391</v>
      </c>
      <c r="C52" t="str">
        <f>IF('Freeview-Gen Ent'!K54&lt;&gt;0,'Freeview-Gen Ent'!K54,"")</f>
        <v>Film4 +1</v>
      </c>
      <c r="D52">
        <f t="shared" si="0"/>
        <v>1</v>
      </c>
      <c r="E52">
        <f>IF($C52="","",INDEX('Freeview-Gen Ent'!$I:$K,MATCH($C52,'Freeview-Gen Ent'!$K:$K,0),1))</f>
        <v>45</v>
      </c>
      <c r="F52">
        <f>IF($C52="","",INDEX('Freeview-Gen Ent'!$I:$K,MATCH($C52,'Freeview-Gen Ent'!$K:$K,0),2))</f>
        <v>45</v>
      </c>
      <c r="G52" s="73">
        <f>IF(AND($L52=0,$S52=0),"Not needed",(IF($B52="Not available",0,(((INDEX('O&amp;O - Revenues &amp; viewing'!$B$6:$Z$237,MATCH($B52,'O&amp;O - Revenues &amp; viewing'!$B$6:$B$237,0),3))*('O&amp;O - other input parameters'!$C$4))/1000000))))</f>
        <v>5.5047218454481062</v>
      </c>
      <c r="H52" s="73">
        <f>IF(AND($L52=0,$S52=0),"Not needed",(IF($B52="Not available",0,(((INDEX('O&amp;O - Revenues &amp; viewing'!$B$6:$Z$237,MATCH($B52,'O&amp;O - Revenues &amp; viewing'!$B$6:$B$237,0),7))*('O&amp;O - other input parameters'!$C$4))/1000000))))</f>
        <v>0.45222990068483254</v>
      </c>
      <c r="J52">
        <f>IF($C52="","",INDEX('Freeview-Gen Ent'!$Y:$AA,MATCH($C52,'Freeview-Gen Ent'!$AA:$AA,0),1))</f>
        <v>46</v>
      </c>
      <c r="K52">
        <f>IF($C52="","",INDEX('Freeview-Gen Ent'!$Y:$AA,MATCH($C52,'Freeview-Gen Ent'!$AA:$AA,0),2))</f>
        <v>46</v>
      </c>
      <c r="L52">
        <f t="shared" si="1"/>
        <v>-1</v>
      </c>
      <c r="M52">
        <f t="shared" si="2"/>
        <v>1</v>
      </c>
      <c r="N52" s="7">
        <f>IF($L52=0,0,G52*$L52*'O&amp;O - other input parameters'!$C$7)</f>
        <v>-8.1592026513285301E-2</v>
      </c>
      <c r="O52" s="7">
        <f>IF($L52=0,0,H52*$L52*'O&amp;O - other input parameters'!$C$7)</f>
        <v>-6.7030369713028731E-3</v>
      </c>
      <c r="Q52">
        <f>IF($C52="","",INDEX('Freeview-Gen Ent-more than min'!$Y:$AA,MATCH($C52,'Freeview-Gen Ent-more than min'!$AA:$AA,0),1))</f>
        <v>46</v>
      </c>
      <c r="R52">
        <f>IF($C52="","",INDEX('Freeview-Gen Ent-more than min'!$Y:$AA,MATCH($C52,'Freeview-Gen Ent-more than min'!$AA:$AA,0),2))</f>
        <v>46</v>
      </c>
      <c r="S52">
        <f t="shared" si="3"/>
        <v>-1</v>
      </c>
      <c r="T52">
        <f t="shared" si="4"/>
        <v>1</v>
      </c>
      <c r="U52" s="7">
        <f>IF($S52=0,0,G52*$S52*'O&amp;O - other input parameters'!$C$7)</f>
        <v>-8.1592026513285301E-2</v>
      </c>
      <c r="V52" s="7">
        <f>IF($S52=0,0,H52*$S52*'O&amp;O - other input parameters'!$C$7)</f>
        <v>-6.7030369713028731E-3</v>
      </c>
    </row>
    <row r="53" spans="2:22" ht="14.65" thickBot="1" x14ac:dyDescent="0.5">
      <c r="B53" s="129" t="s">
        <v>363</v>
      </c>
      <c r="C53" t="str">
        <f>IF('Freeview-Gen Ent'!K55&lt;&gt;0,'Freeview-Gen Ent'!K55,"")</f>
        <v>Challenge</v>
      </c>
      <c r="D53">
        <f t="shared" si="0"/>
        <v>1</v>
      </c>
      <c r="E53">
        <f>IF($C53="","",INDEX('Freeview-Gen Ent'!$I:$K,MATCH($C53,'Freeview-Gen Ent'!$K:$K,0),1))</f>
        <v>46</v>
      </c>
      <c r="F53">
        <f>IF($C53="","",INDEX('Freeview-Gen Ent'!$I:$K,MATCH($C53,'Freeview-Gen Ent'!$K:$K,0),2))</f>
        <v>46</v>
      </c>
      <c r="G53" s="73">
        <f>IF(AND($L53=0,$S53=0),"Not needed",(IF($B53="Not available",0,(((INDEX('O&amp;O - Revenues &amp; viewing'!$B$6:$Z$237,MATCH($B53,'O&amp;O - Revenues &amp; viewing'!$B$6:$B$237,0),3))*('O&amp;O - other input parameters'!$C$4))/1000000))))</f>
        <v>29.561095835209525</v>
      </c>
      <c r="H53" s="73">
        <f>IF(AND($L53=0,$S53=0),"Not needed",(IF($B53="Not available",0,(((INDEX('O&amp;O - Revenues &amp; viewing'!$B$6:$Z$237,MATCH($B53,'O&amp;O - Revenues &amp; viewing'!$B$6:$B$237,0),7))*('O&amp;O - other input parameters'!$C$4))/1000000))))</f>
        <v>1.446299377304372</v>
      </c>
      <c r="J53">
        <f>IF($C53="","",INDEX('Freeview-Gen Ent'!$Y:$AA,MATCH($C53,'Freeview-Gen Ent'!$AA:$AA,0),1))</f>
        <v>47</v>
      </c>
      <c r="K53">
        <f>IF($C53="","",INDEX('Freeview-Gen Ent'!$Y:$AA,MATCH($C53,'Freeview-Gen Ent'!$AA:$AA,0),2))</f>
        <v>47</v>
      </c>
      <c r="L53">
        <f t="shared" si="1"/>
        <v>-1</v>
      </c>
      <c r="M53">
        <f t="shared" si="2"/>
        <v>1</v>
      </c>
      <c r="N53" s="7">
        <f>IF($L53=0,0,G53*$L53*'O&amp;O - other input parameters'!$C$7)</f>
        <v>-0.43816014375778889</v>
      </c>
      <c r="O53" s="7">
        <f>IF($L53=0,0,H53*$L53*'O&amp;O - other input parameters'!$C$7)</f>
        <v>-2.1437322439234009E-2</v>
      </c>
      <c r="Q53">
        <f>IF($C53="","",INDEX('Freeview-Gen Ent-more than min'!$Y:$AA,MATCH($C53,'Freeview-Gen Ent-more than min'!$AA:$AA,0),1))</f>
        <v>47</v>
      </c>
      <c r="R53">
        <f>IF($C53="","",INDEX('Freeview-Gen Ent-more than min'!$Y:$AA,MATCH($C53,'Freeview-Gen Ent-more than min'!$AA:$AA,0),2))</f>
        <v>47</v>
      </c>
      <c r="S53">
        <f t="shared" si="3"/>
        <v>-1</v>
      </c>
      <c r="T53">
        <f t="shared" si="4"/>
        <v>1</v>
      </c>
      <c r="U53" s="7">
        <f>IF($S53=0,0,G53*$S53*'O&amp;O - other input parameters'!$C$7)</f>
        <v>-0.43816014375778889</v>
      </c>
      <c r="V53" s="7">
        <f>IF($S53=0,0,H53*$S53*'O&amp;O - other input parameters'!$C$7)</f>
        <v>-2.1437322439234009E-2</v>
      </c>
    </row>
    <row r="54" spans="2:22" ht="14.65" thickBot="1" x14ac:dyDescent="0.5">
      <c r="B54" s="133" t="s">
        <v>376</v>
      </c>
      <c r="C54" t="str">
        <f>IF('Freeview-Gen Ent'!K56&lt;&gt;0,'Freeview-Gen Ent'!K56,"")</f>
        <v>4Seven</v>
      </c>
      <c r="D54">
        <f t="shared" si="0"/>
        <v>1</v>
      </c>
      <c r="E54">
        <f>IF($C54="","",INDEX('Freeview-Gen Ent'!$I:$K,MATCH($C54,'Freeview-Gen Ent'!$K:$K,0),1))</f>
        <v>47</v>
      </c>
      <c r="F54">
        <f>IF($C54="","",INDEX('Freeview-Gen Ent'!$I:$K,MATCH($C54,'Freeview-Gen Ent'!$K:$K,0),2))</f>
        <v>47</v>
      </c>
      <c r="G54" s="73">
        <f>IF(AND($L54=0,$S54=0),"Not needed",(IF($B54="Not available",0,(((INDEX('O&amp;O - Revenues &amp; viewing'!$B$6:$Z$237,MATCH($B54,'O&amp;O - Revenues &amp; viewing'!$B$6:$B$237,0),3))*('O&amp;O - other input parameters'!$C$4))/1000000))))</f>
        <v>10.685190354495377</v>
      </c>
      <c r="H54" s="73">
        <f>IF(AND($L54=0,$S54=0),"Not needed",(IF($B54="Not available",0,(((INDEX('O&amp;O - Revenues &amp; viewing'!$B$6:$Z$237,MATCH($B54,'O&amp;O - Revenues &amp; viewing'!$B$6:$B$237,0),7))*('O&amp;O - other input parameters'!$C$4))/1000000))))</f>
        <v>0.87782138834275991</v>
      </c>
      <c r="J54">
        <f>IF($C54="","",INDEX('Freeview-Gen Ent'!$Y:$AA,MATCH($C54,'Freeview-Gen Ent'!$AA:$AA,0),1))</f>
        <v>48</v>
      </c>
      <c r="K54">
        <f>IF($C54="","",INDEX('Freeview-Gen Ent'!$Y:$AA,MATCH($C54,'Freeview-Gen Ent'!$AA:$AA,0),2))</f>
        <v>48</v>
      </c>
      <c r="L54">
        <f t="shared" si="1"/>
        <v>-1</v>
      </c>
      <c r="M54">
        <f t="shared" si="2"/>
        <v>1</v>
      </c>
      <c r="N54" s="7">
        <f>IF($L54=0,0,G54*$L54*'O&amp;O - other input parameters'!$C$7)</f>
        <v>-0.15837790885372466</v>
      </c>
      <c r="O54" s="7">
        <f>IF($L54=0,0,H54*$L54*'O&amp;O - other input parameters'!$C$7)</f>
        <v>-1.3011234355250326E-2</v>
      </c>
      <c r="Q54">
        <f>IF($C54="","",INDEX('Freeview-Gen Ent-more than min'!$Y:$AA,MATCH($C54,'Freeview-Gen Ent-more than min'!$AA:$AA,0),1))</f>
        <v>48</v>
      </c>
      <c r="R54">
        <f>IF($C54="","",INDEX('Freeview-Gen Ent-more than min'!$Y:$AA,MATCH($C54,'Freeview-Gen Ent-more than min'!$AA:$AA,0),2))</f>
        <v>48</v>
      </c>
      <c r="S54">
        <f t="shared" si="3"/>
        <v>-1</v>
      </c>
      <c r="T54">
        <f t="shared" si="4"/>
        <v>1</v>
      </c>
      <c r="U54" s="7">
        <f>IF($S54=0,0,G54*$S54*'O&amp;O - other input parameters'!$C$7)</f>
        <v>-0.15837790885372466</v>
      </c>
      <c r="V54" s="7">
        <f>IF($S54=0,0,H54*$S54*'O&amp;O - other input parameters'!$C$7)</f>
        <v>-1.3011234355250326E-2</v>
      </c>
    </row>
    <row r="55" spans="2:22" ht="14.65" thickBot="1" x14ac:dyDescent="0.5">
      <c r="B55" s="133" t="s">
        <v>381</v>
      </c>
      <c r="C55" t="str">
        <f>IF('Freeview-Gen Ent'!K57&lt;&gt;0,'Freeview-Gen Ent'!K57,"")</f>
        <v>movies 4men</v>
      </c>
      <c r="D55">
        <f t="shared" si="0"/>
        <v>1</v>
      </c>
      <c r="E55">
        <f>IF($C55="","",INDEX('Freeview-Gen Ent'!$I:$K,MATCH($C55,'Freeview-Gen Ent'!$K:$K,0),1))</f>
        <v>48</v>
      </c>
      <c r="F55">
        <f>IF($C55="","",INDEX('Freeview-Gen Ent'!$I:$K,MATCH($C55,'Freeview-Gen Ent'!$K:$K,0),2))</f>
        <v>48</v>
      </c>
      <c r="G55" s="73">
        <f>IF(AND($L55=0,$S55=0),"Not needed",(IF($B55="Not available",0,(((INDEX('O&amp;O - Revenues &amp; viewing'!$B$6:$Z$237,MATCH($B55,'O&amp;O - Revenues &amp; viewing'!$B$6:$B$237,0),3))*('O&amp;O - other input parameters'!$C$4))/1000000))))</f>
        <v>16.678188422886262</v>
      </c>
      <c r="H55" s="73">
        <f>IF(AND($L55=0,$S55=0),"Not needed",(IF($B55="Not available",0,(((INDEX('O&amp;O - Revenues &amp; viewing'!$B$6:$Z$237,MATCH($B55,'O&amp;O - Revenues &amp; viewing'!$B$6:$B$237,0),7))*('O&amp;O - other input parameters'!$C$4))/1000000))))</f>
        <v>0.81599321165403682</v>
      </c>
      <c r="J55">
        <f>IF($C55="","",INDEX('Freeview-Gen Ent'!$Y:$AA,MATCH($C55,'Freeview-Gen Ent'!$AA:$AA,0),1))</f>
        <v>49</v>
      </c>
      <c r="K55">
        <f>IF($C55="","",INDEX('Freeview-Gen Ent'!$Y:$AA,MATCH($C55,'Freeview-Gen Ent'!$AA:$AA,0),2))</f>
        <v>49</v>
      </c>
      <c r="L55">
        <f t="shared" si="1"/>
        <v>-1</v>
      </c>
      <c r="M55">
        <f t="shared" si="2"/>
        <v>1</v>
      </c>
      <c r="N55" s="7">
        <f>IF($L55=0,0,G55*$L55*'O&amp;O - other input parameters'!$C$7)</f>
        <v>-0.24720725773255281</v>
      </c>
      <c r="O55" s="7">
        <f>IF($L55=0,0,H55*$L55*'O&amp;O - other input parameters'!$C$7)</f>
        <v>-1.209480544688943E-2</v>
      </c>
      <c r="Q55">
        <f>IF($C55="","",INDEX('Freeview-Gen Ent-more than min'!$Y:$AA,MATCH($C55,'Freeview-Gen Ent-more than min'!$AA:$AA,0),1))</f>
        <v>49</v>
      </c>
      <c r="R55">
        <f>IF($C55="","",INDEX('Freeview-Gen Ent-more than min'!$Y:$AA,MATCH($C55,'Freeview-Gen Ent-more than min'!$AA:$AA,0),2))</f>
        <v>49</v>
      </c>
      <c r="S55">
        <f t="shared" si="3"/>
        <v>-1</v>
      </c>
      <c r="T55">
        <f t="shared" si="4"/>
        <v>1</v>
      </c>
      <c r="U55" s="7">
        <f>IF($S55=0,0,G55*$S55*'O&amp;O - other input parameters'!$C$7)</f>
        <v>-0.24720725773255281</v>
      </c>
      <c r="V55" s="7">
        <f>IF($S55=0,0,H55*$S55*'O&amp;O - other input parameters'!$C$7)</f>
        <v>-1.209480544688943E-2</v>
      </c>
    </row>
    <row r="56" spans="2:22" ht="14.65" thickBot="1" x14ac:dyDescent="0.5">
      <c r="B56" s="133" t="s">
        <v>643</v>
      </c>
      <c r="C56" t="str">
        <f>IF('Freeview-Gen Ent'!K58&lt;&gt;0,'Freeview-Gen Ent'!K58,"")</f>
        <v>The Jewellery Channel</v>
      </c>
      <c r="D56">
        <f t="shared" si="0"/>
        <v>1</v>
      </c>
      <c r="E56">
        <f>IF($C56="","",INDEX('Freeview-Gen Ent'!$I:$K,MATCH($C56,'Freeview-Gen Ent'!$K:$K,0),1))</f>
        <v>49</v>
      </c>
      <c r="F56">
        <f>IF($C56="","",INDEX('Freeview-Gen Ent'!$I:$K,MATCH($C56,'Freeview-Gen Ent'!$K:$K,0),2))</f>
        <v>49</v>
      </c>
      <c r="G56" s="73">
        <f>IF(AND($L56=0,$S56=0),"Not needed",(IF($B56="Not available",0,(((INDEX('O&amp;O - Revenues &amp; viewing'!$B$6:$Z$237,MATCH($B56,'O&amp;O - Revenues &amp; viewing'!$B$6:$B$237,0),3))*('O&amp;O - other input parameters'!$C$4))/1000000))))</f>
        <v>0</v>
      </c>
      <c r="H56" s="73">
        <f>IF(AND($L56=0,$S56=0),"Not needed",(IF($B56="Not available",0,(((INDEX('O&amp;O - Revenues &amp; viewing'!$B$6:$Z$237,MATCH($B56,'O&amp;O - Revenues &amp; viewing'!$B$6:$B$237,0),7))*('O&amp;O - other input parameters'!$C$4))/1000000))))</f>
        <v>0</v>
      </c>
      <c r="J56">
        <f>IF($C56="","",INDEX('Freeview-Gen Ent'!$Y:$AA,MATCH($C56,'Freeview-Gen Ent'!$AA:$AA,0),1))</f>
        <v>50</v>
      </c>
      <c r="K56">
        <f>IF($C56="","",INDEX('Freeview-Gen Ent'!$Y:$AA,MATCH($C56,'Freeview-Gen Ent'!$AA:$AA,0),2))</f>
        <v>50</v>
      </c>
      <c r="L56">
        <f t="shared" si="1"/>
        <v>-1</v>
      </c>
      <c r="M56">
        <f t="shared" si="2"/>
        <v>1</v>
      </c>
      <c r="N56" s="7">
        <f>IF($L56=0,0,G56*$L56*'O&amp;O - other input parameters'!$C$7)</f>
        <v>0</v>
      </c>
      <c r="O56" s="7">
        <f>IF($L56=0,0,H56*$L56*'O&amp;O - other input parameters'!$C$7)</f>
        <v>0</v>
      </c>
      <c r="Q56">
        <f>IF($C56="","",INDEX('Freeview-Gen Ent-more than min'!$Y:$AA,MATCH($C56,'Freeview-Gen Ent-more than min'!$AA:$AA,0),1))</f>
        <v>50</v>
      </c>
      <c r="R56">
        <f>IF($C56="","",INDEX('Freeview-Gen Ent-more than min'!$Y:$AA,MATCH($C56,'Freeview-Gen Ent-more than min'!$AA:$AA,0),2))</f>
        <v>50</v>
      </c>
      <c r="S56">
        <f t="shared" si="3"/>
        <v>-1</v>
      </c>
      <c r="T56">
        <f t="shared" si="4"/>
        <v>1</v>
      </c>
      <c r="U56" s="7">
        <f>IF($S56=0,0,G56*$S56*'O&amp;O - other input parameters'!$C$7)</f>
        <v>0</v>
      </c>
      <c r="V56" s="7">
        <f>IF($S56=0,0,H56*$S56*'O&amp;O - other input parameters'!$C$7)</f>
        <v>0</v>
      </c>
    </row>
    <row r="57" spans="2:22" ht="14.65" thickBot="1" x14ac:dyDescent="0.5">
      <c r="B57" s="133" t="s">
        <v>448</v>
      </c>
      <c r="C57" t="str">
        <f>IF('Freeview-Gen Ent'!K59&lt;&gt;0,'Freeview-Gen Ent'!K59,"")</f>
        <v>Sony Movie Channel +1</v>
      </c>
      <c r="D57">
        <f t="shared" si="0"/>
        <v>1</v>
      </c>
      <c r="E57">
        <f>IF($C57="","",INDEX('Freeview-Gen Ent'!$I:$K,MATCH($C57,'Freeview-Gen Ent'!$K:$K,0),1))</f>
        <v>50</v>
      </c>
      <c r="F57">
        <f>IF($C57="","",INDEX('Freeview-Gen Ent'!$I:$K,MATCH($C57,'Freeview-Gen Ent'!$K:$K,0),2))</f>
        <v>50</v>
      </c>
      <c r="G57" s="73">
        <f>IF(AND($L57=0,$S57=0),"Not needed",(IF($B57="Not available",0,(((INDEX('O&amp;O - Revenues &amp; viewing'!$B$6:$Z$237,MATCH($B57,'O&amp;O - Revenues &amp; viewing'!$B$6:$B$237,0),3))*('O&amp;O - other input parameters'!$C$4))/1000000))))</f>
        <v>1.4221637561440164E-2</v>
      </c>
      <c r="H57" s="73">
        <f>IF(AND($L57=0,$S57=0),"Not needed",(IF($B57="Not available",0,(((INDEX('O&amp;O - Revenues &amp; viewing'!$B$6:$Z$237,MATCH($B57,'O&amp;O - Revenues &amp; viewing'!$B$6:$B$237,0),7))*('O&amp;O - other input parameters'!$C$4))/1000000))))</f>
        <v>6.9580456908706421E-4</v>
      </c>
      <c r="J57">
        <f>IF($C57="","",INDEX('Freeview-Gen Ent'!$Y:$AA,MATCH($C57,'Freeview-Gen Ent'!$AA:$AA,0),1))</f>
        <v>51</v>
      </c>
      <c r="K57">
        <f>IF($C57="","",INDEX('Freeview-Gen Ent'!$Y:$AA,MATCH($C57,'Freeview-Gen Ent'!$AA:$AA,0),2))</f>
        <v>51</v>
      </c>
      <c r="L57">
        <f t="shared" si="1"/>
        <v>-1</v>
      </c>
      <c r="M57">
        <f t="shared" si="2"/>
        <v>1</v>
      </c>
      <c r="N57" s="7">
        <f>IF($L57=0,0,G57*$L57*'O&amp;O - other input parameters'!$C$7)</f>
        <v>-2.1079579705464682E-4</v>
      </c>
      <c r="O57" s="7">
        <f>IF($L57=0,0,H57*$L57*'O&amp;O - other input parameters'!$C$7)</f>
        <v>-1.0313346694522277E-5</v>
      </c>
      <c r="Q57">
        <f>IF($C57="","",INDEX('Freeview-Gen Ent-more than min'!$Y:$AA,MATCH($C57,'Freeview-Gen Ent-more than min'!$AA:$AA,0),1))</f>
        <v>51</v>
      </c>
      <c r="R57">
        <f>IF($C57="","",INDEX('Freeview-Gen Ent-more than min'!$Y:$AA,MATCH($C57,'Freeview-Gen Ent-more than min'!$AA:$AA,0),2))</f>
        <v>51</v>
      </c>
      <c r="S57">
        <f t="shared" si="3"/>
        <v>-1</v>
      </c>
      <c r="T57">
        <f t="shared" si="4"/>
        <v>1</v>
      </c>
      <c r="U57" s="7">
        <f>IF($S57=0,0,G57*$S57*'O&amp;O - other input parameters'!$C$7)</f>
        <v>-2.1079579705464682E-4</v>
      </c>
      <c r="V57" s="7">
        <f>IF($S57=0,0,H57*$S57*'O&amp;O - other input parameters'!$C$7)</f>
        <v>-1.0313346694522277E-5</v>
      </c>
    </row>
    <row r="58" spans="2:22" ht="14.65" thickBot="1" x14ac:dyDescent="0.5">
      <c r="B58" s="131" t="s">
        <v>643</v>
      </c>
      <c r="C58" t="str">
        <f>IF('Freeview-Gen Ent'!K60&lt;&gt;0,'Freeview-Gen Ent'!K60,"")</f>
        <v/>
      </c>
      <c r="D58" t="str">
        <f t="shared" si="0"/>
        <v/>
      </c>
      <c r="E58" t="str">
        <f>IF($C58="","",INDEX('Freeview-Gen Ent'!$I:$K,MATCH($C58,'Freeview-Gen Ent'!$K:$K,0),1))</f>
        <v/>
      </c>
      <c r="F58" t="str">
        <f>IF($C58="","",INDEX('Freeview-Gen Ent'!$I:$K,MATCH($C58,'Freeview-Gen Ent'!$K:$K,0),2))</f>
        <v/>
      </c>
      <c r="G58" t="str">
        <f>IF(AND($L58=0,$S58=0),"Not needed",(IF($B58="Not available",0,(((INDEX('O&amp;O - Revenues &amp; viewing'!$B$6:$Z$237,MATCH($B58,'O&amp;O - Revenues &amp; viewing'!$B$6:$B$237,0),3))*('O&amp;O - other input parameters'!$C$4))/1000000))))</f>
        <v>Not needed</v>
      </c>
      <c r="H58" t="str">
        <f>IF(AND($L58=0,$S58=0),"Not needed",(IF($B58="Not available",0,(((INDEX('O&amp;O - Revenues &amp; viewing'!$B$6:$Z$237,MATCH($B58,'O&amp;O - Revenues &amp; viewing'!$B$6:$B$237,0),7))*('O&amp;O - other input parameters'!$C$4))/1000000))))</f>
        <v>Not needed</v>
      </c>
      <c r="J58" t="str">
        <f>IF($C58="","",INDEX('Freeview-Gen Ent'!$Y:$AA,MATCH($C58,'Freeview-Gen Ent'!$AA:$AA,0),1))</f>
        <v/>
      </c>
      <c r="K58" t="str">
        <f>IF($C58="","",INDEX('Freeview-Gen Ent'!$Y:$AA,MATCH($C58,'Freeview-Gen Ent'!$AA:$AA,0),2))</f>
        <v/>
      </c>
      <c r="L58">
        <v>0</v>
      </c>
      <c r="M58" t="str">
        <f t="shared" si="2"/>
        <v/>
      </c>
      <c r="N58" s="7">
        <f>IF($L58=0,0,G58*$L58*'O&amp;O - other input parameters'!$C$7)</f>
        <v>0</v>
      </c>
      <c r="O58" s="7">
        <f>IF($L58=0,0,H58*$L58*'O&amp;O - other input parameters'!$C$7)</f>
        <v>0</v>
      </c>
      <c r="Q58" t="str">
        <f>IF($C58="","",INDEX('Freeview-Gen Ent-more than min'!$Y:$AA,MATCH($C58,'Freeview-Gen Ent-more than min'!$AA:$AA,0),1))</f>
        <v/>
      </c>
      <c r="R58" t="str">
        <f>IF($C58="","",INDEX('Freeview-Gen Ent-more than min'!$Y:$AA,MATCH($C58,'Freeview-Gen Ent-more than min'!$AA:$AA,0),2))</f>
        <v/>
      </c>
      <c r="S58">
        <v>0</v>
      </c>
      <c r="T58" t="str">
        <f t="shared" si="4"/>
        <v/>
      </c>
      <c r="U58" s="7">
        <f>IF($S58=0,0,G58*$S58*'O&amp;O - other input parameters'!$C$7)</f>
        <v>0</v>
      </c>
      <c r="V58" s="7">
        <f>IF($S58=0,0,H58*$S58*'O&amp;O - other input parameters'!$C$7)</f>
        <v>0</v>
      </c>
    </row>
    <row r="59" spans="2:22" ht="14.65" thickBot="1" x14ac:dyDescent="0.5">
      <c r="B59" s="131" t="s">
        <v>643</v>
      </c>
      <c r="C59" t="str">
        <f>IF('Freeview-Gen Ent'!K61&lt;&gt;0,'Freeview-Gen Ent'!K61,"")</f>
        <v/>
      </c>
      <c r="D59" t="str">
        <f t="shared" si="0"/>
        <v/>
      </c>
      <c r="E59" t="str">
        <f>IF($C59="","",INDEX('Freeview-Gen Ent'!$I:$K,MATCH($C59,'Freeview-Gen Ent'!$K:$K,0),1))</f>
        <v/>
      </c>
      <c r="F59" t="str">
        <f>IF($C59="","",INDEX('Freeview-Gen Ent'!$I:$K,MATCH($C59,'Freeview-Gen Ent'!$K:$K,0),2))</f>
        <v/>
      </c>
      <c r="G59" t="str">
        <f>IF(AND($L59=0,$S59=0),"Not needed",(IF($B59="Not available",0,(((INDEX('O&amp;O - Revenues &amp; viewing'!$B$6:$Z$237,MATCH($B59,'O&amp;O - Revenues &amp; viewing'!$B$6:$B$237,0),3))*('O&amp;O - other input parameters'!$C$4))/1000000))))</f>
        <v>Not needed</v>
      </c>
      <c r="H59" t="str">
        <f>IF(AND($L59=0,$S59=0),"Not needed",(IF($B59="Not available",0,(((INDEX('O&amp;O - Revenues &amp; viewing'!$B$6:$Z$237,MATCH($B59,'O&amp;O - Revenues &amp; viewing'!$B$6:$B$237,0),7))*('O&amp;O - other input parameters'!$C$4))/1000000))))</f>
        <v>Not needed</v>
      </c>
      <c r="J59" t="str">
        <f>IF($C59="","",INDEX('Freeview-Gen Ent'!$Y:$AA,MATCH($C59,'Freeview-Gen Ent'!$AA:$AA,0),1))</f>
        <v/>
      </c>
      <c r="K59" t="str">
        <f>IF($C59="","",INDEX('Freeview-Gen Ent'!$Y:$AA,MATCH($C59,'Freeview-Gen Ent'!$AA:$AA,0),2))</f>
        <v/>
      </c>
      <c r="L59">
        <v>0</v>
      </c>
      <c r="M59" t="str">
        <f t="shared" si="2"/>
        <v/>
      </c>
      <c r="N59" s="7">
        <f>IF($L59=0,0,G59*$L59*'O&amp;O - other input parameters'!$C$7)</f>
        <v>0</v>
      </c>
      <c r="O59" s="7">
        <f>IF($L59=0,0,H59*$L59*'O&amp;O - other input parameters'!$C$7)</f>
        <v>0</v>
      </c>
      <c r="Q59" t="str">
        <f>IF($C59="","",INDEX('Freeview-Gen Ent-more than min'!$Y:$AA,MATCH($C59,'Freeview-Gen Ent-more than min'!$AA:$AA,0),1))</f>
        <v/>
      </c>
      <c r="R59" t="str">
        <f>IF($C59="","",INDEX('Freeview-Gen Ent-more than min'!$Y:$AA,MATCH($C59,'Freeview-Gen Ent-more than min'!$AA:$AA,0),2))</f>
        <v/>
      </c>
      <c r="S59">
        <v>0</v>
      </c>
      <c r="T59" t="str">
        <f t="shared" si="4"/>
        <v/>
      </c>
      <c r="U59" s="7">
        <f>IF($S59=0,0,G59*$S59*'O&amp;O - other input parameters'!$C$7)</f>
        <v>0</v>
      </c>
      <c r="V59" s="7">
        <f>IF($S59=0,0,H59*$S59*'O&amp;O - other input parameters'!$C$7)</f>
        <v>0</v>
      </c>
    </row>
    <row r="60" spans="2:22" ht="14.65" thickBot="1" x14ac:dyDescent="0.5">
      <c r="B60" s="131" t="s">
        <v>643</v>
      </c>
      <c r="C60" t="str">
        <f>IF('Freeview-Gen Ent'!K62&lt;&gt;0,'Freeview-Gen Ent'!K62,"")</f>
        <v/>
      </c>
      <c r="D60" t="str">
        <f t="shared" si="0"/>
        <v/>
      </c>
      <c r="E60" t="str">
        <f>IF($C60="","",INDEX('Freeview-Gen Ent'!$I:$K,MATCH($C60,'Freeview-Gen Ent'!$K:$K,0),1))</f>
        <v/>
      </c>
      <c r="F60" t="str">
        <f>IF($C60="","",INDEX('Freeview-Gen Ent'!$I:$K,MATCH($C60,'Freeview-Gen Ent'!$K:$K,0),2))</f>
        <v/>
      </c>
      <c r="G60" t="str">
        <f>IF(AND($L60=0,$S60=0),"Not needed",(IF($B60="Not available",0,(((INDEX('O&amp;O - Revenues &amp; viewing'!$B$6:$Z$237,MATCH($B60,'O&amp;O - Revenues &amp; viewing'!$B$6:$B$237,0),3))*('O&amp;O - other input parameters'!$C$4))/1000000))))</f>
        <v>Not needed</v>
      </c>
      <c r="H60" t="str">
        <f>IF(AND($L60=0,$S60=0),"Not needed",(IF($B60="Not available",0,(((INDEX('O&amp;O - Revenues &amp; viewing'!$B$6:$Z$237,MATCH($B60,'O&amp;O - Revenues &amp; viewing'!$B$6:$B$237,0),7))*('O&amp;O - other input parameters'!$C$4))/1000000))))</f>
        <v>Not needed</v>
      </c>
      <c r="J60" t="str">
        <f>IF($C60="","",INDEX('Freeview-Gen Ent'!$Y:$AA,MATCH($C60,'Freeview-Gen Ent'!$AA:$AA,0),1))</f>
        <v/>
      </c>
      <c r="K60" t="str">
        <f>IF($C60="","",INDEX('Freeview-Gen Ent'!$Y:$AA,MATCH($C60,'Freeview-Gen Ent'!$AA:$AA,0),2))</f>
        <v/>
      </c>
      <c r="L60">
        <v>0</v>
      </c>
      <c r="M60" t="str">
        <f t="shared" si="2"/>
        <v/>
      </c>
      <c r="N60" s="7">
        <f>IF($L60=0,0,G60*$L60*'O&amp;O - other input parameters'!$C$7)</f>
        <v>0</v>
      </c>
      <c r="O60" s="7">
        <f>IF($L60=0,0,H60*$L60*'O&amp;O - other input parameters'!$C$7)</f>
        <v>0</v>
      </c>
      <c r="Q60" t="str">
        <f>IF($C60="","",INDEX('Freeview-Gen Ent-more than min'!$Y:$AA,MATCH($C60,'Freeview-Gen Ent-more than min'!$AA:$AA,0),1))</f>
        <v/>
      </c>
      <c r="R60" t="str">
        <f>IF($C60="","",INDEX('Freeview-Gen Ent-more than min'!$Y:$AA,MATCH($C60,'Freeview-Gen Ent-more than min'!$AA:$AA,0),2))</f>
        <v/>
      </c>
      <c r="S60">
        <v>0</v>
      </c>
      <c r="T60" t="str">
        <f t="shared" si="4"/>
        <v/>
      </c>
      <c r="U60" s="7">
        <f>IF($S60=0,0,G60*$S60*'O&amp;O - other input parameters'!$C$7)</f>
        <v>0</v>
      </c>
      <c r="V60" s="7">
        <f>IF($S60=0,0,H60*$S60*'O&amp;O - other input parameters'!$C$7)</f>
        <v>0</v>
      </c>
    </row>
    <row r="61" spans="2:22" ht="14.65" thickBot="1" x14ac:dyDescent="0.5">
      <c r="B61" s="133" t="s">
        <v>533</v>
      </c>
      <c r="C61" t="str">
        <f>IF('Freeview-Gen Ent'!K63&lt;&gt;0,'Freeview-Gen Ent'!K63,"")</f>
        <v>Paramount Network</v>
      </c>
      <c r="D61">
        <f t="shared" si="0"/>
        <v>1</v>
      </c>
      <c r="E61">
        <f>IF($C61="","",INDEX('Freeview-Gen Ent'!$I:$K,MATCH($C61,'Freeview-Gen Ent'!$K:$K,0),1))</f>
        <v>54</v>
      </c>
      <c r="F61">
        <f>IF($C61="","",INDEX('Freeview-Gen Ent'!$I:$K,MATCH($C61,'Freeview-Gen Ent'!$K:$K,0),2))</f>
        <v>51</v>
      </c>
      <c r="G61" s="73">
        <f>IF(AND($L61=0,$S61=0),"Not needed",(IF($B61="Not available",0,(((INDEX('O&amp;O - Revenues &amp; viewing'!$B$6:$Z$237,MATCH($B61,'O&amp;O - Revenues &amp; viewing'!$B$6:$B$237,0),3))*('O&amp;O - other input parameters'!$C$4))/1000000))))</f>
        <v>0</v>
      </c>
      <c r="H61" s="73">
        <f>IF(AND($L61=0,$S61=0),"Not needed",(IF($B61="Not available",0,(((INDEX('O&amp;O - Revenues &amp; viewing'!$B$6:$Z$237,MATCH($B61,'O&amp;O - Revenues &amp; viewing'!$B$6:$B$237,0),7))*('O&amp;O - other input parameters'!$C$4))/1000000))))</f>
        <v>0</v>
      </c>
      <c r="J61">
        <f>IF($C61="","",INDEX('Freeview-Gen Ent'!$Y:$AA,MATCH($C61,'Freeview-Gen Ent'!$AA:$AA,0),1))</f>
        <v>55</v>
      </c>
      <c r="K61">
        <f>IF($C61="","",INDEX('Freeview-Gen Ent'!$Y:$AA,MATCH($C61,'Freeview-Gen Ent'!$AA:$AA,0),2))</f>
        <v>52</v>
      </c>
      <c r="L61">
        <f t="shared" si="1"/>
        <v>-1</v>
      </c>
      <c r="M61">
        <f t="shared" si="2"/>
        <v>1</v>
      </c>
      <c r="N61" s="7">
        <f>IF($L61=0,0,G61*$L61*'O&amp;O - other input parameters'!$C$7)</f>
        <v>0</v>
      </c>
      <c r="O61" s="7">
        <f>IF($L61=0,0,H61*$L61*'O&amp;O - other input parameters'!$C$7)</f>
        <v>0</v>
      </c>
      <c r="Q61">
        <f>IF($C61="","",INDEX('Freeview-Gen Ent-more than min'!$Y:$AA,MATCH($C61,'Freeview-Gen Ent-more than min'!$AA:$AA,0),1))</f>
        <v>55</v>
      </c>
      <c r="R61">
        <f>IF($C61="","",INDEX('Freeview-Gen Ent-more than min'!$Y:$AA,MATCH($C61,'Freeview-Gen Ent-more than min'!$AA:$AA,0),2))</f>
        <v>52</v>
      </c>
      <c r="S61">
        <f t="shared" si="3"/>
        <v>-1</v>
      </c>
      <c r="T61">
        <f t="shared" si="4"/>
        <v>1</v>
      </c>
      <c r="U61" s="7">
        <f>IF($S61=0,0,G61*$S61*'O&amp;O - other input parameters'!$C$7)</f>
        <v>0</v>
      </c>
      <c r="V61" s="7">
        <f>IF($S61=0,0,H61*$S61*'O&amp;O - other input parameters'!$C$7)</f>
        <v>0</v>
      </c>
    </row>
    <row r="62" spans="2:22" ht="14.65" thickBot="1" x14ac:dyDescent="0.5">
      <c r="B62" s="133" t="s">
        <v>393</v>
      </c>
      <c r="C62" t="str">
        <f>IF('Freeview-Gen Ent'!K64&lt;&gt;0,'Freeview-Gen Ent'!K64,"")</f>
        <v>5Select</v>
      </c>
      <c r="D62">
        <f t="shared" si="0"/>
        <v>1</v>
      </c>
      <c r="E62">
        <f>IF($C62="","",INDEX('Freeview-Gen Ent'!$I:$K,MATCH($C62,'Freeview-Gen Ent'!$K:$K,0),1))</f>
        <v>55</v>
      </c>
      <c r="F62">
        <f>IF($C62="","",INDEX('Freeview-Gen Ent'!$I:$K,MATCH($C62,'Freeview-Gen Ent'!$K:$K,0),2))</f>
        <v>52</v>
      </c>
      <c r="G62" s="73">
        <f>IF(AND($L62=0,$S62=0),"Not needed",(IF($B62="Not available",0,(((INDEX('O&amp;O - Revenues &amp; viewing'!$B$6:$Z$237,MATCH($B62,'O&amp;O - Revenues &amp; viewing'!$B$6:$B$237,0),3))*('O&amp;O - other input parameters'!$C$4))/1000000))))</f>
        <v>7.4985954315620171</v>
      </c>
      <c r="H62" s="73">
        <f>IF(AND($L62=0,$S62=0),"Not needed",(IF($B62="Not available",0,(((INDEX('O&amp;O - Revenues &amp; viewing'!$B$6:$Z$237,MATCH($B62,'O&amp;O - Revenues &amp; viewing'!$B$6:$B$237,0),7))*('O&amp;O - other input parameters'!$C$4))/1000000))))</f>
        <v>0.36687455579397282</v>
      </c>
      <c r="J62">
        <f>IF($C62="","",INDEX('Freeview-Gen Ent'!$Y:$AA,MATCH($C62,'Freeview-Gen Ent'!$AA:$AA,0),1))</f>
        <v>56</v>
      </c>
      <c r="K62">
        <f>IF($C62="","",INDEX('Freeview-Gen Ent'!$Y:$AA,MATCH($C62,'Freeview-Gen Ent'!$AA:$AA,0),2))</f>
        <v>53</v>
      </c>
      <c r="L62">
        <f t="shared" si="1"/>
        <v>-1</v>
      </c>
      <c r="M62">
        <f t="shared" si="2"/>
        <v>1</v>
      </c>
      <c r="N62" s="7">
        <f>IF($L62=0,0,G62*$L62*'O&amp;O - other input parameters'!$C$7)</f>
        <v>-0.11114559726034678</v>
      </c>
      <c r="O62" s="7">
        <f>IF($L62=0,0,H62*$L62*'O&amp;O - other input parameters'!$C$7)</f>
        <v>-5.4378839337984475E-3</v>
      </c>
      <c r="Q62">
        <f>IF($C62="","",INDEX('Freeview-Gen Ent-more than min'!$Y:$AA,MATCH($C62,'Freeview-Gen Ent-more than min'!$AA:$AA,0),1))</f>
        <v>56</v>
      </c>
      <c r="R62">
        <f>IF($C62="","",INDEX('Freeview-Gen Ent-more than min'!$Y:$AA,MATCH($C62,'Freeview-Gen Ent-more than min'!$AA:$AA,0),2))</f>
        <v>53</v>
      </c>
      <c r="S62">
        <f t="shared" si="3"/>
        <v>-1</v>
      </c>
      <c r="T62">
        <f t="shared" si="4"/>
        <v>1</v>
      </c>
      <c r="U62" s="7">
        <f>IF($S62=0,0,G62*$S62*'O&amp;O - other input parameters'!$C$7)</f>
        <v>-0.11114559726034678</v>
      </c>
      <c r="V62" s="7">
        <f>IF($S62=0,0,H62*$S62*'O&amp;O - other input parameters'!$C$7)</f>
        <v>-5.4378839337984475E-3</v>
      </c>
    </row>
    <row r="63" spans="2:22" ht="14.65" thickBot="1" x14ac:dyDescent="0.5">
      <c r="B63" s="133" t="s">
        <v>435</v>
      </c>
      <c r="C63" t="str">
        <f>IF('Freeview-Gen Ent'!K65&lt;&gt;0,'Freeview-Gen Ent'!K65,"")</f>
        <v>5Star +1</v>
      </c>
      <c r="D63">
        <f t="shared" si="0"/>
        <v>1</v>
      </c>
      <c r="E63">
        <f>IF($C63="","",INDEX('Freeview-Gen Ent'!$I:$K,MATCH($C63,'Freeview-Gen Ent'!$K:$K,0),1))</f>
        <v>56</v>
      </c>
      <c r="F63">
        <f>IF($C63="","",INDEX('Freeview-Gen Ent'!$I:$K,MATCH($C63,'Freeview-Gen Ent'!$K:$K,0),2))</f>
        <v>53</v>
      </c>
      <c r="G63" s="73">
        <f>IF(AND($L63=0,$S63=0),"Not needed",(IF($B63="Not available",0,(((INDEX('O&amp;O - Revenues &amp; viewing'!$B$6:$Z$237,MATCH($B63,'O&amp;O - Revenues &amp; viewing'!$B$6:$B$237,0),3))*('O&amp;O - other input parameters'!$C$4))/1000000))))</f>
        <v>1.2126316294054644</v>
      </c>
      <c r="H63" s="73">
        <f>IF(AND($L63=0,$S63=0),"Not needed",(IF($B63="Not available",0,(((INDEX('O&amp;O - Revenues &amp; viewing'!$B$6:$Z$237,MATCH($B63,'O&amp;O - Revenues &amp; viewing'!$B$6:$B$237,0),7))*('O&amp;O - other input parameters'!$C$4))/1000000))))</f>
        <v>5.932893625749034E-2</v>
      </c>
      <c r="J63">
        <f>IF($C63="","",INDEX('Freeview-Gen Ent'!$Y:$AA,MATCH($C63,'Freeview-Gen Ent'!$AA:$AA,0),1))</f>
        <v>57</v>
      </c>
      <c r="K63">
        <f>IF($C63="","",INDEX('Freeview-Gen Ent'!$Y:$AA,MATCH($C63,'Freeview-Gen Ent'!$AA:$AA,0),2))</f>
        <v>54</v>
      </c>
      <c r="L63">
        <f t="shared" si="1"/>
        <v>-1</v>
      </c>
      <c r="M63">
        <f t="shared" si="2"/>
        <v>1</v>
      </c>
      <c r="N63" s="7">
        <f>IF($L63=0,0,G63*$L63*'O&amp;O - other input parameters'!$C$7)</f>
        <v>-1.7973854962192882E-2</v>
      </c>
      <c r="O63" s="7">
        <f>IF($L63=0,0,H63*$L63*'O&amp;O - other input parameters'!$C$7)</f>
        <v>-8.7938469481959952E-4</v>
      </c>
      <c r="Q63">
        <f>IF($C63="","",INDEX('Freeview-Gen Ent-more than min'!$Y:$AA,MATCH($C63,'Freeview-Gen Ent-more than min'!$AA:$AA,0),1))</f>
        <v>57</v>
      </c>
      <c r="R63">
        <f>IF($C63="","",INDEX('Freeview-Gen Ent-more than min'!$Y:$AA,MATCH($C63,'Freeview-Gen Ent-more than min'!$AA:$AA,0),2))</f>
        <v>54</v>
      </c>
      <c r="S63">
        <f t="shared" si="3"/>
        <v>-1</v>
      </c>
      <c r="T63">
        <f t="shared" si="4"/>
        <v>1</v>
      </c>
      <c r="U63" s="7">
        <f>IF($S63=0,0,G63*$S63*'O&amp;O - other input parameters'!$C$7)</f>
        <v>-1.7973854962192882E-2</v>
      </c>
      <c r="V63" s="7">
        <f>IF($S63=0,0,H63*$S63*'O&amp;O - other input parameters'!$C$7)</f>
        <v>-8.7938469481959952E-4</v>
      </c>
    </row>
    <row r="64" spans="2:22" ht="14.65" thickBot="1" x14ac:dyDescent="0.5">
      <c r="B64" s="133" t="s">
        <v>423</v>
      </c>
      <c r="C64" t="str">
        <f>IF('Freeview-Gen Ent'!K66&lt;&gt;0,'Freeview-Gen Ent'!K66,"")</f>
        <v>5USA +1</v>
      </c>
      <c r="D64">
        <f t="shared" si="0"/>
        <v>1</v>
      </c>
      <c r="E64">
        <f>IF($C64="","",INDEX('Freeview-Gen Ent'!$I:$K,MATCH($C64,'Freeview-Gen Ent'!$K:$K,0),1))</f>
        <v>57</v>
      </c>
      <c r="F64">
        <f>IF($C64="","",INDEX('Freeview-Gen Ent'!$I:$K,MATCH($C64,'Freeview-Gen Ent'!$K:$K,0),2))</f>
        <v>54</v>
      </c>
      <c r="G64" s="73">
        <f>IF(AND($L64=0,$S64=0),"Not needed",(IF($B64="Not available",0,(((INDEX('O&amp;O - Revenues &amp; viewing'!$B$6:$Z$237,MATCH($B64,'O&amp;O - Revenues &amp; viewing'!$B$6:$B$237,0),3))*('O&amp;O - other input parameters'!$C$4))/1000000))))</f>
        <v>0.8770009829554769</v>
      </c>
      <c r="H64" s="73">
        <f>IF(AND($L64=0,$S64=0),"Not needed",(IF($B64="Not available",0,(((INDEX('O&amp;O - Revenues &amp; viewing'!$B$6:$Z$237,MATCH($B64,'O&amp;O - Revenues &amp; viewing'!$B$6:$B$237,0),7))*('O&amp;O - other input parameters'!$C$4))/1000000))))</f>
        <v>4.2907948427035637E-2</v>
      </c>
      <c r="J64">
        <f>IF($C64="","",INDEX('Freeview-Gen Ent'!$Y:$AA,MATCH($C64,'Freeview-Gen Ent'!$AA:$AA,0),1))</f>
        <v>58</v>
      </c>
      <c r="K64">
        <f>IF($C64="","",INDEX('Freeview-Gen Ent'!$Y:$AA,MATCH($C64,'Freeview-Gen Ent'!$AA:$AA,0),2))</f>
        <v>55</v>
      </c>
      <c r="L64">
        <f t="shared" si="1"/>
        <v>-1</v>
      </c>
      <c r="M64">
        <f t="shared" si="2"/>
        <v>1</v>
      </c>
      <c r="N64" s="7">
        <f>IF($L64=0,0,G64*$L64*'O&amp;O - other input parameters'!$C$7)</f>
        <v>-1.2999074151703222E-2</v>
      </c>
      <c r="O64" s="7">
        <f>IF($L64=0,0,H64*$L64*'O&amp;O - other input parameters'!$C$7)</f>
        <v>-6.3598971282887394E-4</v>
      </c>
      <c r="Q64">
        <f>IF($C64="","",INDEX('Freeview-Gen Ent-more than min'!$Y:$AA,MATCH($C64,'Freeview-Gen Ent-more than min'!$AA:$AA,0),1))</f>
        <v>58</v>
      </c>
      <c r="R64">
        <f>IF($C64="","",INDEX('Freeview-Gen Ent-more than min'!$Y:$AA,MATCH($C64,'Freeview-Gen Ent-more than min'!$AA:$AA,0),2))</f>
        <v>55</v>
      </c>
      <c r="S64">
        <f t="shared" si="3"/>
        <v>-1</v>
      </c>
      <c r="T64">
        <f t="shared" si="4"/>
        <v>1</v>
      </c>
      <c r="U64" s="7">
        <f>IF($S64=0,0,G64*$S64*'O&amp;O - other input parameters'!$C$7)</f>
        <v>-1.2999074151703222E-2</v>
      </c>
      <c r="V64" s="7">
        <f>IF($S64=0,0,H64*$S64*'O&amp;O - other input parameters'!$C$7)</f>
        <v>-6.3598971282887394E-4</v>
      </c>
    </row>
    <row r="65" spans="2:22" ht="14.65" thickBot="1" x14ac:dyDescent="0.5">
      <c r="B65" s="133" t="s">
        <v>643</v>
      </c>
      <c r="C65" t="str">
        <f>IF('Freeview-Gen Ent'!K67&lt;&gt;0,'Freeview-Gen Ent'!K67,"")</f>
        <v>ITVBe +1</v>
      </c>
      <c r="D65">
        <f t="shared" si="0"/>
        <v>1</v>
      </c>
      <c r="E65">
        <f>IF($C65="","",INDEX('Freeview-Gen Ent'!$I:$K,MATCH($C65,'Freeview-Gen Ent'!$K:$K,0),1))</f>
        <v>58</v>
      </c>
      <c r="F65">
        <f>IF($C65="","",INDEX('Freeview-Gen Ent'!$I:$K,MATCH($C65,'Freeview-Gen Ent'!$K:$K,0),2))</f>
        <v>55</v>
      </c>
      <c r="G65" s="73">
        <f>IF(AND($L65=0,$S65=0),"Not needed",(IF($B65="Not available",0,(((INDEX('O&amp;O - Revenues &amp; viewing'!$B$6:$Z$237,MATCH($B65,'O&amp;O - Revenues &amp; viewing'!$B$6:$B$237,0),3))*('O&amp;O - other input parameters'!$C$4))/1000000))))</f>
        <v>0</v>
      </c>
      <c r="H65" s="73">
        <f>IF(AND($L65=0,$S65=0),"Not needed",(IF($B65="Not available",0,(((INDEX('O&amp;O - Revenues &amp; viewing'!$B$6:$Z$237,MATCH($B65,'O&amp;O - Revenues &amp; viewing'!$B$6:$B$237,0),7))*('O&amp;O - other input parameters'!$C$4))/1000000))))</f>
        <v>0</v>
      </c>
      <c r="J65">
        <f>IF($C65="","",INDEX('Freeview-Gen Ent'!$Y:$AA,MATCH($C65,'Freeview-Gen Ent'!$AA:$AA,0),1))</f>
        <v>59</v>
      </c>
      <c r="K65">
        <f>IF($C65="","",INDEX('Freeview-Gen Ent'!$Y:$AA,MATCH($C65,'Freeview-Gen Ent'!$AA:$AA,0),2))</f>
        <v>56</v>
      </c>
      <c r="L65">
        <f t="shared" si="1"/>
        <v>-1</v>
      </c>
      <c r="M65">
        <f t="shared" si="2"/>
        <v>1</v>
      </c>
      <c r="N65" s="7">
        <f>IF($L65=0,0,G65*$L65*'O&amp;O - other input parameters'!$C$7)</f>
        <v>0</v>
      </c>
      <c r="O65" s="7">
        <f>IF($L65=0,0,H65*$L65*'O&amp;O - other input parameters'!$C$7)</f>
        <v>0</v>
      </c>
      <c r="Q65">
        <f>IF($C65="","",INDEX('Freeview-Gen Ent-more than min'!$Y:$AA,MATCH($C65,'Freeview-Gen Ent-more than min'!$AA:$AA,0),1))</f>
        <v>59</v>
      </c>
      <c r="R65">
        <f>IF($C65="","",INDEX('Freeview-Gen Ent-more than min'!$Y:$AA,MATCH($C65,'Freeview-Gen Ent-more than min'!$AA:$AA,0),2))</f>
        <v>56</v>
      </c>
      <c r="S65">
        <f t="shared" si="3"/>
        <v>-1</v>
      </c>
      <c r="T65">
        <f t="shared" si="4"/>
        <v>1</v>
      </c>
      <c r="U65" s="7">
        <f>IF($S65=0,0,G65*$S65*'O&amp;O - other input parameters'!$C$7)</f>
        <v>0</v>
      </c>
      <c r="V65" s="7">
        <f>IF($S65=0,0,H65*$S65*'O&amp;O - other input parameters'!$C$7)</f>
        <v>0</v>
      </c>
    </row>
    <row r="66" spans="2:22" ht="14.65" thickBot="1" x14ac:dyDescent="0.5">
      <c r="B66" s="133" t="s">
        <v>442</v>
      </c>
      <c r="C66" t="str">
        <f>IF('Freeview-Gen Ent'!K68&lt;&gt;0,'Freeview-Gen Ent'!K68,"")</f>
        <v>ITV4 +1</v>
      </c>
      <c r="D66">
        <f t="shared" si="0"/>
        <v>1</v>
      </c>
      <c r="E66">
        <f>IF($C66="","",INDEX('Freeview-Gen Ent'!$I:$K,MATCH($C66,'Freeview-Gen Ent'!$K:$K,0),1))</f>
        <v>59</v>
      </c>
      <c r="F66">
        <f>IF($C66="","",INDEX('Freeview-Gen Ent'!$I:$K,MATCH($C66,'Freeview-Gen Ent'!$K:$K,0),2))</f>
        <v>56</v>
      </c>
      <c r="G66" s="73">
        <f>IF(AND($L66=0,$S66=0),"Not needed",(IF($B66="Not available",0,(((INDEX('O&amp;O - Revenues &amp; viewing'!$B$6:$Z$237,MATCH($B66,'O&amp;O - Revenues &amp; viewing'!$B$6:$B$237,0),3))*('O&amp;O - other input parameters'!$C$4))/1000000))))</f>
        <v>1.9910292586016228E-2</v>
      </c>
      <c r="H66" s="73">
        <f>IF(AND($L66=0,$S66=0),"Not needed",(IF($B66="Not available",0,(((INDEX('O&amp;O - Revenues &amp; viewing'!$B$6:$Z$237,MATCH($B66,'O&amp;O - Revenues &amp; viewing'!$B$6:$B$237,0),7))*('O&amp;O - other input parameters'!$C$4))/1000000))))</f>
        <v>1.4164623717830809E-3</v>
      </c>
      <c r="J66">
        <f>IF($C66="","",INDEX('Freeview-Gen Ent'!$Y:$AA,MATCH($C66,'Freeview-Gen Ent'!$AA:$AA,0),1))</f>
        <v>60</v>
      </c>
      <c r="K66">
        <f>IF($C66="","",INDEX('Freeview-Gen Ent'!$Y:$AA,MATCH($C66,'Freeview-Gen Ent'!$AA:$AA,0),2))</f>
        <v>57</v>
      </c>
      <c r="L66">
        <f t="shared" si="1"/>
        <v>-1</v>
      </c>
      <c r="M66">
        <f t="shared" si="2"/>
        <v>1</v>
      </c>
      <c r="N66" s="7">
        <f>IF($L66=0,0,G66*$L66*'O&amp;O - other input parameters'!$C$7)</f>
        <v>-2.9511411587650551E-4</v>
      </c>
      <c r="O66" s="7">
        <f>IF($L66=0,0,H66*$L66*'O&amp;O - other input parameters'!$C$7)</f>
        <v>-2.0995072710015941E-5</v>
      </c>
      <c r="Q66">
        <f>IF($C66="","",INDEX('Freeview-Gen Ent-more than min'!$Y:$AA,MATCH($C66,'Freeview-Gen Ent-more than min'!$AA:$AA,0),1))</f>
        <v>60</v>
      </c>
      <c r="R66">
        <f>IF($C66="","",INDEX('Freeview-Gen Ent-more than min'!$Y:$AA,MATCH($C66,'Freeview-Gen Ent-more than min'!$AA:$AA,0),2))</f>
        <v>57</v>
      </c>
      <c r="S66">
        <f t="shared" si="3"/>
        <v>-1</v>
      </c>
      <c r="T66">
        <f t="shared" si="4"/>
        <v>1</v>
      </c>
      <c r="U66" s="7">
        <f>IF($S66=0,0,G66*$S66*'O&amp;O - other input parameters'!$C$7)</f>
        <v>-2.9511411587650551E-4</v>
      </c>
      <c r="V66" s="7">
        <f>IF($S66=0,0,H66*$S66*'O&amp;O - other input parameters'!$C$7)</f>
        <v>-2.0995072710015941E-5</v>
      </c>
    </row>
    <row r="67" spans="2:22" ht="14.65" thickBot="1" x14ac:dyDescent="0.5">
      <c r="B67" s="133" t="s">
        <v>467</v>
      </c>
      <c r="C67" t="str">
        <f>IF('Freeview-Gen Ent'!K69&lt;&gt;0,'Freeview-Gen Ent'!K69,"")</f>
        <v>Sony Crime Channel +1</v>
      </c>
      <c r="D67">
        <f t="shared" si="0"/>
        <v>1</v>
      </c>
      <c r="E67">
        <f>IF($C67="","",INDEX('Freeview-Gen Ent'!$I:$K,MATCH($C67,'Freeview-Gen Ent'!$K:$K,0),1))</f>
        <v>60</v>
      </c>
      <c r="F67">
        <f>IF($C67="","",INDEX('Freeview-Gen Ent'!$I:$K,MATCH($C67,'Freeview-Gen Ent'!$K:$K,0),2))</f>
        <v>57</v>
      </c>
      <c r="G67" s="73">
        <f>IF(AND($L67=0,$S67=0),"Not needed",(IF($B67="Not available",0,(((INDEX('O&amp;O - Revenues &amp; viewing'!$B$6:$Z$237,MATCH($B67,'O&amp;O - Revenues &amp; viewing'!$B$6:$B$237,0),3))*('O&amp;O - other input parameters'!$C$4))/1000000))))</f>
        <v>9.4810917076267769E-4</v>
      </c>
      <c r="H67" s="73">
        <f>IF(AND($L67=0,$S67=0),"Not needed",(IF($B67="Not available",0,(((INDEX('O&amp;O - Revenues &amp; viewing'!$B$6:$Z$237,MATCH($B67,'O&amp;O - Revenues &amp; viewing'!$B$6:$B$237,0),7))*('O&amp;O - other input parameters'!$C$4))/1000000))))</f>
        <v>4.6386971272470965E-5</v>
      </c>
      <c r="J67">
        <f>IF($C67="","",INDEX('Freeview-Gen Ent'!$Y:$AA,MATCH($C67,'Freeview-Gen Ent'!$AA:$AA,0),1))</f>
        <v>61</v>
      </c>
      <c r="K67">
        <f>IF($C67="","",INDEX('Freeview-Gen Ent'!$Y:$AA,MATCH($C67,'Freeview-Gen Ent'!$AA:$AA,0),2))</f>
        <v>58</v>
      </c>
      <c r="L67">
        <f t="shared" si="1"/>
        <v>-1</v>
      </c>
      <c r="M67">
        <f t="shared" si="2"/>
        <v>1</v>
      </c>
      <c r="N67" s="7">
        <f>IF($L67=0,0,G67*$L67*'O&amp;O - other input parameters'!$C$7)</f>
        <v>-1.4053053136976457E-5</v>
      </c>
      <c r="O67" s="7">
        <f>IF($L67=0,0,H67*$L67*'O&amp;O - other input parameters'!$C$7)</f>
        <v>-6.8755644630148536E-7</v>
      </c>
      <c r="Q67">
        <f>IF($C67="","",INDEX('Freeview-Gen Ent-more than min'!$Y:$AA,MATCH($C67,'Freeview-Gen Ent-more than min'!$AA:$AA,0),1))</f>
        <v>61</v>
      </c>
      <c r="R67">
        <f>IF($C67="","",INDEX('Freeview-Gen Ent-more than min'!$Y:$AA,MATCH($C67,'Freeview-Gen Ent-more than min'!$AA:$AA,0),2))</f>
        <v>58</v>
      </c>
      <c r="S67">
        <f t="shared" si="3"/>
        <v>-1</v>
      </c>
      <c r="T67">
        <f t="shared" si="4"/>
        <v>1</v>
      </c>
      <c r="U67" s="7">
        <f>IF($S67=0,0,G67*$S67*'O&amp;O - other input parameters'!$C$7)</f>
        <v>-1.4053053136976457E-5</v>
      </c>
      <c r="V67" s="7">
        <f>IF($S67=0,0,H67*$S67*'O&amp;O - other input parameters'!$C$7)</f>
        <v>-6.8755644630148536E-7</v>
      </c>
    </row>
    <row r="68" spans="2:22" ht="14.65" thickBot="1" x14ac:dyDescent="0.5">
      <c r="B68" s="133" t="s">
        <v>379</v>
      </c>
      <c r="C68" t="str">
        <f>IF('Freeview-Gen Ent'!K70&lt;&gt;0,'Freeview-Gen Ent'!K70,"")</f>
        <v>True Entertainment</v>
      </c>
      <c r="D68">
        <f t="shared" si="0"/>
        <v>1</v>
      </c>
      <c r="E68">
        <f>IF($C68="","",INDEX('Freeview-Gen Ent'!$I:$K,MATCH($C68,'Freeview-Gen Ent'!$K:$K,0),1))</f>
        <v>61</v>
      </c>
      <c r="F68">
        <f>IF($C68="","",INDEX('Freeview-Gen Ent'!$I:$K,MATCH($C68,'Freeview-Gen Ent'!$K:$K,0),2))</f>
        <v>58</v>
      </c>
      <c r="G68" s="73">
        <f>IF(AND($L68=0,$S68=0),"Not needed",(IF($B68="Not available",0,(((INDEX('O&amp;O - Revenues &amp; viewing'!$B$6:$Z$237,MATCH($B68,'O&amp;O - Revenues &amp; viewing'!$B$6:$B$237,0),3))*('O&amp;O - other input parameters'!$C$4))/1000000))))</f>
        <v>19.389780651267522</v>
      </c>
      <c r="H68" s="73">
        <f>IF(AND($L68=0,$S68=0),"Not needed",(IF($B68="Not available",0,(((INDEX('O&amp;O - Revenues &amp; viewing'!$B$6:$Z$237,MATCH($B68,'O&amp;O - Revenues &amp; viewing'!$B$6:$B$237,0),7))*('O&amp;O - other input parameters'!$C$4))/1000000))))</f>
        <v>0.94865994949330357</v>
      </c>
      <c r="J68">
        <f>IF($C68="","",INDEX('Freeview-Gen Ent'!$Y:$AA,MATCH($C68,'Freeview-Gen Ent'!$AA:$AA,0),1))</f>
        <v>62</v>
      </c>
      <c r="K68">
        <f>IF($C68="","",INDEX('Freeview-Gen Ent'!$Y:$AA,MATCH($C68,'Freeview-Gen Ent'!$AA:$AA,0),2))</f>
        <v>59</v>
      </c>
      <c r="L68">
        <f t="shared" si="1"/>
        <v>-1</v>
      </c>
      <c r="M68">
        <f t="shared" si="2"/>
        <v>1</v>
      </c>
      <c r="N68" s="7">
        <f>IF($L68=0,0,G68*$L68*'O&amp;O - other input parameters'!$C$7)</f>
        <v>-0.2873989897043055</v>
      </c>
      <c r="O68" s="7">
        <f>IF($L68=0,0,H68*$L68*'O&amp;O - other input parameters'!$C$7)</f>
        <v>-1.4061216883311675E-2</v>
      </c>
      <c r="Q68">
        <f>IF($C68="","",INDEX('Freeview-Gen Ent-more than min'!$Y:$AA,MATCH($C68,'Freeview-Gen Ent-more than min'!$AA:$AA,0),1))</f>
        <v>62</v>
      </c>
      <c r="R68">
        <f>IF($C68="","",INDEX('Freeview-Gen Ent-more than min'!$Y:$AA,MATCH($C68,'Freeview-Gen Ent-more than min'!$AA:$AA,0),2))</f>
        <v>59</v>
      </c>
      <c r="S68">
        <f t="shared" si="3"/>
        <v>-1</v>
      </c>
      <c r="T68">
        <f t="shared" si="4"/>
        <v>1</v>
      </c>
      <c r="U68" s="7">
        <f>IF($S68=0,0,G68*$S68*'O&amp;O - other input parameters'!$C$7)</f>
        <v>-0.2873989897043055</v>
      </c>
      <c r="V68" s="7">
        <f>IF($S68=0,0,H68*$S68*'O&amp;O - other input parameters'!$C$7)</f>
        <v>-1.4061216883311675E-2</v>
      </c>
    </row>
    <row r="69" spans="2:22" ht="14.65" thickBot="1" x14ac:dyDescent="0.5">
      <c r="B69" s="133" t="s">
        <v>398</v>
      </c>
      <c r="C69" t="str">
        <f>IF('Freeview-Gen Ent'!K71&lt;&gt;0,'Freeview-Gen Ent'!K71,"")</f>
        <v>True Movies</v>
      </c>
      <c r="D69">
        <f t="shared" si="0"/>
        <v>1</v>
      </c>
      <c r="E69">
        <f>IF($C69="","",INDEX('Freeview-Gen Ent'!$I:$K,MATCH($C69,'Freeview-Gen Ent'!$K:$K,0),1))</f>
        <v>62</v>
      </c>
      <c r="F69">
        <f>IF($C69="","",INDEX('Freeview-Gen Ent'!$I:$K,MATCH($C69,'Freeview-Gen Ent'!$K:$K,0),2))</f>
        <v>59</v>
      </c>
      <c r="G69" s="73">
        <f>IF(AND($L69=0,$S69=0),"Not needed",(IF($B69="Not available",0,(((INDEX('O&amp;O - Revenues &amp; viewing'!$B$6:$Z$237,MATCH($B69,'O&amp;O - Revenues &amp; viewing'!$B$6:$B$237,0),3))*('O&amp;O - other input parameters'!$C$4))/1000000))))</f>
        <v>5.5947922166705597</v>
      </c>
      <c r="H69" s="73">
        <f>IF(AND($L69=0,$S69=0),"Not needed",(IF($B69="Not available",0,(((INDEX('O&amp;O - Revenues &amp; viewing'!$B$6:$Z$237,MATCH($B69,'O&amp;O - Revenues &amp; viewing'!$B$6:$B$237,0),7))*('O&amp;O - other input parameters'!$C$4))/1000000))))</f>
        <v>0.27372951747885116</v>
      </c>
      <c r="J69">
        <f>IF($C69="","",INDEX('Freeview-Gen Ent'!$Y:$AA,MATCH($C69,'Freeview-Gen Ent'!$AA:$AA,0),1))</f>
        <v>63</v>
      </c>
      <c r="K69">
        <f>IF($C69="","",INDEX('Freeview-Gen Ent'!$Y:$AA,MATCH($C69,'Freeview-Gen Ent'!$AA:$AA,0),2))</f>
        <v>60</v>
      </c>
      <c r="L69">
        <f t="shared" si="1"/>
        <v>-1</v>
      </c>
      <c r="M69">
        <f t="shared" si="2"/>
        <v>1</v>
      </c>
      <c r="N69" s="7">
        <f>IF($L69=0,0,G69*$L69*'O&amp;O - other input parameters'!$C$7)</f>
        <v>-8.2927066561298043E-2</v>
      </c>
      <c r="O69" s="7">
        <f>IF($L69=0,0,H69*$L69*'O&amp;O - other input parameters'!$C$7)</f>
        <v>-4.0572705896250649E-3</v>
      </c>
      <c r="Q69">
        <f>IF($C69="","",INDEX('Freeview-Gen Ent-more than min'!$Y:$AA,MATCH($C69,'Freeview-Gen Ent-more than min'!$AA:$AA,0),1))</f>
        <v>63</v>
      </c>
      <c r="R69">
        <f>IF($C69="","",INDEX('Freeview-Gen Ent-more than min'!$Y:$AA,MATCH($C69,'Freeview-Gen Ent-more than min'!$AA:$AA,0),2))</f>
        <v>60</v>
      </c>
      <c r="S69">
        <f t="shared" si="3"/>
        <v>-1</v>
      </c>
      <c r="T69">
        <f t="shared" si="4"/>
        <v>1</v>
      </c>
      <c r="U69" s="7">
        <f>IF($S69=0,0,G69*$S69*'O&amp;O - other input parameters'!$C$7)</f>
        <v>-8.2927066561298043E-2</v>
      </c>
      <c r="V69" s="7">
        <f>IF($S69=0,0,H69*$S69*'O&amp;O - other input parameters'!$C$7)</f>
        <v>-4.0572705896250649E-3</v>
      </c>
    </row>
    <row r="70" spans="2:22" ht="14.65" thickBot="1" x14ac:dyDescent="0.5">
      <c r="B70" s="133" t="s">
        <v>389</v>
      </c>
      <c r="C70" t="str">
        <f>IF('Freeview-Gen Ent'!K72&lt;&gt;0,'Freeview-Gen Ent'!K72,"")</f>
        <v>Blaze</v>
      </c>
      <c r="D70">
        <f t="shared" si="0"/>
        <v>1</v>
      </c>
      <c r="E70">
        <f>IF($C70="","",INDEX('Freeview-Gen Ent'!$I:$K,MATCH($C70,'Freeview-Gen Ent'!$K:$K,0),1))</f>
        <v>63</v>
      </c>
      <c r="F70">
        <f>IF($C70="","",INDEX('Freeview-Gen Ent'!$I:$K,MATCH($C70,'Freeview-Gen Ent'!$K:$K,0),2))</f>
        <v>60</v>
      </c>
      <c r="G70" s="73">
        <f>IF(AND($L70=0,$S70=0),"Not needed",(IF($B70="Not available",0,(((INDEX('O&amp;O - Revenues &amp; viewing'!$B$6:$Z$237,MATCH($B70,'O&amp;O - Revenues &amp; viewing'!$B$6:$B$237,0),3))*('O&amp;O - other input parameters'!$C$4))/1000000))))</f>
        <v>14.649234797454131</v>
      </c>
      <c r="H70" s="73">
        <f>IF(AND($L70=0,$S70=0),"Not needed",(IF($B70="Not available",0,(((INDEX('O&amp;O - Revenues &amp; viewing'!$B$6:$Z$237,MATCH($B70,'O&amp;O - Revenues &amp; viewing'!$B$6:$B$237,0),7))*('O&amp;O - other input parameters'!$C$4))/1000000))))</f>
        <v>0.7167250931309489</v>
      </c>
      <c r="J70">
        <f>IF($C70="","",INDEX('Freeview-Gen Ent'!$Y:$AA,MATCH($C70,'Freeview-Gen Ent'!$AA:$AA,0),1))</f>
        <v>64</v>
      </c>
      <c r="K70">
        <f>IF($C70="","",INDEX('Freeview-Gen Ent'!$Y:$AA,MATCH($C70,'Freeview-Gen Ent'!$AA:$AA,0),2))</f>
        <v>61</v>
      </c>
      <c r="L70">
        <f t="shared" si="1"/>
        <v>-1</v>
      </c>
      <c r="M70">
        <f t="shared" si="2"/>
        <v>1</v>
      </c>
      <c r="N70" s="7">
        <f>IF($L70=0,0,G70*$L70*'O&amp;O - other input parameters'!$C$7)</f>
        <v>-0.21713372401942319</v>
      </c>
      <c r="O70" s="7">
        <f>IF($L70=0,0,H70*$L70*'O&amp;O - other input parameters'!$C$7)</f>
        <v>-1.0623434651804251E-2</v>
      </c>
      <c r="Q70">
        <f>IF($C70="","",INDEX('Freeview-Gen Ent-more than min'!$Y:$AA,MATCH($C70,'Freeview-Gen Ent-more than min'!$AA:$AA,0),1))</f>
        <v>64</v>
      </c>
      <c r="R70">
        <f>IF($C70="","",INDEX('Freeview-Gen Ent-more than min'!$Y:$AA,MATCH($C70,'Freeview-Gen Ent-more than min'!$AA:$AA,0),2))</f>
        <v>61</v>
      </c>
      <c r="S70">
        <f t="shared" si="3"/>
        <v>-1</v>
      </c>
      <c r="T70">
        <f t="shared" si="4"/>
        <v>1</v>
      </c>
      <c r="U70" s="7">
        <f>IF($S70=0,0,G70*$S70*'O&amp;O - other input parameters'!$C$7)</f>
        <v>-0.21713372401942319</v>
      </c>
      <c r="V70" s="7">
        <f>IF($S70=0,0,H70*$S70*'O&amp;O - other input parameters'!$C$7)</f>
        <v>-1.0623434651804251E-2</v>
      </c>
    </row>
    <row r="71" spans="2:22" ht="14.65" thickBot="1" x14ac:dyDescent="0.5">
      <c r="B71" s="133" t="s">
        <v>643</v>
      </c>
      <c r="C71" t="str">
        <f>IF('Freeview-Gen Ent'!K73&lt;&gt;0,'Freeview-Gen Ent'!K73,"")</f>
        <v>The Store</v>
      </c>
      <c r="D71">
        <f t="shared" si="0"/>
        <v>1</v>
      </c>
      <c r="E71">
        <f>IF($C71="","",INDEX('Freeview-Gen Ent'!$I:$K,MATCH($C71,'Freeview-Gen Ent'!$K:$K,0),1))</f>
        <v>64</v>
      </c>
      <c r="F71">
        <f>IF($C71="","",INDEX('Freeview-Gen Ent'!$I:$K,MATCH($C71,'Freeview-Gen Ent'!$K:$K,0),2))</f>
        <v>61</v>
      </c>
      <c r="G71" s="73">
        <f>IF(AND($L71=0,$S71=0),"Not needed",(IF($B71="Not available",0,(((INDEX('O&amp;O - Revenues &amp; viewing'!$B$6:$Z$237,MATCH($B71,'O&amp;O - Revenues &amp; viewing'!$B$6:$B$237,0),3))*('O&amp;O - other input parameters'!$C$4))/1000000))))</f>
        <v>0</v>
      </c>
      <c r="H71" s="73">
        <f>IF(AND($L71=0,$S71=0),"Not needed",(IF($B71="Not available",0,(((INDEX('O&amp;O - Revenues &amp; viewing'!$B$6:$Z$237,MATCH($B71,'O&amp;O - Revenues &amp; viewing'!$B$6:$B$237,0),7))*('O&amp;O - other input parameters'!$C$4))/1000000))))</f>
        <v>0</v>
      </c>
      <c r="J71">
        <f>IF($C71="","",INDEX('Freeview-Gen Ent'!$Y:$AA,MATCH($C71,'Freeview-Gen Ent'!$AA:$AA,0),1))</f>
        <v>65</v>
      </c>
      <c r="K71">
        <f>IF($C71="","",INDEX('Freeview-Gen Ent'!$Y:$AA,MATCH($C71,'Freeview-Gen Ent'!$AA:$AA,0),2))</f>
        <v>62</v>
      </c>
      <c r="L71">
        <f t="shared" si="1"/>
        <v>-1</v>
      </c>
      <c r="M71">
        <f t="shared" si="2"/>
        <v>1</v>
      </c>
      <c r="N71" s="7">
        <f>IF($L71=0,0,G71*$L71*'O&amp;O - other input parameters'!$C$7)</f>
        <v>0</v>
      </c>
      <c r="O71" s="7">
        <f>IF($L71=0,0,H71*$L71*'O&amp;O - other input parameters'!$C$7)</f>
        <v>0</v>
      </c>
      <c r="Q71">
        <f>IF($C71="","",INDEX('Freeview-Gen Ent-more than min'!$Y:$AA,MATCH($C71,'Freeview-Gen Ent-more than min'!$AA:$AA,0),1))</f>
        <v>65</v>
      </c>
      <c r="R71">
        <f>IF($C71="","",INDEX('Freeview-Gen Ent-more than min'!$Y:$AA,MATCH($C71,'Freeview-Gen Ent-more than min'!$AA:$AA,0),2))</f>
        <v>62</v>
      </c>
      <c r="S71">
        <f t="shared" si="3"/>
        <v>-1</v>
      </c>
      <c r="T71">
        <f t="shared" si="4"/>
        <v>1</v>
      </c>
      <c r="U71" s="7">
        <f>IF($S71=0,0,G71*$S71*'O&amp;O - other input parameters'!$C$7)</f>
        <v>0</v>
      </c>
      <c r="V71" s="7">
        <f>IF($S71=0,0,H71*$S71*'O&amp;O - other input parameters'!$C$7)</f>
        <v>0</v>
      </c>
    </row>
    <row r="72" spans="2:22" ht="14.65" thickBot="1" x14ac:dyDescent="0.5">
      <c r="B72" s="133" t="s">
        <v>547</v>
      </c>
      <c r="C72" t="str">
        <f>IF('Freeview-Gen Ent'!K74&lt;&gt;0,'Freeview-Gen Ent'!K74,"")</f>
        <v>TBN UK</v>
      </c>
      <c r="D72">
        <f t="shared" si="0"/>
        <v>1</v>
      </c>
      <c r="E72">
        <f>IF($C72="","",INDEX('Freeview-Gen Ent'!$I:$K,MATCH($C72,'Freeview-Gen Ent'!$K:$K,0),1))</f>
        <v>65</v>
      </c>
      <c r="F72">
        <f>IF($C72="","",INDEX('Freeview-Gen Ent'!$I:$K,MATCH($C72,'Freeview-Gen Ent'!$K:$K,0),2))</f>
        <v>62</v>
      </c>
      <c r="G72" s="73">
        <f>IF(AND($L72=0,$S72=0),"Not needed",(IF($B72="Not available",0,(((INDEX('O&amp;O - Revenues &amp; viewing'!$B$6:$Z$237,MATCH($B72,'O&amp;O - Revenues &amp; viewing'!$B$6:$B$237,0),3))*('O&amp;O - other input parameters'!$C$4))/1000000))))</f>
        <v>0</v>
      </c>
      <c r="H72" s="73">
        <f>IF(AND($L72=0,$S72=0),"Not needed",(IF($B72="Not available",0,(((INDEX('O&amp;O - Revenues &amp; viewing'!$B$6:$Z$237,MATCH($B72,'O&amp;O - Revenues &amp; viewing'!$B$6:$B$237,0),7))*('O&amp;O - other input parameters'!$C$4))/1000000))))</f>
        <v>0</v>
      </c>
      <c r="J72">
        <f>IF($C72="","",INDEX('Freeview-Gen Ent'!$Y:$AA,MATCH($C72,'Freeview-Gen Ent'!$AA:$AA,0),1))</f>
        <v>66</v>
      </c>
      <c r="K72">
        <f>IF($C72="","",INDEX('Freeview-Gen Ent'!$Y:$AA,MATCH($C72,'Freeview-Gen Ent'!$AA:$AA,0),2))</f>
        <v>63</v>
      </c>
      <c r="L72">
        <f t="shared" si="1"/>
        <v>-1</v>
      </c>
      <c r="M72">
        <f t="shared" si="2"/>
        <v>1</v>
      </c>
      <c r="N72" s="7">
        <f>IF($L72=0,0,G72*$L72*'O&amp;O - other input parameters'!$C$7)</f>
        <v>0</v>
      </c>
      <c r="O72" s="7">
        <f>IF($L72=0,0,H72*$L72*'O&amp;O - other input parameters'!$C$7)</f>
        <v>0</v>
      </c>
      <c r="Q72">
        <f>IF($C72="","",INDEX('Freeview-Gen Ent-more than min'!$Y:$AA,MATCH($C72,'Freeview-Gen Ent-more than min'!$AA:$AA,0),1))</f>
        <v>66</v>
      </c>
      <c r="R72">
        <f>IF($C72="","",INDEX('Freeview-Gen Ent-more than min'!$Y:$AA,MATCH($C72,'Freeview-Gen Ent-more than min'!$AA:$AA,0),2))</f>
        <v>63</v>
      </c>
      <c r="S72">
        <f t="shared" si="3"/>
        <v>-1</v>
      </c>
      <c r="T72">
        <f t="shared" si="4"/>
        <v>1</v>
      </c>
      <c r="U72" s="7">
        <f>IF($S72=0,0,G72*$S72*'O&amp;O - other input parameters'!$C$7)</f>
        <v>0</v>
      </c>
      <c r="V72" s="7">
        <f>IF($S72=0,0,H72*$S72*'O&amp;O - other input parameters'!$C$7)</f>
        <v>0</v>
      </c>
    </row>
    <row r="73" spans="2:22" ht="14.65" thickBot="1" x14ac:dyDescent="0.5">
      <c r="B73" s="133" t="s">
        <v>368</v>
      </c>
      <c r="C73" t="str">
        <f>IF('Freeview-Gen Ent'!K75&lt;&gt;0,'Freeview-Gen Ent'!K75,"")</f>
        <v>CBS Reality</v>
      </c>
      <c r="D73">
        <f t="shared" ref="D73:D92" si="5">IF(C73="","",(IF((LEFT(C73,3))="BBC",0,1)))</f>
        <v>1</v>
      </c>
      <c r="E73">
        <f>IF($C73="","",INDEX('Freeview-Gen Ent'!$I:$K,MATCH($C73,'Freeview-Gen Ent'!$K:$K,0),1))</f>
        <v>66</v>
      </c>
      <c r="F73">
        <f>IF($C73="","",INDEX('Freeview-Gen Ent'!$I:$K,MATCH($C73,'Freeview-Gen Ent'!$K:$K,0),2))</f>
        <v>63</v>
      </c>
      <c r="G73" s="73">
        <f>IF(AND($L73=0,$S73=0),"Not needed",(IF($B73="Not available",0,(((INDEX('O&amp;O - Revenues &amp; viewing'!$B$6:$Z$237,MATCH($B73,'O&amp;O - Revenues &amp; viewing'!$B$6:$B$237,0),3))*('O&amp;O - other input parameters'!$C$4))/1000000))))</f>
        <v>21.761001687344979</v>
      </c>
      <c r="H73" s="73">
        <f>IF(AND($L73=0,$S73=0),"Not needed",(IF($B73="Not available",0,(((INDEX('O&amp;O - Revenues &amp; viewing'!$B$6:$Z$237,MATCH($B73,'O&amp;O - Revenues &amp; viewing'!$B$6:$B$237,0),7))*('O&amp;O - other input parameters'!$C$4))/1000000))))</f>
        <v>1.0646737646457536</v>
      </c>
      <c r="J73">
        <f>IF($C73="","",INDEX('Freeview-Gen Ent'!$Y:$AA,MATCH($C73,'Freeview-Gen Ent'!$AA:$AA,0),1))</f>
        <v>67</v>
      </c>
      <c r="K73">
        <f>IF($C73="","",INDEX('Freeview-Gen Ent'!$Y:$AA,MATCH($C73,'Freeview-Gen Ent'!$AA:$AA,0),2))</f>
        <v>64</v>
      </c>
      <c r="L73">
        <f t="shared" ref="L73:L92" si="6">IF($F73="","",$F73-K73)</f>
        <v>-1</v>
      </c>
      <c r="M73">
        <f t="shared" ref="M73:M92" si="7">IF($F73="","",(IF(J73&lt;&gt;$E73,1,0)))</f>
        <v>1</v>
      </c>
      <c r="N73" s="7">
        <f>IF($L73=0,0,G73*$L73*'O&amp;O - other input parameters'!$C$7)</f>
        <v>-0.32254567559988362</v>
      </c>
      <c r="O73" s="7">
        <f>IF($L73=0,0,H73*$L73*'O&amp;O - other input parameters'!$C$7)</f>
        <v>-1.5780795555511692E-2</v>
      </c>
      <c r="Q73">
        <f>IF($C73="","",INDEX('Freeview-Gen Ent-more than min'!$Y:$AA,MATCH($C73,'Freeview-Gen Ent-more than min'!$AA:$AA,0),1))</f>
        <v>67</v>
      </c>
      <c r="R73">
        <f>IF($C73="","",INDEX('Freeview-Gen Ent-more than min'!$Y:$AA,MATCH($C73,'Freeview-Gen Ent-more than min'!$AA:$AA,0),2))</f>
        <v>64</v>
      </c>
      <c r="S73">
        <f t="shared" ref="S73:S92" si="8">IF($F73="","",$F73-R73)</f>
        <v>-1</v>
      </c>
      <c r="T73">
        <f t="shared" ref="T73:T92" si="9">IF($F73="","",(IF(Q73&lt;&gt;$E73,1,0)))</f>
        <v>1</v>
      </c>
      <c r="U73" s="7">
        <f>IF($S73=0,0,G73*$S73*'O&amp;O - other input parameters'!$C$7)</f>
        <v>-0.32254567559988362</v>
      </c>
      <c r="V73" s="7">
        <f>IF($S73=0,0,H73*$S73*'O&amp;O - other input parameters'!$C$7)</f>
        <v>-1.5780795555511692E-2</v>
      </c>
    </row>
    <row r="74" spans="2:22" ht="14.65" thickBot="1" x14ac:dyDescent="0.5">
      <c r="B74" s="133" t="s">
        <v>416</v>
      </c>
      <c r="C74" t="str">
        <f>IF('Freeview-Gen Ent'!K76&lt;&gt;0,'Freeview-Gen Ent'!K76,"")</f>
        <v>CBS Reality +1</v>
      </c>
      <c r="D74">
        <f t="shared" si="5"/>
        <v>1</v>
      </c>
      <c r="E74">
        <f>IF($C74="","",INDEX('Freeview-Gen Ent'!$I:$K,MATCH($C74,'Freeview-Gen Ent'!$K:$K,0),1))</f>
        <v>67</v>
      </c>
      <c r="F74">
        <f>IF($C74="","",INDEX('Freeview-Gen Ent'!$I:$K,MATCH($C74,'Freeview-Gen Ent'!$K:$K,0),2))</f>
        <v>64</v>
      </c>
      <c r="G74" s="73">
        <f>IF(AND($L74=0,$S74=0),"Not needed",(IF($B74="Not available",0,(((INDEX('O&amp;O - Revenues &amp; viewing'!$B$6:$Z$237,MATCH($B74,'O&amp;O - Revenues &amp; viewing'!$B$6:$B$237,0),3))*('O&amp;O - other input parameters'!$C$4))/1000000))))</f>
        <v>1.446814594583846</v>
      </c>
      <c r="H74" s="73">
        <f>IF(AND($L74=0,$S74=0),"Not needed",(IF($B74="Not available",0,(((INDEX('O&amp;O - Revenues &amp; viewing'!$B$6:$Z$237,MATCH($B74,'O&amp;O - Revenues &amp; viewing'!$B$6:$B$237,0),7))*('O&amp;O - other input parameters'!$C$4))/1000000))))</f>
        <v>7.0786518161790699E-2</v>
      </c>
      <c r="J74">
        <f>IF($C74="","",INDEX('Freeview-Gen Ent'!$Y:$AA,MATCH($C74,'Freeview-Gen Ent'!$AA:$AA,0),1))</f>
        <v>68</v>
      </c>
      <c r="K74">
        <f>IF($C74="","",INDEX('Freeview-Gen Ent'!$Y:$AA,MATCH($C74,'Freeview-Gen Ent'!$AA:$AA,0),2))</f>
        <v>65</v>
      </c>
      <c r="L74">
        <f t="shared" si="6"/>
        <v>-1</v>
      </c>
      <c r="M74">
        <f t="shared" si="7"/>
        <v>1</v>
      </c>
      <c r="N74" s="7">
        <f>IF($L74=0,0,G74*$L74*'O&amp;O - other input parameters'!$C$7)</f>
        <v>-2.144495908702607E-2</v>
      </c>
      <c r="O74" s="7">
        <f>IF($L74=0,0,H74*$L74*'O&amp;O - other input parameters'!$C$7)</f>
        <v>-1.0492111370560668E-3</v>
      </c>
      <c r="Q74">
        <f>IF($C74="","",INDEX('Freeview-Gen Ent-more than min'!$Y:$AA,MATCH($C74,'Freeview-Gen Ent-more than min'!$AA:$AA,0),1))</f>
        <v>68</v>
      </c>
      <c r="R74">
        <f>IF($C74="","",INDEX('Freeview-Gen Ent-more than min'!$Y:$AA,MATCH($C74,'Freeview-Gen Ent-more than min'!$AA:$AA,0),2))</f>
        <v>65</v>
      </c>
      <c r="S74">
        <f t="shared" si="8"/>
        <v>-1</v>
      </c>
      <c r="T74">
        <f t="shared" si="9"/>
        <v>1</v>
      </c>
      <c r="U74" s="7">
        <f>IF($S74=0,0,G74*$S74*'O&amp;O - other input parameters'!$C$7)</f>
        <v>-2.144495908702607E-2</v>
      </c>
      <c r="V74" s="7">
        <f>IF($S74=0,0,H74*$S74*'O&amp;O - other input parameters'!$C$7)</f>
        <v>-1.0492111370560668E-3</v>
      </c>
    </row>
    <row r="75" spans="2:22" ht="14.65" thickBot="1" x14ac:dyDescent="0.5">
      <c r="B75" s="133" t="s">
        <v>643</v>
      </c>
      <c r="C75" t="str">
        <f>IF('Freeview-Gen Ent'!K77&lt;&gt;0,'Freeview-Gen Ent'!K77,"")</f>
        <v>Sony True Crime</v>
      </c>
      <c r="D75">
        <f t="shared" si="5"/>
        <v>1</v>
      </c>
      <c r="E75">
        <f>IF($C75="","",INDEX('Freeview-Gen Ent'!$I:$K,MATCH($C75,'Freeview-Gen Ent'!$K:$K,0),1))</f>
        <v>68</v>
      </c>
      <c r="F75">
        <f>IF($C75="","",INDEX('Freeview-Gen Ent'!$I:$K,MATCH($C75,'Freeview-Gen Ent'!$K:$K,0),2))</f>
        <v>65</v>
      </c>
      <c r="G75" s="73">
        <f>IF(AND($L75=0,$S75=0),"Not needed",(IF($B75="Not available",0,(((INDEX('O&amp;O - Revenues &amp; viewing'!$B$6:$Z$237,MATCH($B75,'O&amp;O - Revenues &amp; viewing'!$B$6:$B$237,0),3))*('O&amp;O - other input parameters'!$C$4))/1000000))))</f>
        <v>0</v>
      </c>
      <c r="H75" s="73">
        <f>IF(AND($L75=0,$S75=0),"Not needed",(IF($B75="Not available",0,(((INDEX('O&amp;O - Revenues &amp; viewing'!$B$6:$Z$237,MATCH($B75,'O&amp;O - Revenues &amp; viewing'!$B$6:$B$237,0),7))*('O&amp;O - other input parameters'!$C$4))/1000000))))</f>
        <v>0</v>
      </c>
      <c r="J75">
        <f>IF($C75="","",INDEX('Freeview-Gen Ent'!$Y:$AA,MATCH($C75,'Freeview-Gen Ent'!$AA:$AA,0),1))</f>
        <v>69</v>
      </c>
      <c r="K75">
        <f>IF($C75="","",INDEX('Freeview-Gen Ent'!$Y:$AA,MATCH($C75,'Freeview-Gen Ent'!$AA:$AA,0),2))</f>
        <v>66</v>
      </c>
      <c r="L75">
        <f t="shared" si="6"/>
        <v>-1</v>
      </c>
      <c r="M75">
        <f t="shared" si="7"/>
        <v>1</v>
      </c>
      <c r="N75" s="7">
        <f>IF($L75=0,0,G75*$L75*'O&amp;O - other input parameters'!$C$7)</f>
        <v>0</v>
      </c>
      <c r="O75" s="7">
        <f>IF($L75=0,0,H75*$L75*'O&amp;O - other input parameters'!$C$7)</f>
        <v>0</v>
      </c>
      <c r="Q75">
        <f>IF($C75="","",INDEX('Freeview-Gen Ent-more than min'!$Y:$AA,MATCH($C75,'Freeview-Gen Ent-more than min'!$AA:$AA,0),1))</f>
        <v>69</v>
      </c>
      <c r="R75">
        <f>IF($C75="","",INDEX('Freeview-Gen Ent-more than min'!$Y:$AA,MATCH($C75,'Freeview-Gen Ent-more than min'!$AA:$AA,0),2))</f>
        <v>66</v>
      </c>
      <c r="S75">
        <f t="shared" si="8"/>
        <v>-1</v>
      </c>
      <c r="T75">
        <f t="shared" si="9"/>
        <v>1</v>
      </c>
      <c r="U75" s="7">
        <f>IF($S75=0,0,G75*$S75*'O&amp;O - other input parameters'!$C$7)</f>
        <v>0</v>
      </c>
      <c r="V75" s="7">
        <f>IF($S75=0,0,H75*$S75*'O&amp;O - other input parameters'!$C$7)</f>
        <v>0</v>
      </c>
    </row>
    <row r="76" spans="2:22" ht="14.65" thickBot="1" x14ac:dyDescent="0.5">
      <c r="B76" s="133" t="s">
        <v>643</v>
      </c>
      <c r="C76" t="str">
        <f>IF('Freeview-Gen Ent'!K78&lt;&gt;0,'Freeview-Gen Ent'!K78,"")</f>
        <v>Sony True Crime +1</v>
      </c>
      <c r="D76">
        <f t="shared" si="5"/>
        <v>1</v>
      </c>
      <c r="E76">
        <f>IF($C76="","",INDEX('Freeview-Gen Ent'!$I:$K,MATCH($C76,'Freeview-Gen Ent'!$K:$K,0),1))</f>
        <v>69</v>
      </c>
      <c r="F76">
        <f>IF($C76="","",INDEX('Freeview-Gen Ent'!$I:$K,MATCH($C76,'Freeview-Gen Ent'!$K:$K,0),2))</f>
        <v>66</v>
      </c>
      <c r="G76" s="73">
        <f>IF(AND($L76=0,$S76=0),"Not needed",(IF($B76="Not available",0,(((INDEX('O&amp;O - Revenues &amp; viewing'!$B$6:$Z$237,MATCH($B76,'O&amp;O - Revenues &amp; viewing'!$B$6:$B$237,0),3))*('O&amp;O - other input parameters'!$C$4))/1000000))))</f>
        <v>0</v>
      </c>
      <c r="H76" s="73">
        <f>IF(AND($L76=0,$S76=0),"Not needed",(IF($B76="Not available",0,(((INDEX('O&amp;O - Revenues &amp; viewing'!$B$6:$Z$237,MATCH($B76,'O&amp;O - Revenues &amp; viewing'!$B$6:$B$237,0),7))*('O&amp;O - other input parameters'!$C$4))/1000000))))</f>
        <v>0</v>
      </c>
      <c r="J76">
        <f>IF($C76="","",INDEX('Freeview-Gen Ent'!$Y:$AA,MATCH($C76,'Freeview-Gen Ent'!$AA:$AA,0),1))</f>
        <v>70</v>
      </c>
      <c r="K76">
        <f>IF($C76="","",INDEX('Freeview-Gen Ent'!$Y:$AA,MATCH($C76,'Freeview-Gen Ent'!$AA:$AA,0),2))</f>
        <v>67</v>
      </c>
      <c r="L76">
        <f t="shared" si="6"/>
        <v>-1</v>
      </c>
      <c r="M76">
        <f t="shared" si="7"/>
        <v>1</v>
      </c>
      <c r="N76" s="7">
        <f>IF($L76=0,0,G76*$L76*'O&amp;O - other input parameters'!$C$7)</f>
        <v>0</v>
      </c>
      <c r="O76" s="7">
        <f>IF($L76=0,0,H76*$L76*'O&amp;O - other input parameters'!$C$7)</f>
        <v>0</v>
      </c>
      <c r="Q76">
        <f>IF($C76="","",INDEX('Freeview-Gen Ent-more than min'!$Y:$AA,MATCH($C76,'Freeview-Gen Ent-more than min'!$AA:$AA,0),1))</f>
        <v>70</v>
      </c>
      <c r="R76">
        <f>IF($C76="","",INDEX('Freeview-Gen Ent-more than min'!$Y:$AA,MATCH($C76,'Freeview-Gen Ent-more than min'!$AA:$AA,0),2))</f>
        <v>67</v>
      </c>
      <c r="S76">
        <f t="shared" si="8"/>
        <v>-1</v>
      </c>
      <c r="T76">
        <f t="shared" si="9"/>
        <v>1</v>
      </c>
      <c r="U76" s="7">
        <f>IF($S76=0,0,G76*$S76*'O&amp;O - other input parameters'!$C$7)</f>
        <v>0</v>
      </c>
      <c r="V76" s="7">
        <f>IF($S76=0,0,H76*$S76*'O&amp;O - other input parameters'!$C$7)</f>
        <v>0</v>
      </c>
    </row>
    <row r="77" spans="2:22" ht="14.65" thickBot="1" x14ac:dyDescent="0.5">
      <c r="B77" s="133" t="s">
        <v>380</v>
      </c>
      <c r="C77" t="str">
        <f>IF('Freeview-Gen Ent'!K79&lt;&gt;0,'Freeview-Gen Ent'!K79,"")</f>
        <v>Horror Channel</v>
      </c>
      <c r="D77">
        <f t="shared" si="5"/>
        <v>1</v>
      </c>
      <c r="E77">
        <f>IF($C77="","",INDEX('Freeview-Gen Ent'!$I:$K,MATCH($C77,'Freeview-Gen Ent'!$K:$K,0),1))</f>
        <v>70</v>
      </c>
      <c r="F77">
        <f>IF($C77="","",INDEX('Freeview-Gen Ent'!$I:$K,MATCH($C77,'Freeview-Gen Ent'!$K:$K,0),2))</f>
        <v>67</v>
      </c>
      <c r="G77" s="73">
        <f>IF(AND($L77=0,$S77=0),"Not needed",(IF($B77="Not available",0,(((INDEX('O&amp;O - Revenues &amp; viewing'!$B$6:$Z$237,MATCH($B77,'O&amp;O - Revenues &amp; viewing'!$B$6:$B$237,0),3))*('O&amp;O - other input parameters'!$C$4))/1000000))))</f>
        <v>18.193266877765023</v>
      </c>
      <c r="H77" s="73">
        <f>IF(AND($L77=0,$S77=0),"Not needed",(IF($B77="Not available",0,(((INDEX('O&amp;O - Revenues &amp; viewing'!$B$6:$Z$237,MATCH($B77,'O&amp;O - Revenues &amp; viewing'!$B$6:$B$237,0),7))*('O&amp;O - other input parameters'!$C$4))/1000000))))</f>
        <v>0.89011959174744526</v>
      </c>
      <c r="J77">
        <f>IF($C77="","",INDEX('Freeview-Gen Ent'!$Y:$AA,MATCH($C77,'Freeview-Gen Ent'!$AA:$AA,0),1))</f>
        <v>71</v>
      </c>
      <c r="K77">
        <f>IF($C77="","",INDEX('Freeview-Gen Ent'!$Y:$AA,MATCH($C77,'Freeview-Gen Ent'!$AA:$AA,0),2))</f>
        <v>68</v>
      </c>
      <c r="L77">
        <f t="shared" si="6"/>
        <v>-1</v>
      </c>
      <c r="M77">
        <f t="shared" si="7"/>
        <v>1</v>
      </c>
      <c r="N77" s="7">
        <f>IF($L77=0,0,G77*$L77*'O&amp;O - other input parameters'!$C$7)</f>
        <v>-0.26966403664544125</v>
      </c>
      <c r="O77" s="7">
        <f>IF($L77=0,0,H77*$L77*'O&amp;O - other input parameters'!$C$7)</f>
        <v>-1.3193520648079202E-2</v>
      </c>
      <c r="Q77">
        <f>IF($C77="","",INDEX('Freeview-Gen Ent-more than min'!$Y:$AA,MATCH($C77,'Freeview-Gen Ent-more than min'!$AA:$AA,0),1))</f>
        <v>71</v>
      </c>
      <c r="R77">
        <f>IF($C77="","",INDEX('Freeview-Gen Ent-more than min'!$Y:$AA,MATCH($C77,'Freeview-Gen Ent-more than min'!$AA:$AA,0),2))</f>
        <v>68</v>
      </c>
      <c r="S77">
        <f t="shared" si="8"/>
        <v>-1</v>
      </c>
      <c r="T77">
        <f t="shared" si="9"/>
        <v>1</v>
      </c>
      <c r="U77" s="7">
        <f>IF($S77=0,0,G77*$S77*'O&amp;O - other input parameters'!$C$7)</f>
        <v>-0.26966403664544125</v>
      </c>
      <c r="V77" s="7">
        <f>IF($S77=0,0,H77*$S77*'O&amp;O - other input parameters'!$C$7)</f>
        <v>-1.3193520648079202E-2</v>
      </c>
    </row>
    <row r="78" spans="2:22" ht="14.65" thickBot="1" x14ac:dyDescent="0.5">
      <c r="B78" s="133" t="s">
        <v>405</v>
      </c>
      <c r="C78" t="str">
        <f>IF('Freeview-Gen Ent'!K80&lt;&gt;0,'Freeview-Gen Ent'!K80,"")</f>
        <v>CBS Drama</v>
      </c>
      <c r="D78">
        <f t="shared" si="5"/>
        <v>1</v>
      </c>
      <c r="E78">
        <f>IF($C78="","",INDEX('Freeview-Gen Ent'!$I:$K,MATCH($C78,'Freeview-Gen Ent'!$K:$K,0),1))</f>
        <v>71</v>
      </c>
      <c r="F78">
        <f>IF($C78="","",INDEX('Freeview-Gen Ent'!$I:$K,MATCH($C78,'Freeview-Gen Ent'!$K:$K,0),2))</f>
        <v>68</v>
      </c>
      <c r="G78" s="73">
        <f>IF(AND($L78=0,$S78=0),"Not needed",(IF($B78="Not available",0,(((INDEX('O&amp;O - Revenues &amp; viewing'!$B$6:$Z$237,MATCH($B78,'O&amp;O - Revenues &amp; viewing'!$B$6:$B$237,0),3))*('O&amp;O - other input parameters'!$C$4))/1000000))))</f>
        <v>4.3565616396545028</v>
      </c>
      <c r="H78" s="73">
        <f>IF(AND($L78=0,$S78=0),"Not needed",(IF($B78="Not available",0,(((INDEX('O&amp;O - Revenues &amp; viewing'!$B$6:$Z$237,MATCH($B78,'O&amp;O - Revenues &amp; viewing'!$B$6:$B$237,0),7))*('O&amp;O - other input parameters'!$C$4))/1000000))))</f>
        <v>0.21314813299700403</v>
      </c>
      <c r="J78">
        <f>IF($C78="","",INDEX('Freeview-Gen Ent'!$Y:$AA,MATCH($C78,'Freeview-Gen Ent'!$AA:$AA,0),1))</f>
        <v>72</v>
      </c>
      <c r="K78">
        <f>IF($C78="","",INDEX('Freeview-Gen Ent'!$Y:$AA,MATCH($C78,'Freeview-Gen Ent'!$AA:$AA,0),2))</f>
        <v>69</v>
      </c>
      <c r="L78">
        <f t="shared" si="6"/>
        <v>-1</v>
      </c>
      <c r="M78">
        <f t="shared" si="7"/>
        <v>1</v>
      </c>
      <c r="N78" s="7">
        <f>IF($L78=0,0,G78*$L78*'O&amp;O - other input parameters'!$C$7)</f>
        <v>-6.4573779164406805E-2</v>
      </c>
      <c r="O78" s="7">
        <f>IF($L78=0,0,H78*$L78*'O&amp;O - other input parameters'!$C$7)</f>
        <v>-3.1593218707553247E-3</v>
      </c>
      <c r="Q78">
        <f>IF($C78="","",INDEX('Freeview-Gen Ent-more than min'!$Y:$AA,MATCH($C78,'Freeview-Gen Ent-more than min'!$AA:$AA,0),1))</f>
        <v>72</v>
      </c>
      <c r="R78">
        <f>IF($C78="","",INDEX('Freeview-Gen Ent-more than min'!$Y:$AA,MATCH($C78,'Freeview-Gen Ent-more than min'!$AA:$AA,0),2))</f>
        <v>69</v>
      </c>
      <c r="S78">
        <f t="shared" si="8"/>
        <v>-1</v>
      </c>
      <c r="T78">
        <f t="shared" si="9"/>
        <v>1</v>
      </c>
      <c r="U78" s="7">
        <f>IF($S78=0,0,G78*$S78*'O&amp;O - other input parameters'!$C$7)</f>
        <v>-6.4573779164406805E-2</v>
      </c>
      <c r="V78" s="7">
        <f>IF($S78=0,0,H78*$S78*'O&amp;O - other input parameters'!$C$7)</f>
        <v>-3.1593218707553247E-3</v>
      </c>
    </row>
    <row r="79" spans="2:22" ht="14.65" thickBot="1" x14ac:dyDescent="0.5">
      <c r="B79" s="133" t="s">
        <v>559</v>
      </c>
      <c r="C79" t="str">
        <f>IF('Freeview-Gen Ent'!K81&lt;&gt;0,'Freeview-Gen Ent'!K81,"")</f>
        <v>Your TV</v>
      </c>
      <c r="D79">
        <f t="shared" si="5"/>
        <v>1</v>
      </c>
      <c r="E79">
        <f>IF($C79="","",INDEX('Freeview-Gen Ent'!$I:$K,MATCH($C79,'Freeview-Gen Ent'!$K:$K,0),1))</f>
        <v>72</v>
      </c>
      <c r="F79">
        <f>IF($C79="","",INDEX('Freeview-Gen Ent'!$I:$K,MATCH($C79,'Freeview-Gen Ent'!$K:$K,0),2))</f>
        <v>69</v>
      </c>
      <c r="G79" s="73">
        <f>IF(AND($L79=0,$S79=0),"Not needed",(IF($B79="Not available",0,(((INDEX('O&amp;O - Revenues &amp; viewing'!$B$6:$Z$237,MATCH($B79,'O&amp;O - Revenues &amp; viewing'!$B$6:$B$237,0),3))*('O&amp;O - other input parameters'!$C$4))/1000000))))</f>
        <v>0</v>
      </c>
      <c r="H79" s="73">
        <f>IF(AND($L79=0,$S79=0),"Not needed",(IF($B79="Not available",0,(((INDEX('O&amp;O - Revenues &amp; viewing'!$B$6:$Z$237,MATCH($B79,'O&amp;O - Revenues &amp; viewing'!$B$6:$B$237,0),7))*('O&amp;O - other input parameters'!$C$4))/1000000))))</f>
        <v>0</v>
      </c>
      <c r="J79">
        <f>IF($C79="","",INDEX('Freeview-Gen Ent'!$Y:$AA,MATCH($C79,'Freeview-Gen Ent'!$AA:$AA,0),1))</f>
        <v>73</v>
      </c>
      <c r="K79">
        <f>IF($C79="","",INDEX('Freeview-Gen Ent'!$Y:$AA,MATCH($C79,'Freeview-Gen Ent'!$AA:$AA,0),2))</f>
        <v>70</v>
      </c>
      <c r="L79">
        <f t="shared" si="6"/>
        <v>-1</v>
      </c>
      <c r="M79">
        <f t="shared" si="7"/>
        <v>1</v>
      </c>
      <c r="N79" s="7">
        <f>IF($L79=0,0,G79*$L79*'O&amp;O - other input parameters'!$C$7)</f>
        <v>0</v>
      </c>
      <c r="O79" s="7">
        <f>IF($L79=0,0,H79*$L79*'O&amp;O - other input parameters'!$C$7)</f>
        <v>0</v>
      </c>
      <c r="Q79">
        <f>IF($C79="","",INDEX('Freeview-Gen Ent-more than min'!$Y:$AA,MATCH($C79,'Freeview-Gen Ent-more than min'!$AA:$AA,0),1))</f>
        <v>73</v>
      </c>
      <c r="R79">
        <f>IF($C79="","",INDEX('Freeview-Gen Ent-more than min'!$Y:$AA,MATCH($C79,'Freeview-Gen Ent-more than min'!$AA:$AA,0),2))</f>
        <v>70</v>
      </c>
      <c r="S79">
        <f t="shared" si="8"/>
        <v>-1</v>
      </c>
      <c r="T79">
        <f t="shared" si="9"/>
        <v>1</v>
      </c>
      <c r="U79" s="7">
        <f>IF($S79=0,0,G79*$S79*'O&amp;O - other input parameters'!$C$7)</f>
        <v>0</v>
      </c>
      <c r="V79" s="7">
        <f>IF($S79=0,0,H79*$S79*'O&amp;O - other input parameters'!$C$7)</f>
        <v>0</v>
      </c>
    </row>
    <row r="80" spans="2:22" ht="14.65" thickBot="1" x14ac:dyDescent="0.5">
      <c r="B80" s="133" t="s">
        <v>643</v>
      </c>
      <c r="C80" t="str">
        <f>IF('Freeview-Gen Ent'!K82&lt;&gt;0,'Freeview-Gen Ent'!K82,"")</f>
        <v>Sewing Quarter</v>
      </c>
      <c r="D80">
        <f t="shared" si="5"/>
        <v>1</v>
      </c>
      <c r="E80">
        <f>IF($C80="","",INDEX('Freeview-Gen Ent'!$I:$K,MATCH($C80,'Freeview-Gen Ent'!$K:$K,0),1))</f>
        <v>73</v>
      </c>
      <c r="F80">
        <f>IF($C80="","",INDEX('Freeview-Gen Ent'!$I:$K,MATCH($C80,'Freeview-Gen Ent'!$K:$K,0),2))</f>
        <v>70</v>
      </c>
      <c r="G80" s="73">
        <f>IF(AND($L80=0,$S80=0),"Not needed",(IF($B80="Not available",0,(((INDEX('O&amp;O - Revenues &amp; viewing'!$B$6:$Z$237,MATCH($B80,'O&amp;O - Revenues &amp; viewing'!$B$6:$B$237,0),3))*('O&amp;O - other input parameters'!$C$4))/1000000))))</f>
        <v>0</v>
      </c>
      <c r="H80" s="73">
        <f>IF(AND($L80=0,$S80=0),"Not needed",(IF($B80="Not available",0,(((INDEX('O&amp;O - Revenues &amp; viewing'!$B$6:$Z$237,MATCH($B80,'O&amp;O - Revenues &amp; viewing'!$B$6:$B$237,0),7))*('O&amp;O - other input parameters'!$C$4))/1000000))))</f>
        <v>0</v>
      </c>
      <c r="J80">
        <f>IF($C80="","",INDEX('Freeview-Gen Ent'!$Y:$AA,MATCH($C80,'Freeview-Gen Ent'!$AA:$AA,0),1))</f>
        <v>74</v>
      </c>
      <c r="K80">
        <f>IF($C80="","",INDEX('Freeview-Gen Ent'!$Y:$AA,MATCH($C80,'Freeview-Gen Ent'!$AA:$AA,0),2))</f>
        <v>71</v>
      </c>
      <c r="L80">
        <f t="shared" si="6"/>
        <v>-1</v>
      </c>
      <c r="M80">
        <f t="shared" si="7"/>
        <v>1</v>
      </c>
      <c r="N80" s="7">
        <f>IF($L80=0,0,G80*$L80*'O&amp;O - other input parameters'!$C$7)</f>
        <v>0</v>
      </c>
      <c r="O80" s="7">
        <f>IF($L80=0,0,H80*$L80*'O&amp;O - other input parameters'!$C$7)</f>
        <v>0</v>
      </c>
      <c r="Q80">
        <f>IF($C80="","",INDEX('Freeview-Gen Ent-more than min'!$Y:$AA,MATCH($C80,'Freeview-Gen Ent-more than min'!$AA:$AA,0),1))</f>
        <v>74</v>
      </c>
      <c r="R80">
        <f>IF($C80="","",INDEX('Freeview-Gen Ent-more than min'!$Y:$AA,MATCH($C80,'Freeview-Gen Ent-more than min'!$AA:$AA,0),2))</f>
        <v>71</v>
      </c>
      <c r="S80">
        <f t="shared" si="8"/>
        <v>-1</v>
      </c>
      <c r="T80">
        <f t="shared" si="9"/>
        <v>1</v>
      </c>
      <c r="U80" s="7">
        <f>IF($S80=0,0,G80*$S80*'O&amp;O - other input parameters'!$C$7)</f>
        <v>0</v>
      </c>
      <c r="V80" s="7">
        <f>IF($S80=0,0,H80*$S80*'O&amp;O - other input parameters'!$C$7)</f>
        <v>0</v>
      </c>
    </row>
    <row r="81" spans="2:22" ht="14.65" thickBot="1" x14ac:dyDescent="0.5">
      <c r="B81" s="133" t="s">
        <v>643</v>
      </c>
      <c r="C81" t="str">
        <f>IF('Freeview-Gen Ent'!K83&lt;&gt;0,'Freeview-Gen Ent'!K83,"")</f>
        <v>Jewellery Maker</v>
      </c>
      <c r="D81">
        <f t="shared" si="5"/>
        <v>1</v>
      </c>
      <c r="E81">
        <f>IF($C81="","",INDEX('Freeview-Gen Ent'!$I:$K,MATCH($C81,'Freeview-Gen Ent'!$K:$K,0),1))</f>
        <v>74</v>
      </c>
      <c r="F81">
        <f>IF($C81="","",INDEX('Freeview-Gen Ent'!$I:$K,MATCH($C81,'Freeview-Gen Ent'!$K:$K,0),2))</f>
        <v>71</v>
      </c>
      <c r="G81" s="73">
        <f>IF(AND($L81=0,$S81=0),"Not needed",(IF($B81="Not available",0,(((INDEX('O&amp;O - Revenues &amp; viewing'!$B$6:$Z$237,MATCH($B81,'O&amp;O - Revenues &amp; viewing'!$B$6:$B$237,0),3))*('O&amp;O - other input parameters'!$C$4))/1000000))))</f>
        <v>0</v>
      </c>
      <c r="H81" s="73">
        <f>IF(AND($L81=0,$S81=0),"Not needed",(IF($B81="Not available",0,(((INDEX('O&amp;O - Revenues &amp; viewing'!$B$6:$Z$237,MATCH($B81,'O&amp;O - Revenues &amp; viewing'!$B$6:$B$237,0),7))*('O&amp;O - other input parameters'!$C$4))/1000000))))</f>
        <v>0</v>
      </c>
      <c r="J81">
        <f>IF($C81="","",INDEX('Freeview-Gen Ent'!$Y:$AA,MATCH($C81,'Freeview-Gen Ent'!$AA:$AA,0),1))</f>
        <v>75</v>
      </c>
      <c r="K81">
        <f>IF($C81="","",INDEX('Freeview-Gen Ent'!$Y:$AA,MATCH($C81,'Freeview-Gen Ent'!$AA:$AA,0),2))</f>
        <v>72</v>
      </c>
      <c r="L81">
        <f t="shared" si="6"/>
        <v>-1</v>
      </c>
      <c r="M81">
        <f t="shared" si="7"/>
        <v>1</v>
      </c>
      <c r="N81" s="7">
        <f>IF($L81=0,0,G81*$L81*'O&amp;O - other input parameters'!$C$7)</f>
        <v>0</v>
      </c>
      <c r="O81" s="7">
        <f>IF($L81=0,0,H81*$L81*'O&amp;O - other input parameters'!$C$7)</f>
        <v>0</v>
      </c>
      <c r="Q81">
        <f>IF($C81="","",INDEX('Freeview-Gen Ent-more than min'!$Y:$AA,MATCH($C81,'Freeview-Gen Ent-more than min'!$AA:$AA,0),1))</f>
        <v>75</v>
      </c>
      <c r="R81">
        <f>IF($C81="","",INDEX('Freeview-Gen Ent-more than min'!$Y:$AA,MATCH($C81,'Freeview-Gen Ent-more than min'!$AA:$AA,0),2))</f>
        <v>72</v>
      </c>
      <c r="S81">
        <f t="shared" si="8"/>
        <v>-1</v>
      </c>
      <c r="T81">
        <f t="shared" si="9"/>
        <v>1</v>
      </c>
      <c r="U81" s="7">
        <f>IF($S81=0,0,G81*$S81*'O&amp;O - other input parameters'!$C$7)</f>
        <v>0</v>
      </c>
      <c r="V81" s="7">
        <f>IF($S81=0,0,H81*$S81*'O&amp;O - other input parameters'!$C$7)</f>
        <v>0</v>
      </c>
    </row>
    <row r="82" spans="2:22" ht="14.65" thickBot="1" x14ac:dyDescent="0.5">
      <c r="B82" s="131" t="s">
        <v>643</v>
      </c>
      <c r="C82" t="str">
        <f>IF('Freeview-Gen Ent'!K84&lt;&gt;0,'Freeview-Gen Ent'!K84,"")</f>
        <v/>
      </c>
      <c r="D82" t="str">
        <f t="shared" si="5"/>
        <v/>
      </c>
      <c r="E82" t="str">
        <f>IF($C82="","",INDEX('Freeview-Gen Ent'!$I:$K,MATCH($C82,'Freeview-Gen Ent'!$K:$K,0),1))</f>
        <v/>
      </c>
      <c r="F82" t="str">
        <f>IF($C82="","",INDEX('Freeview-Gen Ent'!$I:$K,MATCH($C82,'Freeview-Gen Ent'!$K:$K,0),2))</f>
        <v/>
      </c>
      <c r="G82" t="str">
        <f>IF(AND($L82=0,$S82=0),"Not needed",(IF($B82="Not available",0,(((INDEX('O&amp;O - Revenues &amp; viewing'!$B$6:$Z$237,MATCH($B82,'O&amp;O - Revenues &amp; viewing'!$B$6:$B$237,0),3))*('O&amp;O - other input parameters'!$C$4))/1000000))))</f>
        <v>Not needed</v>
      </c>
      <c r="H82" t="str">
        <f>IF(AND($L82=0,$S82=0),"Not needed",(IF($B82="Not available",0,(((INDEX('O&amp;O - Revenues &amp; viewing'!$B$6:$Z$237,MATCH($B82,'O&amp;O - Revenues &amp; viewing'!$B$6:$B$237,0),7))*('O&amp;O - other input parameters'!$C$4))/1000000))))</f>
        <v>Not needed</v>
      </c>
      <c r="J82" t="str">
        <f>IF($C82="","",INDEX('Freeview-Gen Ent'!$Y:$AA,MATCH($C82,'Freeview-Gen Ent'!$AA:$AA,0),1))</f>
        <v/>
      </c>
      <c r="K82" t="str">
        <f>IF($C82="","",INDEX('Freeview-Gen Ent'!$Y:$AA,MATCH($C82,'Freeview-Gen Ent'!$AA:$AA,0),2))</f>
        <v/>
      </c>
      <c r="L82">
        <v>0</v>
      </c>
      <c r="M82" t="str">
        <f t="shared" si="7"/>
        <v/>
      </c>
      <c r="N82" s="7">
        <f>IF($L82=0,0,G82*$L82*'O&amp;O - other input parameters'!$C$7)</f>
        <v>0</v>
      </c>
      <c r="O82" s="7">
        <f>IF($L82=0,0,H82*$L82*'O&amp;O - other input parameters'!$C$7)</f>
        <v>0</v>
      </c>
      <c r="Q82" t="str">
        <f>IF($C82="","",INDEX('Freeview-Gen Ent-more than min'!$Y:$AA,MATCH($C82,'Freeview-Gen Ent-more than min'!$AA:$AA,0),1))</f>
        <v/>
      </c>
      <c r="R82" t="str">
        <f>IF($C82="","",INDEX('Freeview-Gen Ent-more than min'!$Y:$AA,MATCH($C82,'Freeview-Gen Ent-more than min'!$AA:$AA,0),2))</f>
        <v/>
      </c>
      <c r="S82">
        <v>0</v>
      </c>
      <c r="T82" t="str">
        <f t="shared" si="9"/>
        <v/>
      </c>
      <c r="U82" s="7">
        <f>IF($S82=0,0,G82*$S82*'O&amp;O - other input parameters'!$C$7)</f>
        <v>0</v>
      </c>
      <c r="V82" s="7">
        <f>IF($S82=0,0,H82*$S82*'O&amp;O - other input parameters'!$C$7)</f>
        <v>0</v>
      </c>
    </row>
    <row r="83" spans="2:22" ht="14.65" thickBot="1" x14ac:dyDescent="0.5">
      <c r="B83" s="133" t="s">
        <v>419</v>
      </c>
      <c r="C83" t="str">
        <f>IF('Freeview-Gen Ent'!K85&lt;&gt;0,'Freeview-Gen Ent'!K85,"")</f>
        <v>Quest +1</v>
      </c>
      <c r="D83">
        <f t="shared" si="5"/>
        <v>1</v>
      </c>
      <c r="E83">
        <f>IF($C83="","",INDEX('Freeview-Gen Ent'!$I:$K,MATCH($C83,'Freeview-Gen Ent'!$K:$K,0),1))</f>
        <v>76</v>
      </c>
      <c r="F83">
        <f>IF($C83="","",INDEX('Freeview-Gen Ent'!$I:$K,MATCH($C83,'Freeview-Gen Ent'!$K:$K,0),2))</f>
        <v>72</v>
      </c>
      <c r="G83" s="73">
        <f>IF(AND($L83=0,$S83=0),"Not needed",(IF($B83="Not available",0,(((INDEX('O&amp;O - Revenues &amp; viewing'!$B$6:$Z$237,MATCH($B83,'O&amp;O - Revenues &amp; viewing'!$B$6:$B$237,0),3))*('O&amp;O - other input parameters'!$C$4))/1000000))))</f>
        <v>4.0057612464723134</v>
      </c>
      <c r="H83" s="73">
        <f>IF(AND($L83=0,$S83=0),"Not needed",(IF($B83="Not available",0,(((INDEX('O&amp;O - Revenues &amp; viewing'!$B$6:$Z$237,MATCH($B83,'O&amp;O - Revenues &amp; viewing'!$B$6:$B$237,0),7))*('O&amp;O - other input parameters'!$C$4))/1000000))))</f>
        <v>0.19598495362618981</v>
      </c>
      <c r="J83">
        <f>IF($C83="","",INDEX('Freeview-Gen Ent'!$Y:$AA,MATCH($C83,'Freeview-Gen Ent'!$AA:$AA,0),1))</f>
        <v>77</v>
      </c>
      <c r="K83">
        <f>IF($C83="","",INDEX('Freeview-Gen Ent'!$Y:$AA,MATCH($C83,'Freeview-Gen Ent'!$AA:$AA,0),2))</f>
        <v>73</v>
      </c>
      <c r="L83">
        <f t="shared" si="6"/>
        <v>-1</v>
      </c>
      <c r="M83">
        <f t="shared" si="7"/>
        <v>1</v>
      </c>
      <c r="N83" s="7">
        <f>IF($L83=0,0,G83*$L83*'O&amp;O - other input parameters'!$C$7)</f>
        <v>-5.9374149503725528E-2</v>
      </c>
      <c r="O83" s="7">
        <f>IF($L83=0,0,H83*$L83*'O&amp;O - other input parameters'!$C$7)</f>
        <v>-2.9049259856237753E-3</v>
      </c>
      <c r="Q83">
        <f>IF($C83="","",INDEX('Freeview-Gen Ent-more than min'!$Y:$AA,MATCH($C83,'Freeview-Gen Ent-more than min'!$AA:$AA,0),1))</f>
        <v>77</v>
      </c>
      <c r="R83">
        <f>IF($C83="","",INDEX('Freeview-Gen Ent-more than min'!$Y:$AA,MATCH($C83,'Freeview-Gen Ent-more than min'!$AA:$AA,0),2))</f>
        <v>73</v>
      </c>
      <c r="S83">
        <f t="shared" si="8"/>
        <v>-1</v>
      </c>
      <c r="T83">
        <f t="shared" si="9"/>
        <v>1</v>
      </c>
      <c r="U83" s="7">
        <f>IF($S83=0,0,G83*$S83*'O&amp;O - other input parameters'!$C$7)</f>
        <v>-5.9374149503725528E-2</v>
      </c>
      <c r="V83" s="7">
        <f>IF($S83=0,0,H83*$S83*'O&amp;O - other input parameters'!$C$7)</f>
        <v>-2.9049259856237753E-3</v>
      </c>
    </row>
    <row r="84" spans="2:22" ht="14.65" thickBot="1" x14ac:dyDescent="0.5">
      <c r="B84" s="131" t="s">
        <v>643</v>
      </c>
      <c r="C84" t="str">
        <f>IF('Freeview-Gen Ent'!K86&lt;&gt;0,'Freeview-Gen Ent'!K86,"")</f>
        <v/>
      </c>
      <c r="D84" t="str">
        <f t="shared" si="5"/>
        <v/>
      </c>
      <c r="E84" t="str">
        <f>IF($C84="","",INDEX('Freeview-Gen Ent'!$I:$K,MATCH($C84,'Freeview-Gen Ent'!$K:$K,0),1))</f>
        <v/>
      </c>
      <c r="F84" t="str">
        <f>IF($C84="","",INDEX('Freeview-Gen Ent'!$I:$K,MATCH($C84,'Freeview-Gen Ent'!$K:$K,0),2))</f>
        <v/>
      </c>
      <c r="G84" t="str">
        <f>IF(AND($L84=0,$S84=0),"Not needed",(IF($B84="Not available",0,(((INDEX('O&amp;O - Revenues &amp; viewing'!$B$6:$Z$237,MATCH($B84,'O&amp;O - Revenues &amp; viewing'!$B$6:$B$237,0),3))*('O&amp;O - other input parameters'!$C$4))/1000000))))</f>
        <v>Not needed</v>
      </c>
      <c r="H84" t="str">
        <f>IF(AND($L84=0,$S84=0),"Not needed",(IF($B84="Not available",0,(((INDEX('O&amp;O - Revenues &amp; viewing'!$B$6:$Z$237,MATCH($B84,'O&amp;O - Revenues &amp; viewing'!$B$6:$B$237,0),7))*('O&amp;O - other input parameters'!$C$4))/1000000))))</f>
        <v>Not needed</v>
      </c>
      <c r="J84" t="str">
        <f>IF($C84="","",INDEX('Freeview-Gen Ent'!$Y:$AA,MATCH($C84,'Freeview-Gen Ent'!$AA:$AA,0),1))</f>
        <v/>
      </c>
      <c r="K84" t="str">
        <f>IF($C84="","",INDEX('Freeview-Gen Ent'!$Y:$AA,MATCH($C84,'Freeview-Gen Ent'!$AA:$AA,0),2))</f>
        <v/>
      </c>
      <c r="L84">
        <v>0</v>
      </c>
      <c r="M84" t="str">
        <f t="shared" si="7"/>
        <v/>
      </c>
      <c r="N84" s="7">
        <f>IF($L84=0,0,G84*$L84*'O&amp;O - other input parameters'!$C$7)</f>
        <v>0</v>
      </c>
      <c r="O84" s="7">
        <f>IF($L84=0,0,H84*$L84*'O&amp;O - other input parameters'!$C$7)</f>
        <v>0</v>
      </c>
      <c r="Q84" t="str">
        <f>IF($C84="","",INDEX('Freeview-Gen Ent-more than min'!$Y:$AA,MATCH($C84,'Freeview-Gen Ent-more than min'!$AA:$AA,0),1))</f>
        <v/>
      </c>
      <c r="R84" t="str">
        <f>IF($C84="","",INDEX('Freeview-Gen Ent-more than min'!$Y:$AA,MATCH($C84,'Freeview-Gen Ent-more than min'!$AA:$AA,0),2))</f>
        <v/>
      </c>
      <c r="S84">
        <v>0</v>
      </c>
      <c r="T84" t="str">
        <f t="shared" si="9"/>
        <v/>
      </c>
      <c r="U84" s="7">
        <f>IF($S84=0,0,G84*$S84*'O&amp;O - other input parameters'!$C$7)</f>
        <v>0</v>
      </c>
      <c r="V84" s="7">
        <f>IF($S84=0,0,H84*$S84*'O&amp;O - other input parameters'!$C$7)</f>
        <v>0</v>
      </c>
    </row>
    <row r="85" spans="2:22" ht="14.65" thickBot="1" x14ac:dyDescent="0.5">
      <c r="B85" s="133" t="s">
        <v>470</v>
      </c>
      <c r="C85" t="str">
        <f>IF('Freeview-Gen Ent'!K87&lt;&gt;0,'Freeview-Gen Ent'!K87,"")</f>
        <v>Quest Red +1</v>
      </c>
      <c r="D85">
        <f t="shared" si="5"/>
        <v>1</v>
      </c>
      <c r="E85">
        <f>IF($C85="","",INDEX('Freeview-Gen Ent'!$I:$K,MATCH($C85,'Freeview-Gen Ent'!$K:$K,0),1))</f>
        <v>78</v>
      </c>
      <c r="F85">
        <f>IF($C85="","",INDEX('Freeview-Gen Ent'!$I:$K,MATCH($C85,'Freeview-Gen Ent'!$K:$K,0),2))</f>
        <v>73</v>
      </c>
      <c r="G85" s="73">
        <f>IF(AND($L85=0,$S85=0),"Not needed",(IF($B85="Not available",0,(((INDEX('O&amp;O - Revenues &amp; viewing'!$B$6:$Z$237,MATCH($B85,'O&amp;O - Revenues &amp; viewing'!$B$6:$B$237,0),3))*('O&amp;O - other input parameters'!$C$4))/1000000))))</f>
        <v>7.7744952002539544E-2</v>
      </c>
      <c r="H85" s="73">
        <f>IF(AND($L85=0,$S85=0),"Not needed",(IF($B85="Not available",0,(((INDEX('O&amp;O - Revenues &amp; viewing'!$B$6:$Z$237,MATCH($B85,'O&amp;O - Revenues &amp; viewing'!$B$6:$B$237,0),7))*('O&amp;O - other input parameters'!$C$4))/1000000))))</f>
        <v>9.1180984587978554E-3</v>
      </c>
      <c r="J85">
        <f>IF($C85="","",INDEX('Freeview-Gen Ent'!$Y:$AA,MATCH($C85,'Freeview-Gen Ent'!$AA:$AA,0),1))</f>
        <v>79</v>
      </c>
      <c r="K85">
        <f>IF($C85="","",INDEX('Freeview-Gen Ent'!$Y:$AA,MATCH($C85,'Freeview-Gen Ent'!$AA:$AA,0),2))</f>
        <v>74</v>
      </c>
      <c r="L85">
        <f t="shared" si="6"/>
        <v>-1</v>
      </c>
      <c r="M85">
        <f t="shared" si="7"/>
        <v>1</v>
      </c>
      <c r="N85" s="7">
        <f>IF($L85=0,0,G85*$L85*'O&amp;O - other input parameters'!$C$7)</f>
        <v>-1.1523503572320689E-3</v>
      </c>
      <c r="O85" s="7">
        <f>IF($L85=0,0,H85*$L85*'O&amp;O - other input parameters'!$C$7)</f>
        <v>-1.3515017690061301E-4</v>
      </c>
      <c r="Q85">
        <f>IF($C85="","",INDEX('Freeview-Gen Ent-more than min'!$Y:$AA,MATCH($C85,'Freeview-Gen Ent-more than min'!$AA:$AA,0),1))</f>
        <v>79</v>
      </c>
      <c r="R85">
        <f>IF($C85="","",INDEX('Freeview-Gen Ent-more than min'!$Y:$AA,MATCH($C85,'Freeview-Gen Ent-more than min'!$AA:$AA,0),2))</f>
        <v>74</v>
      </c>
      <c r="S85">
        <f t="shared" si="8"/>
        <v>-1</v>
      </c>
      <c r="T85">
        <f t="shared" si="9"/>
        <v>1</v>
      </c>
      <c r="U85" s="7">
        <f>IF($S85=0,0,G85*$S85*'O&amp;O - other input parameters'!$C$7)</f>
        <v>-1.1523503572320689E-3</v>
      </c>
      <c r="V85" s="7">
        <f>IF($S85=0,0,H85*$S85*'O&amp;O - other input parameters'!$C$7)</f>
        <v>-1.3515017690061301E-4</v>
      </c>
    </row>
    <row r="86" spans="2:22" ht="14.65" thickBot="1" x14ac:dyDescent="0.5">
      <c r="B86" s="133" t="s">
        <v>413</v>
      </c>
      <c r="C86" t="str">
        <f>IF('Freeview-Gen Ent'!K88&lt;&gt;0,'Freeview-Gen Ent'!K88,"")</f>
        <v>Dave Ja VU</v>
      </c>
      <c r="D86">
        <f t="shared" si="5"/>
        <v>1</v>
      </c>
      <c r="E86">
        <f>IF($C86="","",INDEX('Freeview-Gen Ent'!$I:$K,MATCH($C86,'Freeview-Gen Ent'!$K:$K,0),1))</f>
        <v>79</v>
      </c>
      <c r="F86">
        <f>IF($C86="","",INDEX('Freeview-Gen Ent'!$I:$K,MATCH($C86,'Freeview-Gen Ent'!$K:$K,0),2))</f>
        <v>74</v>
      </c>
      <c r="G86" s="73">
        <f>IF(AND($L86=0,$S86=0),"Not needed",(IF($B86="Not available",0,(((INDEX('O&amp;O - Revenues &amp; viewing'!$B$6:$Z$237,MATCH($B86,'O&amp;O - Revenues &amp; viewing'!$B$6:$B$237,0),3))*('O&amp;O - other input parameters'!$C$4))/1000000))))</f>
        <v>4.3726794955574695</v>
      </c>
      <c r="H86" s="73">
        <f>IF(AND($L86=0,$S86=0),"Not needed",(IF($B86="Not available",0,(((INDEX('O&amp;O - Revenues &amp; viewing'!$B$6:$Z$237,MATCH($B86,'O&amp;O - Revenues &amp; viewing'!$B$6:$B$237,0),7))*('O&amp;O - other input parameters'!$C$4))/1000000))))</f>
        <v>0.21393671150863608</v>
      </c>
      <c r="J86">
        <f>IF($C86="","",INDEX('Freeview-Gen Ent'!$Y:$AA,MATCH($C86,'Freeview-Gen Ent'!$AA:$AA,0),1))</f>
        <v>80</v>
      </c>
      <c r="K86">
        <f>IF($C86="","",INDEX('Freeview-Gen Ent'!$Y:$AA,MATCH($C86,'Freeview-Gen Ent'!$AA:$AA,0),2))</f>
        <v>75</v>
      </c>
      <c r="L86">
        <f t="shared" si="6"/>
        <v>-1</v>
      </c>
      <c r="M86">
        <f t="shared" si="7"/>
        <v>1</v>
      </c>
      <c r="N86" s="7">
        <f>IF($L86=0,0,G86*$L86*'O&amp;O - other input parameters'!$C$7)</f>
        <v>-6.4812681067735411E-2</v>
      </c>
      <c r="O86" s="7">
        <f>IF($L86=0,0,H86*$L86*'O&amp;O - other input parameters'!$C$7)</f>
        <v>-3.1710103303424506E-3</v>
      </c>
      <c r="Q86">
        <f>IF($C86="","",INDEX('Freeview-Gen Ent-more than min'!$Y:$AA,MATCH($C86,'Freeview-Gen Ent-more than min'!$AA:$AA,0),1))</f>
        <v>80</v>
      </c>
      <c r="R86">
        <f>IF($C86="","",INDEX('Freeview-Gen Ent-more than min'!$Y:$AA,MATCH($C86,'Freeview-Gen Ent-more than min'!$AA:$AA,0),2))</f>
        <v>75</v>
      </c>
      <c r="S86">
        <f t="shared" si="8"/>
        <v>-1</v>
      </c>
      <c r="T86">
        <f t="shared" si="9"/>
        <v>1</v>
      </c>
      <c r="U86" s="7">
        <f>IF($S86=0,0,G86*$S86*'O&amp;O - other input parameters'!$C$7)</f>
        <v>-6.4812681067735411E-2</v>
      </c>
      <c r="V86" s="7">
        <f>IF($S86=0,0,H86*$S86*'O&amp;O - other input parameters'!$C$7)</f>
        <v>-3.1710103303424506E-3</v>
      </c>
    </row>
    <row r="87" spans="2:22" ht="14.65" thickBot="1" x14ac:dyDescent="0.5">
      <c r="B87" s="133" t="s">
        <v>643</v>
      </c>
      <c r="C87" t="str">
        <f>IF('Freeview-Gen Ent'!K89&lt;&gt;0,'Freeview-Gen Ent'!K89,"")</f>
        <v>Blaze +1</v>
      </c>
      <c r="D87">
        <f t="shared" si="5"/>
        <v>1</v>
      </c>
      <c r="E87">
        <f>IF($C87="","",INDEX('Freeview-Gen Ent'!$I:$K,MATCH($C87,'Freeview-Gen Ent'!$K:$K,0),1))</f>
        <v>80</v>
      </c>
      <c r="F87">
        <f>IF($C87="","",INDEX('Freeview-Gen Ent'!$I:$K,MATCH($C87,'Freeview-Gen Ent'!$K:$K,0),2))</f>
        <v>75</v>
      </c>
      <c r="G87" s="73">
        <f>IF(AND($L87=0,$S87=0),"Not needed",(IF($B87="Not available",0,(((INDEX('O&amp;O - Revenues &amp; viewing'!$B$6:$Z$237,MATCH($B87,'O&amp;O - Revenues &amp; viewing'!$B$6:$B$237,0),3))*('O&amp;O - other input parameters'!$C$4))/1000000))))</f>
        <v>0</v>
      </c>
      <c r="H87" s="73">
        <f>IF(AND($L87=0,$S87=0),"Not needed",(IF($B87="Not available",0,(((INDEX('O&amp;O - Revenues &amp; viewing'!$B$6:$Z$237,MATCH($B87,'O&amp;O - Revenues &amp; viewing'!$B$6:$B$237,0),7))*('O&amp;O - other input parameters'!$C$4))/1000000))))</f>
        <v>0</v>
      </c>
      <c r="J87">
        <f>IF($C87="","",INDEX('Freeview-Gen Ent'!$Y:$AA,MATCH($C87,'Freeview-Gen Ent'!$AA:$AA,0),1))</f>
        <v>81</v>
      </c>
      <c r="K87">
        <f>IF($C87="","",INDEX('Freeview-Gen Ent'!$Y:$AA,MATCH($C87,'Freeview-Gen Ent'!$AA:$AA,0),2))</f>
        <v>76</v>
      </c>
      <c r="L87">
        <f t="shared" si="6"/>
        <v>-1</v>
      </c>
      <c r="M87">
        <f t="shared" si="7"/>
        <v>1</v>
      </c>
      <c r="N87" s="7">
        <f>IF($L87=0,0,G87*$L87*'O&amp;O - other input parameters'!$C$7)</f>
        <v>0</v>
      </c>
      <c r="O87" s="7">
        <f>IF($L87=0,0,H87*$L87*'O&amp;O - other input parameters'!$C$7)</f>
        <v>0</v>
      </c>
      <c r="Q87">
        <f>IF($C87="","",INDEX('Freeview-Gen Ent-more than min'!$Y:$AA,MATCH($C87,'Freeview-Gen Ent-more than min'!$AA:$AA,0),1))</f>
        <v>81</v>
      </c>
      <c r="R87">
        <f>IF($C87="","",INDEX('Freeview-Gen Ent-more than min'!$Y:$AA,MATCH($C87,'Freeview-Gen Ent-more than min'!$AA:$AA,0),2))</f>
        <v>76</v>
      </c>
      <c r="S87">
        <f t="shared" si="8"/>
        <v>-1</v>
      </c>
      <c r="T87">
        <f t="shared" si="9"/>
        <v>1</v>
      </c>
      <c r="U87" s="7">
        <f>IF($S87=0,0,G87*$S87*'O&amp;O - other input parameters'!$C$7)</f>
        <v>0</v>
      </c>
      <c r="V87" s="7">
        <f>IF($S87=0,0,H87*$S87*'O&amp;O - other input parameters'!$C$7)</f>
        <v>0</v>
      </c>
    </row>
    <row r="88" spans="2:22" ht="14.65" thickBot="1" x14ac:dyDescent="0.5">
      <c r="B88" s="133" t="s">
        <v>402</v>
      </c>
      <c r="C88" t="str">
        <f>IF('Freeview-Gen Ent'!K90&lt;&gt;0,'Freeview-Gen Ent'!K90,"")</f>
        <v>Talking Pictures TV</v>
      </c>
      <c r="D88">
        <f t="shared" si="5"/>
        <v>1</v>
      </c>
      <c r="E88">
        <f>IF($C88="","",INDEX('Freeview-Gen Ent'!$I:$K,MATCH($C88,'Freeview-Gen Ent'!$K:$K,0),1))</f>
        <v>81</v>
      </c>
      <c r="F88">
        <f>IF($C88="","",INDEX('Freeview-Gen Ent'!$I:$K,MATCH($C88,'Freeview-Gen Ent'!$K:$K,0),2))</f>
        <v>76</v>
      </c>
      <c r="G88" s="73">
        <f>IF(AND($L88=0,$S88=0),"Not needed",(IF($B88="Not available",0,(((INDEX('O&amp;O - Revenues &amp; viewing'!$B$6:$Z$237,MATCH($B88,'O&amp;O - Revenues &amp; viewing'!$B$6:$B$237,0),3))*('O&amp;O - other input parameters'!$C$4))/1000000))))</f>
        <v>5.6147025092565759</v>
      </c>
      <c r="H88" s="73">
        <f>IF(AND($L88=0,$S88=0),"Not needed",(IF($B88="Not available",0,(((INDEX('O&amp;O - Revenues &amp; viewing'!$B$6:$Z$237,MATCH($B88,'O&amp;O - Revenues &amp; viewing'!$B$6:$B$237,0),7))*('O&amp;O - other input parameters'!$C$4))/1000000))))</f>
        <v>0.274703643875573</v>
      </c>
      <c r="J88">
        <f>IF($C88="","",INDEX('Freeview-Gen Ent'!$Y:$AA,MATCH($C88,'Freeview-Gen Ent'!$AA:$AA,0),1))</f>
        <v>82</v>
      </c>
      <c r="K88">
        <f>IF($C88="","",INDEX('Freeview-Gen Ent'!$Y:$AA,MATCH($C88,'Freeview-Gen Ent'!$AA:$AA,0),2))</f>
        <v>77</v>
      </c>
      <c r="L88">
        <f t="shared" si="6"/>
        <v>-1</v>
      </c>
      <c r="M88">
        <f t="shared" si="7"/>
        <v>1</v>
      </c>
      <c r="N88" s="7">
        <f>IF($L88=0,0,G88*$L88*'O&amp;O - other input parameters'!$C$7)</f>
        <v>-8.3222180677174559E-2</v>
      </c>
      <c r="O88" s="7">
        <f>IF($L88=0,0,H88*$L88*'O&amp;O - other input parameters'!$C$7)</f>
        <v>-4.0717092749973961E-3</v>
      </c>
      <c r="Q88">
        <f>IF($C88="","",INDEX('Freeview-Gen Ent-more than min'!$Y:$AA,MATCH($C88,'Freeview-Gen Ent-more than min'!$AA:$AA,0),1))</f>
        <v>82</v>
      </c>
      <c r="R88">
        <f>IF($C88="","",INDEX('Freeview-Gen Ent-more than min'!$Y:$AA,MATCH($C88,'Freeview-Gen Ent-more than min'!$AA:$AA,0),2))</f>
        <v>77</v>
      </c>
      <c r="S88">
        <f t="shared" si="8"/>
        <v>-1</v>
      </c>
      <c r="T88">
        <f t="shared" si="9"/>
        <v>1</v>
      </c>
      <c r="U88" s="7">
        <f>IF($S88=0,0,G88*$S88*'O&amp;O - other input parameters'!$C$7)</f>
        <v>-8.3222180677174559E-2</v>
      </c>
      <c r="V88" s="7">
        <f>IF($S88=0,0,H88*$S88*'O&amp;O - other input parameters'!$C$7)</f>
        <v>-4.0717092749973961E-3</v>
      </c>
    </row>
    <row r="89" spans="2:22" ht="14.65" thickBot="1" x14ac:dyDescent="0.5">
      <c r="B89" s="129" t="s">
        <v>355</v>
      </c>
      <c r="C89" t="str">
        <f>IF('Freeview-Gen Ent'!K91&lt;&gt;0,'Freeview-Gen Ent'!K91,"")</f>
        <v>BBC Four</v>
      </c>
      <c r="D89">
        <f t="shared" si="5"/>
        <v>0</v>
      </c>
      <c r="E89">
        <f>IF($C89="","",INDEX('Freeview-Gen Ent'!$I:$K,MATCH($C89,'Freeview-Gen Ent'!$K:$K,0),1))</f>
        <v>82</v>
      </c>
      <c r="F89">
        <f>IF($C89="","",INDEX('Freeview-Gen Ent'!$I:$K,MATCH($C89,'Freeview-Gen Ent'!$K:$K,0),2))</f>
        <v>77</v>
      </c>
      <c r="G89" s="73">
        <f>IF(AND($L89=0,$S89=0),"Not needed",(IF($B89="Not available",0,(((INDEX('O&amp;O - Revenues &amp; viewing'!$B$6:$Z$237,MATCH($B89,'O&amp;O - Revenues &amp; viewing'!$B$6:$B$237,0),3))*('O&amp;O - other input parameters'!$C$4))/1000000))))</f>
        <v>41.116650408465041</v>
      </c>
      <c r="H89" s="73">
        <f>IF(AND($L89=0,$S89=0),"Not needed",(IF($B89="Not available",0,(((INDEX('O&amp;O - Revenues &amp; viewing'!$B$6:$Z$237,MATCH($B89,'O&amp;O - Revenues &amp; viewing'!$B$6:$B$237,0),7))*('O&amp;O - other input parameters'!$C$4))/1000000))))</f>
        <v>0</v>
      </c>
      <c r="J89">
        <f>IF($C89="","",INDEX('Freeview-Gen Ent'!$Y:$AA,MATCH($C89,'Freeview-Gen Ent'!$AA:$AA,0),1))</f>
        <v>24</v>
      </c>
      <c r="K89">
        <f>IF($C89="","",INDEX('Freeview-Gen Ent'!$Y:$AA,MATCH($C89,'Freeview-Gen Ent'!$AA:$AA,0),2))</f>
        <v>24</v>
      </c>
      <c r="L89">
        <f t="shared" si="6"/>
        <v>53</v>
      </c>
      <c r="M89">
        <f t="shared" si="7"/>
        <v>1</v>
      </c>
      <c r="N89" s="7">
        <f>IF($L89=0,0,G89*$L89*'O&amp;O - other input parameters'!$C$7)</f>
        <v>32.300254035736671</v>
      </c>
      <c r="O89" s="7">
        <f>IF($L89=0,0,H89*$L89*'O&amp;O - other input parameters'!$C$7)</f>
        <v>0</v>
      </c>
      <c r="Q89">
        <f>IF($C89="","",INDEX('Freeview-Gen Ent-more than min'!$Y:$AA,MATCH($C89,'Freeview-Gen Ent-more than min'!$AA:$AA,0),1))</f>
        <v>10</v>
      </c>
      <c r="R89">
        <f>IF($C89="","",INDEX('Freeview-Gen Ent-more than min'!$Y:$AA,MATCH($C89,'Freeview-Gen Ent-more than min'!$AA:$AA,0),2))</f>
        <v>10</v>
      </c>
      <c r="S89">
        <f t="shared" si="8"/>
        <v>67</v>
      </c>
      <c r="T89">
        <f t="shared" si="9"/>
        <v>1</v>
      </c>
      <c r="U89" s="7">
        <f>IF($S89=0,0,G89*$S89*'O&amp;O - other input parameters'!$C$7)</f>
        <v>40.832396611214286</v>
      </c>
      <c r="V89" s="7">
        <f>IF($S89=0,0,H89*$S89*'O&amp;O - other input parameters'!$C$7)</f>
        <v>0</v>
      </c>
    </row>
    <row r="90" spans="2:22" ht="14.65" thickBot="1" x14ac:dyDescent="0.5">
      <c r="B90" s="131" t="s">
        <v>643</v>
      </c>
      <c r="C90" t="str">
        <f>IF('Freeview-Gen Ent'!K92&lt;&gt;0,'Freeview-Gen Ent'!K92,"")</f>
        <v/>
      </c>
      <c r="D90" t="str">
        <f t="shared" si="5"/>
        <v/>
      </c>
      <c r="E90" t="str">
        <f>IF($C90="","",INDEX('Freeview-Gen Ent'!$I:$K,MATCH($C90,'Freeview-Gen Ent'!$K:$K,0),1))</f>
        <v/>
      </c>
      <c r="F90" t="str">
        <f>IF($C90="","",INDEX('Freeview-Gen Ent'!$I:$K,MATCH($C90,'Freeview-Gen Ent'!$K:$K,0),2))</f>
        <v/>
      </c>
      <c r="G90" t="str">
        <f>IF(AND($L90=0,$S90=0),"Not needed",(IF($B90="Not available",0,(((INDEX('O&amp;O - Revenues &amp; viewing'!$B$6:$Z$237,MATCH($B90,'O&amp;O - Revenues &amp; viewing'!$B$6:$B$237,0),3))*('O&amp;O - other input parameters'!$C$4))/1000000))))</f>
        <v>Not needed</v>
      </c>
      <c r="H90" t="str">
        <f>IF(AND($L90=0,$S90=0),"Not needed",(IF($B90="Not available",0,(((INDEX('O&amp;O - Revenues &amp; viewing'!$B$6:$Z$237,MATCH($B90,'O&amp;O - Revenues &amp; viewing'!$B$6:$B$237,0),7))*('O&amp;O - other input parameters'!$C$4))/1000000))))</f>
        <v>Not needed</v>
      </c>
      <c r="J90" t="str">
        <f>IF($C90="","",INDEX('Freeview-Gen Ent'!$Y:$AA,MATCH($C90,'Freeview-Gen Ent'!$AA:$AA,0),1))</f>
        <v/>
      </c>
      <c r="K90" t="str">
        <f>IF($C90="","",INDEX('Freeview-Gen Ent'!$Y:$AA,MATCH($C90,'Freeview-Gen Ent'!$AA:$AA,0),2))</f>
        <v/>
      </c>
      <c r="L90">
        <v>0</v>
      </c>
      <c r="M90" t="str">
        <f t="shared" si="7"/>
        <v/>
      </c>
      <c r="N90" s="7">
        <f>IF($L90=0,0,G90*$L90*'O&amp;O - other input parameters'!$C$7)</f>
        <v>0</v>
      </c>
      <c r="O90" s="7">
        <f>IF($L90=0,0,H90*$L90*'O&amp;O - other input parameters'!$C$7)</f>
        <v>0</v>
      </c>
      <c r="Q90" t="str">
        <f>IF($C90="","",INDEX('Freeview-Gen Ent-more than min'!$Y:$AA,MATCH($C90,'Freeview-Gen Ent-more than min'!$AA:$AA,0),1))</f>
        <v/>
      </c>
      <c r="R90" t="str">
        <f>IF($C90="","",INDEX('Freeview-Gen Ent-more than min'!$Y:$AA,MATCH($C90,'Freeview-Gen Ent-more than min'!$AA:$AA,0),2))</f>
        <v/>
      </c>
      <c r="S90">
        <v>0</v>
      </c>
      <c r="T90" t="str">
        <f t="shared" si="9"/>
        <v/>
      </c>
      <c r="U90" s="7">
        <f>IF($S90=0,0,G90*$S90*'O&amp;O - other input parameters'!$C$7)</f>
        <v>0</v>
      </c>
      <c r="V90" s="7">
        <f>IF($S90=0,0,H90*$S90*'O&amp;O - other input parameters'!$C$7)</f>
        <v>0</v>
      </c>
    </row>
    <row r="91" spans="2:22" ht="14.65" thickBot="1" x14ac:dyDescent="0.5">
      <c r="B91" s="131" t="s">
        <v>643</v>
      </c>
      <c r="C91" t="str">
        <f>IF('Freeview-Gen Ent'!K93&lt;&gt;0,'Freeview-Gen Ent'!K93,"")</f>
        <v/>
      </c>
      <c r="D91" t="str">
        <f t="shared" si="5"/>
        <v/>
      </c>
      <c r="E91" t="str">
        <f>IF($C91="","",INDEX('Freeview-Gen Ent'!$I:$K,MATCH($C91,'Freeview-Gen Ent'!$K:$K,0),1))</f>
        <v/>
      </c>
      <c r="F91" t="str">
        <f>IF($C91="","",INDEX('Freeview-Gen Ent'!$I:$K,MATCH($C91,'Freeview-Gen Ent'!$K:$K,0),2))</f>
        <v/>
      </c>
      <c r="G91" t="str">
        <f>IF(AND($L91=0,$S91=0),"Not needed",(IF($B91="Not available",0,(((INDEX('O&amp;O - Revenues &amp; viewing'!$B$6:$Z$237,MATCH($B91,'O&amp;O - Revenues &amp; viewing'!$B$6:$B$237,0),3))*('O&amp;O - other input parameters'!$C$4))/1000000))))</f>
        <v>Not needed</v>
      </c>
      <c r="H91" t="str">
        <f>IF(AND($L91=0,$S91=0),"Not needed",(IF($B91="Not available",0,(((INDEX('O&amp;O - Revenues &amp; viewing'!$B$6:$Z$237,MATCH($B91,'O&amp;O - Revenues &amp; viewing'!$B$6:$B$237,0),7))*('O&amp;O - other input parameters'!$C$4))/1000000))))</f>
        <v>Not needed</v>
      </c>
      <c r="J91" t="str">
        <f>IF($C91="","",INDEX('Freeview-Gen Ent'!$Y:$AA,MATCH($C91,'Freeview-Gen Ent'!$AA:$AA,0),1))</f>
        <v/>
      </c>
      <c r="K91" t="str">
        <f>IF($C91="","",INDEX('Freeview-Gen Ent'!$Y:$AA,MATCH($C91,'Freeview-Gen Ent'!$AA:$AA,0),2))</f>
        <v/>
      </c>
      <c r="L91">
        <v>0</v>
      </c>
      <c r="M91" t="str">
        <f t="shared" si="7"/>
        <v/>
      </c>
      <c r="N91" s="7">
        <f>IF($L91=0,0,G91*$L91*'O&amp;O - other input parameters'!$C$7)</f>
        <v>0</v>
      </c>
      <c r="O91" s="7">
        <f>IF($L91=0,0,H91*$L91*'O&amp;O - other input parameters'!$C$7)</f>
        <v>0</v>
      </c>
      <c r="Q91" t="str">
        <f>IF($C91="","",INDEX('Freeview-Gen Ent-more than min'!$Y:$AA,MATCH($C91,'Freeview-Gen Ent-more than min'!$AA:$AA,0),1))</f>
        <v/>
      </c>
      <c r="R91" t="str">
        <f>IF($C91="","",INDEX('Freeview-Gen Ent-more than min'!$Y:$AA,MATCH($C91,'Freeview-Gen Ent-more than min'!$AA:$AA,0),2))</f>
        <v/>
      </c>
      <c r="S91">
        <v>0</v>
      </c>
      <c r="T91" t="str">
        <f t="shared" si="9"/>
        <v/>
      </c>
      <c r="U91" s="7">
        <f>IF($S91=0,0,G91*$S91*'O&amp;O - other input parameters'!$C$7)</f>
        <v>0</v>
      </c>
      <c r="V91" s="7">
        <f>IF($S91=0,0,H91*$S91*'O&amp;O - other input parameters'!$C$7)</f>
        <v>0</v>
      </c>
    </row>
    <row r="92" spans="2:22" ht="14.65" thickBot="1" x14ac:dyDescent="0.5">
      <c r="B92" s="133" t="s">
        <v>643</v>
      </c>
      <c r="C92" t="str">
        <f>IF('Freeview-Gen Ent'!K94&lt;&gt;0,'Freeview-Gen Ent'!K94,"")</f>
        <v>Hochanda</v>
      </c>
      <c r="D92">
        <f t="shared" si="5"/>
        <v>1</v>
      </c>
      <c r="E92">
        <f>IF($C92="","",INDEX('Freeview-Gen Ent'!$I:$K,MATCH($C92,'Freeview-Gen Ent'!$K:$K,0),1))</f>
        <v>85</v>
      </c>
      <c r="F92">
        <f>IF($C92="","",INDEX('Freeview-Gen Ent'!$I:$K,MATCH($C92,'Freeview-Gen Ent'!$K:$K,0),2))</f>
        <v>78</v>
      </c>
      <c r="G92" t="str">
        <f>IF(AND($L92=0,$S92=0),"Not needed",(IF($B92="Not available",0,(((INDEX('O&amp;O - Revenues &amp; viewing'!$B$6:$Z$237,MATCH($B92,'O&amp;O - Revenues &amp; viewing'!$B$6:$B$237,0),3))*('O&amp;O - other input parameters'!$C$4))/1000000))))</f>
        <v>Not needed</v>
      </c>
      <c r="H92" t="str">
        <f>IF(AND($L92=0,$S92=0),"Not needed",(IF($B92="Not available",0,(((INDEX('O&amp;O - Revenues &amp; viewing'!$B$6:$Z$237,MATCH($B92,'O&amp;O - Revenues &amp; viewing'!$B$6:$B$237,0),7))*('O&amp;O - other input parameters'!$C$4))/1000000))))</f>
        <v>Not needed</v>
      </c>
      <c r="J92">
        <f>IF($C92="","",INDEX('Freeview-Gen Ent'!$Y:$AA,MATCH($C92,'Freeview-Gen Ent'!$AA:$AA,0),1))</f>
        <v>85</v>
      </c>
      <c r="K92">
        <f>IF($C92="","",INDEX('Freeview-Gen Ent'!$Y:$AA,MATCH($C92,'Freeview-Gen Ent'!$AA:$AA,0),2))</f>
        <v>78</v>
      </c>
      <c r="L92">
        <f t="shared" si="6"/>
        <v>0</v>
      </c>
      <c r="M92">
        <f t="shared" si="7"/>
        <v>0</v>
      </c>
      <c r="N92" s="7">
        <f>IF($L92=0,0,G92*$L92*'O&amp;O - other input parameters'!$C$7)</f>
        <v>0</v>
      </c>
      <c r="O92" s="7">
        <f>IF($L92=0,0,H92*$L92*'O&amp;O - other input parameters'!$C$7)</f>
        <v>0</v>
      </c>
      <c r="Q92">
        <f>IF($C92="","",INDEX('Freeview-Gen Ent-more than min'!$Y:$AA,MATCH($C92,'Freeview-Gen Ent-more than min'!$AA:$AA,0),1))</f>
        <v>85</v>
      </c>
      <c r="R92">
        <f>IF($C92="","",INDEX('Freeview-Gen Ent-more than min'!$Y:$AA,MATCH($C92,'Freeview-Gen Ent-more than min'!$AA:$AA,0),2))</f>
        <v>78</v>
      </c>
      <c r="S92">
        <f t="shared" si="8"/>
        <v>0</v>
      </c>
      <c r="T92">
        <f t="shared" si="9"/>
        <v>0</v>
      </c>
      <c r="U92" s="7">
        <f>IF($S92=0,0,G92*$S92*'O&amp;O - other input parameters'!$C$7)</f>
        <v>0</v>
      </c>
      <c r="V92" s="7">
        <f>IF($S92=0,0,H92*$S92*'O&amp;O - other input parameters'!$C$7)</f>
        <v>0</v>
      </c>
    </row>
    <row r="93" spans="2:22" ht="28.5" x14ac:dyDescent="0.45">
      <c r="C93" s="2" t="s">
        <v>657</v>
      </c>
      <c r="J93" s="2" t="s">
        <v>201</v>
      </c>
      <c r="K93" s="2" t="s">
        <v>201</v>
      </c>
      <c r="Q93" s="2" t="s">
        <v>201</v>
      </c>
      <c r="R93" s="2" t="s">
        <v>201</v>
      </c>
    </row>
    <row r="94" spans="2:22" ht="42.75" x14ac:dyDescent="0.45">
      <c r="J94" s="2" t="s">
        <v>220</v>
      </c>
      <c r="M94">
        <f>COUNTIF(M8:M92,1)</f>
        <v>54</v>
      </c>
      <c r="T94">
        <f>COUNTIF(T8:T92,1)</f>
        <v>68</v>
      </c>
    </row>
    <row r="95" spans="2:22" ht="57" x14ac:dyDescent="0.45">
      <c r="J95" s="2" t="s">
        <v>207</v>
      </c>
      <c r="L95">
        <f>COUNTIFS($D$8:$D$92,1,L8:L92,"&lt;0")</f>
        <v>53</v>
      </c>
      <c r="S95">
        <f>COUNTIFS($D$8:$D$92,1,S8:S92,"&lt;0")</f>
        <v>67</v>
      </c>
    </row>
    <row r="97" spans="10:22" ht="42.75" x14ac:dyDescent="0.45">
      <c r="J97" s="2" t="s">
        <v>646</v>
      </c>
      <c r="N97" s="73">
        <f>SUMIFS(N$8:N$92,N$8:N$92,"&lt;0")</f>
        <v>-7.3267841018128683</v>
      </c>
      <c r="O97" s="73"/>
      <c r="P97" s="73"/>
      <c r="Q97" s="73"/>
      <c r="R97" s="73"/>
      <c r="S97" s="73"/>
      <c r="T97" s="73"/>
      <c r="U97" s="73">
        <f>SUMIFS(U$8:U$92,U$8:U$92,"&lt;0")</f>
        <v>-14.150862386809809</v>
      </c>
      <c r="V97" s="73"/>
    </row>
    <row r="98" spans="10:22" ht="42.75" x14ac:dyDescent="0.45">
      <c r="J98" s="2" t="s">
        <v>647</v>
      </c>
      <c r="N98" s="73">
        <f>SUMIFS(N$8:N$92,N$8:N$92,"&gt;0")</f>
        <v>32.300254035736671</v>
      </c>
      <c r="O98" s="73"/>
      <c r="P98" s="73"/>
      <c r="Q98" s="73"/>
      <c r="R98" s="73"/>
      <c r="S98" s="73"/>
      <c r="T98" s="73"/>
      <c r="U98" s="73">
        <f>SUMIFS(U$8:U$92,U$8:U$92,"&gt;0")</f>
        <v>40.832396611214286</v>
      </c>
      <c r="V98" s="73"/>
    </row>
    <row r="99" spans="10:22" x14ac:dyDescent="0.45">
      <c r="J99" s="2"/>
      <c r="N99" s="73"/>
      <c r="O99" s="73"/>
      <c r="P99" s="73"/>
      <c r="Q99" s="73"/>
      <c r="R99" s="73"/>
      <c r="S99" s="73"/>
      <c r="T99" s="73"/>
      <c r="U99" s="73"/>
      <c r="V99" s="73"/>
    </row>
    <row r="100" spans="10:22" ht="71.25" x14ac:dyDescent="0.45">
      <c r="J100" s="2" t="s">
        <v>648</v>
      </c>
      <c r="N100" s="73"/>
      <c r="O100" s="73">
        <f>SUMIFS(O8:O92,$D$8:$D$92,1,O8:O92,"&lt;0")</f>
        <v>-0.42371291582787907</v>
      </c>
      <c r="P100" s="73"/>
      <c r="Q100" s="73"/>
      <c r="R100" s="73"/>
      <c r="S100" s="73"/>
      <c r="T100" s="73"/>
      <c r="U100" s="73"/>
      <c r="V100" s="73">
        <f>SUMIFS(V8:V92,$D$8:$D$92,1,V8:V92,"&lt;0")</f>
        <v>-0.89265275654874454</v>
      </c>
    </row>
    <row r="101" spans="10:22" x14ac:dyDescent="0.45">
      <c r="N101" s="73"/>
      <c r="O101" s="73"/>
      <c r="P101" s="73"/>
      <c r="Q101" s="73"/>
      <c r="R101" s="73"/>
      <c r="S101" s="73"/>
      <c r="T101" s="73"/>
      <c r="U101" s="73"/>
      <c r="V101" s="73"/>
    </row>
  </sheetData>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AB273-6522-4647-A554-1E41E0DAEBA4}">
  <sheetPr>
    <tabColor theme="8"/>
  </sheetPr>
  <dimension ref="A1:G12"/>
  <sheetViews>
    <sheetView workbookViewId="0"/>
  </sheetViews>
  <sheetFormatPr defaultRowHeight="14.25" x14ac:dyDescent="0.45"/>
  <cols>
    <col min="1" max="1" width="11.796875" customWidth="1"/>
    <col min="2" max="3" width="16.06640625" customWidth="1"/>
    <col min="4" max="4" width="13.06640625" customWidth="1"/>
    <col min="5" max="5" width="16.06640625" customWidth="1"/>
    <col min="6" max="6" width="23.796875" bestFit="1" customWidth="1"/>
    <col min="7" max="7" width="17" bestFit="1" customWidth="1"/>
    <col min="8" max="8" width="24.06640625" bestFit="1" customWidth="1"/>
    <col min="9" max="9" width="26.796875" bestFit="1" customWidth="1"/>
    <col min="10" max="10" width="13.265625" bestFit="1" customWidth="1"/>
    <col min="11" max="11" width="13.46484375" bestFit="1" customWidth="1"/>
    <col min="12" max="14" width="12.06640625" bestFit="1" customWidth="1"/>
    <col min="15" max="15" width="13.265625" bestFit="1" customWidth="1"/>
  </cols>
  <sheetData>
    <row r="1" spans="1:7" x14ac:dyDescent="0.45">
      <c r="A1" s="51" t="s">
        <v>191</v>
      </c>
      <c r="B1" s="50"/>
      <c r="C1" s="47"/>
      <c r="D1" s="47"/>
      <c r="E1" s="48"/>
      <c r="F1" s="49"/>
      <c r="G1" s="49"/>
    </row>
    <row r="2" spans="1:7" x14ac:dyDescent="0.45">
      <c r="A2" s="47" t="s">
        <v>190</v>
      </c>
      <c r="B2" s="47"/>
      <c r="C2" s="47"/>
      <c r="E2" s="48"/>
      <c r="F2" s="47"/>
      <c r="G2" s="47"/>
    </row>
    <row r="3" spans="1:7" x14ac:dyDescent="0.45">
      <c r="A3" s="47" t="s">
        <v>189</v>
      </c>
      <c r="B3" s="47"/>
      <c r="C3" s="47"/>
      <c r="E3" s="48"/>
      <c r="F3" s="47"/>
      <c r="G3" s="47"/>
    </row>
    <row r="4" spans="1:7" x14ac:dyDescent="0.45">
      <c r="A4" s="47" t="s">
        <v>188</v>
      </c>
      <c r="B4" s="47"/>
      <c r="C4" s="47"/>
      <c r="E4" s="48"/>
      <c r="F4" s="47"/>
      <c r="G4" s="47"/>
    </row>
    <row r="5" spans="1:7" x14ac:dyDescent="0.45">
      <c r="A5" s="47"/>
      <c r="B5" s="47"/>
      <c r="C5" s="47"/>
      <c r="E5" s="48"/>
      <c r="F5" s="47"/>
      <c r="G5" s="47"/>
    </row>
    <row r="6" spans="1:7" x14ac:dyDescent="0.45">
      <c r="A6" s="47"/>
      <c r="B6" s="47"/>
      <c r="C6" s="47"/>
      <c r="E6" s="48"/>
      <c r="F6" s="47"/>
      <c r="G6" s="47"/>
    </row>
    <row r="7" spans="1:7" x14ac:dyDescent="0.45">
      <c r="A7" s="1" t="s">
        <v>187</v>
      </c>
      <c r="B7" s="1"/>
      <c r="C7" s="1"/>
      <c r="D7" s="1"/>
      <c r="E7" s="1"/>
    </row>
    <row r="8" spans="1:7" x14ac:dyDescent="0.45">
      <c r="A8" s="1"/>
      <c r="B8" s="1"/>
      <c r="C8" s="1"/>
      <c r="D8" s="1"/>
      <c r="E8" s="1"/>
    </row>
    <row r="9" spans="1:7" x14ac:dyDescent="0.45">
      <c r="A9" s="46"/>
      <c r="B9" s="45" t="s">
        <v>155</v>
      </c>
      <c r="C9" s="44" t="s">
        <v>110</v>
      </c>
      <c r="D9" s="44" t="s">
        <v>186</v>
      </c>
      <c r="E9" s="43" t="s">
        <v>153</v>
      </c>
      <c r="F9" s="42" t="s">
        <v>185</v>
      </c>
      <c r="G9" s="42" t="s">
        <v>111</v>
      </c>
    </row>
    <row r="10" spans="1:7" x14ac:dyDescent="0.45">
      <c r="A10" s="1" t="s">
        <v>184</v>
      </c>
      <c r="B10" s="41">
        <v>140133186</v>
      </c>
      <c r="C10" s="36">
        <v>101167938</v>
      </c>
      <c r="D10" s="36">
        <v>44378694</v>
      </c>
      <c r="E10" s="36">
        <v>1202348676</v>
      </c>
      <c r="F10" s="36">
        <f>SUM(D10:E10)</f>
        <v>1246727370</v>
      </c>
      <c r="G10" s="36">
        <f>SUM(B10:E10)</f>
        <v>1488028494</v>
      </c>
    </row>
    <row r="11" spans="1:7" x14ac:dyDescent="0.45">
      <c r="A11" s="1" t="s">
        <v>183</v>
      </c>
      <c r="B11" s="41">
        <v>29294328</v>
      </c>
      <c r="C11" s="36">
        <v>22052172</v>
      </c>
      <c r="D11" s="36">
        <v>7834260</v>
      </c>
      <c r="E11" s="36">
        <v>217198356</v>
      </c>
      <c r="F11" s="36">
        <f>SUM(D11:E11)</f>
        <v>225032616</v>
      </c>
      <c r="G11" s="36">
        <f>SUM(B11:E11)</f>
        <v>276379116</v>
      </c>
    </row>
    <row r="12" spans="1:7" x14ac:dyDescent="0.45">
      <c r="A12" s="1"/>
      <c r="B12" s="40"/>
      <c r="C12" s="36"/>
      <c r="D12" s="36"/>
      <c r="E12" s="39"/>
      <c r="F12" s="36"/>
      <c r="G12" s="36"/>
    </row>
  </sheetData>
  <pageMargins left="0.70866141732283472" right="0.70866141732283472" top="0.74803149606299213" bottom="0.74803149606299213"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16239-1193-4C7C-BE2C-FA59C4A83546}">
  <sheetPr>
    <tabColor theme="7" tint="0.59999389629810485"/>
  </sheetPr>
  <dimension ref="A1:AM31"/>
  <sheetViews>
    <sheetView workbookViewId="0"/>
  </sheetViews>
  <sheetFormatPr defaultRowHeight="14.25" x14ac:dyDescent="0.45"/>
  <cols>
    <col min="1" max="1" width="14.265625" bestFit="1" customWidth="1"/>
    <col min="2" max="2" width="11.73046875" customWidth="1"/>
    <col min="8" max="8" width="13.59765625" customWidth="1"/>
    <col min="9" max="9" width="14.06640625" customWidth="1"/>
    <col min="11" max="11" width="13.73046875" customWidth="1"/>
    <col min="15" max="15" width="14.265625" bestFit="1" customWidth="1"/>
    <col min="16" max="16" width="11.796875" customWidth="1"/>
    <col min="22" max="22" width="12.59765625" customWidth="1"/>
    <col min="23" max="23" width="12.86328125" customWidth="1"/>
    <col min="25" max="25" width="15.06640625" customWidth="1"/>
    <col min="29" max="29" width="14.265625" bestFit="1" customWidth="1"/>
    <col min="30" max="30" width="12.06640625" customWidth="1"/>
    <col min="36" max="36" width="13.06640625" customWidth="1"/>
    <col min="37" max="37" width="12.86328125" customWidth="1"/>
    <col min="39" max="39" width="14.06640625" customWidth="1"/>
  </cols>
  <sheetData>
    <row r="1" spans="1:39" x14ac:dyDescent="0.45">
      <c r="A1" t="s">
        <v>695</v>
      </c>
    </row>
    <row r="3" spans="1:39" x14ac:dyDescent="0.45">
      <c r="A3" t="s">
        <v>153</v>
      </c>
      <c r="O3" t="s">
        <v>154</v>
      </c>
      <c r="AC3" t="s">
        <v>155</v>
      </c>
    </row>
    <row r="4" spans="1:39" x14ac:dyDescent="0.45">
      <c r="C4" t="s">
        <v>122</v>
      </c>
      <c r="H4" t="s">
        <v>288</v>
      </c>
      <c r="Q4" t="s">
        <v>122</v>
      </c>
      <c r="V4" t="s">
        <v>288</v>
      </c>
      <c r="AE4" t="s">
        <v>122</v>
      </c>
      <c r="AJ4" t="s">
        <v>288</v>
      </c>
    </row>
    <row r="7" spans="1:39" ht="57" x14ac:dyDescent="0.45">
      <c r="A7" t="s">
        <v>197</v>
      </c>
      <c r="B7" s="2" t="s">
        <v>206</v>
      </c>
      <c r="C7" t="s">
        <v>12</v>
      </c>
      <c r="D7" s="2" t="s">
        <v>123</v>
      </c>
      <c r="E7" s="2"/>
      <c r="F7" s="2"/>
      <c r="H7" t="s">
        <v>12</v>
      </c>
      <c r="I7" t="s">
        <v>123</v>
      </c>
      <c r="J7" s="2" t="s">
        <v>152</v>
      </c>
      <c r="K7" s="2" t="s">
        <v>219</v>
      </c>
      <c r="O7" t="s">
        <v>197</v>
      </c>
      <c r="P7" s="2" t="s">
        <v>206</v>
      </c>
      <c r="Q7" t="s">
        <v>12</v>
      </c>
      <c r="R7" s="2" t="s">
        <v>123</v>
      </c>
      <c r="S7" s="2"/>
      <c r="T7" s="2"/>
      <c r="V7" t="s">
        <v>12</v>
      </c>
      <c r="W7" t="s">
        <v>123</v>
      </c>
      <c r="X7" s="2" t="s">
        <v>152</v>
      </c>
      <c r="Y7" s="2" t="s">
        <v>219</v>
      </c>
      <c r="AC7" t="s">
        <v>197</v>
      </c>
      <c r="AD7" s="2" t="s">
        <v>206</v>
      </c>
      <c r="AE7" t="s">
        <v>12</v>
      </c>
      <c r="AF7" s="2" t="s">
        <v>123</v>
      </c>
      <c r="AG7" s="2"/>
      <c r="AH7" s="2"/>
      <c r="AJ7" t="s">
        <v>12</v>
      </c>
      <c r="AK7" t="s">
        <v>123</v>
      </c>
      <c r="AL7" s="2" t="s">
        <v>152</v>
      </c>
      <c r="AM7" s="2" t="s">
        <v>219</v>
      </c>
    </row>
    <row r="8" spans="1:39" x14ac:dyDescent="0.45">
      <c r="A8" t="str">
        <f>IF('Freesat-Gen Ent EPG'!C10&lt;&gt;0,'Freesat-Gen Ent EPG'!C10,"")</f>
        <v>BBC One</v>
      </c>
      <c r="B8">
        <f>IF(A8="","",(IF((LEFT(A8,3))="BBC",0,1)))</f>
        <v>0</v>
      </c>
      <c r="C8">
        <f>IF($A8="","",INDEX('Freesat-Gen Ent EPG'!$A:$C,MATCH($A8,'Freesat-Gen Ent EPG'!$C:$C,0),1))</f>
        <v>101</v>
      </c>
      <c r="D8">
        <f>IF($A8="","",INDEX('Freesat-Gen Ent EPG'!$A:$C,MATCH($A8,'Freesat-Gen Ent EPG'!$C:$C,0),2))</f>
        <v>1</v>
      </c>
      <c r="H8">
        <f>IF($A8="","",INDEX('Freesat-Gen Ent EPG'!$Q:$S,MATCH($A8,'Freesat-Gen Ent EPG'!$S:$S,0),1))</f>
        <v>101</v>
      </c>
      <c r="I8">
        <f>IF($A8="","",INDEX('Freesat-Gen Ent EPG'!$Q:$S,MATCH($A8,'Freesat-Gen Ent EPG'!$S:$S,0),2))</f>
        <v>1</v>
      </c>
      <c r="J8">
        <f>IF($D8="","",$D8-I8)</f>
        <v>0</v>
      </c>
      <c r="K8">
        <f>IF($D8="","",(IF(H8&lt;&gt;$C8,1,0)))</f>
        <v>0</v>
      </c>
      <c r="O8" t="str">
        <f>IF('Freesat-Gen Ent EPG'!G10&lt;&gt;0,'Freesat-Gen Ent EPG'!G10,"")</f>
        <v>BBC One HD</v>
      </c>
      <c r="P8">
        <f>IF(O8="","",(IF((LEFT(O8,3))="BBC",0,1)))</f>
        <v>0</v>
      </c>
      <c r="Q8">
        <f>IF($O8="","",INDEX('Freesat-Gen Ent EPG'!$E:$G,MATCH($O8,'Freesat-Gen Ent EPG'!$G:$G,0),1))</f>
        <v>101</v>
      </c>
      <c r="R8">
        <f>IF($O8="","",INDEX('Freesat-Gen Ent EPG'!$E:$G,MATCH($O8,'Freesat-Gen Ent EPG'!$G:$G,0),2))</f>
        <v>1</v>
      </c>
      <c r="V8">
        <f>IF($O8="","",INDEX('Freesat-Gen Ent EPG'!$U:$W,MATCH($O8,'Freesat-Gen Ent EPG'!$W:$W,0),1))</f>
        <v>101</v>
      </c>
      <c r="W8">
        <f>IF($O8="","",INDEX('Freesat-Gen Ent EPG'!$U:$W,MATCH($O8,'Freesat-Gen Ent EPG'!$W:$W,0),2))</f>
        <v>1</v>
      </c>
      <c r="X8">
        <f>IF($R8="","",$R8-W8)</f>
        <v>0</v>
      </c>
      <c r="Y8">
        <f>IF($R8="","",(IF(V8&lt;&gt;$Q8,1,0)))</f>
        <v>0</v>
      </c>
      <c r="AC8" t="str">
        <f>IF('Freesat-Gen Ent EPG'!K10&lt;&gt;0,'Freesat-Gen Ent EPG'!K10,"")</f>
        <v>BBC One HD</v>
      </c>
      <c r="AD8">
        <f>IF(AC8="","",(IF((LEFT(AC8,3))="BBC",0,1)))</f>
        <v>0</v>
      </c>
      <c r="AE8">
        <f>IF($AC8="","",INDEX('Freesat-Gen Ent EPG'!$I:$K,MATCH($AC8,'Freesat-Gen Ent EPG'!$K:$K,0),1))</f>
        <v>101</v>
      </c>
      <c r="AF8">
        <f>IF($AC8="","",INDEX('Freesat-Gen Ent EPG'!$I:$K,MATCH($AC8,'Freesat-Gen Ent EPG'!$K:$K,0),2))</f>
        <v>1</v>
      </c>
      <c r="AJ8">
        <f>IF($AC8="","",INDEX('Freesat-Gen Ent EPG'!$Y:$AA,MATCH($AC8,'Freesat-Gen Ent EPG'!$AA:$AA,0),1))</f>
        <v>101</v>
      </c>
      <c r="AK8">
        <f>IF($AC8="","",INDEX('Freesat-Gen Ent EPG'!$Y:$AA,MATCH($AC8,'Freesat-Gen Ent EPG'!$AA:$AA,0),2))</f>
        <v>1</v>
      </c>
      <c r="AL8">
        <f>IF($AF8="","",$AF8-AK8)</f>
        <v>0</v>
      </c>
      <c r="AM8">
        <f>IF($AF8="","",(IF(AJ8&lt;&gt;$AE8,1,0)))</f>
        <v>0</v>
      </c>
    </row>
    <row r="9" spans="1:39" x14ac:dyDescent="0.45">
      <c r="A9" t="str">
        <f>IF('Freesat-Gen Ent EPG'!C11&lt;&gt;0,'Freesat-Gen Ent EPG'!C11,"")</f>
        <v>BBC Two HD</v>
      </c>
      <c r="B9">
        <f t="shared" ref="B9:B28" si="0">IF(A9="","",(IF((LEFT(A9,3))="BBC",0,1)))</f>
        <v>0</v>
      </c>
      <c r="C9">
        <f>IF($A9="","",INDEX('Freesat-Gen Ent EPG'!$A:$C,MATCH($A9,'Freesat-Gen Ent EPG'!$C:$C,0),1))</f>
        <v>102</v>
      </c>
      <c r="D9">
        <f>IF($A9="","",INDEX('Freesat-Gen Ent EPG'!$A:$C,MATCH($A9,'Freesat-Gen Ent EPG'!$C:$C,0),2))</f>
        <v>2</v>
      </c>
      <c r="H9">
        <f>IF($A9="","",INDEX('Freesat-Gen Ent EPG'!$Q:$S,MATCH($A9,'Freesat-Gen Ent EPG'!$S:$S,0),1))</f>
        <v>102</v>
      </c>
      <c r="I9">
        <f>IF($A9="","",INDEX('Freesat-Gen Ent EPG'!$Q:$S,MATCH($A9,'Freesat-Gen Ent EPG'!$S:$S,0),2))</f>
        <v>2</v>
      </c>
      <c r="J9">
        <f t="shared" ref="J9:J28" si="1">IF($D9="","",$D9-I9)</f>
        <v>0</v>
      </c>
      <c r="K9">
        <f t="shared" ref="K9:K28" si="2">IF($D9="","",(IF(H9&lt;&gt;$C9,1,0)))</f>
        <v>0</v>
      </c>
      <c r="O9" t="str">
        <f>IF('Freesat-Gen Ent EPG'!G11&lt;&gt;0,'Freesat-Gen Ent EPG'!G11,"")</f>
        <v>BBC Two HD</v>
      </c>
      <c r="P9">
        <f t="shared" ref="P9:P28" si="3">IF(O9="","",(IF((LEFT(O9,3))="BBC",0,1)))</f>
        <v>0</v>
      </c>
      <c r="Q9">
        <f>IF($O9="","",INDEX('Freesat-Gen Ent EPG'!$E:$G,MATCH($O9,'Freesat-Gen Ent EPG'!$G:$G,0),1))</f>
        <v>102</v>
      </c>
      <c r="R9">
        <f>IF($O9="","",INDEX('Freesat-Gen Ent EPG'!$E:$G,MATCH($O9,'Freesat-Gen Ent EPG'!$G:$G,0),2))</f>
        <v>2</v>
      </c>
      <c r="V9">
        <f>IF($O9="","",INDEX('Freesat-Gen Ent EPG'!$U:$W,MATCH($O9,'Freesat-Gen Ent EPG'!$W:$W,0),1))</f>
        <v>102</v>
      </c>
      <c r="W9">
        <f>IF($O9="","",INDEX('Freesat-Gen Ent EPG'!$U:$W,MATCH($O9,'Freesat-Gen Ent EPG'!$W:$W,0),2))</f>
        <v>2</v>
      </c>
      <c r="X9">
        <f t="shared" ref="X9:X28" si="4">IF($R9="","",$R9-W9)</f>
        <v>0</v>
      </c>
      <c r="Y9">
        <f t="shared" ref="Y9:Y28" si="5">IF($R9="","",(IF(V9&lt;&gt;$Q9,1,0)))</f>
        <v>0</v>
      </c>
      <c r="AC9" t="str">
        <f>IF('Freesat-Gen Ent EPG'!K11&lt;&gt;0,'Freesat-Gen Ent EPG'!K11,"")</f>
        <v>BBC Two HD</v>
      </c>
      <c r="AD9">
        <f t="shared" ref="AD9:AD28" si="6">IF(AC9="","",(IF((LEFT(AC9,3))="BBC",0,1)))</f>
        <v>0</v>
      </c>
      <c r="AE9">
        <f>IF($AC9="","",INDEX('Freesat-Gen Ent EPG'!$I:$K,MATCH($AC9,'Freesat-Gen Ent EPG'!$K:$K,0),1))</f>
        <v>102</v>
      </c>
      <c r="AF9">
        <f>IF($AC9="","",INDEX('Freesat-Gen Ent EPG'!$I:$K,MATCH($AC9,'Freesat-Gen Ent EPG'!$K:$K,0),2))</f>
        <v>2</v>
      </c>
      <c r="AJ9">
        <f>IF($AC9="","",INDEX('Freesat-Gen Ent EPG'!$Y:$AA,MATCH($AC9,'Freesat-Gen Ent EPG'!$AA:$AA,0),1))</f>
        <v>102</v>
      </c>
      <c r="AK9">
        <f>IF($AC9="","",INDEX('Freesat-Gen Ent EPG'!$Y:$AA,MATCH($AC9,'Freesat-Gen Ent EPG'!$AA:$AA,0),2))</f>
        <v>2</v>
      </c>
      <c r="AL9">
        <f t="shared" ref="AL9:AL28" si="7">IF($AF9="","",$AF9-AK9)</f>
        <v>0</v>
      </c>
      <c r="AM9">
        <f t="shared" ref="AM9:AM28" si="8">IF($AF9="","",(IF(AJ9&lt;&gt;$AE9,1,0)))</f>
        <v>0</v>
      </c>
    </row>
    <row r="10" spans="1:39" x14ac:dyDescent="0.45">
      <c r="A10" t="str">
        <f>IF('Freesat-Gen Ent EPG'!C12&lt;&gt;0,'Freesat-Gen Ent EPG'!C12,"")</f>
        <v>ITV</v>
      </c>
      <c r="B10">
        <f t="shared" si="0"/>
        <v>1</v>
      </c>
      <c r="C10">
        <f>IF($A10="","",INDEX('Freesat-Gen Ent EPG'!$A:$C,MATCH($A10,'Freesat-Gen Ent EPG'!$C:$C,0),1))</f>
        <v>103</v>
      </c>
      <c r="D10">
        <f>IF($A10="","",INDEX('Freesat-Gen Ent EPG'!$A:$C,MATCH($A10,'Freesat-Gen Ent EPG'!$C:$C,0),2))</f>
        <v>3</v>
      </c>
      <c r="H10">
        <f>IF($A10="","",INDEX('Freesat-Gen Ent EPG'!$Q:$S,MATCH($A10,'Freesat-Gen Ent EPG'!$S:$S,0),1))</f>
        <v>103</v>
      </c>
      <c r="I10">
        <f>IF($A10="","",INDEX('Freesat-Gen Ent EPG'!$Q:$S,MATCH($A10,'Freesat-Gen Ent EPG'!$S:$S,0),2))</f>
        <v>3</v>
      </c>
      <c r="J10">
        <f t="shared" si="1"/>
        <v>0</v>
      </c>
      <c r="K10">
        <f t="shared" si="2"/>
        <v>0</v>
      </c>
      <c r="O10" t="str">
        <f>IF('Freesat-Gen Ent EPG'!G12&lt;&gt;0,'Freesat-Gen Ent EPG'!G12,"")</f>
        <v>UTV</v>
      </c>
      <c r="P10">
        <f t="shared" si="3"/>
        <v>1</v>
      </c>
      <c r="Q10">
        <f>IF($O10="","",INDEX('Freesat-Gen Ent EPG'!$E:$G,MATCH($O10,'Freesat-Gen Ent EPG'!$G:$G,0),1))</f>
        <v>103</v>
      </c>
      <c r="R10">
        <f>IF($O10="","",INDEX('Freesat-Gen Ent EPG'!$E:$G,MATCH($O10,'Freesat-Gen Ent EPG'!$G:$G,0),2))</f>
        <v>3</v>
      </c>
      <c r="V10">
        <f>IF($O10="","",INDEX('Freesat-Gen Ent EPG'!$U:$W,MATCH($O10,'Freesat-Gen Ent EPG'!$W:$W,0),1))</f>
        <v>103</v>
      </c>
      <c r="W10">
        <f>IF($O10="","",INDEX('Freesat-Gen Ent EPG'!$U:$W,MATCH($O10,'Freesat-Gen Ent EPG'!$W:$W,0),2))</f>
        <v>3</v>
      </c>
      <c r="X10">
        <f t="shared" si="4"/>
        <v>0</v>
      </c>
      <c r="Y10">
        <f t="shared" si="5"/>
        <v>0</v>
      </c>
      <c r="AC10" t="str">
        <f>IF('Freesat-Gen Ent EPG'!K12&lt;&gt;0,'Freesat-Gen Ent EPG'!K12,"")</f>
        <v>STV</v>
      </c>
      <c r="AD10">
        <f t="shared" si="6"/>
        <v>1</v>
      </c>
      <c r="AE10">
        <f>IF($AC10="","",INDEX('Freesat-Gen Ent EPG'!$I:$K,MATCH($AC10,'Freesat-Gen Ent EPG'!$K:$K,0),1))</f>
        <v>103</v>
      </c>
      <c r="AF10">
        <f>IF($AC10="","",INDEX('Freesat-Gen Ent EPG'!$I:$K,MATCH($AC10,'Freesat-Gen Ent EPG'!$K:$K,0),2))</f>
        <v>3</v>
      </c>
      <c r="AJ10">
        <f>IF($AC10="","",INDEX('Freesat-Gen Ent EPG'!$Y:$AA,MATCH($AC10,'Freesat-Gen Ent EPG'!$AA:$AA,0),1))</f>
        <v>103</v>
      </c>
      <c r="AK10">
        <f>IF($AC10="","",INDEX('Freesat-Gen Ent EPG'!$Y:$AA,MATCH($AC10,'Freesat-Gen Ent EPG'!$AA:$AA,0),2))</f>
        <v>3</v>
      </c>
      <c r="AL10">
        <f t="shared" si="7"/>
        <v>0</v>
      </c>
      <c r="AM10">
        <f t="shared" si="8"/>
        <v>0</v>
      </c>
    </row>
    <row r="11" spans="1:39" x14ac:dyDescent="0.45">
      <c r="A11" t="str">
        <f>IF('Freesat-Gen Ent EPG'!C13&lt;&gt;0,'Freesat-Gen Ent EPG'!C13,"")</f>
        <v>Channel 4</v>
      </c>
      <c r="B11">
        <f t="shared" si="0"/>
        <v>1</v>
      </c>
      <c r="C11">
        <f>IF($A11="","",INDEX('Freesat-Gen Ent EPG'!$A:$C,MATCH($A11,'Freesat-Gen Ent EPG'!$C:$C,0),1))</f>
        <v>104</v>
      </c>
      <c r="D11">
        <f>IF($A11="","",INDEX('Freesat-Gen Ent EPG'!$A:$C,MATCH($A11,'Freesat-Gen Ent EPG'!$C:$C,0),2))</f>
        <v>4</v>
      </c>
      <c r="H11">
        <f>IF($A11="","",INDEX('Freesat-Gen Ent EPG'!$Q:$S,MATCH($A11,'Freesat-Gen Ent EPG'!$S:$S,0),1))</f>
        <v>104</v>
      </c>
      <c r="I11">
        <f>IF($A11="","",INDEX('Freesat-Gen Ent EPG'!$Q:$S,MATCH($A11,'Freesat-Gen Ent EPG'!$S:$S,0),2))</f>
        <v>4</v>
      </c>
      <c r="J11">
        <f t="shared" si="1"/>
        <v>0</v>
      </c>
      <c r="K11">
        <f t="shared" si="2"/>
        <v>0</v>
      </c>
      <c r="O11" t="str">
        <f>IF('Freesat-Gen Ent EPG'!G13&lt;&gt;0,'Freesat-Gen Ent EPG'!G13,"")</f>
        <v>Channel 4</v>
      </c>
      <c r="P11">
        <f t="shared" si="3"/>
        <v>1</v>
      </c>
      <c r="Q11">
        <f>IF($O11="","",INDEX('Freesat-Gen Ent EPG'!$E:$G,MATCH($O11,'Freesat-Gen Ent EPG'!$G:$G,0),1))</f>
        <v>104</v>
      </c>
      <c r="R11">
        <f>IF($O11="","",INDEX('Freesat-Gen Ent EPG'!$E:$G,MATCH($O11,'Freesat-Gen Ent EPG'!$G:$G,0),2))</f>
        <v>4</v>
      </c>
      <c r="V11">
        <f>IF($O11="","",INDEX('Freesat-Gen Ent EPG'!$U:$W,MATCH($O11,'Freesat-Gen Ent EPG'!$W:$W,0),1))</f>
        <v>104</v>
      </c>
      <c r="W11">
        <f>IF($O11="","",INDEX('Freesat-Gen Ent EPG'!$U:$W,MATCH($O11,'Freesat-Gen Ent EPG'!$W:$W,0),2))</f>
        <v>4</v>
      </c>
      <c r="X11">
        <f t="shared" si="4"/>
        <v>0</v>
      </c>
      <c r="Y11">
        <f t="shared" si="5"/>
        <v>0</v>
      </c>
      <c r="AC11" t="str">
        <f>IF('Freesat-Gen Ent EPG'!K13&lt;&gt;0,'Freesat-Gen Ent EPG'!K13,"")</f>
        <v>Channel 4</v>
      </c>
      <c r="AD11">
        <f t="shared" si="6"/>
        <v>1</v>
      </c>
      <c r="AE11">
        <f>IF($AC11="","",INDEX('Freesat-Gen Ent EPG'!$I:$K,MATCH($AC11,'Freesat-Gen Ent EPG'!$K:$K,0),1))</f>
        <v>104</v>
      </c>
      <c r="AF11">
        <f>IF($AC11="","",INDEX('Freesat-Gen Ent EPG'!$I:$K,MATCH($AC11,'Freesat-Gen Ent EPG'!$K:$K,0),2))</f>
        <v>4</v>
      </c>
      <c r="AJ11">
        <f>IF($AC11="","",INDEX('Freesat-Gen Ent EPG'!$Y:$AA,MATCH($AC11,'Freesat-Gen Ent EPG'!$AA:$AA,0),1))</f>
        <v>104</v>
      </c>
      <c r="AK11">
        <f>IF($AC11="","",INDEX('Freesat-Gen Ent EPG'!$Y:$AA,MATCH($AC11,'Freesat-Gen Ent EPG'!$AA:$AA,0),2))</f>
        <v>4</v>
      </c>
      <c r="AL11">
        <f t="shared" si="7"/>
        <v>0</v>
      </c>
      <c r="AM11">
        <f t="shared" si="8"/>
        <v>0</v>
      </c>
    </row>
    <row r="12" spans="1:39" x14ac:dyDescent="0.45">
      <c r="A12" t="str">
        <f>IF('Freesat-Gen Ent EPG'!C14&lt;&gt;0,'Freesat-Gen Ent EPG'!C14,"")</f>
        <v>Channel 5 HD</v>
      </c>
      <c r="B12">
        <f t="shared" si="0"/>
        <v>1</v>
      </c>
      <c r="C12">
        <f>IF($A12="","",INDEX('Freesat-Gen Ent EPG'!$A:$C,MATCH($A12,'Freesat-Gen Ent EPG'!$C:$C,0),1))</f>
        <v>105</v>
      </c>
      <c r="D12">
        <f>IF($A12="","",INDEX('Freesat-Gen Ent EPG'!$A:$C,MATCH($A12,'Freesat-Gen Ent EPG'!$C:$C,0),2))</f>
        <v>5</v>
      </c>
      <c r="H12">
        <f>IF($A12="","",INDEX('Freesat-Gen Ent EPG'!$Q:$S,MATCH($A12,'Freesat-Gen Ent EPG'!$S:$S,0),1))</f>
        <v>105</v>
      </c>
      <c r="I12">
        <f>IF($A12="","",INDEX('Freesat-Gen Ent EPG'!$Q:$S,MATCH($A12,'Freesat-Gen Ent EPG'!$S:$S,0),2))</f>
        <v>5</v>
      </c>
      <c r="J12">
        <f t="shared" si="1"/>
        <v>0</v>
      </c>
      <c r="K12">
        <f t="shared" si="2"/>
        <v>0</v>
      </c>
      <c r="O12" t="str">
        <f>IF('Freesat-Gen Ent EPG'!G14&lt;&gt;0,'Freesat-Gen Ent EPG'!G14,"")</f>
        <v>Channel 5 HD</v>
      </c>
      <c r="P12">
        <f t="shared" si="3"/>
        <v>1</v>
      </c>
      <c r="Q12">
        <f>IF($O12="","",INDEX('Freesat-Gen Ent EPG'!$E:$G,MATCH($O12,'Freesat-Gen Ent EPG'!$G:$G,0),1))</f>
        <v>105</v>
      </c>
      <c r="R12">
        <f>IF($O12="","",INDEX('Freesat-Gen Ent EPG'!$E:$G,MATCH($O12,'Freesat-Gen Ent EPG'!$G:$G,0),2))</f>
        <v>5</v>
      </c>
      <c r="V12">
        <f>IF($O12="","",INDEX('Freesat-Gen Ent EPG'!$U:$W,MATCH($O12,'Freesat-Gen Ent EPG'!$W:$W,0),1))</f>
        <v>105</v>
      </c>
      <c r="W12">
        <f>IF($O12="","",INDEX('Freesat-Gen Ent EPG'!$U:$W,MATCH($O12,'Freesat-Gen Ent EPG'!$W:$W,0),2))</f>
        <v>5</v>
      </c>
      <c r="X12">
        <f t="shared" si="4"/>
        <v>0</v>
      </c>
      <c r="Y12">
        <f t="shared" si="5"/>
        <v>0</v>
      </c>
      <c r="AC12" t="str">
        <f>IF('Freesat-Gen Ent EPG'!K14&lt;&gt;0,'Freesat-Gen Ent EPG'!K14,"")</f>
        <v>Channel 5 HD</v>
      </c>
      <c r="AD12">
        <f t="shared" si="6"/>
        <v>1</v>
      </c>
      <c r="AE12">
        <f>IF($AC12="","",INDEX('Freesat-Gen Ent EPG'!$I:$K,MATCH($AC12,'Freesat-Gen Ent EPG'!$K:$K,0),1))</f>
        <v>105</v>
      </c>
      <c r="AF12">
        <f>IF($AC12="","",INDEX('Freesat-Gen Ent EPG'!$I:$K,MATCH($AC12,'Freesat-Gen Ent EPG'!$K:$K,0),2))</f>
        <v>5</v>
      </c>
      <c r="AJ12">
        <f>IF($AC12="","",INDEX('Freesat-Gen Ent EPG'!$Y:$AA,MATCH($AC12,'Freesat-Gen Ent EPG'!$AA:$AA,0),1))</f>
        <v>105</v>
      </c>
      <c r="AK12">
        <f>IF($AC12="","",INDEX('Freesat-Gen Ent EPG'!$Y:$AA,MATCH($AC12,'Freesat-Gen Ent EPG'!$AA:$AA,0),2))</f>
        <v>5</v>
      </c>
      <c r="AL12">
        <f t="shared" si="7"/>
        <v>0</v>
      </c>
      <c r="AM12">
        <f t="shared" si="8"/>
        <v>0</v>
      </c>
    </row>
    <row r="13" spans="1:39" x14ac:dyDescent="0.45">
      <c r="A13" t="str">
        <f>IF('Freesat-Gen Ent EPG'!C15&lt;&gt;0,'Freesat-Gen Ent EPG'!C15,"")</f>
        <v>BBC One HD</v>
      </c>
      <c r="B13">
        <f t="shared" si="0"/>
        <v>0</v>
      </c>
      <c r="C13">
        <f>IF($A13="","",INDEX('Freesat-Gen Ent EPG'!$A:$C,MATCH($A13,'Freesat-Gen Ent EPG'!$C:$C,0),1))</f>
        <v>106</v>
      </c>
      <c r="D13">
        <f>IF($A13="","",INDEX('Freesat-Gen Ent EPG'!$A:$C,MATCH($A13,'Freesat-Gen Ent EPG'!$C:$C,0),2))</f>
        <v>6</v>
      </c>
      <c r="H13">
        <f>IF($A13="","",INDEX('Freesat-Gen Ent EPG'!$Q:$S,MATCH($A13,'Freesat-Gen Ent EPG'!$S:$S,0),1))</f>
        <v>106</v>
      </c>
      <c r="I13">
        <f>IF($A13="","",INDEX('Freesat-Gen Ent EPG'!$Q:$S,MATCH($A13,'Freesat-Gen Ent EPG'!$S:$S,0),2))</f>
        <v>6</v>
      </c>
      <c r="J13">
        <f t="shared" si="1"/>
        <v>0</v>
      </c>
      <c r="K13">
        <f t="shared" si="2"/>
        <v>0</v>
      </c>
      <c r="O13" t="str">
        <f>IF('Freesat-Gen Ent EPG'!G15&lt;&gt;0,'Freesat-Gen Ent EPG'!G15,"")</f>
        <v>BBC Two HD</v>
      </c>
      <c r="P13">
        <f t="shared" si="3"/>
        <v>0</v>
      </c>
      <c r="Q13">
        <f>IF($O13="","",INDEX('Freesat-Gen Ent EPG'!$E:$G,MATCH($O13,'Freesat-Gen Ent EPG'!$G:$G,0),1))</f>
        <v>102</v>
      </c>
      <c r="R13">
        <f>IF($O13="","",INDEX('Freesat-Gen Ent EPG'!$E:$G,MATCH($O13,'Freesat-Gen Ent EPG'!$G:$G,0),2))</f>
        <v>2</v>
      </c>
      <c r="V13">
        <f>IF($O13="","",INDEX('Freesat-Gen Ent EPG'!$U:$W,MATCH($O13,'Freesat-Gen Ent EPG'!$W:$W,0),1))</f>
        <v>102</v>
      </c>
      <c r="W13">
        <f>IF($O13="","",INDEX('Freesat-Gen Ent EPG'!$U:$W,MATCH($O13,'Freesat-Gen Ent EPG'!$W:$W,0),2))</f>
        <v>2</v>
      </c>
      <c r="X13">
        <f t="shared" si="4"/>
        <v>0</v>
      </c>
      <c r="Y13">
        <f t="shared" si="5"/>
        <v>0</v>
      </c>
      <c r="AC13" t="str">
        <f>IF('Freesat-Gen Ent EPG'!K15&lt;&gt;0,'Freesat-Gen Ent EPG'!K15,"")</f>
        <v>BBC Scotland HD</v>
      </c>
      <c r="AD13">
        <f t="shared" si="6"/>
        <v>0</v>
      </c>
      <c r="AE13">
        <f>IF($AC13="","",INDEX('Freesat-Gen Ent EPG'!$I:$K,MATCH($AC13,'Freesat-Gen Ent EPG'!$K:$K,0),1))</f>
        <v>106</v>
      </c>
      <c r="AF13">
        <f>IF($AC13="","",INDEX('Freesat-Gen Ent EPG'!$I:$K,MATCH($AC13,'Freesat-Gen Ent EPG'!$K:$K,0),2))</f>
        <v>6</v>
      </c>
      <c r="AJ13">
        <f>IF($AC13="","",INDEX('Freesat-Gen Ent EPG'!$Y:$AA,MATCH($AC13,'Freesat-Gen Ent EPG'!$AA:$AA,0),1))</f>
        <v>106</v>
      </c>
      <c r="AK13">
        <f>IF($AC13="","",INDEX('Freesat-Gen Ent EPG'!$Y:$AA,MATCH($AC13,'Freesat-Gen Ent EPG'!$AA:$AA,0),2))</f>
        <v>6</v>
      </c>
      <c r="AL13">
        <f t="shared" si="7"/>
        <v>0</v>
      </c>
      <c r="AM13">
        <f t="shared" si="8"/>
        <v>0</v>
      </c>
    </row>
    <row r="14" spans="1:39" x14ac:dyDescent="0.45">
      <c r="A14" t="str">
        <f>IF('Freesat-Gen Ent EPG'!C16&lt;&gt;0,'Freesat-Gen Ent EPG'!C16,"")</f>
        <v>BBC Four HD</v>
      </c>
      <c r="B14">
        <f t="shared" si="0"/>
        <v>0</v>
      </c>
      <c r="C14">
        <f>IF($A14="","",INDEX('Freesat-Gen Ent EPG'!$A:$C,MATCH($A14,'Freesat-Gen Ent EPG'!$C:$C,0),1))</f>
        <v>107</v>
      </c>
      <c r="D14">
        <f>IF($A14="","",INDEX('Freesat-Gen Ent EPG'!$A:$C,MATCH($A14,'Freesat-Gen Ent EPG'!$C:$C,0),2))</f>
        <v>7</v>
      </c>
      <c r="H14">
        <f>IF($A14="","",INDEX('Freesat-Gen Ent EPG'!$Q:$S,MATCH($A14,'Freesat-Gen Ent EPG'!$S:$S,0),1))</f>
        <v>107</v>
      </c>
      <c r="I14">
        <f>IF($A14="","",INDEX('Freesat-Gen Ent EPG'!$Q:$S,MATCH($A14,'Freesat-Gen Ent EPG'!$S:$S,0),2))</f>
        <v>7</v>
      </c>
      <c r="J14">
        <f t="shared" si="1"/>
        <v>0</v>
      </c>
      <c r="K14">
        <f t="shared" si="2"/>
        <v>0</v>
      </c>
      <c r="O14" t="str">
        <f>IF('Freesat-Gen Ent EPG'!G16&lt;&gt;0,'Freesat-Gen Ent EPG'!G16,"")</f>
        <v>BBC Four HD</v>
      </c>
      <c r="P14">
        <f t="shared" si="3"/>
        <v>0</v>
      </c>
      <c r="Q14">
        <f>IF($O14="","",INDEX('Freesat-Gen Ent EPG'!$E:$G,MATCH($O14,'Freesat-Gen Ent EPG'!$G:$G,0),1))</f>
        <v>107</v>
      </c>
      <c r="R14">
        <f>IF($O14="","",INDEX('Freesat-Gen Ent EPG'!$E:$G,MATCH($O14,'Freesat-Gen Ent EPG'!$G:$G,0),2))</f>
        <v>7</v>
      </c>
      <c r="V14">
        <f>IF($O14="","",INDEX('Freesat-Gen Ent EPG'!$U:$W,MATCH($O14,'Freesat-Gen Ent EPG'!$W:$W,0),1))</f>
        <v>107</v>
      </c>
      <c r="W14">
        <f>IF($O14="","",INDEX('Freesat-Gen Ent EPG'!$U:$W,MATCH($O14,'Freesat-Gen Ent EPG'!$W:$W,0),2))</f>
        <v>7</v>
      </c>
      <c r="X14">
        <f t="shared" si="4"/>
        <v>0</v>
      </c>
      <c r="Y14">
        <f t="shared" si="5"/>
        <v>0</v>
      </c>
      <c r="AC14" t="str">
        <f>IF('Freesat-Gen Ent EPG'!K16&lt;&gt;0,'Freesat-Gen Ent EPG'!K16,"")</f>
        <v>BBC Four HD</v>
      </c>
      <c r="AD14">
        <f t="shared" si="6"/>
        <v>0</v>
      </c>
      <c r="AE14">
        <f>IF($AC14="","",INDEX('Freesat-Gen Ent EPG'!$I:$K,MATCH($AC14,'Freesat-Gen Ent EPG'!$K:$K,0),1))</f>
        <v>107</v>
      </c>
      <c r="AF14">
        <f>IF($AC14="","",INDEX('Freesat-Gen Ent EPG'!$I:$K,MATCH($AC14,'Freesat-Gen Ent EPG'!$K:$K,0),2))</f>
        <v>7</v>
      </c>
      <c r="AJ14">
        <f>IF($AC14="","",INDEX('Freesat-Gen Ent EPG'!$Y:$AA,MATCH($AC14,'Freesat-Gen Ent EPG'!$AA:$AA,0),1))</f>
        <v>107</v>
      </c>
      <c r="AK14">
        <f>IF($AC14="","",INDEX('Freesat-Gen Ent EPG'!$Y:$AA,MATCH($AC14,'Freesat-Gen Ent EPG'!$AA:$AA,0),2))</f>
        <v>7</v>
      </c>
      <c r="AL14">
        <f t="shared" si="7"/>
        <v>0</v>
      </c>
      <c r="AM14">
        <f t="shared" si="8"/>
        <v>0</v>
      </c>
    </row>
    <row r="15" spans="1:39" x14ac:dyDescent="0.45">
      <c r="A15" t="str">
        <f>IF('Freesat-Gen Ent EPG'!C17&lt;&gt;0,'Freesat-Gen Ent EPG'!C17,"")</f>
        <v>BBC Scotland HD</v>
      </c>
      <c r="B15">
        <f t="shared" si="0"/>
        <v>0</v>
      </c>
      <c r="C15">
        <f>IF($A15="","",INDEX('Freesat-Gen Ent EPG'!$A:$C,MATCH($A15,'Freesat-Gen Ent EPG'!$C:$C,0),1))</f>
        <v>108</v>
      </c>
      <c r="D15">
        <f>IF($A15="","",INDEX('Freesat-Gen Ent EPG'!$A:$C,MATCH($A15,'Freesat-Gen Ent EPG'!$C:$C,0),2))</f>
        <v>8</v>
      </c>
      <c r="H15">
        <f>IF($A15="","",INDEX('Freesat-Gen Ent EPG'!$Q:$S,MATCH($A15,'Freesat-Gen Ent EPG'!$S:$S,0),1))</f>
        <v>109</v>
      </c>
      <c r="I15">
        <f>IF($A15="","",INDEX('Freesat-Gen Ent EPG'!$Q:$S,MATCH($A15,'Freesat-Gen Ent EPG'!$S:$S,0),2))</f>
        <v>8</v>
      </c>
      <c r="J15">
        <f t="shared" si="1"/>
        <v>0</v>
      </c>
      <c r="K15">
        <f t="shared" si="2"/>
        <v>1</v>
      </c>
      <c r="O15" t="str">
        <f>IF('Freesat-Gen Ent EPG'!G17&lt;&gt;0,'Freesat-Gen Ent EPG'!G17,"")</f>
        <v>BBC Scotland HD</v>
      </c>
      <c r="P15">
        <f t="shared" si="3"/>
        <v>0</v>
      </c>
      <c r="Q15">
        <f>IF($O15="","",INDEX('Freesat-Gen Ent EPG'!$E:$G,MATCH($O15,'Freesat-Gen Ent EPG'!$G:$G,0),1))</f>
        <v>108</v>
      </c>
      <c r="R15">
        <f>IF($O15="","",INDEX('Freesat-Gen Ent EPG'!$E:$G,MATCH($O15,'Freesat-Gen Ent EPG'!$G:$G,0),2))</f>
        <v>8</v>
      </c>
      <c r="V15">
        <f>IF($O15="","",INDEX('Freesat-Gen Ent EPG'!$U:$W,MATCH($O15,'Freesat-Gen Ent EPG'!$W:$W,0),1))</f>
        <v>109</v>
      </c>
      <c r="W15">
        <f>IF($O15="","",INDEX('Freesat-Gen Ent EPG'!$U:$W,MATCH($O15,'Freesat-Gen Ent EPG'!$W:$W,0),2))</f>
        <v>8</v>
      </c>
      <c r="X15">
        <f t="shared" si="4"/>
        <v>0</v>
      </c>
      <c r="Y15">
        <f t="shared" si="5"/>
        <v>1</v>
      </c>
      <c r="AC15" t="str">
        <f>IF('Freesat-Gen Ent EPG'!K17&lt;&gt;0,'Freesat-Gen Ent EPG'!K17,"")</f>
        <v>BBC Scotland</v>
      </c>
      <c r="AD15">
        <f t="shared" si="6"/>
        <v>0</v>
      </c>
      <c r="AE15">
        <f>IF($AC15="","",INDEX('Freesat-Gen Ent EPG'!$I:$K,MATCH($AC15,'Freesat-Gen Ent EPG'!$K:$K,0),1))</f>
        <v>108</v>
      </c>
      <c r="AF15">
        <f>IF($AC15="","",INDEX('Freesat-Gen Ent EPG'!$I:$K,MATCH($AC15,'Freesat-Gen Ent EPG'!$K:$K,0),2))</f>
        <v>8</v>
      </c>
      <c r="AJ15">
        <f>IF($AC15="","",INDEX('Freesat-Gen Ent EPG'!$Y:$AA,MATCH($AC15,'Freesat-Gen Ent EPG'!$AA:$AA,0),1))</f>
        <v>109</v>
      </c>
      <c r="AK15">
        <f>IF($AC15="","",INDEX('Freesat-Gen Ent EPG'!$Y:$AA,MATCH($AC15,'Freesat-Gen Ent EPG'!$AA:$AA,0),2))</f>
        <v>8</v>
      </c>
      <c r="AL15">
        <f t="shared" si="7"/>
        <v>0</v>
      </c>
      <c r="AM15">
        <f t="shared" si="8"/>
        <v>1</v>
      </c>
    </row>
    <row r="16" spans="1:39" x14ac:dyDescent="0.45">
      <c r="A16" t="str">
        <f>IF('Freesat-Gen Ent EPG'!C18&lt;&gt;0,'Freesat-Gen Ent EPG'!C18,"")</f>
        <v>BBC Alba</v>
      </c>
      <c r="B16">
        <f t="shared" si="0"/>
        <v>0</v>
      </c>
      <c r="C16">
        <f>IF($A16="","",INDEX('Freesat-Gen Ent EPG'!$A:$C,MATCH($A16,'Freesat-Gen Ent EPG'!$C:$C,0),1))</f>
        <v>109</v>
      </c>
      <c r="D16">
        <f>IF($A16="","",INDEX('Freesat-Gen Ent EPG'!$A:$C,MATCH($A16,'Freesat-Gen Ent EPG'!$C:$C,0),2))</f>
        <v>9</v>
      </c>
      <c r="H16">
        <f>IF($A16="","",INDEX('Freesat-Gen Ent EPG'!$Q:$S,MATCH($A16,'Freesat-Gen Ent EPG'!$S:$S,0),1))</f>
        <v>110</v>
      </c>
      <c r="I16">
        <f>IF($A16="","",INDEX('Freesat-Gen Ent EPG'!$Q:$S,MATCH($A16,'Freesat-Gen Ent EPG'!$S:$S,0),2))</f>
        <v>9</v>
      </c>
      <c r="J16">
        <f t="shared" si="1"/>
        <v>0</v>
      </c>
      <c r="K16">
        <f t="shared" si="2"/>
        <v>1</v>
      </c>
      <c r="O16" t="str">
        <f>IF('Freesat-Gen Ent EPG'!G18&lt;&gt;0,'Freesat-Gen Ent EPG'!G18,"")</f>
        <v>BBC Alba</v>
      </c>
      <c r="P16">
        <f t="shared" si="3"/>
        <v>0</v>
      </c>
      <c r="Q16">
        <f>IF($O16="","",INDEX('Freesat-Gen Ent EPG'!$E:$G,MATCH($O16,'Freesat-Gen Ent EPG'!$G:$G,0),1))</f>
        <v>109</v>
      </c>
      <c r="R16">
        <f>IF($O16="","",INDEX('Freesat-Gen Ent EPG'!$E:$G,MATCH($O16,'Freesat-Gen Ent EPG'!$G:$G,0),2))</f>
        <v>9</v>
      </c>
      <c r="V16">
        <f>IF($O16="","",INDEX('Freesat-Gen Ent EPG'!$U:$W,MATCH($O16,'Freesat-Gen Ent EPG'!$W:$W,0),1))</f>
        <v>110</v>
      </c>
      <c r="W16">
        <f>IF($O16="","",INDEX('Freesat-Gen Ent EPG'!$U:$W,MATCH($O16,'Freesat-Gen Ent EPG'!$W:$W,0),2))</f>
        <v>9</v>
      </c>
      <c r="X16">
        <f t="shared" si="4"/>
        <v>0</v>
      </c>
      <c r="Y16">
        <f t="shared" si="5"/>
        <v>1</v>
      </c>
      <c r="AC16" t="str">
        <f>IF('Freesat-Gen Ent EPG'!K18&lt;&gt;0,'Freesat-Gen Ent EPG'!K18,"")</f>
        <v>BBC Alba</v>
      </c>
      <c r="AD16">
        <f t="shared" si="6"/>
        <v>0</v>
      </c>
      <c r="AE16">
        <f>IF($AC16="","",INDEX('Freesat-Gen Ent EPG'!$I:$K,MATCH($AC16,'Freesat-Gen Ent EPG'!$K:$K,0),1))</f>
        <v>109</v>
      </c>
      <c r="AF16">
        <f>IF($AC16="","",INDEX('Freesat-Gen Ent EPG'!$I:$K,MATCH($AC16,'Freesat-Gen Ent EPG'!$K:$K,0),2))</f>
        <v>9</v>
      </c>
      <c r="AJ16">
        <f>IF($AC16="","",INDEX('Freesat-Gen Ent EPG'!$Y:$AA,MATCH($AC16,'Freesat-Gen Ent EPG'!$AA:$AA,0),1))</f>
        <v>110</v>
      </c>
      <c r="AK16">
        <f>IF($AC16="","",INDEX('Freesat-Gen Ent EPG'!$Y:$AA,MATCH($AC16,'Freesat-Gen Ent EPG'!$AA:$AA,0),2))</f>
        <v>9</v>
      </c>
      <c r="AL16">
        <f t="shared" si="7"/>
        <v>0</v>
      </c>
      <c r="AM16">
        <f t="shared" si="8"/>
        <v>1</v>
      </c>
    </row>
    <row r="17" spans="1:39" x14ac:dyDescent="0.45">
      <c r="A17" t="str">
        <f>IF('Freesat-Gen Ent EPG'!C19&lt;&gt;0,'Freesat-Gen Ent EPG'!C19,"")</f>
        <v>BBC Two</v>
      </c>
      <c r="B17">
        <f t="shared" si="0"/>
        <v>0</v>
      </c>
      <c r="C17">
        <f>IF($A17="","",INDEX('Freesat-Gen Ent EPG'!$A:$C,MATCH($A17,'Freesat-Gen Ent EPG'!$C:$C,0),1))</f>
        <v>110</v>
      </c>
      <c r="D17">
        <f>IF($A17="","",INDEX('Freesat-Gen Ent EPG'!$A:$C,MATCH($A17,'Freesat-Gen Ent EPG'!$C:$C,0),2))</f>
        <v>10</v>
      </c>
      <c r="H17">
        <f>IF($A17="","",INDEX('Freesat-Gen Ent EPG'!$Q:$S,MATCH($A17,'Freesat-Gen Ent EPG'!$S:$S,0),1))</f>
        <v>111</v>
      </c>
      <c r="I17">
        <f>IF($A17="","",INDEX('Freesat-Gen Ent EPG'!$Q:$S,MATCH($A17,'Freesat-Gen Ent EPG'!$S:$S,0),2))</f>
        <v>10</v>
      </c>
      <c r="J17">
        <f t="shared" si="1"/>
        <v>0</v>
      </c>
      <c r="K17">
        <f t="shared" si="2"/>
        <v>1</v>
      </c>
      <c r="O17" t="str">
        <f>IF('Freesat-Gen Ent EPG'!G19&lt;&gt;0,'Freesat-Gen Ent EPG'!G19,"")</f>
        <v>BBC One</v>
      </c>
      <c r="P17">
        <f t="shared" si="3"/>
        <v>0</v>
      </c>
      <c r="Q17">
        <f>IF($O17="","",INDEX('Freesat-Gen Ent EPG'!$E:$G,MATCH($O17,'Freesat-Gen Ent EPG'!$G:$G,0),1))</f>
        <v>110</v>
      </c>
      <c r="R17">
        <f>IF($O17="","",INDEX('Freesat-Gen Ent EPG'!$E:$G,MATCH($O17,'Freesat-Gen Ent EPG'!$G:$G,0),2))</f>
        <v>10</v>
      </c>
      <c r="V17">
        <f>IF($O17="","",INDEX('Freesat-Gen Ent EPG'!$U:$W,MATCH($O17,'Freesat-Gen Ent EPG'!$W:$W,0),1))</f>
        <v>111</v>
      </c>
      <c r="W17">
        <f>IF($O17="","",INDEX('Freesat-Gen Ent EPG'!$U:$W,MATCH($O17,'Freesat-Gen Ent EPG'!$W:$W,0),2))</f>
        <v>10</v>
      </c>
      <c r="X17">
        <f t="shared" si="4"/>
        <v>0</v>
      </c>
      <c r="Y17">
        <f t="shared" si="5"/>
        <v>1</v>
      </c>
      <c r="AC17" t="str">
        <f>IF('Freesat-Gen Ent EPG'!K19&lt;&gt;0,'Freesat-Gen Ent EPG'!K19,"")</f>
        <v>BBC One</v>
      </c>
      <c r="AD17">
        <f t="shared" si="6"/>
        <v>0</v>
      </c>
      <c r="AE17">
        <f>IF($AC17="","",INDEX('Freesat-Gen Ent EPG'!$I:$K,MATCH($AC17,'Freesat-Gen Ent EPG'!$K:$K,0),1))</f>
        <v>110</v>
      </c>
      <c r="AF17">
        <f>IF($AC17="","",INDEX('Freesat-Gen Ent EPG'!$I:$K,MATCH($AC17,'Freesat-Gen Ent EPG'!$K:$K,0),2))</f>
        <v>10</v>
      </c>
      <c r="AJ17">
        <f>IF($AC17="","",INDEX('Freesat-Gen Ent EPG'!$Y:$AA,MATCH($AC17,'Freesat-Gen Ent EPG'!$AA:$AA,0),1))</f>
        <v>111</v>
      </c>
      <c r="AK17">
        <f>IF($AC17="","",INDEX('Freesat-Gen Ent EPG'!$Y:$AA,MATCH($AC17,'Freesat-Gen Ent EPG'!$AA:$AA,0),2))</f>
        <v>10</v>
      </c>
      <c r="AL17">
        <f t="shared" si="7"/>
        <v>0</v>
      </c>
      <c r="AM17">
        <f t="shared" si="8"/>
        <v>1</v>
      </c>
    </row>
    <row r="18" spans="1:39" x14ac:dyDescent="0.45">
      <c r="A18" t="str">
        <f>IF('Freesat-Gen Ent EPG'!C20&lt;&gt;0,'Freesat-Gen Ent EPG'!C20,"")</f>
        <v>ITV HD</v>
      </c>
      <c r="B18">
        <f t="shared" si="0"/>
        <v>1</v>
      </c>
      <c r="C18">
        <f>IF($A18="","",INDEX('Freesat-Gen Ent EPG'!$A:$C,MATCH($A18,'Freesat-Gen Ent EPG'!$C:$C,0),1))</f>
        <v>111</v>
      </c>
      <c r="D18">
        <f>IF($A18="","",INDEX('Freesat-Gen Ent EPG'!$A:$C,MATCH($A18,'Freesat-Gen Ent EPG'!$C:$C,0),2))</f>
        <v>11</v>
      </c>
      <c r="H18">
        <f>IF($A18="","",INDEX('Freesat-Gen Ent EPG'!$Q:$S,MATCH($A18,'Freesat-Gen Ent EPG'!$S:$S,0),1))</f>
        <v>112</v>
      </c>
      <c r="I18">
        <f>IF($A18="","",INDEX('Freesat-Gen Ent EPG'!$Q:$S,MATCH($A18,'Freesat-Gen Ent EPG'!$S:$S,0),2))</f>
        <v>11</v>
      </c>
      <c r="J18">
        <f t="shared" si="1"/>
        <v>0</v>
      </c>
      <c r="K18">
        <f t="shared" si="2"/>
        <v>1</v>
      </c>
      <c r="O18" t="str">
        <f>IF('Freesat-Gen Ent EPG'!G20&lt;&gt;0,'Freesat-Gen Ent EPG'!G20,"")</f>
        <v>UTV HD</v>
      </c>
      <c r="P18">
        <f t="shared" si="3"/>
        <v>1</v>
      </c>
      <c r="Q18">
        <f>IF($O18="","",INDEX('Freesat-Gen Ent EPG'!$E:$G,MATCH($O18,'Freesat-Gen Ent EPG'!$G:$G,0),1))</f>
        <v>111</v>
      </c>
      <c r="R18">
        <f>IF($O18="","",INDEX('Freesat-Gen Ent EPG'!$E:$G,MATCH($O18,'Freesat-Gen Ent EPG'!$G:$G,0),2))</f>
        <v>11</v>
      </c>
      <c r="V18">
        <f>IF($O18="","",INDEX('Freesat-Gen Ent EPG'!$U:$W,MATCH($O18,'Freesat-Gen Ent EPG'!$W:$W,0),1))</f>
        <v>112</v>
      </c>
      <c r="W18">
        <f>IF($O18="","",INDEX('Freesat-Gen Ent EPG'!$U:$W,MATCH($O18,'Freesat-Gen Ent EPG'!$W:$W,0),2))</f>
        <v>11</v>
      </c>
      <c r="X18">
        <f t="shared" si="4"/>
        <v>0</v>
      </c>
      <c r="Y18">
        <f t="shared" si="5"/>
        <v>1</v>
      </c>
      <c r="AC18" t="str">
        <f>IF('Freesat-Gen Ent EPG'!K20&lt;&gt;0,'Freesat-Gen Ent EPG'!K20,"")</f>
        <v>STV HD</v>
      </c>
      <c r="AD18">
        <f t="shared" si="6"/>
        <v>1</v>
      </c>
      <c r="AE18">
        <f>IF($AC18="","",INDEX('Freesat-Gen Ent EPG'!$I:$K,MATCH($AC18,'Freesat-Gen Ent EPG'!$K:$K,0),1))</f>
        <v>111</v>
      </c>
      <c r="AF18">
        <f>IF($AC18="","",INDEX('Freesat-Gen Ent EPG'!$I:$K,MATCH($AC18,'Freesat-Gen Ent EPG'!$K:$K,0),2))</f>
        <v>11</v>
      </c>
      <c r="AJ18">
        <f>IF($AC18="","",INDEX('Freesat-Gen Ent EPG'!$Y:$AA,MATCH($AC18,'Freesat-Gen Ent EPG'!$AA:$AA,0),1))</f>
        <v>112</v>
      </c>
      <c r="AK18">
        <f>IF($AC18="","",INDEX('Freesat-Gen Ent EPG'!$Y:$AA,MATCH($AC18,'Freesat-Gen Ent EPG'!$AA:$AA,0),2))</f>
        <v>11</v>
      </c>
      <c r="AL18">
        <f t="shared" si="7"/>
        <v>0</v>
      </c>
      <c r="AM18">
        <f t="shared" si="8"/>
        <v>1</v>
      </c>
    </row>
    <row r="19" spans="1:39" x14ac:dyDescent="0.45">
      <c r="A19" t="str">
        <f>IF('Freesat-Gen Ent EPG'!C21&lt;&gt;0,'Freesat-Gen Ent EPG'!C21,"")</f>
        <v>ITV +1</v>
      </c>
      <c r="B19">
        <f t="shared" si="0"/>
        <v>1</v>
      </c>
      <c r="C19">
        <f>IF($A19="","",INDEX('Freesat-Gen Ent EPG'!$A:$C,MATCH($A19,'Freesat-Gen Ent EPG'!$C:$C,0),1))</f>
        <v>112</v>
      </c>
      <c r="D19">
        <f>IF($A19="","",INDEX('Freesat-Gen Ent EPG'!$A:$C,MATCH($A19,'Freesat-Gen Ent EPG'!$C:$C,0),2))</f>
        <v>12</v>
      </c>
      <c r="H19">
        <f>IF($A19="","",INDEX('Freesat-Gen Ent EPG'!$Q:$S,MATCH($A19,'Freesat-Gen Ent EPG'!$S:$S,0),1))</f>
        <v>113</v>
      </c>
      <c r="I19">
        <f>IF($A19="","",INDEX('Freesat-Gen Ent EPG'!$Q:$S,MATCH($A19,'Freesat-Gen Ent EPG'!$S:$S,0),2))</f>
        <v>12</v>
      </c>
      <c r="J19">
        <f t="shared" si="1"/>
        <v>0</v>
      </c>
      <c r="K19">
        <f t="shared" si="2"/>
        <v>1</v>
      </c>
      <c r="O19" t="str">
        <f>IF('Freesat-Gen Ent EPG'!G21&lt;&gt;0,'Freesat-Gen Ent EPG'!G21,"")</f>
        <v>UTV +1</v>
      </c>
      <c r="P19">
        <f t="shared" si="3"/>
        <v>1</v>
      </c>
      <c r="Q19">
        <f>IF($O19="","",INDEX('Freesat-Gen Ent EPG'!$E:$G,MATCH($O19,'Freesat-Gen Ent EPG'!$G:$G,0),1))</f>
        <v>112</v>
      </c>
      <c r="R19">
        <f>IF($O19="","",INDEX('Freesat-Gen Ent EPG'!$E:$G,MATCH($O19,'Freesat-Gen Ent EPG'!$G:$G,0),2))</f>
        <v>12</v>
      </c>
      <c r="V19">
        <f>IF($O19="","",INDEX('Freesat-Gen Ent EPG'!$U:$W,MATCH($O19,'Freesat-Gen Ent EPG'!$W:$W,0),1))</f>
        <v>113</v>
      </c>
      <c r="W19">
        <f>IF($O19="","",INDEX('Freesat-Gen Ent EPG'!$U:$W,MATCH($O19,'Freesat-Gen Ent EPG'!$W:$W,0),2))</f>
        <v>12</v>
      </c>
      <c r="X19">
        <f t="shared" si="4"/>
        <v>0</v>
      </c>
      <c r="Y19">
        <f t="shared" si="5"/>
        <v>1</v>
      </c>
      <c r="AC19" t="str">
        <f>IF('Freesat-Gen Ent EPG'!K21&lt;&gt;0,'Freesat-Gen Ent EPG'!K21,"")</f>
        <v/>
      </c>
      <c r="AD19" t="str">
        <f t="shared" si="6"/>
        <v/>
      </c>
      <c r="AE19" t="str">
        <f>IF($AC19="","",INDEX('Freesat-Gen Ent EPG'!$I:$K,MATCH($AC19,'Freesat-Gen Ent EPG'!$K:$K,0),1))</f>
        <v/>
      </c>
      <c r="AF19" t="str">
        <f>IF($AC19="","",INDEX('Freesat-Gen Ent EPG'!$I:$K,MATCH($AC19,'Freesat-Gen Ent EPG'!$K:$K,0),2))</f>
        <v/>
      </c>
      <c r="AJ19" t="str">
        <f>IF($AC19="","",INDEX('Freesat-Gen Ent EPG'!$Y:$AA,MATCH($AC19,'Freesat-Gen Ent EPG'!$AA:$AA,0),1))</f>
        <v/>
      </c>
      <c r="AK19" t="str">
        <f>IF($AC19="","",INDEX('Freesat-Gen Ent EPG'!$Y:$AA,MATCH($AC19,'Freesat-Gen Ent EPG'!$AA:$AA,0),2))</f>
        <v/>
      </c>
      <c r="AL19" t="str">
        <f t="shared" si="7"/>
        <v/>
      </c>
      <c r="AM19" t="str">
        <f t="shared" si="8"/>
        <v/>
      </c>
    </row>
    <row r="20" spans="1:39" x14ac:dyDescent="0.45">
      <c r="A20" t="str">
        <f>IF('Freesat-Gen Ent EPG'!C22&lt;&gt;0,'Freesat-Gen Ent EPG'!C22,"")</f>
        <v>ITV2</v>
      </c>
      <c r="B20">
        <f t="shared" si="0"/>
        <v>1</v>
      </c>
      <c r="C20">
        <f>IF($A20="","",INDEX('Freesat-Gen Ent EPG'!$A:$C,MATCH($A20,'Freesat-Gen Ent EPG'!$C:$C,0),1))</f>
        <v>113</v>
      </c>
      <c r="D20">
        <f>IF($A20="","",INDEX('Freesat-Gen Ent EPG'!$A:$C,MATCH($A20,'Freesat-Gen Ent EPG'!$C:$C,0),2))</f>
        <v>13</v>
      </c>
      <c r="H20">
        <f>IF($A20="","",INDEX('Freesat-Gen Ent EPG'!$Q:$S,MATCH($A20,'Freesat-Gen Ent EPG'!$S:$S,0),1))</f>
        <v>114</v>
      </c>
      <c r="I20">
        <f>IF($A20="","",INDEX('Freesat-Gen Ent EPG'!$Q:$S,MATCH($A20,'Freesat-Gen Ent EPG'!$S:$S,0),2))</f>
        <v>13</v>
      </c>
      <c r="J20">
        <f t="shared" si="1"/>
        <v>0</v>
      </c>
      <c r="K20">
        <f t="shared" si="2"/>
        <v>1</v>
      </c>
      <c r="O20" t="str">
        <f>IF('Freesat-Gen Ent EPG'!G22&lt;&gt;0,'Freesat-Gen Ent EPG'!G22,"")</f>
        <v>ITV2</v>
      </c>
      <c r="P20">
        <f t="shared" si="3"/>
        <v>1</v>
      </c>
      <c r="Q20">
        <f>IF($O20="","",INDEX('Freesat-Gen Ent EPG'!$E:$G,MATCH($O20,'Freesat-Gen Ent EPG'!$G:$G,0),1))</f>
        <v>113</v>
      </c>
      <c r="R20">
        <f>IF($O20="","",INDEX('Freesat-Gen Ent EPG'!$E:$G,MATCH($O20,'Freesat-Gen Ent EPG'!$G:$G,0),2))</f>
        <v>13</v>
      </c>
      <c r="V20">
        <f>IF($O20="","",INDEX('Freesat-Gen Ent EPG'!$U:$W,MATCH($O20,'Freesat-Gen Ent EPG'!$W:$W,0),1))</f>
        <v>114</v>
      </c>
      <c r="W20">
        <f>IF($O20="","",INDEX('Freesat-Gen Ent EPG'!$U:$W,MATCH($O20,'Freesat-Gen Ent EPG'!$W:$W,0),2))</f>
        <v>13</v>
      </c>
      <c r="X20">
        <f t="shared" si="4"/>
        <v>0</v>
      </c>
      <c r="Y20">
        <f t="shared" si="5"/>
        <v>1</v>
      </c>
      <c r="AC20" t="str">
        <f>IF('Freesat-Gen Ent EPG'!K22&lt;&gt;0,'Freesat-Gen Ent EPG'!K22,"")</f>
        <v>ITV2</v>
      </c>
      <c r="AD20">
        <f t="shared" si="6"/>
        <v>1</v>
      </c>
      <c r="AE20">
        <f>IF($AC20="","",INDEX('Freesat-Gen Ent EPG'!$I:$K,MATCH($AC20,'Freesat-Gen Ent EPG'!$K:$K,0),1))</f>
        <v>113</v>
      </c>
      <c r="AF20">
        <f>IF($AC20="","",INDEX('Freesat-Gen Ent EPG'!$I:$K,MATCH($AC20,'Freesat-Gen Ent EPG'!$K:$K,0),2))</f>
        <v>12</v>
      </c>
      <c r="AJ20">
        <f>IF($AC20="","",INDEX('Freesat-Gen Ent EPG'!$Y:$AA,MATCH($AC20,'Freesat-Gen Ent EPG'!$AA:$AA,0),1))</f>
        <v>114</v>
      </c>
      <c r="AK20">
        <f>IF($AC20="","",INDEX('Freesat-Gen Ent EPG'!$Y:$AA,MATCH($AC20,'Freesat-Gen Ent EPG'!$AA:$AA,0),2))</f>
        <v>12</v>
      </c>
      <c r="AL20">
        <f t="shared" si="7"/>
        <v>0</v>
      </c>
      <c r="AM20">
        <f t="shared" si="8"/>
        <v>1</v>
      </c>
    </row>
    <row r="21" spans="1:39" x14ac:dyDescent="0.45">
      <c r="A21" t="str">
        <f>IF('Freesat-Gen Ent EPG'!C23&lt;&gt;0,'Freesat-Gen Ent EPG'!C23,"")</f>
        <v>ITV2 +1</v>
      </c>
      <c r="B21">
        <f t="shared" si="0"/>
        <v>1</v>
      </c>
      <c r="C21">
        <f>IF($A21="","",INDEX('Freesat-Gen Ent EPG'!$A:$C,MATCH($A21,'Freesat-Gen Ent EPG'!$C:$C,0),1))</f>
        <v>114</v>
      </c>
      <c r="D21">
        <f>IF($A21="","",INDEX('Freesat-Gen Ent EPG'!$A:$C,MATCH($A21,'Freesat-Gen Ent EPG'!$C:$C,0),2))</f>
        <v>14</v>
      </c>
      <c r="H21">
        <f>IF($A21="","",INDEX('Freesat-Gen Ent EPG'!$Q:$S,MATCH($A21,'Freesat-Gen Ent EPG'!$S:$S,0),1))</f>
        <v>115</v>
      </c>
      <c r="I21">
        <f>IF($A21="","",INDEX('Freesat-Gen Ent EPG'!$Q:$S,MATCH($A21,'Freesat-Gen Ent EPG'!$S:$S,0),2))</f>
        <v>14</v>
      </c>
      <c r="J21">
        <f t="shared" si="1"/>
        <v>0</v>
      </c>
      <c r="K21">
        <f t="shared" si="2"/>
        <v>1</v>
      </c>
      <c r="O21" t="str">
        <f>IF('Freesat-Gen Ent EPG'!G23&lt;&gt;0,'Freesat-Gen Ent EPG'!G23,"")</f>
        <v>ITV2 +1</v>
      </c>
      <c r="P21">
        <f t="shared" si="3"/>
        <v>1</v>
      </c>
      <c r="Q21">
        <f>IF($O21="","",INDEX('Freesat-Gen Ent EPG'!$E:$G,MATCH($O21,'Freesat-Gen Ent EPG'!$G:$G,0),1))</f>
        <v>114</v>
      </c>
      <c r="R21">
        <f>IF($O21="","",INDEX('Freesat-Gen Ent EPG'!$E:$G,MATCH($O21,'Freesat-Gen Ent EPG'!$G:$G,0),2))</f>
        <v>14</v>
      </c>
      <c r="V21">
        <f>IF($O21="","",INDEX('Freesat-Gen Ent EPG'!$U:$W,MATCH($O21,'Freesat-Gen Ent EPG'!$W:$W,0),1))</f>
        <v>115</v>
      </c>
      <c r="W21">
        <f>IF($O21="","",INDEX('Freesat-Gen Ent EPG'!$U:$W,MATCH($O21,'Freesat-Gen Ent EPG'!$W:$W,0),2))</f>
        <v>14</v>
      </c>
      <c r="X21">
        <f t="shared" si="4"/>
        <v>0</v>
      </c>
      <c r="Y21">
        <f t="shared" si="5"/>
        <v>1</v>
      </c>
      <c r="AC21" t="str">
        <f>IF('Freesat-Gen Ent EPG'!K23&lt;&gt;0,'Freesat-Gen Ent EPG'!K23,"")</f>
        <v>ITV2 +1</v>
      </c>
      <c r="AD21">
        <f t="shared" si="6"/>
        <v>1</v>
      </c>
      <c r="AE21">
        <f>IF($AC21="","",INDEX('Freesat-Gen Ent EPG'!$I:$K,MATCH($AC21,'Freesat-Gen Ent EPG'!$K:$K,0),1))</f>
        <v>114</v>
      </c>
      <c r="AF21">
        <f>IF($AC21="","",INDEX('Freesat-Gen Ent EPG'!$I:$K,MATCH($AC21,'Freesat-Gen Ent EPG'!$K:$K,0),2))</f>
        <v>13</v>
      </c>
      <c r="AJ21">
        <f>IF($AC21="","",INDEX('Freesat-Gen Ent EPG'!$Y:$AA,MATCH($AC21,'Freesat-Gen Ent EPG'!$AA:$AA,0),1))</f>
        <v>115</v>
      </c>
      <c r="AK21">
        <f>IF($AC21="","",INDEX('Freesat-Gen Ent EPG'!$Y:$AA,MATCH($AC21,'Freesat-Gen Ent EPG'!$AA:$AA,0),2))</f>
        <v>13</v>
      </c>
      <c r="AL21">
        <f t="shared" si="7"/>
        <v>0</v>
      </c>
      <c r="AM21">
        <f t="shared" si="8"/>
        <v>1</v>
      </c>
    </row>
    <row r="22" spans="1:39" x14ac:dyDescent="0.45">
      <c r="A22" t="str">
        <f>IF('Freesat-Gen Ent EPG'!C24&lt;&gt;0,'Freesat-Gen Ent EPG'!C24,"")</f>
        <v>ITV3</v>
      </c>
      <c r="B22">
        <f t="shared" si="0"/>
        <v>1</v>
      </c>
      <c r="C22">
        <f>IF($A22="","",INDEX('Freesat-Gen Ent EPG'!$A:$C,MATCH($A22,'Freesat-Gen Ent EPG'!$C:$C,0),1))</f>
        <v>115</v>
      </c>
      <c r="D22">
        <f>IF($A22="","",INDEX('Freesat-Gen Ent EPG'!$A:$C,MATCH($A22,'Freesat-Gen Ent EPG'!$C:$C,0),2))</f>
        <v>15</v>
      </c>
      <c r="H22">
        <f>IF($A22="","",INDEX('Freesat-Gen Ent EPG'!$Q:$S,MATCH($A22,'Freesat-Gen Ent EPG'!$S:$S,0),1))</f>
        <v>116</v>
      </c>
      <c r="I22">
        <f>IF($A22="","",INDEX('Freesat-Gen Ent EPG'!$Q:$S,MATCH($A22,'Freesat-Gen Ent EPG'!$S:$S,0),2))</f>
        <v>15</v>
      </c>
      <c r="J22">
        <f t="shared" si="1"/>
        <v>0</v>
      </c>
      <c r="K22">
        <f t="shared" si="2"/>
        <v>1</v>
      </c>
      <c r="O22" t="str">
        <f>IF('Freesat-Gen Ent EPG'!G24&lt;&gt;0,'Freesat-Gen Ent EPG'!G24,"")</f>
        <v>ITV3</v>
      </c>
      <c r="P22">
        <f t="shared" si="3"/>
        <v>1</v>
      </c>
      <c r="Q22">
        <f>IF($O22="","",INDEX('Freesat-Gen Ent EPG'!$E:$G,MATCH($O22,'Freesat-Gen Ent EPG'!$G:$G,0),1))</f>
        <v>115</v>
      </c>
      <c r="R22">
        <f>IF($O22="","",INDEX('Freesat-Gen Ent EPG'!$E:$G,MATCH($O22,'Freesat-Gen Ent EPG'!$G:$G,0),2))</f>
        <v>15</v>
      </c>
      <c r="V22">
        <f>IF($O22="","",INDEX('Freesat-Gen Ent EPG'!$U:$W,MATCH($O22,'Freesat-Gen Ent EPG'!$W:$W,0),1))</f>
        <v>116</v>
      </c>
      <c r="W22">
        <f>IF($O22="","",INDEX('Freesat-Gen Ent EPG'!$U:$W,MATCH($O22,'Freesat-Gen Ent EPG'!$W:$W,0),2))</f>
        <v>15</v>
      </c>
      <c r="X22">
        <f t="shared" si="4"/>
        <v>0</v>
      </c>
      <c r="Y22">
        <f t="shared" si="5"/>
        <v>1</v>
      </c>
      <c r="AC22" t="str">
        <f>IF('Freesat-Gen Ent EPG'!K24&lt;&gt;0,'Freesat-Gen Ent EPG'!K24,"")</f>
        <v>ITV3</v>
      </c>
      <c r="AD22">
        <f t="shared" si="6"/>
        <v>1</v>
      </c>
      <c r="AE22">
        <f>IF($AC22="","",INDEX('Freesat-Gen Ent EPG'!$I:$K,MATCH($AC22,'Freesat-Gen Ent EPG'!$K:$K,0),1))</f>
        <v>115</v>
      </c>
      <c r="AF22">
        <f>IF($AC22="","",INDEX('Freesat-Gen Ent EPG'!$I:$K,MATCH($AC22,'Freesat-Gen Ent EPG'!$K:$K,0),2))</f>
        <v>14</v>
      </c>
      <c r="AJ22">
        <f>IF($AC22="","",INDEX('Freesat-Gen Ent EPG'!$Y:$AA,MATCH($AC22,'Freesat-Gen Ent EPG'!$AA:$AA,0),1))</f>
        <v>116</v>
      </c>
      <c r="AK22">
        <f>IF($AC22="","",INDEX('Freesat-Gen Ent EPG'!$Y:$AA,MATCH($AC22,'Freesat-Gen Ent EPG'!$AA:$AA,0),2))</f>
        <v>14</v>
      </c>
      <c r="AL22">
        <f t="shared" si="7"/>
        <v>0</v>
      </c>
      <c r="AM22">
        <f t="shared" si="8"/>
        <v>1</v>
      </c>
    </row>
    <row r="23" spans="1:39" x14ac:dyDescent="0.45">
      <c r="A23" t="str">
        <f>IF('Freesat-Gen Ent EPG'!C25&lt;&gt;0,'Freesat-Gen Ent EPG'!C25,"")</f>
        <v>ITV3 +1</v>
      </c>
      <c r="B23">
        <f t="shared" si="0"/>
        <v>1</v>
      </c>
      <c r="C23">
        <f>IF($A23="","",INDEX('Freesat-Gen Ent EPG'!$A:$C,MATCH($A23,'Freesat-Gen Ent EPG'!$C:$C,0),1))</f>
        <v>116</v>
      </c>
      <c r="D23">
        <f>IF($A23="","",INDEX('Freesat-Gen Ent EPG'!$A:$C,MATCH($A23,'Freesat-Gen Ent EPG'!$C:$C,0),2))</f>
        <v>16</v>
      </c>
      <c r="H23">
        <f>IF($A23="","",INDEX('Freesat-Gen Ent EPG'!$Q:$S,MATCH($A23,'Freesat-Gen Ent EPG'!$S:$S,0),1))</f>
        <v>117</v>
      </c>
      <c r="I23">
        <f>IF($A23="","",INDEX('Freesat-Gen Ent EPG'!$Q:$S,MATCH($A23,'Freesat-Gen Ent EPG'!$S:$S,0),2))</f>
        <v>16</v>
      </c>
      <c r="J23">
        <f t="shared" si="1"/>
        <v>0</v>
      </c>
      <c r="K23">
        <f t="shared" si="2"/>
        <v>1</v>
      </c>
      <c r="O23" t="str">
        <f>IF('Freesat-Gen Ent EPG'!G25&lt;&gt;0,'Freesat-Gen Ent EPG'!G25,"")</f>
        <v>ITV3 +1</v>
      </c>
      <c r="P23">
        <f t="shared" si="3"/>
        <v>1</v>
      </c>
      <c r="Q23">
        <f>IF($O23="","",INDEX('Freesat-Gen Ent EPG'!$E:$G,MATCH($O23,'Freesat-Gen Ent EPG'!$G:$G,0),1))</f>
        <v>116</v>
      </c>
      <c r="R23">
        <f>IF($O23="","",INDEX('Freesat-Gen Ent EPG'!$E:$G,MATCH($O23,'Freesat-Gen Ent EPG'!$G:$G,0),2))</f>
        <v>16</v>
      </c>
      <c r="V23">
        <f>IF($O23="","",INDEX('Freesat-Gen Ent EPG'!$U:$W,MATCH($O23,'Freesat-Gen Ent EPG'!$W:$W,0),1))</f>
        <v>117</v>
      </c>
      <c r="W23">
        <f>IF($O23="","",INDEX('Freesat-Gen Ent EPG'!$U:$W,MATCH($O23,'Freesat-Gen Ent EPG'!$W:$W,0),2))</f>
        <v>16</v>
      </c>
      <c r="X23">
        <f t="shared" si="4"/>
        <v>0</v>
      </c>
      <c r="Y23">
        <f t="shared" si="5"/>
        <v>1</v>
      </c>
      <c r="AC23" t="str">
        <f>IF('Freesat-Gen Ent EPG'!K25&lt;&gt;0,'Freesat-Gen Ent EPG'!K25,"")</f>
        <v>ITV3 +1</v>
      </c>
      <c r="AD23">
        <f t="shared" si="6"/>
        <v>1</v>
      </c>
      <c r="AE23">
        <f>IF($AC23="","",INDEX('Freesat-Gen Ent EPG'!$I:$K,MATCH($AC23,'Freesat-Gen Ent EPG'!$K:$K,0),1))</f>
        <v>116</v>
      </c>
      <c r="AF23">
        <f>IF($AC23="","",INDEX('Freesat-Gen Ent EPG'!$I:$K,MATCH($AC23,'Freesat-Gen Ent EPG'!$K:$K,0),2))</f>
        <v>15</v>
      </c>
      <c r="AJ23">
        <f>IF($AC23="","",INDEX('Freesat-Gen Ent EPG'!$Y:$AA,MATCH($AC23,'Freesat-Gen Ent EPG'!$AA:$AA,0),1))</f>
        <v>117</v>
      </c>
      <c r="AK23">
        <f>IF($AC23="","",INDEX('Freesat-Gen Ent EPG'!$Y:$AA,MATCH($AC23,'Freesat-Gen Ent EPG'!$AA:$AA,0),2))</f>
        <v>15</v>
      </c>
      <c r="AL23">
        <f t="shared" si="7"/>
        <v>0</v>
      </c>
      <c r="AM23">
        <f t="shared" si="8"/>
        <v>1</v>
      </c>
    </row>
    <row r="24" spans="1:39" x14ac:dyDescent="0.45">
      <c r="A24" t="str">
        <f>IF('Freesat-Gen Ent EPG'!C26&lt;&gt;0,'Freesat-Gen Ent EPG'!C26,"")</f>
        <v>ITV4</v>
      </c>
      <c r="B24">
        <f t="shared" si="0"/>
        <v>1</v>
      </c>
      <c r="C24">
        <f>IF($A24="","",INDEX('Freesat-Gen Ent EPG'!$A:$C,MATCH($A24,'Freesat-Gen Ent EPG'!$C:$C,0),1))</f>
        <v>117</v>
      </c>
      <c r="D24">
        <f>IF($A24="","",INDEX('Freesat-Gen Ent EPG'!$A:$C,MATCH($A24,'Freesat-Gen Ent EPG'!$C:$C,0),2))</f>
        <v>17</v>
      </c>
      <c r="H24">
        <f>IF($A24="","",INDEX('Freesat-Gen Ent EPG'!$Q:$S,MATCH($A24,'Freesat-Gen Ent EPG'!$S:$S,0),1))</f>
        <v>118</v>
      </c>
      <c r="I24">
        <f>IF($A24="","",INDEX('Freesat-Gen Ent EPG'!$Q:$S,MATCH($A24,'Freesat-Gen Ent EPG'!$S:$S,0),2))</f>
        <v>17</v>
      </c>
      <c r="J24">
        <f t="shared" si="1"/>
        <v>0</v>
      </c>
      <c r="K24">
        <f t="shared" si="2"/>
        <v>1</v>
      </c>
      <c r="O24" t="str">
        <f>IF('Freesat-Gen Ent EPG'!G26&lt;&gt;0,'Freesat-Gen Ent EPG'!G26,"")</f>
        <v>ITV4</v>
      </c>
      <c r="P24">
        <f t="shared" si="3"/>
        <v>1</v>
      </c>
      <c r="Q24">
        <f>IF($O24="","",INDEX('Freesat-Gen Ent EPG'!$E:$G,MATCH($O24,'Freesat-Gen Ent EPG'!$G:$G,0),1))</f>
        <v>117</v>
      </c>
      <c r="R24">
        <f>IF($O24="","",INDEX('Freesat-Gen Ent EPG'!$E:$G,MATCH($O24,'Freesat-Gen Ent EPG'!$G:$G,0),2))</f>
        <v>17</v>
      </c>
      <c r="V24">
        <f>IF($O24="","",INDEX('Freesat-Gen Ent EPG'!$U:$W,MATCH($O24,'Freesat-Gen Ent EPG'!$W:$W,0),1))</f>
        <v>118</v>
      </c>
      <c r="W24">
        <f>IF($O24="","",INDEX('Freesat-Gen Ent EPG'!$U:$W,MATCH($O24,'Freesat-Gen Ent EPG'!$W:$W,0),2))</f>
        <v>17</v>
      </c>
      <c r="X24">
        <f t="shared" si="4"/>
        <v>0</v>
      </c>
      <c r="Y24">
        <f t="shared" si="5"/>
        <v>1</v>
      </c>
      <c r="AC24" t="str">
        <f>IF('Freesat-Gen Ent EPG'!K26&lt;&gt;0,'Freesat-Gen Ent EPG'!K26,"")</f>
        <v>ITV4</v>
      </c>
      <c r="AD24">
        <f t="shared" si="6"/>
        <v>1</v>
      </c>
      <c r="AE24">
        <f>IF($AC24="","",INDEX('Freesat-Gen Ent EPG'!$I:$K,MATCH($AC24,'Freesat-Gen Ent EPG'!$K:$K,0),1))</f>
        <v>117</v>
      </c>
      <c r="AF24">
        <f>IF($AC24="","",INDEX('Freesat-Gen Ent EPG'!$I:$K,MATCH($AC24,'Freesat-Gen Ent EPG'!$K:$K,0),2))</f>
        <v>16</v>
      </c>
      <c r="AJ24">
        <f>IF($AC24="","",INDEX('Freesat-Gen Ent EPG'!$Y:$AA,MATCH($AC24,'Freesat-Gen Ent EPG'!$AA:$AA,0),1))</f>
        <v>118</v>
      </c>
      <c r="AK24">
        <f>IF($AC24="","",INDEX('Freesat-Gen Ent EPG'!$Y:$AA,MATCH($AC24,'Freesat-Gen Ent EPG'!$AA:$AA,0),2))</f>
        <v>16</v>
      </c>
      <c r="AL24">
        <f t="shared" si="7"/>
        <v>0</v>
      </c>
      <c r="AM24">
        <f t="shared" si="8"/>
        <v>1</v>
      </c>
    </row>
    <row r="25" spans="1:39" x14ac:dyDescent="0.45">
      <c r="A25" t="str">
        <f>IF('Freesat-Gen Ent EPG'!C27&lt;&gt;0,'Freesat-Gen Ent EPG'!C27,"")</f>
        <v>ITVBe</v>
      </c>
      <c r="B25">
        <f t="shared" si="0"/>
        <v>1</v>
      </c>
      <c r="C25">
        <f>IF($A25="","",INDEX('Freesat-Gen Ent EPG'!$A:$C,MATCH($A25,'Freesat-Gen Ent EPG'!$C:$C,0),1))</f>
        <v>118</v>
      </c>
      <c r="D25">
        <f>IF($A25="","",INDEX('Freesat-Gen Ent EPG'!$A:$C,MATCH($A25,'Freesat-Gen Ent EPG'!$C:$C,0),2))</f>
        <v>18</v>
      </c>
      <c r="H25">
        <f>IF($A25="","",INDEX('Freesat-Gen Ent EPG'!$Q:$S,MATCH($A25,'Freesat-Gen Ent EPG'!$S:$S,0),1))</f>
        <v>119</v>
      </c>
      <c r="I25">
        <f>IF($A25="","",INDEX('Freesat-Gen Ent EPG'!$Q:$S,MATCH($A25,'Freesat-Gen Ent EPG'!$S:$S,0),2))</f>
        <v>18</v>
      </c>
      <c r="J25">
        <f t="shared" si="1"/>
        <v>0</v>
      </c>
      <c r="K25">
        <f t="shared" si="2"/>
        <v>1</v>
      </c>
      <c r="O25" t="str">
        <f>IF('Freesat-Gen Ent EPG'!G27&lt;&gt;0,'Freesat-Gen Ent EPG'!G27,"")</f>
        <v>ITVBe</v>
      </c>
      <c r="P25">
        <f t="shared" si="3"/>
        <v>1</v>
      </c>
      <c r="Q25">
        <f>IF($O25="","",INDEX('Freesat-Gen Ent EPG'!$E:$G,MATCH($O25,'Freesat-Gen Ent EPG'!$G:$G,0),1))</f>
        <v>118</v>
      </c>
      <c r="R25">
        <f>IF($O25="","",INDEX('Freesat-Gen Ent EPG'!$E:$G,MATCH($O25,'Freesat-Gen Ent EPG'!$G:$G,0),2))</f>
        <v>18</v>
      </c>
      <c r="V25">
        <f>IF($O25="","",INDEX('Freesat-Gen Ent EPG'!$U:$W,MATCH($O25,'Freesat-Gen Ent EPG'!$W:$W,0),1))</f>
        <v>119</v>
      </c>
      <c r="W25">
        <f>IF($O25="","",INDEX('Freesat-Gen Ent EPG'!$U:$W,MATCH($O25,'Freesat-Gen Ent EPG'!$W:$W,0),2))</f>
        <v>18</v>
      </c>
      <c r="X25">
        <f t="shared" si="4"/>
        <v>0</v>
      </c>
      <c r="Y25">
        <f t="shared" si="5"/>
        <v>1</v>
      </c>
      <c r="AC25" t="str">
        <f>IF('Freesat-Gen Ent EPG'!K27&lt;&gt;0,'Freesat-Gen Ent EPG'!K27,"")</f>
        <v>ITVBe</v>
      </c>
      <c r="AD25">
        <f t="shared" si="6"/>
        <v>1</v>
      </c>
      <c r="AE25">
        <f>IF($AC25="","",INDEX('Freesat-Gen Ent EPG'!$I:$K,MATCH($AC25,'Freesat-Gen Ent EPG'!$K:$K,0),1))</f>
        <v>118</v>
      </c>
      <c r="AF25">
        <f>IF($AC25="","",INDEX('Freesat-Gen Ent EPG'!$I:$K,MATCH($AC25,'Freesat-Gen Ent EPG'!$K:$K,0),2))</f>
        <v>17</v>
      </c>
      <c r="AJ25">
        <f>IF($AC25="","",INDEX('Freesat-Gen Ent EPG'!$Y:$AA,MATCH($AC25,'Freesat-Gen Ent EPG'!$AA:$AA,0),1))</f>
        <v>119</v>
      </c>
      <c r="AK25">
        <f>IF($AC25="","",INDEX('Freesat-Gen Ent EPG'!$Y:$AA,MATCH($AC25,'Freesat-Gen Ent EPG'!$AA:$AA,0),2))</f>
        <v>17</v>
      </c>
      <c r="AL25">
        <f t="shared" si="7"/>
        <v>0</v>
      </c>
      <c r="AM25">
        <f t="shared" si="8"/>
        <v>1</v>
      </c>
    </row>
    <row r="26" spans="1:39" x14ac:dyDescent="0.45">
      <c r="A26" t="str">
        <f>IF('Freesat-Gen Ent EPG'!C28&lt;&gt;0,'Freesat-Gen Ent EPG'!C28,"")</f>
        <v>ITVBe +1</v>
      </c>
      <c r="B26">
        <f t="shared" si="0"/>
        <v>1</v>
      </c>
      <c r="C26">
        <f>IF($A26="","",INDEX('Freesat-Gen Ent EPG'!$A:$C,MATCH($A26,'Freesat-Gen Ent EPG'!$C:$C,0),1))</f>
        <v>119</v>
      </c>
      <c r="D26">
        <f>IF($A26="","",INDEX('Freesat-Gen Ent EPG'!$A:$C,MATCH($A26,'Freesat-Gen Ent EPG'!$C:$C,0),2))</f>
        <v>19</v>
      </c>
      <c r="H26">
        <f>IF($A26="","",INDEX('Freesat-Gen Ent EPG'!$Q:$S,MATCH($A26,'Freesat-Gen Ent EPG'!$S:$S,0),1))</f>
        <v>120</v>
      </c>
      <c r="I26">
        <f>IF($A26="","",INDEX('Freesat-Gen Ent EPG'!$Q:$S,MATCH($A26,'Freesat-Gen Ent EPG'!$S:$S,0),2))</f>
        <v>19</v>
      </c>
      <c r="J26">
        <f t="shared" si="1"/>
        <v>0</v>
      </c>
      <c r="K26">
        <f t="shared" si="2"/>
        <v>1</v>
      </c>
      <c r="O26" t="str">
        <f>IF('Freesat-Gen Ent EPG'!G28&lt;&gt;0,'Freesat-Gen Ent EPG'!G28,"")</f>
        <v>ITVBe +1</v>
      </c>
      <c r="P26">
        <f t="shared" si="3"/>
        <v>1</v>
      </c>
      <c r="Q26">
        <f>IF($O26="","",INDEX('Freesat-Gen Ent EPG'!$E:$G,MATCH($O26,'Freesat-Gen Ent EPG'!$G:$G,0),1))</f>
        <v>119</v>
      </c>
      <c r="R26">
        <f>IF($O26="","",INDEX('Freesat-Gen Ent EPG'!$E:$G,MATCH($O26,'Freesat-Gen Ent EPG'!$G:$G,0),2))</f>
        <v>19</v>
      </c>
      <c r="V26">
        <f>IF($O26="","",INDEX('Freesat-Gen Ent EPG'!$U:$W,MATCH($O26,'Freesat-Gen Ent EPG'!$W:$W,0),1))</f>
        <v>120</v>
      </c>
      <c r="W26">
        <f>IF($O26="","",INDEX('Freesat-Gen Ent EPG'!$U:$W,MATCH($O26,'Freesat-Gen Ent EPG'!$W:$W,0),2))</f>
        <v>19</v>
      </c>
      <c r="X26">
        <f t="shared" si="4"/>
        <v>0</v>
      </c>
      <c r="Y26">
        <f t="shared" si="5"/>
        <v>1</v>
      </c>
      <c r="AC26" t="str">
        <f>IF('Freesat-Gen Ent EPG'!K28&lt;&gt;0,'Freesat-Gen Ent EPG'!K28,"")</f>
        <v>ITVBe +1</v>
      </c>
      <c r="AD26">
        <f t="shared" si="6"/>
        <v>1</v>
      </c>
      <c r="AE26">
        <f>IF($AC26="","",INDEX('Freesat-Gen Ent EPG'!$I:$K,MATCH($AC26,'Freesat-Gen Ent EPG'!$K:$K,0),1))</f>
        <v>119</v>
      </c>
      <c r="AF26">
        <f>IF($AC26="","",INDEX('Freesat-Gen Ent EPG'!$I:$K,MATCH($AC26,'Freesat-Gen Ent EPG'!$K:$K,0),2))</f>
        <v>18</v>
      </c>
      <c r="AJ26">
        <f>IF($AC26="","",INDEX('Freesat-Gen Ent EPG'!$Y:$AA,MATCH($AC26,'Freesat-Gen Ent EPG'!$AA:$AA,0),1))</f>
        <v>120</v>
      </c>
      <c r="AK26">
        <f>IF($AC26="","",INDEX('Freesat-Gen Ent EPG'!$Y:$AA,MATCH($AC26,'Freesat-Gen Ent EPG'!$AA:$AA,0),2))</f>
        <v>18</v>
      </c>
      <c r="AL26">
        <f t="shared" si="7"/>
        <v>0</v>
      </c>
      <c r="AM26">
        <f t="shared" si="8"/>
        <v>1</v>
      </c>
    </row>
    <row r="27" spans="1:39" x14ac:dyDescent="0.45">
      <c r="A27" t="str">
        <f>IF('Freesat-Gen Ent EPG'!C29&lt;&gt;0,'Freesat-Gen Ent EPG'!C29,"")</f>
        <v>S4C HD</v>
      </c>
      <c r="B27">
        <f t="shared" si="0"/>
        <v>1</v>
      </c>
      <c r="C27">
        <f>IF($A27="","",INDEX('Freesat-Gen Ent EPG'!$A:$C,MATCH($A27,'Freesat-Gen Ent EPG'!$C:$C,0),1))</f>
        <v>120</v>
      </c>
      <c r="D27">
        <f>IF($A27="","",INDEX('Freesat-Gen Ent EPG'!$A:$C,MATCH($A27,'Freesat-Gen Ent EPG'!$C:$C,0),2))</f>
        <v>20</v>
      </c>
      <c r="H27">
        <f>IF($A27="","",INDEX('Freesat-Gen Ent EPG'!$Q:$S,MATCH($A27,'Freesat-Gen Ent EPG'!$S:$S,0),1))</f>
        <v>121</v>
      </c>
      <c r="I27">
        <f>IF($A27="","",INDEX('Freesat-Gen Ent EPG'!$Q:$S,MATCH($A27,'Freesat-Gen Ent EPG'!$S:$S,0),2))</f>
        <v>20</v>
      </c>
      <c r="J27">
        <f t="shared" si="1"/>
        <v>0</v>
      </c>
      <c r="K27">
        <f t="shared" si="2"/>
        <v>1</v>
      </c>
      <c r="O27" t="str">
        <f>IF('Freesat-Gen Ent EPG'!G29&lt;&gt;0,'Freesat-Gen Ent EPG'!G29,"")</f>
        <v>S4C HD</v>
      </c>
      <c r="P27">
        <f t="shared" si="3"/>
        <v>1</v>
      </c>
      <c r="Q27">
        <f>IF($O27="","",INDEX('Freesat-Gen Ent EPG'!$E:$G,MATCH($O27,'Freesat-Gen Ent EPG'!$G:$G,0),1))</f>
        <v>120</v>
      </c>
      <c r="R27">
        <f>IF($O27="","",INDEX('Freesat-Gen Ent EPG'!$E:$G,MATCH($O27,'Freesat-Gen Ent EPG'!$G:$G,0),2))</f>
        <v>20</v>
      </c>
      <c r="V27">
        <f>IF($O27="","",INDEX('Freesat-Gen Ent EPG'!$U:$W,MATCH($O27,'Freesat-Gen Ent EPG'!$W:$W,0),1))</f>
        <v>121</v>
      </c>
      <c r="W27">
        <f>IF($O27="","",INDEX('Freesat-Gen Ent EPG'!$U:$W,MATCH($O27,'Freesat-Gen Ent EPG'!$W:$W,0),2))</f>
        <v>20</v>
      </c>
      <c r="X27">
        <f t="shared" si="4"/>
        <v>0</v>
      </c>
      <c r="Y27">
        <f t="shared" si="5"/>
        <v>1</v>
      </c>
      <c r="AC27" t="str">
        <f>IF('Freesat-Gen Ent EPG'!K29&lt;&gt;0,'Freesat-Gen Ent EPG'!K29,"")</f>
        <v>S4C HD</v>
      </c>
      <c r="AD27">
        <f t="shared" si="6"/>
        <v>1</v>
      </c>
      <c r="AE27">
        <f>IF($AC27="","",INDEX('Freesat-Gen Ent EPG'!$I:$K,MATCH($AC27,'Freesat-Gen Ent EPG'!$K:$K,0),1))</f>
        <v>120</v>
      </c>
      <c r="AF27">
        <f>IF($AC27="","",INDEX('Freesat-Gen Ent EPG'!$I:$K,MATCH($AC27,'Freesat-Gen Ent EPG'!$K:$K,0),2))</f>
        <v>19</v>
      </c>
      <c r="AJ27">
        <f>IF($AC27="","",INDEX('Freesat-Gen Ent EPG'!$Y:$AA,MATCH($AC27,'Freesat-Gen Ent EPG'!$AA:$AA,0),1))</f>
        <v>121</v>
      </c>
      <c r="AK27">
        <f>IF($AC27="","",INDEX('Freesat-Gen Ent EPG'!$Y:$AA,MATCH($AC27,'Freesat-Gen Ent EPG'!$AA:$AA,0),2))</f>
        <v>19</v>
      </c>
      <c r="AL27">
        <f t="shared" si="7"/>
        <v>0</v>
      </c>
      <c r="AM27">
        <f t="shared" si="8"/>
        <v>1</v>
      </c>
    </row>
    <row r="28" spans="1:39" x14ac:dyDescent="0.45">
      <c r="A28" t="str">
        <f>IF('Freesat-Gen Ent EPG'!C30&lt;&gt;0,'Freesat-Gen Ent EPG'!C30,"")</f>
        <v>Channel 4 +1</v>
      </c>
      <c r="B28">
        <f t="shared" si="0"/>
        <v>1</v>
      </c>
      <c r="C28">
        <f>IF($A28="","",INDEX('Freesat-Gen Ent EPG'!$A:$C,MATCH($A28,'Freesat-Gen Ent EPG'!$C:$C,0),1))</f>
        <v>121</v>
      </c>
      <c r="D28">
        <f>IF($A28="","",INDEX('Freesat-Gen Ent EPG'!$A:$C,MATCH($A28,'Freesat-Gen Ent EPG'!$C:$C,0),2))</f>
        <v>21</v>
      </c>
      <c r="H28">
        <f>IF($A28="","",INDEX('Freesat-Gen Ent EPG'!$Q:$S,MATCH($A28,'Freesat-Gen Ent EPG'!$S:$S,0),1))</f>
        <v>122</v>
      </c>
      <c r="I28">
        <f>IF($A28="","",INDEX('Freesat-Gen Ent EPG'!$Q:$S,MATCH($A28,'Freesat-Gen Ent EPG'!$S:$S,0),2))</f>
        <v>21</v>
      </c>
      <c r="J28">
        <f t="shared" si="1"/>
        <v>0</v>
      </c>
      <c r="K28">
        <f t="shared" si="2"/>
        <v>1</v>
      </c>
      <c r="O28" t="str">
        <f>IF('Freesat-Gen Ent EPG'!G30&lt;&gt;0,'Freesat-Gen Ent EPG'!G30,"")</f>
        <v>Channel 4 +1</v>
      </c>
      <c r="P28">
        <f t="shared" si="3"/>
        <v>1</v>
      </c>
      <c r="Q28">
        <f>IF($O28="","",INDEX('Freesat-Gen Ent EPG'!$E:$G,MATCH($O28,'Freesat-Gen Ent EPG'!$G:$G,0),1))</f>
        <v>121</v>
      </c>
      <c r="R28">
        <f>IF($O28="","",INDEX('Freesat-Gen Ent EPG'!$E:$G,MATCH($O28,'Freesat-Gen Ent EPG'!$G:$G,0),2))</f>
        <v>21</v>
      </c>
      <c r="V28">
        <f>IF($O28="","",INDEX('Freesat-Gen Ent EPG'!$U:$W,MATCH($O28,'Freesat-Gen Ent EPG'!$W:$W,0),1))</f>
        <v>122</v>
      </c>
      <c r="W28">
        <f>IF($O28="","",INDEX('Freesat-Gen Ent EPG'!$U:$W,MATCH($O28,'Freesat-Gen Ent EPG'!$W:$W,0),2))</f>
        <v>21</v>
      </c>
      <c r="X28">
        <f t="shared" si="4"/>
        <v>0</v>
      </c>
      <c r="Y28">
        <f t="shared" si="5"/>
        <v>1</v>
      </c>
      <c r="AC28" t="str">
        <f>IF('Freesat-Gen Ent EPG'!K30&lt;&gt;0,'Freesat-Gen Ent EPG'!K30,"")</f>
        <v>Channel 4 +1</v>
      </c>
      <c r="AD28">
        <f t="shared" si="6"/>
        <v>1</v>
      </c>
      <c r="AE28">
        <f>IF($AC28="","",INDEX('Freesat-Gen Ent EPG'!$I:$K,MATCH($AC28,'Freesat-Gen Ent EPG'!$K:$K,0),1))</f>
        <v>121</v>
      </c>
      <c r="AF28">
        <f>IF($AC28="","",INDEX('Freesat-Gen Ent EPG'!$I:$K,MATCH($AC28,'Freesat-Gen Ent EPG'!$K:$K,0),2))</f>
        <v>20</v>
      </c>
      <c r="AJ28">
        <f>IF($AC28="","",INDEX('Freesat-Gen Ent EPG'!$Y:$AA,MATCH($AC28,'Freesat-Gen Ent EPG'!$AA:$AA,0),1))</f>
        <v>122</v>
      </c>
      <c r="AK28">
        <f>IF($AC28="","",INDEX('Freesat-Gen Ent EPG'!$Y:$AA,MATCH($AC28,'Freesat-Gen Ent EPG'!$AA:$AA,0),2))</f>
        <v>20</v>
      </c>
      <c r="AL28">
        <f t="shared" si="7"/>
        <v>0</v>
      </c>
      <c r="AM28">
        <f t="shared" si="8"/>
        <v>1</v>
      </c>
    </row>
    <row r="29" spans="1:39" ht="42.75" x14ac:dyDescent="0.45">
      <c r="A29" s="2" t="s">
        <v>666</v>
      </c>
      <c r="H29" s="2" t="s">
        <v>667</v>
      </c>
      <c r="I29" s="2" t="s">
        <v>201</v>
      </c>
      <c r="V29" s="2" t="s">
        <v>667</v>
      </c>
      <c r="W29" s="2" t="s">
        <v>201</v>
      </c>
      <c r="AJ29" s="2" t="s">
        <v>667</v>
      </c>
      <c r="AK29" s="2" t="s">
        <v>201</v>
      </c>
    </row>
    <row r="30" spans="1:39" ht="88.35" customHeight="1" x14ac:dyDescent="0.45">
      <c r="H30" s="2" t="s">
        <v>220</v>
      </c>
      <c r="K30" s="2" t="s">
        <v>668</v>
      </c>
      <c r="Y30" s="2" t="s">
        <v>668</v>
      </c>
      <c r="AM30" s="2" t="s">
        <v>668</v>
      </c>
    </row>
    <row r="31" spans="1:39" ht="57" x14ac:dyDescent="0.45">
      <c r="H31" s="2" t="s">
        <v>207</v>
      </c>
      <c r="J31">
        <f>COUNTIFS($B$8:$B$28,1,J8:J28,"&lt;0")</f>
        <v>0</v>
      </c>
      <c r="X31">
        <f>COUNTIFS($P$8:$P$28,1,X8:X28,"&lt;0")</f>
        <v>0</v>
      </c>
      <c r="AL31">
        <f>COUNTIFS($AD$8:$AD$28,1,AL8:AL28,"&lt;0")</f>
        <v>0</v>
      </c>
    </row>
  </sheetData>
  <pageMargins left="0.70866141732283472" right="0.70866141732283472" top="0.74803149606299213" bottom="0.7480314960629921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67392-9285-48E0-B963-720F1B0A19B4}">
  <sheetPr>
    <tabColor theme="7" tint="0.59999389629810485"/>
  </sheetPr>
  <dimension ref="A1:O37"/>
  <sheetViews>
    <sheetView workbookViewId="0"/>
  </sheetViews>
  <sheetFormatPr defaultRowHeight="14.25" x14ac:dyDescent="0.45"/>
  <cols>
    <col min="3" max="3" width="14.265625" bestFit="1" customWidth="1"/>
    <col min="4" max="4" width="11.86328125" customWidth="1"/>
    <col min="7" max="8" width="10.265625" bestFit="1" customWidth="1"/>
    <col min="10" max="10" width="13.86328125" customWidth="1"/>
    <col min="11" max="11" width="13.46484375" customWidth="1"/>
    <col min="13" max="13" width="15.59765625" customWidth="1"/>
  </cols>
  <sheetData>
    <row r="1" spans="1:15" x14ac:dyDescent="0.45">
      <c r="A1" t="s">
        <v>695</v>
      </c>
    </row>
    <row r="3" spans="1:15" x14ac:dyDescent="0.45">
      <c r="C3" t="s">
        <v>110</v>
      </c>
    </row>
    <row r="4" spans="1:15" x14ac:dyDescent="0.45">
      <c r="E4" t="s">
        <v>122</v>
      </c>
      <c r="J4" t="s">
        <v>288</v>
      </c>
    </row>
    <row r="7" spans="1:15" ht="100.15" thickBot="1" x14ac:dyDescent="0.5">
      <c r="A7" t="s">
        <v>636</v>
      </c>
      <c r="B7" t="s">
        <v>637</v>
      </c>
      <c r="C7" t="s">
        <v>197</v>
      </c>
      <c r="D7" s="2" t="s">
        <v>206</v>
      </c>
      <c r="E7" t="s">
        <v>12</v>
      </c>
      <c r="F7" s="2" t="s">
        <v>123</v>
      </c>
      <c r="G7" s="2" t="s">
        <v>669</v>
      </c>
      <c r="H7" s="2" t="s">
        <v>670</v>
      </c>
      <c r="J7" t="s">
        <v>12</v>
      </c>
      <c r="K7" s="2" t="s">
        <v>123</v>
      </c>
      <c r="L7" s="2" t="s">
        <v>152</v>
      </c>
      <c r="M7" s="2" t="s">
        <v>219</v>
      </c>
      <c r="N7" s="2" t="s">
        <v>655</v>
      </c>
      <c r="O7" s="2" t="s">
        <v>656</v>
      </c>
    </row>
    <row r="8" spans="1:15" ht="14.65" thickBot="1" x14ac:dyDescent="0.5">
      <c r="B8" s="128" t="s">
        <v>183</v>
      </c>
      <c r="C8" t="str">
        <f>IF('Freesat-Gen Ent EPG'!O10&lt;&gt;0,'Freesat-Gen Ent EPG'!O10,"")</f>
        <v>BBC One HD</v>
      </c>
      <c r="D8">
        <f>IF(C8="","",(IF((LEFT(C8,3))="BBC",0,1)))</f>
        <v>0</v>
      </c>
      <c r="E8">
        <f>IF($C8="","",INDEX('Freesat-Gen Ent EPG'!$M:$O,MATCH($C8,'Freesat-Gen Ent EPG'!$O:$O,0),1))</f>
        <v>101</v>
      </c>
      <c r="F8">
        <f>IF($C8="","",INDEX('Freesat-Gen Ent EPG'!$M:$O,MATCH($C8,'Freesat-Gen Ent EPG'!$O:$O,0),2))</f>
        <v>1</v>
      </c>
      <c r="G8" t="str">
        <f>IF($L8=0,"Not needed",(IF($B8="Not available",0,(((INDEX('O&amp;O - Revenues &amp; viewing'!$B$6:$Z$237,MATCH($B8,'O&amp;O - Revenues &amp; viewing'!$B$6:$B$237,0),9))*('O&amp;O - other input parameters'!$D$5))/1000000))))</f>
        <v>Not needed</v>
      </c>
      <c r="H8" t="str">
        <f>IF($L8=0,"Not needed",(IF($B8="Not available",0,(((INDEX('O&amp;O - Revenues &amp; viewing'!$B$6:$Z$237,MATCH($B8,'O&amp;O - Revenues &amp; viewing'!$B$6:$B$237,0),13))*('O&amp;O - other input parameters'!$D$5))/1000000))))</f>
        <v>Not needed</v>
      </c>
      <c r="J8">
        <f>IF($C8="","",INDEX('Freesat-Gen Ent EPG'!$AC:$AE,MATCH($C8,'Freesat-Gen Ent EPG'!$AE:$AE,0),1))</f>
        <v>101</v>
      </c>
      <c r="K8">
        <f>IF($C8="","",INDEX('Freesat-Gen Ent EPG'!$AC:$AE,MATCH($C8,'Freesat-Gen Ent EPG'!$AE:$AE,0),2))</f>
        <v>1</v>
      </c>
      <c r="L8">
        <f>IF($F8="","",$F8-K8)</f>
        <v>0</v>
      </c>
      <c r="M8">
        <f>IF($F8="","",(IF(J8&lt;&gt;$E8,1,0)))</f>
        <v>0</v>
      </c>
      <c r="N8" s="7">
        <f>IF($L8=0,0,G8*$L8*'O&amp;O - other input parameters'!$C$7)</f>
        <v>0</v>
      </c>
      <c r="O8" s="7">
        <f>IF($L8=0,0,H8*$L8*'O&amp;O - other input parameters'!$C$7)</f>
        <v>0</v>
      </c>
    </row>
    <row r="9" spans="1:15" ht="14.65" thickBot="1" x14ac:dyDescent="0.5">
      <c r="B9" s="129" t="s">
        <v>344</v>
      </c>
      <c r="C9" t="str">
        <f>IF('Freesat-Gen Ent EPG'!O11&lt;&gt;0,'Freesat-Gen Ent EPG'!O11,"")</f>
        <v>BBC Two HD</v>
      </c>
      <c r="D9">
        <f t="shared" ref="D9:D28" si="0">IF(C9="","",(IF((LEFT(C9,3))="BBC",0,1)))</f>
        <v>0</v>
      </c>
      <c r="E9">
        <f>IF($C9="","",INDEX('Freesat-Gen Ent EPG'!$M:$O,MATCH($C9,'Freesat-Gen Ent EPG'!$O:$O,0),1))</f>
        <v>102</v>
      </c>
      <c r="F9">
        <f>IF($C9="","",INDEX('Freesat-Gen Ent EPG'!$M:$O,MATCH($C9,'Freesat-Gen Ent EPG'!$O:$O,0),2))</f>
        <v>2</v>
      </c>
      <c r="G9" t="str">
        <f>IF($L9=0,"Not needed",(IF($B9="Not available",0,(((INDEX('O&amp;O - Revenues &amp; viewing'!$B$6:$Z$237,MATCH($B9,'O&amp;O - Revenues &amp; viewing'!$B$6:$B$237,0),9))*('O&amp;O - other input parameters'!$D$5))/1000000))))</f>
        <v>Not needed</v>
      </c>
      <c r="H9" t="str">
        <f>IF($L9=0,"Not needed",(IF($B9="Not available",0,(((INDEX('O&amp;O - Revenues &amp; viewing'!$B$6:$Z$237,MATCH($B9,'O&amp;O - Revenues &amp; viewing'!$B$6:$B$237,0),13))*('O&amp;O - other input parameters'!$D$5))/1000000))))</f>
        <v>Not needed</v>
      </c>
      <c r="J9">
        <f>IF($C9="","",INDEX('Freesat-Gen Ent EPG'!$AC:$AE,MATCH($C9,'Freesat-Gen Ent EPG'!$AE:$AE,0),1))</f>
        <v>102</v>
      </c>
      <c r="K9">
        <f>IF($C9="","",INDEX('Freesat-Gen Ent EPG'!$AC:$AE,MATCH($C9,'Freesat-Gen Ent EPG'!$AE:$AE,0),2))</f>
        <v>2</v>
      </c>
      <c r="L9">
        <f t="shared" ref="L9:L28" si="1">IF($F9="","",$F9-K9)</f>
        <v>0</v>
      </c>
      <c r="M9">
        <f t="shared" ref="M9:M28" si="2">IF($F9="","",(IF(J9&lt;&gt;$E9,1,0)))</f>
        <v>0</v>
      </c>
      <c r="N9" s="7">
        <f>IF($L9=0,0,G9*$L9*'O&amp;O - other input parameters'!$C$7)</f>
        <v>0</v>
      </c>
      <c r="O9" s="7">
        <f>IF($L9=0,0,H9*$L9*'O&amp;O - other input parameters'!$C$7)</f>
        <v>0</v>
      </c>
    </row>
    <row r="10" spans="1:15" ht="14.65" thickBot="1" x14ac:dyDescent="0.5">
      <c r="B10" s="129" t="s">
        <v>55</v>
      </c>
      <c r="C10" t="str">
        <f>IF('Freesat-Gen Ent EPG'!O12&lt;&gt;0,'Freesat-Gen Ent EPG'!O12,"")</f>
        <v>ITV</v>
      </c>
      <c r="D10">
        <f t="shared" si="0"/>
        <v>1</v>
      </c>
      <c r="E10">
        <f>IF($C10="","",INDEX('Freesat-Gen Ent EPG'!$M:$O,MATCH($C10,'Freesat-Gen Ent EPG'!$O:$O,0),1))</f>
        <v>103</v>
      </c>
      <c r="F10">
        <f>IF($C10="","",INDEX('Freesat-Gen Ent EPG'!$M:$O,MATCH($C10,'Freesat-Gen Ent EPG'!$O:$O,0),2))</f>
        <v>3</v>
      </c>
      <c r="G10" t="str">
        <f>IF($L10=0,"Not needed",(IF($B10="Not available",0,(((INDEX('O&amp;O - Revenues &amp; viewing'!$B$6:$Z$237,MATCH($B10,'O&amp;O - Revenues &amp; viewing'!$B$6:$B$237,0),9))*('O&amp;O - other input parameters'!$D$5))/1000000))))</f>
        <v>Not needed</v>
      </c>
      <c r="H10" t="str">
        <f>IF($L10=0,"Not needed",(IF($B10="Not available",0,(((INDEX('O&amp;O - Revenues &amp; viewing'!$B$6:$Z$237,MATCH($B10,'O&amp;O - Revenues &amp; viewing'!$B$6:$B$237,0),13))*('O&amp;O - other input parameters'!$D$5))/1000000))))</f>
        <v>Not needed</v>
      </c>
      <c r="J10">
        <f>IF($C10="","",INDEX('Freesat-Gen Ent EPG'!$AC:$AE,MATCH($C10,'Freesat-Gen Ent EPG'!$AE:$AE,0),1))</f>
        <v>103</v>
      </c>
      <c r="K10">
        <f>IF($C10="","",INDEX('Freesat-Gen Ent EPG'!$AC:$AE,MATCH($C10,'Freesat-Gen Ent EPG'!$AE:$AE,0),2))</f>
        <v>3</v>
      </c>
      <c r="L10">
        <f t="shared" si="1"/>
        <v>0</v>
      </c>
      <c r="M10">
        <f t="shared" si="2"/>
        <v>0</v>
      </c>
      <c r="N10" s="7">
        <f>IF($L10=0,0,G10*$L10*'O&amp;O - other input parameters'!$C$7)</f>
        <v>0</v>
      </c>
      <c r="O10" s="7">
        <f>IF($L10=0,0,H10*$L10*'O&amp;O - other input parameters'!$C$7)</f>
        <v>0</v>
      </c>
    </row>
    <row r="11" spans="1:15" ht="14.65" thickBot="1" x14ac:dyDescent="0.5">
      <c r="B11" s="129" t="s">
        <v>92</v>
      </c>
      <c r="C11" t="str">
        <f>IF('Freesat-Gen Ent EPG'!O13&lt;&gt;0,'Freesat-Gen Ent EPG'!O13,"")</f>
        <v>S4C HD</v>
      </c>
      <c r="D11">
        <f t="shared" si="0"/>
        <v>1</v>
      </c>
      <c r="E11">
        <f>IF($C11="","",INDEX('Freesat-Gen Ent EPG'!$M:$O,MATCH($C11,'Freesat-Gen Ent EPG'!$O:$O,0),1))</f>
        <v>104</v>
      </c>
      <c r="F11">
        <f>IF($C11="","",INDEX('Freesat-Gen Ent EPG'!$M:$O,MATCH($C11,'Freesat-Gen Ent EPG'!$O:$O,0),2))</f>
        <v>4</v>
      </c>
      <c r="G11" t="str">
        <f>IF($L11=0,"Not needed",(IF($B11="Not available",0,(((INDEX('O&amp;O - Revenues &amp; viewing'!$B$6:$Z$237,MATCH($B11,'O&amp;O - Revenues &amp; viewing'!$B$6:$B$237,0),9))*('O&amp;O - other input parameters'!$D$5))/1000000))))</f>
        <v>Not needed</v>
      </c>
      <c r="H11" t="str">
        <f>IF($L11=0,"Not needed",(IF($B11="Not available",0,(((INDEX('O&amp;O - Revenues &amp; viewing'!$B$6:$Z$237,MATCH($B11,'O&amp;O - Revenues &amp; viewing'!$B$6:$B$237,0),13))*('O&amp;O - other input parameters'!$D$5))/1000000))))</f>
        <v>Not needed</v>
      </c>
      <c r="J11">
        <f>IF($C11="","",INDEX('Freesat-Gen Ent EPG'!$AC:$AE,MATCH($C11,'Freesat-Gen Ent EPG'!$AE:$AE,0),1))</f>
        <v>104</v>
      </c>
      <c r="K11">
        <f>IF($C11="","",INDEX('Freesat-Gen Ent EPG'!$AC:$AE,MATCH($C11,'Freesat-Gen Ent EPG'!$AE:$AE,0),2))</f>
        <v>4</v>
      </c>
      <c r="L11">
        <f t="shared" si="1"/>
        <v>0</v>
      </c>
      <c r="M11">
        <f t="shared" si="2"/>
        <v>0</v>
      </c>
      <c r="N11" s="7">
        <f>IF($L11=0,0,G11*$L11*'O&amp;O - other input parameters'!$C$7)</f>
        <v>0</v>
      </c>
      <c r="O11" s="7">
        <f>IF($L11=0,0,H11*$L11*'O&amp;O - other input parameters'!$C$7)</f>
        <v>0</v>
      </c>
    </row>
    <row r="12" spans="1:15" ht="14.65" thickBot="1" x14ac:dyDescent="0.5">
      <c r="B12" s="129" t="s">
        <v>346</v>
      </c>
      <c r="C12" t="str">
        <f>IF('Freesat-Gen Ent EPG'!O14&lt;&gt;0,'Freesat-Gen Ent EPG'!O14,"")</f>
        <v>Channel 5 HD</v>
      </c>
      <c r="D12">
        <f t="shared" si="0"/>
        <v>1</v>
      </c>
      <c r="E12">
        <f>IF($C12="","",INDEX('Freesat-Gen Ent EPG'!$M:$O,MATCH($C12,'Freesat-Gen Ent EPG'!$O:$O,0),1))</f>
        <v>105</v>
      </c>
      <c r="F12">
        <f>IF($C12="","",INDEX('Freesat-Gen Ent EPG'!$M:$O,MATCH($C12,'Freesat-Gen Ent EPG'!$O:$O,0),2))</f>
        <v>5</v>
      </c>
      <c r="G12" t="str">
        <f>IF($L12=0,"Not needed",(IF($B12="Not available",0,(((INDEX('O&amp;O - Revenues &amp; viewing'!$B$6:$Z$237,MATCH($B12,'O&amp;O - Revenues &amp; viewing'!$B$6:$B$237,0),9))*('O&amp;O - other input parameters'!$D$5))/1000000))))</f>
        <v>Not needed</v>
      </c>
      <c r="H12" t="str">
        <f>IF($L12=0,"Not needed",(IF($B12="Not available",0,(((INDEX('O&amp;O - Revenues &amp; viewing'!$B$6:$Z$237,MATCH($B12,'O&amp;O - Revenues &amp; viewing'!$B$6:$B$237,0),13))*('O&amp;O - other input parameters'!$D$5))/1000000))))</f>
        <v>Not needed</v>
      </c>
      <c r="J12">
        <f>IF($C12="","",INDEX('Freesat-Gen Ent EPG'!$AC:$AE,MATCH($C12,'Freesat-Gen Ent EPG'!$AE:$AE,0),1))</f>
        <v>105</v>
      </c>
      <c r="K12">
        <f>IF($C12="","",INDEX('Freesat-Gen Ent EPG'!$AC:$AE,MATCH($C12,'Freesat-Gen Ent EPG'!$AE:$AE,0),2))</f>
        <v>5</v>
      </c>
      <c r="L12">
        <f t="shared" si="1"/>
        <v>0</v>
      </c>
      <c r="M12">
        <f t="shared" si="2"/>
        <v>0</v>
      </c>
      <c r="N12" s="7">
        <f>IF($L12=0,0,G12*$L12*'O&amp;O - other input parameters'!$C$7)</f>
        <v>0</v>
      </c>
      <c r="O12" s="7">
        <f>IF($L12=0,0,H12*$L12*'O&amp;O - other input parameters'!$C$7)</f>
        <v>0</v>
      </c>
    </row>
    <row r="13" spans="1:15" ht="14.65" thickBot="1" x14ac:dyDescent="0.5">
      <c r="B13" s="129" t="s">
        <v>643</v>
      </c>
      <c r="C13" t="str">
        <f>IF('Freesat-Gen Ent EPG'!O15&lt;&gt;0,'Freesat-Gen Ent EPG'!O15,"")</f>
        <v>BBC Two</v>
      </c>
      <c r="D13">
        <f t="shared" si="0"/>
        <v>0</v>
      </c>
      <c r="E13">
        <f>IF($C13="","",INDEX('Freesat-Gen Ent EPG'!$M:$O,MATCH($C13,'Freesat-Gen Ent EPG'!$O:$O,0),1))</f>
        <v>106</v>
      </c>
      <c r="F13">
        <f>IF($C13="","",INDEX('Freesat-Gen Ent EPG'!$M:$O,MATCH($C13,'Freesat-Gen Ent EPG'!$O:$O,0),2))</f>
        <v>6</v>
      </c>
      <c r="G13" t="str">
        <f>IF($L13=0,"Not needed",(IF($B13="Not available",0,(((INDEX('O&amp;O - Revenues &amp; viewing'!$B$6:$Z$237,MATCH($B13,'O&amp;O - Revenues &amp; viewing'!$B$6:$B$237,0),9))*('O&amp;O - other input parameters'!$D$5))/1000000))))</f>
        <v>Not needed</v>
      </c>
      <c r="H13" t="str">
        <f>IF($L13=0,"Not needed",(IF($B13="Not available",0,(((INDEX('O&amp;O - Revenues &amp; viewing'!$B$6:$Z$237,MATCH($B13,'O&amp;O - Revenues &amp; viewing'!$B$6:$B$237,0),13))*('O&amp;O - other input parameters'!$D$5))/1000000))))</f>
        <v>Not needed</v>
      </c>
      <c r="J13">
        <f>IF($C13="","",INDEX('Freesat-Gen Ent EPG'!$AC:$AE,MATCH($C13,'Freesat-Gen Ent EPG'!$AE:$AE,0),1))</f>
        <v>106</v>
      </c>
      <c r="K13">
        <f>IF($C13="","",INDEX('Freesat-Gen Ent EPG'!$AC:$AE,MATCH($C13,'Freesat-Gen Ent EPG'!$AE:$AE,0),2))</f>
        <v>6</v>
      </c>
      <c r="L13">
        <f t="shared" si="1"/>
        <v>0</v>
      </c>
      <c r="M13">
        <f t="shared" si="2"/>
        <v>0</v>
      </c>
      <c r="N13" s="7">
        <f>IF($L13=0,0,G13*$L13*'O&amp;O - other input parameters'!$C$7)</f>
        <v>0</v>
      </c>
      <c r="O13" s="7">
        <f>IF($L13=0,0,H13*$L13*'O&amp;O - other input parameters'!$C$7)</f>
        <v>0</v>
      </c>
    </row>
    <row r="14" spans="1:15" ht="14.65" thickBot="1" x14ac:dyDescent="0.5">
      <c r="B14" s="129" t="s">
        <v>355</v>
      </c>
      <c r="C14" t="str">
        <f>IF('Freesat-Gen Ent EPG'!O16&lt;&gt;0,'Freesat-Gen Ent EPG'!O16,"")</f>
        <v>BBC Four HD</v>
      </c>
      <c r="D14">
        <f t="shared" si="0"/>
        <v>0</v>
      </c>
      <c r="E14">
        <f>IF($C14="","",INDEX('Freesat-Gen Ent EPG'!$M:$O,MATCH($C14,'Freesat-Gen Ent EPG'!$O:$O,0),1))</f>
        <v>107</v>
      </c>
      <c r="F14">
        <f>IF($C14="","",INDEX('Freesat-Gen Ent EPG'!$M:$O,MATCH($C14,'Freesat-Gen Ent EPG'!$O:$O,0),2))</f>
        <v>7</v>
      </c>
      <c r="G14" t="str">
        <f>IF($L14=0,"Not needed",(IF($B14="Not available",0,(((INDEX('O&amp;O - Revenues &amp; viewing'!$B$6:$Z$237,MATCH($B14,'O&amp;O - Revenues &amp; viewing'!$B$6:$B$237,0),9))*('O&amp;O - other input parameters'!$D$5))/1000000))))</f>
        <v>Not needed</v>
      </c>
      <c r="H14" t="str">
        <f>IF($L14=0,"Not needed",(IF($B14="Not available",0,(((INDEX('O&amp;O - Revenues &amp; viewing'!$B$6:$Z$237,MATCH($B14,'O&amp;O - Revenues &amp; viewing'!$B$6:$B$237,0),13))*('O&amp;O - other input parameters'!$D$5))/1000000))))</f>
        <v>Not needed</v>
      </c>
      <c r="J14">
        <f>IF($C14="","",INDEX('Freesat-Gen Ent EPG'!$AC:$AE,MATCH($C14,'Freesat-Gen Ent EPG'!$AE:$AE,0),1))</f>
        <v>107</v>
      </c>
      <c r="K14">
        <f>IF($C14="","",INDEX('Freesat-Gen Ent EPG'!$AC:$AE,MATCH($C14,'Freesat-Gen Ent EPG'!$AE:$AE,0),2))</f>
        <v>7</v>
      </c>
      <c r="L14">
        <f t="shared" si="1"/>
        <v>0</v>
      </c>
      <c r="M14">
        <f t="shared" si="2"/>
        <v>0</v>
      </c>
      <c r="N14" s="7">
        <f>IF($L14=0,0,G14*$L14*'O&amp;O - other input parameters'!$C$7)</f>
        <v>0</v>
      </c>
      <c r="O14" s="7">
        <f>IF($L14=0,0,H14*$L14*'O&amp;O - other input parameters'!$C$7)</f>
        <v>0</v>
      </c>
    </row>
    <row r="15" spans="1:15" ht="14.65" thickBot="1" x14ac:dyDescent="0.5">
      <c r="B15" s="129" t="s">
        <v>643</v>
      </c>
      <c r="C15" t="str">
        <f>IF('Freesat-Gen Ent EPG'!O17&lt;&gt;0,'Freesat-Gen Ent EPG'!O17,"")</f>
        <v>BBC Scotland HD</v>
      </c>
      <c r="D15">
        <f t="shared" si="0"/>
        <v>0</v>
      </c>
      <c r="E15">
        <f>IF($C15="","",INDEX('Freesat-Gen Ent EPG'!$M:$O,MATCH($C15,'Freesat-Gen Ent EPG'!$O:$O,0),1))</f>
        <v>108</v>
      </c>
      <c r="F15">
        <f>IF($C15="","",INDEX('Freesat-Gen Ent EPG'!$M:$O,MATCH($C15,'Freesat-Gen Ent EPG'!$O:$O,0),2))</f>
        <v>8</v>
      </c>
      <c r="G15" s="73">
        <f>IF($L15=0,"Not needed",(IF($B15="Not available",0,(((INDEX('O&amp;O - Revenues &amp; viewing'!$B$6:$Z$237,MATCH($B15,'O&amp;O - Revenues &amp; viewing'!$B$6:$B$237,0),9))*('O&amp;O - other input parameters'!$D$5))/1000000))))</f>
        <v>0</v>
      </c>
      <c r="H15" s="73">
        <f>IF($L15=0,"Not needed",(IF($B15="Not available",0,(((INDEX('O&amp;O - Revenues &amp; viewing'!$B$6:$Z$237,MATCH($B15,'O&amp;O - Revenues &amp; viewing'!$B$6:$B$237,0),13))*('O&amp;O - other input parameters'!$D$5))/1000000))))</f>
        <v>0</v>
      </c>
      <c r="J15">
        <f>IF($C15="","",INDEX('Freesat-Gen Ent EPG'!$AC:$AE,MATCH($C15,'Freesat-Gen Ent EPG'!$AE:$AE,0),1))</f>
        <v>109</v>
      </c>
      <c r="K15">
        <f>IF($C15="","",INDEX('Freesat-Gen Ent EPG'!$AC:$AE,MATCH($C15,'Freesat-Gen Ent EPG'!$AE:$AE,0),2))</f>
        <v>9</v>
      </c>
      <c r="L15">
        <f t="shared" si="1"/>
        <v>-1</v>
      </c>
      <c r="M15">
        <f t="shared" si="2"/>
        <v>1</v>
      </c>
      <c r="N15" s="7">
        <f>IF($L15=0,0,G15*$L15*'O&amp;O - other input parameters'!$C$7)</f>
        <v>0</v>
      </c>
      <c r="O15" s="7">
        <f>IF($L15=0,0,H15*$L15*'O&amp;O - other input parameters'!$C$7)</f>
        <v>0</v>
      </c>
    </row>
    <row r="16" spans="1:15" ht="14.65" thickBot="1" x14ac:dyDescent="0.5">
      <c r="B16" s="129" t="s">
        <v>643</v>
      </c>
      <c r="C16" t="str">
        <f>IF('Freesat-Gen Ent EPG'!O18&lt;&gt;0,'Freesat-Gen Ent EPG'!O18,"")</f>
        <v>BBC Alba</v>
      </c>
      <c r="D16">
        <f t="shared" si="0"/>
        <v>0</v>
      </c>
      <c r="E16">
        <f>IF($C16="","",INDEX('Freesat-Gen Ent EPG'!$M:$O,MATCH($C16,'Freesat-Gen Ent EPG'!$O:$O,0),1))</f>
        <v>109</v>
      </c>
      <c r="F16">
        <f>IF($C16="","",INDEX('Freesat-Gen Ent EPG'!$M:$O,MATCH($C16,'Freesat-Gen Ent EPG'!$O:$O,0),2))</f>
        <v>9</v>
      </c>
      <c r="G16" s="73">
        <f>IF($L16=0,"Not needed",(IF($B16="Not available",0,(((INDEX('O&amp;O - Revenues &amp; viewing'!$B$6:$Z$237,MATCH($B16,'O&amp;O - Revenues &amp; viewing'!$B$6:$B$237,0),9))*('O&amp;O - other input parameters'!$D$5))/1000000))))</f>
        <v>0</v>
      </c>
      <c r="H16" s="73">
        <f>IF($L16=0,"Not needed",(IF($B16="Not available",0,(((INDEX('O&amp;O - Revenues &amp; viewing'!$B$6:$Z$237,MATCH($B16,'O&amp;O - Revenues &amp; viewing'!$B$6:$B$237,0),13))*('O&amp;O - other input parameters'!$D$5))/1000000))))</f>
        <v>0</v>
      </c>
      <c r="J16">
        <f>IF($C16="","",INDEX('Freesat-Gen Ent EPG'!$AC:$AE,MATCH($C16,'Freesat-Gen Ent EPG'!$AE:$AE,0),1))</f>
        <v>110</v>
      </c>
      <c r="K16">
        <f>IF($C16="","",INDEX('Freesat-Gen Ent EPG'!$AC:$AE,MATCH($C16,'Freesat-Gen Ent EPG'!$AE:$AE,0),2))</f>
        <v>10</v>
      </c>
      <c r="L16">
        <f t="shared" si="1"/>
        <v>-1</v>
      </c>
      <c r="M16">
        <f t="shared" si="2"/>
        <v>1</v>
      </c>
      <c r="N16" s="7">
        <f>IF($L16=0,0,G16*$L16*'O&amp;O - other input parameters'!$C$7)</f>
        <v>0</v>
      </c>
      <c r="O16" s="7">
        <f>IF($L16=0,0,H16*$L16*'O&amp;O - other input parameters'!$C$7)</f>
        <v>0</v>
      </c>
    </row>
    <row r="17" spans="2:15" ht="14.65" thickBot="1" x14ac:dyDescent="0.5">
      <c r="B17" s="129" t="s">
        <v>643</v>
      </c>
      <c r="C17" t="str">
        <f>IF('Freesat-Gen Ent EPG'!O19&lt;&gt;0,'Freesat-Gen Ent EPG'!O19,"")</f>
        <v>BBC One</v>
      </c>
      <c r="D17">
        <f t="shared" si="0"/>
        <v>0</v>
      </c>
      <c r="E17">
        <f>IF($C17="","",INDEX('Freesat-Gen Ent EPG'!$M:$O,MATCH($C17,'Freesat-Gen Ent EPG'!$O:$O,0),1))</f>
        <v>110</v>
      </c>
      <c r="F17">
        <f>IF($C17="","",INDEX('Freesat-Gen Ent EPG'!$M:$O,MATCH($C17,'Freesat-Gen Ent EPG'!$O:$O,0),2))</f>
        <v>10</v>
      </c>
      <c r="G17" s="73">
        <f>IF($L17=0,"Not needed",(IF($B17="Not available",0,(((INDEX('O&amp;O - Revenues &amp; viewing'!$B$6:$Z$237,MATCH($B17,'O&amp;O - Revenues &amp; viewing'!$B$6:$B$237,0),9))*('O&amp;O - other input parameters'!$D$5))/1000000))))</f>
        <v>0</v>
      </c>
      <c r="H17" s="73">
        <f>IF($L17=0,"Not needed",(IF($B17="Not available",0,(((INDEX('O&amp;O - Revenues &amp; viewing'!$B$6:$Z$237,MATCH($B17,'O&amp;O - Revenues &amp; viewing'!$B$6:$B$237,0),13))*('O&amp;O - other input parameters'!$D$5))/1000000))))</f>
        <v>0</v>
      </c>
      <c r="J17">
        <f>IF($C17="","",INDEX('Freesat-Gen Ent EPG'!$AC:$AE,MATCH($C17,'Freesat-Gen Ent EPG'!$AE:$AE,0),1))</f>
        <v>111</v>
      </c>
      <c r="K17">
        <f>IF($C17="","",INDEX('Freesat-Gen Ent EPG'!$AC:$AE,MATCH($C17,'Freesat-Gen Ent EPG'!$AE:$AE,0),2))</f>
        <v>11</v>
      </c>
      <c r="L17">
        <f t="shared" si="1"/>
        <v>-1</v>
      </c>
      <c r="M17">
        <f t="shared" si="2"/>
        <v>1</v>
      </c>
      <c r="N17" s="7">
        <f>IF($L17=0,0,G17*$L17*'O&amp;O - other input parameters'!$C$7)</f>
        <v>0</v>
      </c>
      <c r="O17" s="7">
        <f>IF($L17=0,0,H17*$L17*'O&amp;O - other input parameters'!$C$7)</f>
        <v>0</v>
      </c>
    </row>
    <row r="18" spans="2:15" ht="14.65" thickBot="1" x14ac:dyDescent="0.5">
      <c r="B18" s="129" t="s">
        <v>347</v>
      </c>
      <c r="C18" t="str">
        <f>IF('Freesat-Gen Ent EPG'!O20&lt;&gt;0,'Freesat-Gen Ent EPG'!O20,"")</f>
        <v>ITV HD</v>
      </c>
      <c r="D18">
        <f t="shared" si="0"/>
        <v>1</v>
      </c>
      <c r="E18">
        <f>IF($C18="","",INDEX('Freesat-Gen Ent EPG'!$M:$O,MATCH($C18,'Freesat-Gen Ent EPG'!$O:$O,0),1))</f>
        <v>111</v>
      </c>
      <c r="F18">
        <f>IF($C18="","",INDEX('Freesat-Gen Ent EPG'!$M:$O,MATCH($C18,'Freesat-Gen Ent EPG'!$O:$O,0),2))</f>
        <v>11</v>
      </c>
      <c r="G18" s="73">
        <f>IF($L18=0,"Not needed",(IF($B18="Not available",0,(((INDEX('O&amp;O - Revenues &amp; viewing'!$B$6:$Z$237,MATCH($B18,'O&amp;O - Revenues &amp; viewing'!$B$6:$B$237,0),9))*('O&amp;O - other input parameters'!$D$5))/1000000))))</f>
        <v>4.8328100581047106</v>
      </c>
      <c r="H18" s="73">
        <f>IF($L18=0,"Not needed",(IF($B18="Not available",0,(((INDEX('O&amp;O - Revenues &amp; viewing'!$B$6:$Z$237,MATCH($B18,'O&amp;O - Revenues &amp; viewing'!$B$6:$B$237,0),13))*('O&amp;O - other input parameters'!$D$5))/1000000))))</f>
        <v>0.56536003290454429</v>
      </c>
      <c r="J18">
        <f>IF($C18="","",INDEX('Freesat-Gen Ent EPG'!$AC:$AE,MATCH($C18,'Freesat-Gen Ent EPG'!$AE:$AE,0),1))</f>
        <v>112</v>
      </c>
      <c r="K18">
        <f>IF($C18="","",INDEX('Freesat-Gen Ent EPG'!$AC:$AE,MATCH($C18,'Freesat-Gen Ent EPG'!$AE:$AE,0),2))</f>
        <v>12</v>
      </c>
      <c r="L18">
        <f t="shared" si="1"/>
        <v>-1</v>
      </c>
      <c r="M18">
        <f t="shared" si="2"/>
        <v>1</v>
      </c>
      <c r="N18" s="7">
        <f>IF($L18=0,0,G18*$L18*'O&amp;O - other input parameters'!$C$7)</f>
        <v>-7.1632823140848872E-2</v>
      </c>
      <c r="O18" s="7">
        <f>IF($L18=0,0,H18*$L18*'O&amp;O - other input parameters'!$C$7)</f>
        <v>-8.3798731506195389E-3</v>
      </c>
    </row>
    <row r="19" spans="2:15" ht="14.65" thickBot="1" x14ac:dyDescent="0.5">
      <c r="B19" s="129" t="s">
        <v>56</v>
      </c>
      <c r="C19" t="str">
        <f>IF('Freesat-Gen Ent EPG'!O21&lt;&gt;0,'Freesat-Gen Ent EPG'!O21,"")</f>
        <v>ITV +1</v>
      </c>
      <c r="D19">
        <f t="shared" si="0"/>
        <v>1</v>
      </c>
      <c r="E19">
        <f>IF($C19="","",INDEX('Freesat-Gen Ent EPG'!$M:$O,MATCH($C19,'Freesat-Gen Ent EPG'!$O:$O,0),1))</f>
        <v>112</v>
      </c>
      <c r="F19">
        <f>IF($C19="","",INDEX('Freesat-Gen Ent EPG'!$M:$O,MATCH($C19,'Freesat-Gen Ent EPG'!$O:$O,0),2))</f>
        <v>12</v>
      </c>
      <c r="G19" s="73">
        <f>IF($L19=0,"Not needed",(IF($B19="Not available",0,(((INDEX('O&amp;O - Revenues &amp; viewing'!$B$6:$Z$237,MATCH($B19,'O&amp;O - Revenues &amp; viewing'!$B$6:$B$237,0),9))*('O&amp;O - other input parameters'!$D$5))/1000000))))</f>
        <v>1.4766787686140093</v>
      </c>
      <c r="H19" s="73">
        <f>IF($L19=0,"Not needed",(IF($B19="Not available",0,(((INDEX('O&amp;O - Revenues &amp; viewing'!$B$6:$Z$237,MATCH($B19,'O&amp;O - Revenues &amp; viewing'!$B$6:$B$237,0),13))*('O&amp;O - other input parameters'!$D$5))/1000000))))</f>
        <v>0.17274735550862189</v>
      </c>
      <c r="J19">
        <f>IF($C19="","",INDEX('Freesat-Gen Ent EPG'!$AC:$AE,MATCH($C19,'Freesat-Gen Ent EPG'!$AE:$AE,0),1))</f>
        <v>113</v>
      </c>
      <c r="K19">
        <f>IF($C19="","",INDEX('Freesat-Gen Ent EPG'!$AC:$AE,MATCH($C19,'Freesat-Gen Ent EPG'!$AE:$AE,0),2))</f>
        <v>13</v>
      </c>
      <c r="L19">
        <f t="shared" si="1"/>
        <v>-1</v>
      </c>
      <c r="M19">
        <f t="shared" si="2"/>
        <v>1</v>
      </c>
      <c r="N19" s="7">
        <f>IF($L19=0,0,G19*$L19*'O&amp;O - other input parameters'!$C$7)</f>
        <v>-2.18876115130122E-2</v>
      </c>
      <c r="O19" s="7">
        <f>IF($L19=0,0,H19*$L19*'O&amp;O - other input parameters'!$C$7)</f>
        <v>-2.5604939189460578E-3</v>
      </c>
    </row>
    <row r="20" spans="2:15" ht="14.65" thickBot="1" x14ac:dyDescent="0.5">
      <c r="B20" s="129" t="s">
        <v>57</v>
      </c>
      <c r="C20" t="str">
        <f>IF('Freesat-Gen Ent EPG'!O22&lt;&gt;0,'Freesat-Gen Ent EPG'!O22,"")</f>
        <v>ITV2</v>
      </c>
      <c r="D20">
        <f t="shared" si="0"/>
        <v>1</v>
      </c>
      <c r="E20">
        <f>IF($C20="","",INDEX('Freesat-Gen Ent EPG'!$M:$O,MATCH($C20,'Freesat-Gen Ent EPG'!$O:$O,0),1))</f>
        <v>113</v>
      </c>
      <c r="F20">
        <f>IF($C20="","",INDEX('Freesat-Gen Ent EPG'!$M:$O,MATCH($C20,'Freesat-Gen Ent EPG'!$O:$O,0),2))</f>
        <v>13</v>
      </c>
      <c r="G20" s="73">
        <f>IF($L20=0,"Not needed",(IF($B20="Not available",0,(((INDEX('O&amp;O - Revenues &amp; viewing'!$B$6:$Z$237,MATCH($B20,'O&amp;O - Revenues &amp; viewing'!$B$6:$B$237,0),9))*('O&amp;O - other input parameters'!$D$5))/1000000))))</f>
        <v>2.102687973192094</v>
      </c>
      <c r="H20" s="73">
        <f>IF($L20=0,"Not needed",(IF($B20="Not available",0,(((INDEX('O&amp;O - Revenues &amp; viewing'!$B$6:$Z$237,MATCH($B20,'O&amp;O - Revenues &amp; viewing'!$B$6:$B$237,0),13))*('O&amp;O - other input parameters'!$D$5))/1000000))))</f>
        <v>0.14958988577190793</v>
      </c>
      <c r="J20">
        <f>IF($C20="","",INDEX('Freesat-Gen Ent EPG'!$AC:$AE,MATCH($C20,'Freesat-Gen Ent EPG'!$AE:$AE,0),1))</f>
        <v>114</v>
      </c>
      <c r="K20">
        <f>IF($C20="","",INDEX('Freesat-Gen Ent EPG'!$AC:$AE,MATCH($C20,'Freesat-Gen Ent EPG'!$AE:$AE,0),2))</f>
        <v>14</v>
      </c>
      <c r="L20">
        <f t="shared" si="1"/>
        <v>-1</v>
      </c>
      <c r="M20">
        <f t="shared" si="2"/>
        <v>1</v>
      </c>
      <c r="N20" s="7">
        <f>IF($L20=0,0,G20*$L20*'O&amp;O - other input parameters'!$C$7)</f>
        <v>-3.116643813705533E-2</v>
      </c>
      <c r="O20" s="7">
        <f>IF($L20=0,0,H20*$L20*'O&amp;O - other input parameters'!$C$7)</f>
        <v>-2.2172495302580121E-3</v>
      </c>
    </row>
    <row r="21" spans="2:15" ht="14.65" thickBot="1" x14ac:dyDescent="0.5">
      <c r="B21" s="129" t="s">
        <v>372</v>
      </c>
      <c r="C21" t="str">
        <f>IF('Freesat-Gen Ent EPG'!O23&lt;&gt;0,'Freesat-Gen Ent EPG'!O23,"")</f>
        <v>ITV2 +1</v>
      </c>
      <c r="D21">
        <f t="shared" si="0"/>
        <v>1</v>
      </c>
      <c r="E21">
        <f>IF($C21="","",INDEX('Freesat-Gen Ent EPG'!$M:$O,MATCH($C21,'Freesat-Gen Ent EPG'!$O:$O,0),1))</f>
        <v>114</v>
      </c>
      <c r="F21">
        <f>IF($C21="","",INDEX('Freesat-Gen Ent EPG'!$M:$O,MATCH($C21,'Freesat-Gen Ent EPG'!$O:$O,0),2))</f>
        <v>14</v>
      </c>
      <c r="G21" s="73">
        <f>IF($L21=0,"Not needed",(IF($B21="Not available",0,(((INDEX('O&amp;O - Revenues &amp; viewing'!$B$6:$Z$237,MATCH($B21,'O&amp;O - Revenues &amp; viewing'!$B$6:$B$237,0),9))*('O&amp;O - other input parameters'!$D$5))/1000000))))</f>
        <v>0.82074651404471144</v>
      </c>
      <c r="H21" s="73">
        <f>IF($L21=0,"Not needed",(IF($B21="Not available",0,(((INDEX('O&amp;O - Revenues &amp; viewing'!$B$6:$Z$237,MATCH($B21,'O&amp;O - Revenues &amp; viewing'!$B$6:$B$237,0),13))*('O&amp;O - other input parameters'!$D$5))/1000000))))</f>
        <v>5.8389727267643299E-2</v>
      </c>
      <c r="J21">
        <f>IF($C21="","",INDEX('Freesat-Gen Ent EPG'!$AC:$AE,MATCH($C21,'Freesat-Gen Ent EPG'!$AE:$AE,0),1))</f>
        <v>115</v>
      </c>
      <c r="K21">
        <f>IF($C21="","",INDEX('Freesat-Gen Ent EPG'!$AC:$AE,MATCH($C21,'Freesat-Gen Ent EPG'!$AE:$AE,0),2))</f>
        <v>15</v>
      </c>
      <c r="L21">
        <f t="shared" si="1"/>
        <v>-1</v>
      </c>
      <c r="M21">
        <f t="shared" si="2"/>
        <v>1</v>
      </c>
      <c r="N21" s="7">
        <f>IF($L21=0,0,G21*$L21*'O&amp;O - other input parameters'!$C$7)</f>
        <v>-1.2165259792372171E-2</v>
      </c>
      <c r="O21" s="7">
        <f>IF($L21=0,0,H21*$L21*'O&amp;O - other input parameters'!$C$7)</f>
        <v>-8.6546356184455495E-4</v>
      </c>
    </row>
    <row r="22" spans="2:15" ht="14.65" thickBot="1" x14ac:dyDescent="0.5">
      <c r="B22" s="129" t="s">
        <v>59</v>
      </c>
      <c r="C22" t="str">
        <f>IF('Freesat-Gen Ent EPG'!O24&lt;&gt;0,'Freesat-Gen Ent EPG'!O24,"")</f>
        <v>ITV3</v>
      </c>
      <c r="D22">
        <f t="shared" si="0"/>
        <v>1</v>
      </c>
      <c r="E22">
        <f>IF($C22="","",INDEX('Freesat-Gen Ent EPG'!$M:$O,MATCH($C22,'Freesat-Gen Ent EPG'!$O:$O,0),1))</f>
        <v>115</v>
      </c>
      <c r="F22">
        <f>IF($C22="","",INDEX('Freesat-Gen Ent EPG'!$M:$O,MATCH($C22,'Freesat-Gen Ent EPG'!$O:$O,0),2))</f>
        <v>15</v>
      </c>
      <c r="G22" s="73">
        <f>IF($L22=0,"Not needed",(IF($B22="Not available",0,(((INDEX('O&amp;O - Revenues &amp; viewing'!$B$6:$Z$237,MATCH($B22,'O&amp;O - Revenues &amp; viewing'!$B$6:$B$237,0),9))*('O&amp;O - other input parameters'!$D$5))/1000000))))</f>
        <v>3.3186087347398141</v>
      </c>
      <c r="H22" s="73">
        <f>IF($L22=0,"Not needed",(IF($B22="Not available",0,(((INDEX('O&amp;O - Revenues &amp; viewing'!$B$6:$Z$237,MATCH($B22,'O&amp;O - Revenues &amp; viewing'!$B$6:$B$237,0),13))*('O&amp;O - other input parameters'!$D$5))/1000000))))</f>
        <v>0.23609318542767577</v>
      </c>
      <c r="J22">
        <f>IF($C22="","",INDEX('Freesat-Gen Ent EPG'!$AC:$AE,MATCH($C22,'Freesat-Gen Ent EPG'!$AE:$AE,0),1))</f>
        <v>116</v>
      </c>
      <c r="K22">
        <f>IF($C22="","",INDEX('Freesat-Gen Ent EPG'!$AC:$AE,MATCH($C22,'Freesat-Gen Ent EPG'!$AE:$AE,0),2))</f>
        <v>16</v>
      </c>
      <c r="L22">
        <f t="shared" si="1"/>
        <v>-1</v>
      </c>
      <c r="M22">
        <f t="shared" si="2"/>
        <v>1</v>
      </c>
      <c r="N22" s="7">
        <f>IF($L22=0,0,G22*$L22*'O&amp;O - other input parameters'!$C$7)</f>
        <v>-4.9189045236865944E-2</v>
      </c>
      <c r="O22" s="7">
        <f>IF($L22=0,0,H22*$L22*'O&amp;O - other input parameters'!$C$7)</f>
        <v>-3.4994177700277229E-3</v>
      </c>
    </row>
    <row r="23" spans="2:15" ht="14.65" thickBot="1" x14ac:dyDescent="0.5">
      <c r="B23" s="129" t="s">
        <v>395</v>
      </c>
      <c r="C23" t="str">
        <f>IF('Freesat-Gen Ent EPG'!O25&lt;&gt;0,'Freesat-Gen Ent EPG'!O25,"")</f>
        <v>ITV3 +1</v>
      </c>
      <c r="D23">
        <f t="shared" si="0"/>
        <v>1</v>
      </c>
      <c r="E23">
        <f>IF($C23="","",INDEX('Freesat-Gen Ent EPG'!$M:$O,MATCH($C23,'Freesat-Gen Ent EPG'!$O:$O,0),1))</f>
        <v>116</v>
      </c>
      <c r="F23">
        <f>IF($C23="","",INDEX('Freesat-Gen Ent EPG'!$M:$O,MATCH($C23,'Freesat-Gen Ent EPG'!$O:$O,0),2))</f>
        <v>16</v>
      </c>
      <c r="G23" s="73">
        <f>IF($L23=0,"Not needed",(IF($B23="Not available",0,(((INDEX('O&amp;O - Revenues &amp; viewing'!$B$6:$Z$237,MATCH($B23,'O&amp;O - Revenues &amp; viewing'!$B$6:$B$237,0),9))*('O&amp;O - other input parameters'!$D$5))/1000000))))</f>
        <v>0.83214577118422139</v>
      </c>
      <c r="H23" s="73">
        <f>IF($L23=0,"Not needed",(IF($B23="Not available",0,(((INDEX('O&amp;O - Revenues &amp; viewing'!$B$6:$Z$237,MATCH($B23,'O&amp;O - Revenues &amp; viewing'!$B$6:$B$237,0),13))*('O&amp;O - other input parameters'!$D$5))/1000000))))</f>
        <v>5.920069570191612E-2</v>
      </c>
      <c r="J23">
        <f>IF($C23="","",INDEX('Freesat-Gen Ent EPG'!$AC:$AE,MATCH($C23,'Freesat-Gen Ent EPG'!$AE:$AE,0),1))</f>
        <v>117</v>
      </c>
      <c r="K23">
        <f>IF($C23="","",INDEX('Freesat-Gen Ent EPG'!$AC:$AE,MATCH($C23,'Freesat-Gen Ent EPG'!$AE:$AE,0),2))</f>
        <v>17</v>
      </c>
      <c r="L23">
        <f t="shared" si="1"/>
        <v>-1</v>
      </c>
      <c r="M23">
        <f t="shared" si="2"/>
        <v>1</v>
      </c>
      <c r="N23" s="7">
        <f>IF($L23=0,0,G23*$L23*'O&amp;O - other input parameters'!$C$7)</f>
        <v>-1.2334221733932896E-2</v>
      </c>
      <c r="O23" s="7">
        <f>IF($L23=0,0,H23*$L23*'O&amp;O - other input parameters'!$C$7)</f>
        <v>-8.7748388909239593E-4</v>
      </c>
    </row>
    <row r="24" spans="2:15" ht="14.65" thickBot="1" x14ac:dyDescent="0.5">
      <c r="B24" s="129" t="s">
        <v>60</v>
      </c>
      <c r="C24" t="str">
        <f>IF('Freesat-Gen Ent EPG'!O26&lt;&gt;0,'Freesat-Gen Ent EPG'!O26,"")</f>
        <v>ITV4</v>
      </c>
      <c r="D24">
        <f t="shared" si="0"/>
        <v>1</v>
      </c>
      <c r="E24">
        <f>IF($C24="","",INDEX('Freesat-Gen Ent EPG'!$M:$O,MATCH($C24,'Freesat-Gen Ent EPG'!$O:$O,0),1))</f>
        <v>117</v>
      </c>
      <c r="F24">
        <f>IF($C24="","",INDEX('Freesat-Gen Ent EPG'!$M:$O,MATCH($C24,'Freesat-Gen Ent EPG'!$O:$O,0),2))</f>
        <v>17</v>
      </c>
      <c r="G24" s="73">
        <f>IF($L24=0,"Not needed",(IF($B24="Not available",0,(((INDEX('O&amp;O - Revenues &amp; viewing'!$B$6:$Z$237,MATCH($B24,'O&amp;O - Revenues &amp; viewing'!$B$6:$B$237,0),9))*('O&amp;O - other input parameters'!$D$5))/1000000))))</f>
        <v>1.826255987558979</v>
      </c>
      <c r="H24" s="73">
        <f>IF($L24=0,"Not needed",(IF($B24="Not available",0,(((INDEX('O&amp;O - Revenues &amp; viewing'!$B$6:$Z$237,MATCH($B24,'O&amp;O - Revenues &amp; viewing'!$B$6:$B$237,0),13))*('O&amp;O - other input parameters'!$D$5))/1000000))))</f>
        <v>0.12992390124079198</v>
      </c>
      <c r="J24">
        <f>IF($C24="","",INDEX('Freesat-Gen Ent EPG'!$AC:$AE,MATCH($C24,'Freesat-Gen Ent EPG'!$AE:$AE,0),1))</f>
        <v>118</v>
      </c>
      <c r="K24">
        <f>IF($C24="","",INDEX('Freesat-Gen Ent EPG'!$AC:$AE,MATCH($C24,'Freesat-Gen Ent EPG'!$AE:$AE,0),2))</f>
        <v>18</v>
      </c>
      <c r="L24">
        <f t="shared" si="1"/>
        <v>-1</v>
      </c>
      <c r="M24">
        <f t="shared" si="2"/>
        <v>1</v>
      </c>
      <c r="N24" s="7">
        <f>IF($L24=0,0,G24*$L24*'O&amp;O - other input parameters'!$C$7)</f>
        <v>-2.7069111054207753E-2</v>
      </c>
      <c r="O24" s="7">
        <f>IF($L24=0,0,H24*$L24*'O&amp;O - other input parameters'!$C$7)</f>
        <v>-1.9257565944978672E-3</v>
      </c>
    </row>
    <row r="25" spans="2:15" ht="14.65" thickBot="1" x14ac:dyDescent="0.5">
      <c r="B25" s="129" t="s">
        <v>375</v>
      </c>
      <c r="C25" t="str">
        <f>IF('Freesat-Gen Ent EPG'!O27&lt;&gt;0,'Freesat-Gen Ent EPG'!O27,"")</f>
        <v>ITVBe</v>
      </c>
      <c r="D25">
        <f t="shared" si="0"/>
        <v>1</v>
      </c>
      <c r="E25">
        <f>IF($C25="","",INDEX('Freesat-Gen Ent EPG'!$M:$O,MATCH($C25,'Freesat-Gen Ent EPG'!$O:$O,0),1))</f>
        <v>118</v>
      </c>
      <c r="F25">
        <f>IF($C25="","",INDEX('Freesat-Gen Ent EPG'!$M:$O,MATCH($C25,'Freesat-Gen Ent EPG'!$O:$O,0),2))</f>
        <v>18</v>
      </c>
      <c r="G25" s="73">
        <f>IF($L25=0,"Not needed",(IF($B25="Not available",0,(((INDEX('O&amp;O - Revenues &amp; viewing'!$B$6:$Z$237,MATCH($B25,'O&amp;O - Revenues &amp; viewing'!$B$6:$B$237,0),9))*('O&amp;O - other input parameters'!$D$5))/1000000))))</f>
        <v>0.48969308795144539</v>
      </c>
      <c r="H25" s="73">
        <f>IF($L25=0,"Not needed",(IF($B25="Not available",0,(((INDEX('O&amp;O - Revenues &amp; viewing'!$B$6:$Z$237,MATCH($B25,'O&amp;O - Revenues &amp; viewing'!$B$6:$B$237,0),13))*('O&amp;O - other input parameters'!$D$5))/1000000))))</f>
        <v>3.4837852322303374E-2</v>
      </c>
      <c r="J25">
        <f>IF($C25="","",INDEX('Freesat-Gen Ent EPG'!$AC:$AE,MATCH($C25,'Freesat-Gen Ent EPG'!$AE:$AE,0),1))</f>
        <v>119</v>
      </c>
      <c r="K25">
        <f>IF($C25="","",INDEX('Freesat-Gen Ent EPG'!$AC:$AE,MATCH($C25,'Freesat-Gen Ent EPG'!$AE:$AE,0),2))</f>
        <v>19</v>
      </c>
      <c r="L25">
        <f t="shared" si="1"/>
        <v>-1</v>
      </c>
      <c r="M25">
        <f t="shared" si="2"/>
        <v>1</v>
      </c>
      <c r="N25" s="7">
        <f>IF($L25=0,0,G25*$L25*'O&amp;O - other input parameters'!$C$7)</f>
        <v>-7.2583234062127949E-3</v>
      </c>
      <c r="O25" s="7">
        <f>IF($L25=0,0,H25*$L25*'O&amp;O - other input parameters'!$C$7)</f>
        <v>-5.1637322468850466E-4</v>
      </c>
    </row>
    <row r="26" spans="2:15" ht="14.65" thickBot="1" x14ac:dyDescent="0.5">
      <c r="B26" s="129" t="s">
        <v>643</v>
      </c>
      <c r="C26" t="str">
        <f>IF('Freesat-Gen Ent EPG'!O28&lt;&gt;0,'Freesat-Gen Ent EPG'!O28,"")</f>
        <v>ITVBe +1</v>
      </c>
      <c r="D26">
        <f t="shared" si="0"/>
        <v>1</v>
      </c>
      <c r="E26">
        <f>IF($C26="","",INDEX('Freesat-Gen Ent EPG'!$M:$O,MATCH($C26,'Freesat-Gen Ent EPG'!$O:$O,0),1))</f>
        <v>119</v>
      </c>
      <c r="F26">
        <f>IF($C26="","",INDEX('Freesat-Gen Ent EPG'!$M:$O,MATCH($C26,'Freesat-Gen Ent EPG'!$O:$O,0),2))</f>
        <v>19</v>
      </c>
      <c r="G26" s="73">
        <f>IF($L26=0,"Not needed",(IF($B26="Not available",0,(((INDEX('O&amp;O - Revenues &amp; viewing'!$B$6:$Z$237,MATCH($B26,'O&amp;O - Revenues &amp; viewing'!$B$6:$B$237,0),9))*('O&amp;O - other input parameters'!$D$5))/1000000))))</f>
        <v>0</v>
      </c>
      <c r="H26" s="73">
        <f>IF($L26=0,"Not needed",(IF($B26="Not available",0,(((INDEX('O&amp;O - Revenues &amp; viewing'!$B$6:$Z$237,MATCH($B26,'O&amp;O - Revenues &amp; viewing'!$B$6:$B$237,0),13))*('O&amp;O - other input parameters'!$D$5))/1000000))))</f>
        <v>0</v>
      </c>
      <c r="J26">
        <f>IF($C26="","",INDEX('Freesat-Gen Ent EPG'!$AC:$AE,MATCH($C26,'Freesat-Gen Ent EPG'!$AE:$AE,0),1))</f>
        <v>120</v>
      </c>
      <c r="K26">
        <f>IF($C26="","",INDEX('Freesat-Gen Ent EPG'!$AC:$AE,MATCH($C26,'Freesat-Gen Ent EPG'!$AE:$AE,0),2))</f>
        <v>20</v>
      </c>
      <c r="L26">
        <f t="shared" si="1"/>
        <v>-1</v>
      </c>
      <c r="M26">
        <f t="shared" si="2"/>
        <v>1</v>
      </c>
      <c r="N26" s="7">
        <f>IF($L26=0,0,G26*$L26*'O&amp;O - other input parameters'!$C$7)</f>
        <v>0</v>
      </c>
      <c r="O26" s="7">
        <f>IF($L26=0,0,H26*$L26*'O&amp;O - other input parameters'!$C$7)</f>
        <v>0</v>
      </c>
    </row>
    <row r="27" spans="2:15" ht="14.65" thickBot="1" x14ac:dyDescent="0.5">
      <c r="B27" s="129" t="s">
        <v>345</v>
      </c>
      <c r="C27" t="str">
        <f>IF('Freesat-Gen Ent EPG'!O29&lt;&gt;0,'Freesat-Gen Ent EPG'!O29,"")</f>
        <v>Channel 4</v>
      </c>
      <c r="D27">
        <f t="shared" si="0"/>
        <v>1</v>
      </c>
      <c r="E27">
        <f>IF($C27="","",INDEX('Freesat-Gen Ent EPG'!$M:$O,MATCH($C27,'Freesat-Gen Ent EPG'!$O:$O,0),1))</f>
        <v>120</v>
      </c>
      <c r="F27">
        <f>IF($C27="","",INDEX('Freesat-Gen Ent EPG'!$M:$O,MATCH($C27,'Freesat-Gen Ent EPG'!$O:$O,0),2))</f>
        <v>20</v>
      </c>
      <c r="G27" s="73">
        <f>IF($L27=0,"Not needed",(IF($B27="Not available",0,(((INDEX('O&amp;O - Revenues &amp; viewing'!$B$6:$Z$237,MATCH($B27,'O&amp;O - Revenues &amp; viewing'!$B$6:$B$237,0),9))*('O&amp;O - other input parameters'!$D$5))/1000000))))</f>
        <v>8.5494428546324119</v>
      </c>
      <c r="H27" s="73">
        <f>IF($L27=0,"Not needed",(IF($B27="Not available",0,(((INDEX('O&amp;O - Revenues &amp; viewing'!$B$6:$Z$237,MATCH($B27,'O&amp;O - Revenues &amp; viewing'!$B$6:$B$237,0),13))*('O&amp;O - other input parameters'!$D$5))/1000000))))</f>
        <v>1.1655267485213627</v>
      </c>
      <c r="J27">
        <f>IF($C27="","",INDEX('Freesat-Gen Ent EPG'!$AC:$AE,MATCH($C27,'Freesat-Gen Ent EPG'!$AE:$AE,0),1))</f>
        <v>108</v>
      </c>
      <c r="K27">
        <f>IF($C27="","",INDEX('Freesat-Gen Ent EPG'!$AC:$AE,MATCH($C27,'Freesat-Gen Ent EPG'!$AE:$AE,0),2))</f>
        <v>8</v>
      </c>
      <c r="L27">
        <f t="shared" si="1"/>
        <v>12</v>
      </c>
      <c r="M27">
        <f t="shared" si="2"/>
        <v>1</v>
      </c>
      <c r="N27" s="7">
        <f>IF($L27=0,0,G27*$L27*'O&amp;O - other input parameters'!$C$7)</f>
        <v>1.5206574740465215</v>
      </c>
      <c r="O27" s="7">
        <f>IF($L27=0,0,H27*$L27*'O&amp;O - other input parameters'!$C$7)</f>
        <v>0.20730789028899294</v>
      </c>
    </row>
    <row r="28" spans="2:15" ht="14.65" thickBot="1" x14ac:dyDescent="0.5">
      <c r="B28" s="129" t="s">
        <v>360</v>
      </c>
      <c r="C28" t="str">
        <f>IF('Freesat-Gen Ent EPG'!O30&lt;&gt;0,'Freesat-Gen Ent EPG'!O30,"")</f>
        <v>Channel 4 +1</v>
      </c>
      <c r="D28">
        <f t="shared" si="0"/>
        <v>1</v>
      </c>
      <c r="E28">
        <f>IF($C28="","",INDEX('Freesat-Gen Ent EPG'!$M:$O,MATCH($C28,'Freesat-Gen Ent EPG'!$O:$O,0),1))</f>
        <v>121</v>
      </c>
      <c r="F28">
        <f>IF($C28="","",INDEX('Freesat-Gen Ent EPG'!$M:$O,MATCH($C28,'Freesat-Gen Ent EPG'!$O:$O,0),2))</f>
        <v>21</v>
      </c>
      <c r="G28" t="str">
        <f>IF($L28=0,"Not needed",(IF($B28="Not available",0,(((INDEX('O&amp;O - Revenues &amp; viewing'!$B$6:$Z$237,MATCH($B28,'O&amp;O - Revenues &amp; viewing'!$B$6:$B$237,0),9))*('O&amp;O - other input parameters'!$D$5))/1000000))))</f>
        <v>Not needed</v>
      </c>
      <c r="H28" t="str">
        <f>IF($L28=0,"Not needed",(IF($B28="Not available",0,(((INDEX('O&amp;O - Revenues &amp; viewing'!$B$6:$Z$237,MATCH($B28,'O&amp;O - Revenues &amp; viewing'!$B$6:$B$237,0),13))*('O&amp;O - other input parameters'!$D$5))/1000000))))</f>
        <v>Not needed</v>
      </c>
      <c r="J28">
        <f>IF($C28="","",INDEX('Freesat-Gen Ent EPG'!$AC:$AE,MATCH($C28,'Freesat-Gen Ent EPG'!$AE:$AE,0),1))</f>
        <v>122</v>
      </c>
      <c r="K28">
        <f>IF($C28="","",INDEX('Freesat-Gen Ent EPG'!$AC:$AE,MATCH($C28,'Freesat-Gen Ent EPG'!$AE:$AE,0),2))</f>
        <v>21</v>
      </c>
      <c r="L28">
        <f t="shared" si="1"/>
        <v>0</v>
      </c>
      <c r="M28">
        <f t="shared" si="2"/>
        <v>1</v>
      </c>
      <c r="N28" s="7">
        <f>IF($L28=0,0,G28*$L28*'O&amp;O - other input parameters'!$C$7)</f>
        <v>0</v>
      </c>
      <c r="O28" s="7">
        <f>IF($L28=0,0,H28*$L28*'O&amp;O - other input parameters'!$C$7)</f>
        <v>0</v>
      </c>
    </row>
    <row r="29" spans="2:15" ht="42.75" x14ac:dyDescent="0.45">
      <c r="C29" s="2" t="s">
        <v>666</v>
      </c>
      <c r="J29" s="2" t="s">
        <v>667</v>
      </c>
      <c r="K29" s="2" t="s">
        <v>201</v>
      </c>
    </row>
    <row r="30" spans="2:15" ht="57" x14ac:dyDescent="0.45">
      <c r="J30" s="2" t="s">
        <v>220</v>
      </c>
      <c r="M30" s="2" t="s">
        <v>668</v>
      </c>
    </row>
    <row r="31" spans="2:15" ht="57" x14ac:dyDescent="0.45">
      <c r="J31" s="2" t="s">
        <v>207</v>
      </c>
      <c r="L31">
        <f>COUNTIFS($D$8:$D$28,1,L8:L28,"&lt;0")</f>
        <v>9</v>
      </c>
    </row>
    <row r="33" spans="10:15" ht="42.75" x14ac:dyDescent="0.45">
      <c r="J33" s="2" t="s">
        <v>646</v>
      </c>
      <c r="N33" s="7">
        <f>SUMIFS(N$8:N$28,N$8:N$28,"&lt;0")</f>
        <v>-0.23270283401450795</v>
      </c>
      <c r="O33" s="7"/>
    </row>
    <row r="34" spans="10:15" ht="42.75" x14ac:dyDescent="0.45">
      <c r="J34" s="2" t="s">
        <v>647</v>
      </c>
      <c r="N34" s="7">
        <f>SUMIFS(N$8:N$28,N$8:N$28,"&gt;0")</f>
        <v>1.5206574740465215</v>
      </c>
      <c r="O34" s="7"/>
    </row>
    <row r="35" spans="10:15" x14ac:dyDescent="0.45">
      <c r="J35" s="2"/>
      <c r="N35" s="7"/>
      <c r="O35" s="7"/>
    </row>
    <row r="36" spans="10:15" ht="57" x14ac:dyDescent="0.45">
      <c r="J36" s="2" t="s">
        <v>648</v>
      </c>
      <c r="N36" s="7"/>
      <c r="O36" s="7">
        <f>SUMIFS(O8:O28,D8:D28,1,O8:O28,"&lt;0")</f>
        <v>-2.0842111639974653E-2</v>
      </c>
    </row>
    <row r="37" spans="10:15" x14ac:dyDescent="0.45">
      <c r="J37" s="2"/>
    </row>
  </sheetData>
  <pageMargins left="0.70866141732283472" right="0.70866141732283472" top="0.74803149606299213" bottom="0.74803149606299213" header="0.31496062992125984" footer="0.31496062992125984"/>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9EDF4-3C11-487A-B9A2-ED2E2E1EF380}">
  <sheetPr>
    <tabColor theme="7" tint="0.59999389629810485"/>
  </sheetPr>
  <dimension ref="A2:D17"/>
  <sheetViews>
    <sheetView workbookViewId="0"/>
  </sheetViews>
  <sheetFormatPr defaultRowHeight="14.25" x14ac:dyDescent="0.45"/>
  <cols>
    <col min="1" max="1" width="12.796875" bestFit="1" customWidth="1"/>
    <col min="2" max="2" width="9.796875" bestFit="1" customWidth="1"/>
    <col min="4" max="4" width="9.796875" bestFit="1" customWidth="1"/>
  </cols>
  <sheetData>
    <row r="2" spans="1:4" x14ac:dyDescent="0.45">
      <c r="A2" t="s">
        <v>122</v>
      </c>
      <c r="D2" t="s">
        <v>671</v>
      </c>
    </row>
    <row r="4" spans="1:4" ht="42.75" x14ac:dyDescent="0.45">
      <c r="B4" s="2" t="s">
        <v>672</v>
      </c>
      <c r="D4" s="2" t="s">
        <v>672</v>
      </c>
    </row>
    <row r="5" spans="1:4" x14ac:dyDescent="0.45">
      <c r="A5" t="s">
        <v>118</v>
      </c>
      <c r="B5" s="122">
        <f>(INDEX('O&amp;O - Revenues &amp; viewing'!B6:AD237,MATCH('Impact - Sky Wales'!B23,'O&amp;O - Revenues &amp; viewing'!B6:B237,0),27))/1000000</f>
        <v>3486.9793200000004</v>
      </c>
      <c r="C5" s="122"/>
      <c r="D5" s="122">
        <f>B5+'Impact - Sky Wales'!N23+'Impacts - Freesat - Wales'!N27</f>
        <v>3498.9075053141178</v>
      </c>
    </row>
    <row r="6" spans="1:4" x14ac:dyDescent="0.45">
      <c r="A6" t="s">
        <v>673</v>
      </c>
      <c r="B6" s="122">
        <f>(SUM('O&amp;O - Revenues &amp; viewing'!AB6:AB237))/1000000</f>
        <v>66639.369839999999</v>
      </c>
      <c r="C6" s="122"/>
      <c r="D6" s="122">
        <f>B6+'Impact - Sky Wales'!N54+'Impact - Sky Wales'!N53+'Impacts - Freesat - Wales'!N34+'Impacts - Freesat - Wales'!N33</f>
        <v>66649.46236586562</v>
      </c>
    </row>
    <row r="8" spans="1:4" ht="42.75" x14ac:dyDescent="0.45">
      <c r="A8" s="2" t="s">
        <v>674</v>
      </c>
      <c r="B8" s="127">
        <f>B5/B6</f>
        <v>5.2326114853309368E-2</v>
      </c>
      <c r="D8" s="127">
        <f>D5/D6</f>
        <v>5.2497160233749701E-2</v>
      </c>
    </row>
    <row r="10" spans="1:4" ht="57" x14ac:dyDescent="0.45">
      <c r="A10" s="2" t="s">
        <v>675</v>
      </c>
      <c r="D10" s="127">
        <f>((D5/B5)-1)</f>
        <v>3.4207789090408003E-3</v>
      </c>
    </row>
    <row r="11" spans="1:4" ht="71.25" x14ac:dyDescent="0.45">
      <c r="A11" s="2" t="s">
        <v>676</v>
      </c>
      <c r="D11" s="127">
        <f>((D8/B8)-1)</f>
        <v>3.2688339449591375E-3</v>
      </c>
    </row>
    <row r="13" spans="1:4" ht="28.5" x14ac:dyDescent="0.45">
      <c r="A13" s="2" t="s">
        <v>677</v>
      </c>
      <c r="D13" s="7">
        <f>'Impact - Sky Wales'!O23+'Impacts - Freesat - Wales'!O27</f>
        <v>1.6261432798969659</v>
      </c>
    </row>
    <row r="14" spans="1:4" x14ac:dyDescent="0.45">
      <c r="D14" s="7"/>
    </row>
    <row r="15" spans="1:4" ht="28.5" x14ac:dyDescent="0.45">
      <c r="A15" s="2" t="s">
        <v>678</v>
      </c>
      <c r="D15" s="7">
        <f>'Impact - Sky Wales'!N23+'Impacts - Freesat - Wales'!N27</f>
        <v>11.928185314117494</v>
      </c>
    </row>
    <row r="16" spans="1:4" ht="57" x14ac:dyDescent="0.45">
      <c r="A16" s="2" t="s">
        <v>679</v>
      </c>
      <c r="D16" s="7">
        <f>'Impact - Sky Wales'!N53+'Impacts - Freesat - Wales'!N33</f>
        <v>-1.8356594485001112</v>
      </c>
    </row>
    <row r="17" spans="1:4" ht="57" x14ac:dyDescent="0.45">
      <c r="A17" s="2" t="s">
        <v>680</v>
      </c>
      <c r="D17" s="7">
        <f>D15/(ABS(D16))</f>
        <v>6.4980382520645801</v>
      </c>
    </row>
  </sheetData>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A5BFA-A165-423E-9F52-4E84E8063FF2}">
  <sheetPr>
    <tabColor theme="8"/>
  </sheetPr>
  <dimension ref="A1:G8"/>
  <sheetViews>
    <sheetView workbookViewId="0"/>
  </sheetViews>
  <sheetFormatPr defaultRowHeight="14.25" x14ac:dyDescent="0.45"/>
  <cols>
    <col min="1" max="1" width="17.33203125" bestFit="1" customWidth="1"/>
    <col min="2" max="2" width="18.3984375" customWidth="1"/>
    <col min="3" max="3" width="10.06640625" customWidth="1"/>
    <col min="7" max="7" width="11.6640625" customWidth="1"/>
  </cols>
  <sheetData>
    <row r="1" spans="1:7" x14ac:dyDescent="0.45">
      <c r="C1" s="1" t="s">
        <v>192</v>
      </c>
    </row>
    <row r="2" spans="1:7" x14ac:dyDescent="0.45">
      <c r="B2" s="1"/>
    </row>
    <row r="3" spans="1:7" ht="41.85" customHeight="1" x14ac:dyDescent="0.45">
      <c r="A3" s="2"/>
      <c r="B3" s="1" t="s">
        <v>109</v>
      </c>
      <c r="C3" s="3" t="s">
        <v>155</v>
      </c>
      <c r="D3" s="1" t="s">
        <v>110</v>
      </c>
      <c r="E3" s="1" t="s">
        <v>154</v>
      </c>
      <c r="F3" s="1" t="s">
        <v>153</v>
      </c>
      <c r="G3" s="3" t="s">
        <v>193</v>
      </c>
    </row>
    <row r="4" spans="1:7" ht="42.75" x14ac:dyDescent="0.45">
      <c r="A4" s="35" t="s">
        <v>112</v>
      </c>
      <c r="B4" s="2" t="s">
        <v>115</v>
      </c>
      <c r="C4" s="2">
        <f>'Viewing data'!B10/'Viewing data'!$G10</f>
        <v>9.4173724874921649E-2</v>
      </c>
      <c r="D4" s="2">
        <f>'Viewing data'!C10/'Viewing data'!$G10</f>
        <v>6.7987903731633784E-2</v>
      </c>
      <c r="E4" s="2">
        <f>'Viewing data'!D10/'Viewing data'!$G10</f>
        <v>2.9823820026930209E-2</v>
      </c>
      <c r="F4" s="2">
        <f>'Viewing data'!E10/'Viewing data'!$G10</f>
        <v>0.80801455136651434</v>
      </c>
      <c r="G4" s="2">
        <f>'Viewing data'!F10/'Viewing data'!$G10</f>
        <v>0.83783837139344453</v>
      </c>
    </row>
    <row r="5" spans="1:7" ht="28.5" x14ac:dyDescent="0.45">
      <c r="A5" s="35" t="s">
        <v>114</v>
      </c>
      <c r="B5" s="2" t="s">
        <v>113</v>
      </c>
      <c r="C5" s="2">
        <f>'Viewing data'!B11/'Viewing data'!$G11</f>
        <v>0.10599327627923956</v>
      </c>
      <c r="D5" s="2">
        <f>'Viewing data'!C11/'Viewing data'!$G11</f>
        <v>7.9789574260017537E-2</v>
      </c>
      <c r="E5" s="2">
        <f>'Viewing data'!D11/'Viewing data'!$G11</f>
        <v>2.8346063600550774E-2</v>
      </c>
      <c r="F5" s="2">
        <f>'Viewing data'!E11/'Viewing data'!$G11</f>
        <v>0.78587108586019216</v>
      </c>
      <c r="G5" s="2">
        <f>'Viewing data'!F11/'Viewing data'!$G11</f>
        <v>0.81421714946074286</v>
      </c>
    </row>
    <row r="6" spans="1:7" x14ac:dyDescent="0.45">
      <c r="A6" t="s">
        <v>116</v>
      </c>
      <c r="C6">
        <f>AVERAGE(C4:C5)</f>
        <v>0.1000835005770806</v>
      </c>
      <c r="D6">
        <f t="shared" ref="D6:G6" si="0">AVERAGE(D4:D5)</f>
        <v>7.3888738995825654E-2</v>
      </c>
      <c r="E6">
        <f t="shared" si="0"/>
        <v>2.9084941813740491E-2</v>
      </c>
      <c r="F6">
        <f t="shared" si="0"/>
        <v>0.79694281861335325</v>
      </c>
      <c r="G6">
        <f t="shared" si="0"/>
        <v>0.82602776042709369</v>
      </c>
    </row>
    <row r="8" spans="1:7" x14ac:dyDescent="0.45">
      <c r="A8" s="85" t="s">
        <v>307</v>
      </c>
    </row>
  </sheetData>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568E6-1045-40B8-BC4F-01A0ED9DA911}">
  <sheetPr>
    <tabColor theme="8"/>
  </sheetPr>
  <dimension ref="A1:O273"/>
  <sheetViews>
    <sheetView zoomScaleNormal="100" workbookViewId="0"/>
  </sheetViews>
  <sheetFormatPr defaultRowHeight="14.25" x14ac:dyDescent="0.45"/>
  <cols>
    <col min="1" max="1" width="35.46484375" bestFit="1" customWidth="1"/>
    <col min="2" max="2" width="18.46484375" bestFit="1" customWidth="1"/>
    <col min="3" max="4" width="14.06640625" bestFit="1" customWidth="1"/>
    <col min="5" max="6" width="14.73046875" bestFit="1" customWidth="1"/>
  </cols>
  <sheetData>
    <row r="1" spans="1:12" x14ac:dyDescent="0.45">
      <c r="A1" s="1" t="s">
        <v>0</v>
      </c>
    </row>
    <row r="2" spans="1:12" ht="28.5" x14ac:dyDescent="0.45">
      <c r="A2" s="1"/>
      <c r="B2" s="1" t="s">
        <v>1</v>
      </c>
      <c r="C2">
        <v>20</v>
      </c>
      <c r="E2" s="2" t="s">
        <v>2</v>
      </c>
      <c r="F2">
        <v>112</v>
      </c>
      <c r="H2" s="1"/>
    </row>
    <row r="3" spans="1:12" ht="14.65" thickBot="1" x14ac:dyDescent="0.5">
      <c r="A3" s="1"/>
      <c r="B3" s="1"/>
      <c r="E3" s="2"/>
      <c r="H3" s="1" t="s">
        <v>3</v>
      </c>
    </row>
    <row r="4" spans="1:12" ht="71.650000000000006" thickBot="1" x14ac:dyDescent="0.5">
      <c r="A4" s="145" t="s">
        <v>4</v>
      </c>
      <c r="B4" s="146"/>
      <c r="C4" s="146"/>
      <c r="D4" s="147"/>
      <c r="E4" s="3" t="s">
        <v>5</v>
      </c>
      <c r="F4" s="3" t="s">
        <v>6</v>
      </c>
      <c r="G4" s="3"/>
      <c r="H4" s="2" t="s">
        <v>7</v>
      </c>
      <c r="I4" s="2" t="s">
        <v>8</v>
      </c>
      <c r="J4" s="2" t="s">
        <v>9</v>
      </c>
      <c r="K4" s="2" t="s">
        <v>10</v>
      </c>
      <c r="L4" s="2" t="s">
        <v>11</v>
      </c>
    </row>
    <row r="5" spans="1:12" ht="28.9" thickBot="1" x14ac:dyDescent="0.5">
      <c r="A5" s="4" t="s">
        <v>12</v>
      </c>
      <c r="B5" s="5" t="s">
        <v>13</v>
      </c>
      <c r="C5" s="5" t="s">
        <v>14</v>
      </c>
      <c r="D5" s="6" t="s">
        <v>15</v>
      </c>
      <c r="E5" s="7">
        <f>(C2/C6)^(1/3)</f>
        <v>1.0357441686512863</v>
      </c>
      <c r="F5" s="8" t="s">
        <v>16</v>
      </c>
      <c r="G5" s="7"/>
      <c r="K5" s="7">
        <f>MIN(J6:J20,J22)</f>
        <v>0.95251914470820476</v>
      </c>
      <c r="L5" s="7">
        <f>MAX(J6:J20,J22)</f>
        <v>1.0692372188575543</v>
      </c>
    </row>
    <row r="6" spans="1:12" ht="28.5" x14ac:dyDescent="0.45">
      <c r="A6" s="9" t="s">
        <v>17</v>
      </c>
      <c r="B6" s="10">
        <v>1</v>
      </c>
      <c r="C6" s="10">
        <v>18</v>
      </c>
      <c r="D6" s="11">
        <v>126</v>
      </c>
      <c r="E6" s="7">
        <f>(C6/C7)^(1/7)</f>
        <v>1.0728876841709436</v>
      </c>
      <c r="F6" s="2" t="s">
        <v>18</v>
      </c>
      <c r="G6" s="7"/>
      <c r="H6">
        <v>1</v>
      </c>
      <c r="I6" s="7">
        <f t="shared" ref="I6:I21" si="0">SUMIFS($B$29:$B$140,$C$29:$C$140,H6)</f>
        <v>122.94275376699893</v>
      </c>
      <c r="J6" s="7">
        <f>I6/D6</f>
        <v>0.97573614100792805</v>
      </c>
    </row>
    <row r="7" spans="1:12" ht="28.5" x14ac:dyDescent="0.45">
      <c r="A7" s="12" t="s">
        <v>19</v>
      </c>
      <c r="B7" s="13">
        <v>2</v>
      </c>
      <c r="C7" s="13">
        <v>11</v>
      </c>
      <c r="D7" s="11">
        <v>77</v>
      </c>
      <c r="E7" s="7">
        <f t="shared" ref="E7:E19" si="1">(C7/C8)^(1/7)</f>
        <v>1.037519460339249</v>
      </c>
      <c r="F7" s="2" t="s">
        <v>20</v>
      </c>
      <c r="G7" s="7"/>
      <c r="H7">
        <v>2</v>
      </c>
      <c r="I7" s="7">
        <f t="shared" si="0"/>
        <v>79.718886556972933</v>
      </c>
      <c r="J7" s="7">
        <f t="shared" ref="J7:J22" si="2">I7/D7</f>
        <v>1.0353102150256226</v>
      </c>
    </row>
    <row r="8" spans="1:12" ht="28.5" x14ac:dyDescent="0.45">
      <c r="A8" s="12" t="s">
        <v>21</v>
      </c>
      <c r="B8" s="13">
        <v>3</v>
      </c>
      <c r="C8" s="13">
        <v>8.5</v>
      </c>
      <c r="D8" s="11">
        <v>59.5</v>
      </c>
      <c r="E8" s="7">
        <f t="shared" si="1"/>
        <v>1.0390672405820229</v>
      </c>
      <c r="F8" s="2" t="s">
        <v>22</v>
      </c>
      <c r="G8" s="7"/>
      <c r="H8">
        <v>3</v>
      </c>
      <c r="I8" s="7">
        <f t="shared" si="0"/>
        <v>59.591898297324676</v>
      </c>
      <c r="J8" s="7">
        <f t="shared" si="2"/>
        <v>1.0015445091987341</v>
      </c>
    </row>
    <row r="9" spans="1:12" ht="28.5" x14ac:dyDescent="0.45">
      <c r="A9" s="12" t="s">
        <v>23</v>
      </c>
      <c r="B9" s="13">
        <v>4</v>
      </c>
      <c r="C9" s="13">
        <v>6.5</v>
      </c>
      <c r="D9" s="11">
        <v>45.5</v>
      </c>
      <c r="E9" s="7">
        <f t="shared" si="1"/>
        <v>1.038191865525826</v>
      </c>
      <c r="F9" s="2" t="s">
        <v>24</v>
      </c>
      <c r="G9" s="7"/>
      <c r="H9">
        <v>4</v>
      </c>
      <c r="I9" s="7">
        <f t="shared" si="0"/>
        <v>45.663864737868259</v>
      </c>
      <c r="J9" s="7">
        <f t="shared" si="2"/>
        <v>1.0036014228102914</v>
      </c>
    </row>
    <row r="10" spans="1:12" ht="28.5" x14ac:dyDescent="0.45">
      <c r="A10" s="12" t="s">
        <v>25</v>
      </c>
      <c r="B10" s="13">
        <v>5</v>
      </c>
      <c r="C10" s="13">
        <v>5</v>
      </c>
      <c r="D10" s="11">
        <v>35</v>
      </c>
      <c r="E10" s="7">
        <f t="shared" si="1"/>
        <v>1.0757037398427836</v>
      </c>
      <c r="F10" s="2" t="s">
        <v>26</v>
      </c>
      <c r="G10" s="7"/>
      <c r="H10">
        <v>5</v>
      </c>
      <c r="I10" s="7">
        <f t="shared" si="0"/>
        <v>34.161239376482854</v>
      </c>
      <c r="J10" s="7">
        <f t="shared" si="2"/>
        <v>0.97603541075665301</v>
      </c>
    </row>
    <row r="11" spans="1:12" ht="28.5" x14ac:dyDescent="0.45">
      <c r="A11" s="12" t="s">
        <v>27</v>
      </c>
      <c r="B11" s="13">
        <v>6</v>
      </c>
      <c r="C11" s="13">
        <v>3</v>
      </c>
      <c r="D11" s="11">
        <v>21</v>
      </c>
      <c r="E11" s="7">
        <f t="shared" si="1"/>
        <v>1.0263880962570395</v>
      </c>
      <c r="F11" s="2" t="s">
        <v>28</v>
      </c>
      <c r="G11" s="7"/>
      <c r="H11">
        <v>6</v>
      </c>
      <c r="I11" s="7">
        <f t="shared" si="0"/>
        <v>21.977848433998382</v>
      </c>
      <c r="J11" s="7">
        <f t="shared" si="2"/>
        <v>1.0465642111427802</v>
      </c>
    </row>
    <row r="12" spans="1:12" ht="28.5" x14ac:dyDescent="0.45">
      <c r="A12" s="12" t="s">
        <v>29</v>
      </c>
      <c r="B12" s="13">
        <v>7</v>
      </c>
      <c r="C12" s="13">
        <v>2.5</v>
      </c>
      <c r="D12" s="11">
        <v>17.5</v>
      </c>
      <c r="E12" s="7">
        <f t="shared" si="1"/>
        <v>1.0323911847100018</v>
      </c>
      <c r="F12" s="2" t="s">
        <v>30</v>
      </c>
      <c r="G12" s="7"/>
      <c r="H12">
        <v>7</v>
      </c>
      <c r="I12" s="7">
        <f t="shared" si="0"/>
        <v>17.4419736259917</v>
      </c>
      <c r="J12" s="7">
        <f t="shared" si="2"/>
        <v>0.99668420719952577</v>
      </c>
    </row>
    <row r="13" spans="1:12" ht="28.5" x14ac:dyDescent="0.45">
      <c r="A13" s="12" t="s">
        <v>31</v>
      </c>
      <c r="B13" s="13">
        <v>8</v>
      </c>
      <c r="C13" s="13">
        <v>2</v>
      </c>
      <c r="D13" s="11">
        <v>14</v>
      </c>
      <c r="E13" s="7">
        <f t="shared" si="1"/>
        <v>1.0151653465554913</v>
      </c>
      <c r="F13" s="2" t="s">
        <v>32</v>
      </c>
      <c r="G13" s="7"/>
      <c r="H13">
        <v>8</v>
      </c>
      <c r="I13" s="7">
        <f t="shared" si="0"/>
        <v>14.219668834481846</v>
      </c>
      <c r="J13" s="7">
        <f t="shared" si="2"/>
        <v>1.0156906310344176</v>
      </c>
    </row>
    <row r="14" spans="1:12" ht="28.5" x14ac:dyDescent="0.45">
      <c r="A14" s="12" t="s">
        <v>33</v>
      </c>
      <c r="B14" s="13">
        <v>9</v>
      </c>
      <c r="C14" s="14">
        <v>1.8</v>
      </c>
      <c r="D14" s="11">
        <v>12.25</v>
      </c>
      <c r="E14" s="7">
        <f t="shared" si="1"/>
        <v>1.0263880962570395</v>
      </c>
      <c r="F14" s="2" t="s">
        <v>34</v>
      </c>
      <c r="G14" s="7"/>
      <c r="H14">
        <v>9</v>
      </c>
      <c r="I14" s="7">
        <f t="shared" si="0"/>
        <v>12.492512045585491</v>
      </c>
      <c r="J14" s="7">
        <f t="shared" si="2"/>
        <v>1.0197969016804482</v>
      </c>
    </row>
    <row r="15" spans="1:12" ht="28.5" x14ac:dyDescent="0.45">
      <c r="A15" s="12" t="s">
        <v>35</v>
      </c>
      <c r="B15" s="13">
        <v>10</v>
      </c>
      <c r="C15" s="13">
        <v>1.5</v>
      </c>
      <c r="D15" s="11">
        <v>10.5</v>
      </c>
      <c r="E15" s="7">
        <f t="shared" si="1"/>
        <v>1.0263880962570395</v>
      </c>
      <c r="F15" s="2" t="s">
        <v>36</v>
      </c>
      <c r="G15" s="7"/>
      <c r="H15">
        <v>10</v>
      </c>
      <c r="I15" s="7">
        <f t="shared" si="0"/>
        <v>10.514251845829353</v>
      </c>
      <c r="J15" s="7">
        <f t="shared" si="2"/>
        <v>1.0013573186504146</v>
      </c>
    </row>
    <row r="16" spans="1:12" ht="28.5" x14ac:dyDescent="0.45">
      <c r="A16" s="12" t="s">
        <v>37</v>
      </c>
      <c r="B16" s="13">
        <v>11</v>
      </c>
      <c r="C16" s="13">
        <v>1.25</v>
      </c>
      <c r="D16" s="11">
        <v>8.75</v>
      </c>
      <c r="E16" s="7">
        <f t="shared" si="1"/>
        <v>1.0323911847100018</v>
      </c>
      <c r="F16" s="2" t="s">
        <v>38</v>
      </c>
      <c r="G16" s="7"/>
      <c r="H16">
        <v>11</v>
      </c>
      <c r="I16" s="7">
        <f t="shared" si="0"/>
        <v>8.7209868129958501</v>
      </c>
      <c r="J16" s="7">
        <f t="shared" si="2"/>
        <v>0.99668420719952577</v>
      </c>
    </row>
    <row r="17" spans="1:10" ht="28.5" x14ac:dyDescent="0.45">
      <c r="A17" s="12" t="s">
        <v>39</v>
      </c>
      <c r="B17" s="13">
        <v>12</v>
      </c>
      <c r="C17" s="14">
        <v>1</v>
      </c>
      <c r="D17" s="15">
        <v>7</v>
      </c>
      <c r="E17" s="7">
        <f t="shared" si="1"/>
        <v>1.1040895136738123</v>
      </c>
      <c r="F17" s="2" t="s">
        <v>40</v>
      </c>
      <c r="G17" s="7"/>
      <c r="H17">
        <v>12</v>
      </c>
      <c r="I17" s="7">
        <f t="shared" si="0"/>
        <v>6.667634012957433</v>
      </c>
      <c r="J17" s="7">
        <f t="shared" si="2"/>
        <v>0.95251914470820476</v>
      </c>
    </row>
    <row r="18" spans="1:10" ht="28.5" x14ac:dyDescent="0.45">
      <c r="A18" s="12" t="s">
        <v>41</v>
      </c>
      <c r="B18" s="13">
        <v>13</v>
      </c>
      <c r="C18" s="13">
        <v>0.5</v>
      </c>
      <c r="D18" s="11">
        <v>3.5</v>
      </c>
      <c r="E18" s="7">
        <f t="shared" si="1"/>
        <v>1.0323911847100018</v>
      </c>
      <c r="F18" s="2" t="s">
        <v>42</v>
      </c>
      <c r="G18" s="7"/>
      <c r="H18">
        <v>13</v>
      </c>
      <c r="I18" s="7">
        <f t="shared" si="0"/>
        <v>3.7423302660014404</v>
      </c>
      <c r="J18" s="7">
        <f t="shared" si="2"/>
        <v>1.0692372188575543</v>
      </c>
    </row>
    <row r="19" spans="1:10" ht="28.5" x14ac:dyDescent="0.45">
      <c r="A19" s="12" t="s">
        <v>43</v>
      </c>
      <c r="B19" s="13">
        <v>14</v>
      </c>
      <c r="C19" s="13">
        <v>0.4</v>
      </c>
      <c r="D19" s="11">
        <v>2.8000000000000003</v>
      </c>
      <c r="E19" s="7">
        <f t="shared" si="1"/>
        <v>1.0694488000533933</v>
      </c>
      <c r="F19" s="2" t="s">
        <v>44</v>
      </c>
      <c r="G19" s="7"/>
      <c r="H19">
        <v>14</v>
      </c>
      <c r="I19" s="7">
        <f t="shared" si="0"/>
        <v>2.7302155947250046</v>
      </c>
      <c r="J19" s="7">
        <f t="shared" si="2"/>
        <v>0.97507699811607296</v>
      </c>
    </row>
    <row r="20" spans="1:10" x14ac:dyDescent="0.45">
      <c r="A20" s="12" t="s">
        <v>45</v>
      </c>
      <c r="B20" s="13">
        <v>15</v>
      </c>
      <c r="C20" s="13">
        <v>0.25</v>
      </c>
      <c r="D20" s="11">
        <v>1.75</v>
      </c>
      <c r="H20">
        <v>15</v>
      </c>
      <c r="I20" s="7">
        <f t="shared" si="0"/>
        <v>1.7658203608316725</v>
      </c>
      <c r="J20" s="7">
        <f t="shared" si="2"/>
        <v>1.0090402061895272</v>
      </c>
    </row>
    <row r="21" spans="1:10" ht="14.65" thickBot="1" x14ac:dyDescent="0.5">
      <c r="A21" s="16" t="s">
        <v>46</v>
      </c>
      <c r="B21" s="17">
        <v>16</v>
      </c>
      <c r="C21" s="17">
        <v>0</v>
      </c>
      <c r="D21" s="11">
        <v>0</v>
      </c>
      <c r="H21">
        <v>16</v>
      </c>
      <c r="I21" s="7">
        <f t="shared" si="0"/>
        <v>1.1036377255197949</v>
      </c>
      <c r="J21" s="7"/>
    </row>
    <row r="22" spans="1:10" ht="14.65" thickBot="1" x14ac:dyDescent="0.5">
      <c r="A22" s="18" t="s">
        <v>47</v>
      </c>
      <c r="B22" s="19"/>
      <c r="C22" s="19"/>
      <c r="D22" s="20">
        <v>442.05</v>
      </c>
      <c r="H22" t="s">
        <v>47</v>
      </c>
      <c r="I22" s="7">
        <f>SUM(I6:I21)</f>
        <v>443.45552229456564</v>
      </c>
      <c r="J22" s="7">
        <f t="shared" si="2"/>
        <v>1.0031795550154183</v>
      </c>
    </row>
    <row r="23" spans="1:10" x14ac:dyDescent="0.45">
      <c r="A23" s="87"/>
      <c r="B23" s="50"/>
      <c r="C23" s="50"/>
      <c r="D23" s="53"/>
      <c r="I23" s="7"/>
      <c r="J23" s="7"/>
    </row>
    <row r="24" spans="1:10" x14ac:dyDescent="0.45">
      <c r="A24" s="86" t="s">
        <v>308</v>
      </c>
      <c r="B24" s="50"/>
      <c r="C24" s="50"/>
      <c r="D24" s="53"/>
      <c r="I24" s="7"/>
      <c r="J24" s="7"/>
    </row>
    <row r="25" spans="1:10" x14ac:dyDescent="0.45">
      <c r="A25" s="52"/>
      <c r="B25" s="50"/>
      <c r="C25" s="50"/>
      <c r="D25" s="53"/>
      <c r="I25" s="7"/>
      <c r="J25" s="7"/>
    </row>
    <row r="26" spans="1:10" x14ac:dyDescent="0.45">
      <c r="A26" t="s">
        <v>205</v>
      </c>
      <c r="B26" s="50"/>
      <c r="C26" s="50"/>
      <c r="D26" s="53"/>
      <c r="I26" s="7"/>
      <c r="J26" s="7"/>
    </row>
    <row r="28" spans="1:10" x14ac:dyDescent="0.45">
      <c r="A28" s="21" t="s">
        <v>48</v>
      </c>
      <c r="B28" s="1" t="s">
        <v>49</v>
      </c>
      <c r="C28" s="1" t="s">
        <v>298</v>
      </c>
    </row>
    <row r="29" spans="1:10" x14ac:dyDescent="0.45">
      <c r="A29" s="22">
        <v>1</v>
      </c>
      <c r="B29">
        <f>C2</f>
        <v>20</v>
      </c>
      <c r="C29">
        <f>ROUNDUP(A29/7,0)</f>
        <v>1</v>
      </c>
    </row>
    <row r="30" spans="1:10" x14ac:dyDescent="0.45">
      <c r="A30" s="22">
        <v>2</v>
      </c>
      <c r="B30" s="7">
        <f>$C$2/($E$5^(A30-1))</f>
        <v>19.309787692112597</v>
      </c>
      <c r="C30">
        <f t="shared" ref="C30:C93" si="3">ROUNDUP(A30/7,0)</f>
        <v>1</v>
      </c>
    </row>
    <row r="31" spans="1:10" x14ac:dyDescent="0.45">
      <c r="A31" s="22">
        <v>3</v>
      </c>
      <c r="B31" s="7">
        <f>$C$2/($E$5^(A31-1))</f>
        <v>18.643395035723152</v>
      </c>
      <c r="C31">
        <f t="shared" si="3"/>
        <v>1</v>
      </c>
    </row>
    <row r="32" spans="1:10" x14ac:dyDescent="0.45">
      <c r="A32" s="22">
        <v>4</v>
      </c>
      <c r="B32" s="7">
        <f>$C$6/($E$6^(A32-4))</f>
        <v>18</v>
      </c>
      <c r="C32">
        <f t="shared" si="3"/>
        <v>1</v>
      </c>
    </row>
    <row r="33" spans="1:3" x14ac:dyDescent="0.45">
      <c r="A33" s="22">
        <v>5</v>
      </c>
      <c r="B33" s="7">
        <f t="shared" ref="B33:B34" si="4">$C$6/($E$6^(A33-4))</f>
        <v>16.777152227177634</v>
      </c>
      <c r="C33">
        <f t="shared" si="3"/>
        <v>1</v>
      </c>
    </row>
    <row r="34" spans="1:3" x14ac:dyDescent="0.45">
      <c r="A34" s="22">
        <v>6</v>
      </c>
      <c r="B34" s="7">
        <f t="shared" si="4"/>
        <v>15.637379825216192</v>
      </c>
      <c r="C34">
        <f t="shared" si="3"/>
        <v>1</v>
      </c>
    </row>
    <row r="35" spans="1:3" x14ac:dyDescent="0.45">
      <c r="A35" s="22">
        <v>7</v>
      </c>
      <c r="B35" s="7">
        <f>$C$6/($E$6^(A35-4))</f>
        <v>14.575038986769357</v>
      </c>
      <c r="C35">
        <f t="shared" si="3"/>
        <v>1</v>
      </c>
    </row>
    <row r="36" spans="1:3" x14ac:dyDescent="0.45">
      <c r="A36" s="22">
        <v>8</v>
      </c>
      <c r="B36" s="7">
        <f>$C$6/($E$6^(A36-4))</f>
        <v>13.584869322115466</v>
      </c>
      <c r="C36">
        <f t="shared" si="3"/>
        <v>2</v>
      </c>
    </row>
    <row r="37" spans="1:3" x14ac:dyDescent="0.45">
      <c r="A37" s="22">
        <v>9</v>
      </c>
      <c r="B37" s="7">
        <f t="shared" ref="B37:B39" si="5">$C$6/($E$6^(A37-4))</f>
        <v>12.661967811302588</v>
      </c>
      <c r="C37">
        <f t="shared" si="3"/>
        <v>2</v>
      </c>
    </row>
    <row r="38" spans="1:3" x14ac:dyDescent="0.45">
      <c r="A38" s="22">
        <v>10</v>
      </c>
      <c r="B38" s="7">
        <f t="shared" si="5"/>
        <v>11.801764525880374</v>
      </c>
      <c r="C38">
        <f t="shared" si="3"/>
        <v>2</v>
      </c>
    </row>
    <row r="39" spans="1:3" x14ac:dyDescent="0.45">
      <c r="A39" s="22">
        <v>11</v>
      </c>
      <c r="B39" s="7">
        <f t="shared" si="5"/>
        <v>10.999999999999995</v>
      </c>
      <c r="C39">
        <f t="shared" si="3"/>
        <v>2</v>
      </c>
    </row>
    <row r="40" spans="1:3" x14ac:dyDescent="0.45">
      <c r="A40" s="22">
        <v>12</v>
      </c>
      <c r="B40" s="7">
        <f>$C$7/$E$7^(A40-11)</f>
        <v>10.602210773379817</v>
      </c>
      <c r="C40">
        <f t="shared" si="3"/>
        <v>2</v>
      </c>
    </row>
    <row r="41" spans="1:3" x14ac:dyDescent="0.45">
      <c r="A41" s="22">
        <v>13</v>
      </c>
      <c r="B41" s="7">
        <f t="shared" ref="B41:B46" si="6">$C$7/$E$7^(A41-11)</f>
        <v>10.218806662106459</v>
      </c>
      <c r="C41">
        <f t="shared" si="3"/>
        <v>2</v>
      </c>
    </row>
    <row r="42" spans="1:3" x14ac:dyDescent="0.45">
      <c r="A42" s="22">
        <v>14</v>
      </c>
      <c r="B42" s="7">
        <f t="shared" si="6"/>
        <v>9.8492674621882337</v>
      </c>
      <c r="C42">
        <f t="shared" si="3"/>
        <v>2</v>
      </c>
    </row>
    <row r="43" spans="1:3" x14ac:dyDescent="0.45">
      <c r="A43" s="22">
        <v>15</v>
      </c>
      <c r="B43" s="7">
        <f t="shared" si="6"/>
        <v>9.4930917815919429</v>
      </c>
      <c r="C43">
        <f t="shared" si="3"/>
        <v>3</v>
      </c>
    </row>
    <row r="44" spans="1:3" x14ac:dyDescent="0.45">
      <c r="A44" s="22">
        <v>16</v>
      </c>
      <c r="B44" s="7">
        <f t="shared" si="6"/>
        <v>9.1497963599524983</v>
      </c>
      <c r="C44">
        <f t="shared" si="3"/>
        <v>3</v>
      </c>
    </row>
    <row r="45" spans="1:3" x14ac:dyDescent="0.45">
      <c r="A45" s="22">
        <v>17</v>
      </c>
      <c r="B45" s="7">
        <f t="shared" si="6"/>
        <v>8.8189154128836211</v>
      </c>
      <c r="C45">
        <f t="shared" si="3"/>
        <v>3</v>
      </c>
    </row>
    <row r="46" spans="1:3" x14ac:dyDescent="0.45">
      <c r="A46" s="22">
        <v>18</v>
      </c>
      <c r="B46" s="7">
        <f t="shared" si="6"/>
        <v>8.5000000000000036</v>
      </c>
      <c r="C46">
        <f t="shared" si="3"/>
        <v>3</v>
      </c>
    </row>
    <row r="47" spans="1:3" x14ac:dyDescent="0.45">
      <c r="A47" s="22">
        <v>19</v>
      </c>
      <c r="B47" s="7">
        <f>$C$8/($E$8^(A47-18))</f>
        <v>8.1804138057887492</v>
      </c>
      <c r="C47">
        <f t="shared" si="3"/>
        <v>3</v>
      </c>
    </row>
    <row r="48" spans="1:3" x14ac:dyDescent="0.45">
      <c r="A48" s="22">
        <v>20</v>
      </c>
      <c r="B48" s="7">
        <f t="shared" ref="B48:B53" si="7">$C$8/($E$8^(A48-18))</f>
        <v>7.8728435334046081</v>
      </c>
      <c r="C48">
        <f t="shared" si="3"/>
        <v>3</v>
      </c>
    </row>
    <row r="49" spans="1:3" x14ac:dyDescent="0.45">
      <c r="A49" s="22">
        <v>21</v>
      </c>
      <c r="B49" s="7">
        <f t="shared" si="7"/>
        <v>7.5768374037032622</v>
      </c>
      <c r="C49">
        <f t="shared" si="3"/>
        <v>3</v>
      </c>
    </row>
    <row r="50" spans="1:3" x14ac:dyDescent="0.45">
      <c r="A50" s="22">
        <v>22</v>
      </c>
      <c r="B50" s="7">
        <f t="shared" si="7"/>
        <v>7.2919606237024421</v>
      </c>
      <c r="C50">
        <f t="shared" si="3"/>
        <v>4</v>
      </c>
    </row>
    <row r="51" spans="1:3" x14ac:dyDescent="0.45">
      <c r="A51" s="22">
        <v>23</v>
      </c>
      <c r="B51" s="7">
        <f t="shared" si="7"/>
        <v>7.0177947479298108</v>
      </c>
      <c r="C51">
        <f t="shared" si="3"/>
        <v>4</v>
      </c>
    </row>
    <row r="52" spans="1:3" x14ac:dyDescent="0.45">
      <c r="A52" s="22">
        <v>24</v>
      </c>
      <c r="B52" s="7">
        <f t="shared" si="7"/>
        <v>6.7539370637831526</v>
      </c>
      <c r="C52">
        <f t="shared" si="3"/>
        <v>4</v>
      </c>
    </row>
    <row r="53" spans="1:3" x14ac:dyDescent="0.45">
      <c r="A53" s="22">
        <v>25</v>
      </c>
      <c r="B53" s="7">
        <f t="shared" si="7"/>
        <v>6.5000000000000036</v>
      </c>
      <c r="C53">
        <f t="shared" si="3"/>
        <v>4</v>
      </c>
    </row>
    <row r="54" spans="1:3" x14ac:dyDescent="0.45">
      <c r="A54" s="22">
        <v>26</v>
      </c>
      <c r="B54" s="7">
        <f>$C$9/($E$9^(A54-25))</f>
        <v>6.2608851175190665</v>
      </c>
      <c r="C54">
        <f t="shared" si="3"/>
        <v>4</v>
      </c>
    </row>
    <row r="55" spans="1:3" x14ac:dyDescent="0.45">
      <c r="A55" s="22">
        <v>27</v>
      </c>
      <c r="B55" s="7">
        <f t="shared" ref="B55:B60" si="8">$C$9/($E$9^(A55-25))</f>
        <v>6.0305665315033439</v>
      </c>
      <c r="C55">
        <f t="shared" si="3"/>
        <v>4</v>
      </c>
    </row>
    <row r="56" spans="1:3" x14ac:dyDescent="0.45">
      <c r="A56" s="22">
        <v>28</v>
      </c>
      <c r="B56" s="7">
        <f t="shared" si="8"/>
        <v>5.8087206534304405</v>
      </c>
      <c r="C56">
        <f t="shared" si="3"/>
        <v>4</v>
      </c>
    </row>
    <row r="57" spans="1:3" x14ac:dyDescent="0.45">
      <c r="A57" s="22">
        <v>29</v>
      </c>
      <c r="B57" s="7">
        <f t="shared" si="8"/>
        <v>5.5950357985981949</v>
      </c>
      <c r="C57">
        <f t="shared" si="3"/>
        <v>5</v>
      </c>
    </row>
    <row r="58" spans="1:3" x14ac:dyDescent="0.45">
      <c r="A58" s="22">
        <v>30</v>
      </c>
      <c r="B58" s="7">
        <f t="shared" si="8"/>
        <v>5.3892117482199753</v>
      </c>
      <c r="C58">
        <f t="shared" si="3"/>
        <v>5</v>
      </c>
    </row>
    <row r="59" spans="1:3" x14ac:dyDescent="0.45">
      <c r="A59" s="22">
        <v>31</v>
      </c>
      <c r="B59" s="7">
        <f t="shared" si="8"/>
        <v>5.1909593276291321</v>
      </c>
      <c r="C59">
        <f t="shared" si="3"/>
        <v>5</v>
      </c>
    </row>
    <row r="60" spans="1:3" x14ac:dyDescent="0.45">
      <c r="A60" s="22">
        <v>32</v>
      </c>
      <c r="B60" s="7">
        <f t="shared" si="8"/>
        <v>5.0000000000000027</v>
      </c>
      <c r="C60">
        <f t="shared" si="3"/>
        <v>5</v>
      </c>
    </row>
    <row r="61" spans="1:3" x14ac:dyDescent="0.45">
      <c r="A61" s="22">
        <v>33</v>
      </c>
      <c r="B61" s="7">
        <f>$C$10/($E$10^(A61-32))</f>
        <v>4.648119937493906</v>
      </c>
      <c r="C61">
        <f t="shared" si="3"/>
        <v>5</v>
      </c>
    </row>
    <row r="62" spans="1:3" x14ac:dyDescent="0.45">
      <c r="A62" s="22">
        <v>34</v>
      </c>
      <c r="B62" s="7">
        <f t="shared" ref="B62:B67" si="9">$C$10/($E$10^(A62-32))</f>
        <v>4.3210037906656709</v>
      </c>
      <c r="C62">
        <f t="shared" si="3"/>
        <v>5</v>
      </c>
    </row>
    <row r="63" spans="1:3" x14ac:dyDescent="0.45">
      <c r="A63" s="22">
        <v>35</v>
      </c>
      <c r="B63" s="7">
        <f t="shared" si="9"/>
        <v>4.0169087738759695</v>
      </c>
      <c r="C63">
        <f t="shared" si="3"/>
        <v>5</v>
      </c>
    </row>
    <row r="64" spans="1:3" x14ac:dyDescent="0.45">
      <c r="A64" s="22">
        <v>36</v>
      </c>
      <c r="B64" s="7">
        <f t="shared" si="9"/>
        <v>3.7342147517894189</v>
      </c>
      <c r="C64">
        <f t="shared" si="3"/>
        <v>6</v>
      </c>
    </row>
    <row r="65" spans="1:3" x14ac:dyDescent="0.45">
      <c r="A65" s="22">
        <v>37</v>
      </c>
      <c r="B65" s="7">
        <f t="shared" si="9"/>
        <v>3.4714156077352509</v>
      </c>
      <c r="C65">
        <f t="shared" si="3"/>
        <v>6</v>
      </c>
    </row>
    <row r="66" spans="1:3" x14ac:dyDescent="0.45">
      <c r="A66" s="22">
        <v>38</v>
      </c>
      <c r="B66" s="7">
        <f t="shared" si="9"/>
        <v>3.2271112195283487</v>
      </c>
      <c r="C66">
        <f t="shared" si="3"/>
        <v>6</v>
      </c>
    </row>
    <row r="67" spans="1:3" x14ac:dyDescent="0.45">
      <c r="A67" s="22">
        <v>39</v>
      </c>
      <c r="B67" s="7">
        <f t="shared" si="9"/>
        <v>2.9999999999999982</v>
      </c>
      <c r="C67">
        <f t="shared" si="3"/>
        <v>6</v>
      </c>
    </row>
    <row r="68" spans="1:3" x14ac:dyDescent="0.45">
      <c r="A68" s="22">
        <v>40</v>
      </c>
      <c r="B68" s="7">
        <f>$C$11/(($E$11)^(A68-39))</f>
        <v>2.9228709987383823</v>
      </c>
      <c r="C68">
        <f t="shared" si="3"/>
        <v>6</v>
      </c>
    </row>
    <row r="69" spans="1:3" x14ac:dyDescent="0.45">
      <c r="A69" s="22">
        <v>41</v>
      </c>
      <c r="B69" s="7">
        <f t="shared" ref="B69:B74" si="10">$C$11/(($E$11)^(A69-39))</f>
        <v>2.8477249584219697</v>
      </c>
      <c r="C69">
        <f t="shared" si="3"/>
        <v>6</v>
      </c>
    </row>
    <row r="70" spans="1:3" x14ac:dyDescent="0.45">
      <c r="A70" s="22">
        <v>42</v>
      </c>
      <c r="B70" s="7">
        <f t="shared" si="10"/>
        <v>2.7745108977850137</v>
      </c>
      <c r="C70">
        <f t="shared" si="3"/>
        <v>6</v>
      </c>
    </row>
    <row r="71" spans="1:3" x14ac:dyDescent="0.45">
      <c r="A71" s="22">
        <v>43</v>
      </c>
      <c r="B71" s="7">
        <f t="shared" si="10"/>
        <v>2.7031791462731363</v>
      </c>
      <c r="C71">
        <f t="shared" si="3"/>
        <v>7</v>
      </c>
    </row>
    <row r="72" spans="1:3" x14ac:dyDescent="0.45">
      <c r="A72" s="22">
        <v>44</v>
      </c>
      <c r="B72" s="7">
        <f t="shared" si="10"/>
        <v>2.6336813103453767</v>
      </c>
      <c r="C72">
        <f t="shared" si="3"/>
        <v>7</v>
      </c>
    </row>
    <row r="73" spans="1:3" x14ac:dyDescent="0.45">
      <c r="A73" s="22">
        <v>45</v>
      </c>
      <c r="B73" s="7">
        <f t="shared" si="10"/>
        <v>2.565970240642601</v>
      </c>
      <c r="C73">
        <f t="shared" si="3"/>
        <v>7</v>
      </c>
    </row>
    <row r="74" spans="1:3" x14ac:dyDescent="0.45">
      <c r="A74" s="22">
        <v>46</v>
      </c>
      <c r="B74" s="7">
        <f t="shared" si="10"/>
        <v>2.5000000000000018</v>
      </c>
      <c r="C74">
        <f t="shared" si="3"/>
        <v>7</v>
      </c>
    </row>
    <row r="75" spans="1:3" x14ac:dyDescent="0.45">
      <c r="A75" s="22">
        <v>47</v>
      </c>
      <c r="B75" s="7">
        <f>$C$12/($E$12^(A75-46))</f>
        <v>2.421562714817493</v>
      </c>
      <c r="C75">
        <f t="shared" si="3"/>
        <v>7</v>
      </c>
    </row>
    <row r="76" spans="1:3" x14ac:dyDescent="0.45">
      <c r="A76" s="22">
        <v>48</v>
      </c>
      <c r="B76" s="7">
        <f t="shared" ref="B76:B81" si="11">$C$12/($E$12^(A76-46))</f>
        <v>2.3455863927177072</v>
      </c>
      <c r="C76">
        <f t="shared" si="3"/>
        <v>7</v>
      </c>
    </row>
    <row r="77" spans="1:3" x14ac:dyDescent="0.45">
      <c r="A77" s="22">
        <v>49</v>
      </c>
      <c r="B77" s="7">
        <f t="shared" si="11"/>
        <v>2.2719938211953843</v>
      </c>
      <c r="C77">
        <f t="shared" si="3"/>
        <v>7</v>
      </c>
    </row>
    <row r="78" spans="1:3" x14ac:dyDescent="0.45">
      <c r="A78" s="22">
        <v>50</v>
      </c>
      <c r="B78" s="7">
        <f t="shared" si="11"/>
        <v>2.2007102102809859</v>
      </c>
      <c r="C78">
        <f t="shared" si="3"/>
        <v>8</v>
      </c>
    </row>
    <row r="79" spans="1:3" x14ac:dyDescent="0.45">
      <c r="A79" s="22">
        <v>51</v>
      </c>
      <c r="B79" s="7">
        <f t="shared" si="11"/>
        <v>2.1316631165338404</v>
      </c>
      <c r="C79">
        <f t="shared" si="3"/>
        <v>8</v>
      </c>
    </row>
    <row r="80" spans="1:3" x14ac:dyDescent="0.45">
      <c r="A80" s="22">
        <v>52</v>
      </c>
      <c r="B80" s="7">
        <f t="shared" si="11"/>
        <v>2.0647823694200018</v>
      </c>
      <c r="C80">
        <f t="shared" si="3"/>
        <v>8</v>
      </c>
    </row>
    <row r="81" spans="1:3" x14ac:dyDescent="0.45">
      <c r="A81" s="22">
        <v>53</v>
      </c>
      <c r="B81" s="7">
        <f t="shared" si="11"/>
        <v>1.9999999999999982</v>
      </c>
      <c r="C81">
        <f t="shared" si="3"/>
        <v>8</v>
      </c>
    </row>
    <row r="82" spans="1:3" x14ac:dyDescent="0.45">
      <c r="A82" s="22">
        <v>54</v>
      </c>
      <c r="B82" s="7">
        <f>$C$13/($E$13^(A82-53))</f>
        <v>1.9701224108822311</v>
      </c>
      <c r="C82">
        <f t="shared" si="3"/>
        <v>8</v>
      </c>
    </row>
    <row r="83" spans="1:3" x14ac:dyDescent="0.45">
      <c r="A83" s="22">
        <v>55</v>
      </c>
      <c r="B83" s="7">
        <f t="shared" ref="B83:B88" si="12">$C$13/($E$13^(A83-53))</f>
        <v>1.9406911569302068</v>
      </c>
      <c r="C83">
        <f t="shared" si="3"/>
        <v>8</v>
      </c>
    </row>
    <row r="84" spans="1:3" x14ac:dyDescent="0.45">
      <c r="A84" s="22">
        <v>56</v>
      </c>
      <c r="B84" s="7">
        <f t="shared" si="12"/>
        <v>1.9116995704345825</v>
      </c>
      <c r="C84">
        <f t="shared" si="3"/>
        <v>8</v>
      </c>
    </row>
    <row r="85" spans="1:3" x14ac:dyDescent="0.45">
      <c r="A85" s="22">
        <v>57</v>
      </c>
      <c r="B85" s="7">
        <f t="shared" si="12"/>
        <v>1.8831410832935527</v>
      </c>
      <c r="C85">
        <f t="shared" si="3"/>
        <v>9</v>
      </c>
    </row>
    <row r="86" spans="1:3" x14ac:dyDescent="0.45">
      <c r="A86" s="22">
        <v>58</v>
      </c>
      <c r="B86" s="7">
        <f t="shared" si="12"/>
        <v>1.8550092255248352</v>
      </c>
      <c r="C86">
        <f t="shared" si="3"/>
        <v>9</v>
      </c>
    </row>
    <row r="87" spans="1:3" x14ac:dyDescent="0.45">
      <c r="A87" s="22">
        <v>59</v>
      </c>
      <c r="B87" s="7">
        <f t="shared" si="12"/>
        <v>1.8272976237998837</v>
      </c>
      <c r="C87">
        <f t="shared" si="3"/>
        <v>9</v>
      </c>
    </row>
    <row r="88" spans="1:3" x14ac:dyDescent="0.45">
      <c r="A88" s="22">
        <v>60</v>
      </c>
      <c r="B88" s="7">
        <f t="shared" si="12"/>
        <v>1.7999999999999996</v>
      </c>
      <c r="C88">
        <f t="shared" si="3"/>
        <v>9</v>
      </c>
    </row>
    <row r="89" spans="1:3" x14ac:dyDescent="0.45">
      <c r="A89" s="22">
        <v>61</v>
      </c>
      <c r="B89" s="7">
        <f>$C$14/($E$14^(A89-60))</f>
        <v>1.7537225992430294</v>
      </c>
      <c r="C89">
        <f t="shared" si="3"/>
        <v>9</v>
      </c>
    </row>
    <row r="90" spans="1:3" x14ac:dyDescent="0.45">
      <c r="A90" s="22">
        <v>62</v>
      </c>
      <c r="B90" s="7">
        <f t="shared" ref="B90:B95" si="13">$C$14/($E$14^(A90-60))</f>
        <v>1.708634975053182</v>
      </c>
      <c r="C90">
        <f t="shared" si="3"/>
        <v>9</v>
      </c>
    </row>
    <row r="91" spans="1:3" x14ac:dyDescent="0.45">
      <c r="A91" s="22">
        <v>63</v>
      </c>
      <c r="B91" s="7">
        <f t="shared" si="13"/>
        <v>1.6647065386710083</v>
      </c>
      <c r="C91">
        <f t="shared" si="3"/>
        <v>9</v>
      </c>
    </row>
    <row r="92" spans="1:3" x14ac:dyDescent="0.45">
      <c r="A92" s="22">
        <v>64</v>
      </c>
      <c r="B92" s="7">
        <f t="shared" si="13"/>
        <v>1.6219074877638819</v>
      </c>
      <c r="C92">
        <f t="shared" si="3"/>
        <v>10</v>
      </c>
    </row>
    <row r="93" spans="1:3" x14ac:dyDescent="0.45">
      <c r="A93" s="22">
        <v>65</v>
      </c>
      <c r="B93" s="7">
        <f t="shared" si="13"/>
        <v>1.580208786207226</v>
      </c>
      <c r="C93">
        <f t="shared" si="3"/>
        <v>10</v>
      </c>
    </row>
    <row r="94" spans="1:3" x14ac:dyDescent="0.45">
      <c r="A94" s="22">
        <v>66</v>
      </c>
      <c r="B94" s="7">
        <f t="shared" si="13"/>
        <v>1.5395821443855606</v>
      </c>
      <c r="C94">
        <f t="shared" ref="C94:C140" si="14">ROUNDUP(A94/7,0)</f>
        <v>10</v>
      </c>
    </row>
    <row r="95" spans="1:3" x14ac:dyDescent="0.45">
      <c r="A95" s="22">
        <v>67</v>
      </c>
      <c r="B95" s="7">
        <f t="shared" si="13"/>
        <v>1.5000000000000011</v>
      </c>
      <c r="C95">
        <f t="shared" si="14"/>
        <v>10</v>
      </c>
    </row>
    <row r="96" spans="1:3" x14ac:dyDescent="0.45">
      <c r="A96" s="22">
        <v>68</v>
      </c>
      <c r="B96" s="7">
        <f>$C$15/($E$15^(A96-67))</f>
        <v>1.4614354993691911</v>
      </c>
      <c r="C96">
        <f t="shared" si="14"/>
        <v>10</v>
      </c>
    </row>
    <row r="97" spans="1:3" x14ac:dyDescent="0.45">
      <c r="A97" s="22">
        <v>69</v>
      </c>
      <c r="B97" s="7">
        <f t="shared" ref="B97:B102" si="15">$C$15/($E$15^(A97-67))</f>
        <v>1.4238624792109849</v>
      </c>
      <c r="C97">
        <f t="shared" si="14"/>
        <v>10</v>
      </c>
    </row>
    <row r="98" spans="1:3" x14ac:dyDescent="0.45">
      <c r="A98" s="22">
        <v>70</v>
      </c>
      <c r="B98" s="7">
        <f t="shared" si="15"/>
        <v>1.3872554488925068</v>
      </c>
      <c r="C98">
        <f t="shared" si="14"/>
        <v>10</v>
      </c>
    </row>
    <row r="99" spans="1:3" x14ac:dyDescent="0.45">
      <c r="A99" s="22">
        <v>71</v>
      </c>
      <c r="B99" s="7">
        <f t="shared" si="15"/>
        <v>1.3515895731365681</v>
      </c>
      <c r="C99">
        <f t="shared" si="14"/>
        <v>11</v>
      </c>
    </row>
    <row r="100" spans="1:3" x14ac:dyDescent="0.45">
      <c r="A100" s="22">
        <v>72</v>
      </c>
      <c r="B100" s="7">
        <f t="shared" si="15"/>
        <v>1.3168406551726883</v>
      </c>
      <c r="C100">
        <f t="shared" si="14"/>
        <v>11</v>
      </c>
    </row>
    <row r="101" spans="1:3" x14ac:dyDescent="0.45">
      <c r="A101" s="22">
        <v>73</v>
      </c>
      <c r="B101" s="7">
        <f t="shared" si="15"/>
        <v>1.2829851203213005</v>
      </c>
      <c r="C101">
        <f t="shared" si="14"/>
        <v>11</v>
      </c>
    </row>
    <row r="102" spans="1:3" x14ac:dyDescent="0.45">
      <c r="A102" s="22">
        <v>74</v>
      </c>
      <c r="B102" s="7">
        <f t="shared" si="15"/>
        <v>1.2500000000000009</v>
      </c>
      <c r="C102">
        <f t="shared" si="14"/>
        <v>11</v>
      </c>
    </row>
    <row r="103" spans="1:3" x14ac:dyDescent="0.45">
      <c r="A103" s="22">
        <v>75</v>
      </c>
      <c r="B103" s="7">
        <f>$C$16/($E$16^(A103-74))</f>
        <v>1.2107813574087465</v>
      </c>
      <c r="C103">
        <f t="shared" si="14"/>
        <v>11</v>
      </c>
    </row>
    <row r="104" spans="1:3" x14ac:dyDescent="0.45">
      <c r="A104" s="22">
        <v>76</v>
      </c>
      <c r="B104" s="7">
        <f t="shared" ref="B104:B109" si="16">$C$16/($E$16^(A104-74))</f>
        <v>1.1727931963588536</v>
      </c>
      <c r="C104">
        <f t="shared" si="14"/>
        <v>11</v>
      </c>
    </row>
    <row r="105" spans="1:3" x14ac:dyDescent="0.45">
      <c r="A105" s="22">
        <v>77</v>
      </c>
      <c r="B105" s="7">
        <f t="shared" si="16"/>
        <v>1.1359969105976921</v>
      </c>
      <c r="C105">
        <f t="shared" si="14"/>
        <v>11</v>
      </c>
    </row>
    <row r="106" spans="1:3" x14ac:dyDescent="0.45">
      <c r="A106" s="22">
        <v>78</v>
      </c>
      <c r="B106" s="7">
        <f t="shared" si="16"/>
        <v>1.100355105140493</v>
      </c>
      <c r="C106">
        <f t="shared" si="14"/>
        <v>12</v>
      </c>
    </row>
    <row r="107" spans="1:3" x14ac:dyDescent="0.45">
      <c r="A107" s="22">
        <v>79</v>
      </c>
      <c r="B107" s="7">
        <f t="shared" si="16"/>
        <v>1.0658315582669202</v>
      </c>
      <c r="C107">
        <f t="shared" si="14"/>
        <v>12</v>
      </c>
    </row>
    <row r="108" spans="1:3" x14ac:dyDescent="0.45">
      <c r="A108" s="22">
        <v>80</v>
      </c>
      <c r="B108" s="7">
        <f t="shared" si="16"/>
        <v>1.0323911847100009</v>
      </c>
      <c r="C108">
        <f t="shared" si="14"/>
        <v>12</v>
      </c>
    </row>
    <row r="109" spans="1:3" x14ac:dyDescent="0.45">
      <c r="A109" s="22">
        <v>81</v>
      </c>
      <c r="B109" s="7">
        <f t="shared" si="16"/>
        <v>0.99999999999999911</v>
      </c>
      <c r="C109">
        <f t="shared" si="14"/>
        <v>12</v>
      </c>
    </row>
    <row r="110" spans="1:3" x14ac:dyDescent="0.45">
      <c r="A110" s="22">
        <v>82</v>
      </c>
      <c r="B110" s="7">
        <f>$C$17/($E$17^(A110-81))</f>
        <v>0.90572366426390671</v>
      </c>
      <c r="C110">
        <f t="shared" si="14"/>
        <v>12</v>
      </c>
    </row>
    <row r="111" spans="1:3" x14ac:dyDescent="0.45">
      <c r="A111" s="22">
        <v>83</v>
      </c>
      <c r="B111" s="7">
        <f t="shared" ref="B111:B116" si="17">$C$17/($E$17^(A111-81))</f>
        <v>0.82033535600763807</v>
      </c>
      <c r="C111">
        <f t="shared" si="14"/>
        <v>12</v>
      </c>
    </row>
    <row r="112" spans="1:3" x14ac:dyDescent="0.45">
      <c r="A112" s="22">
        <v>84</v>
      </c>
      <c r="B112" s="7">
        <f t="shared" si="17"/>
        <v>0.74299714456847443</v>
      </c>
      <c r="C112">
        <f t="shared" si="14"/>
        <v>12</v>
      </c>
    </row>
    <row r="113" spans="1:3" x14ac:dyDescent="0.45">
      <c r="A113" s="22">
        <v>85</v>
      </c>
      <c r="B113" s="7">
        <f t="shared" si="17"/>
        <v>0.67295009631617841</v>
      </c>
      <c r="C113">
        <f t="shared" si="14"/>
        <v>13</v>
      </c>
    </row>
    <row r="114" spans="1:3" x14ac:dyDescent="0.45">
      <c r="A114" s="22">
        <v>86</v>
      </c>
      <c r="B114" s="7">
        <f t="shared" si="17"/>
        <v>0.60950682710223802</v>
      </c>
      <c r="C114">
        <f t="shared" si="14"/>
        <v>13</v>
      </c>
    </row>
    <row r="115" spans="1:3" x14ac:dyDescent="0.45">
      <c r="A115" s="22">
        <v>87</v>
      </c>
      <c r="B115" s="7">
        <f t="shared" si="17"/>
        <v>0.55204475683690657</v>
      </c>
      <c r="C115">
        <f t="shared" si="14"/>
        <v>13</v>
      </c>
    </row>
    <row r="116" spans="1:3" x14ac:dyDescent="0.45">
      <c r="A116" s="22">
        <v>88</v>
      </c>
      <c r="B116" s="7">
        <f t="shared" si="17"/>
        <v>0.50000000000000044</v>
      </c>
      <c r="C116">
        <f t="shared" si="14"/>
        <v>13</v>
      </c>
    </row>
    <row r="117" spans="1:3" x14ac:dyDescent="0.45">
      <c r="A117" s="22">
        <v>89</v>
      </c>
      <c r="B117" s="7">
        <f>$C$18/($E$18^(A117-88))</f>
        <v>0.48431254296349863</v>
      </c>
      <c r="C117">
        <f t="shared" si="14"/>
        <v>13</v>
      </c>
    </row>
    <row r="118" spans="1:3" x14ac:dyDescent="0.45">
      <c r="A118" s="22">
        <v>90</v>
      </c>
      <c r="B118" s="7">
        <f t="shared" ref="B118:B123" si="18">$C$18/($E$18^(A118-88))</f>
        <v>0.4691172785435414</v>
      </c>
      <c r="C118">
        <f t="shared" si="14"/>
        <v>13</v>
      </c>
    </row>
    <row r="119" spans="1:3" x14ac:dyDescent="0.45">
      <c r="A119" s="22">
        <v>91</v>
      </c>
      <c r="B119" s="7">
        <f t="shared" si="18"/>
        <v>0.45439876423907688</v>
      </c>
      <c r="C119">
        <f t="shared" si="14"/>
        <v>13</v>
      </c>
    </row>
    <row r="120" spans="1:3" x14ac:dyDescent="0.45">
      <c r="A120" s="22">
        <v>92</v>
      </c>
      <c r="B120" s="7">
        <f t="shared" si="18"/>
        <v>0.44014204205619722</v>
      </c>
      <c r="C120">
        <f t="shared" si="14"/>
        <v>14</v>
      </c>
    </row>
    <row r="121" spans="1:3" x14ac:dyDescent="0.45">
      <c r="A121" s="22">
        <v>93</v>
      </c>
      <c r="B121" s="7">
        <f t="shared" si="18"/>
        <v>0.42633262330676808</v>
      </c>
      <c r="C121">
        <f t="shared" si="14"/>
        <v>14</v>
      </c>
    </row>
    <row r="122" spans="1:3" x14ac:dyDescent="0.45">
      <c r="A122" s="22">
        <v>94</v>
      </c>
      <c r="B122" s="7">
        <f t="shared" si="18"/>
        <v>0.41295647388400036</v>
      </c>
      <c r="C122">
        <f t="shared" si="14"/>
        <v>14</v>
      </c>
    </row>
    <row r="123" spans="1:3" x14ac:dyDescent="0.45">
      <c r="A123" s="22">
        <v>95</v>
      </c>
      <c r="B123" s="7">
        <f t="shared" si="18"/>
        <v>0.39999999999999963</v>
      </c>
      <c r="C123">
        <f t="shared" si="14"/>
        <v>14</v>
      </c>
    </row>
    <row r="124" spans="1:3" x14ac:dyDescent="0.45">
      <c r="A124" s="22">
        <v>96</v>
      </c>
      <c r="B124" s="7">
        <f>$C$19/($E$19^(A124-95))</f>
        <v>0.37402445070771939</v>
      </c>
      <c r="C124">
        <f t="shared" si="14"/>
        <v>14</v>
      </c>
    </row>
    <row r="125" spans="1:3" x14ac:dyDescent="0.45">
      <c r="A125" s="22">
        <v>97</v>
      </c>
      <c r="B125" s="7">
        <f t="shared" ref="B125:B140" si="19">$C$19/($E$19^(A125-95))</f>
        <v>0.34973572431802796</v>
      </c>
      <c r="C125">
        <f t="shared" si="14"/>
        <v>14</v>
      </c>
    </row>
    <row r="126" spans="1:3" x14ac:dyDescent="0.45">
      <c r="A126" s="22">
        <v>98</v>
      </c>
      <c r="B126" s="7">
        <f t="shared" si="19"/>
        <v>0.32702428045229198</v>
      </c>
      <c r="C126">
        <f t="shared" si="14"/>
        <v>14</v>
      </c>
    </row>
    <row r="127" spans="1:3" x14ac:dyDescent="0.45">
      <c r="A127" s="22">
        <v>99</v>
      </c>
      <c r="B127" s="7">
        <f t="shared" si="19"/>
        <v>0.30578769216063917</v>
      </c>
      <c r="C127">
        <f t="shared" si="14"/>
        <v>15</v>
      </c>
    </row>
    <row r="128" spans="1:3" x14ac:dyDescent="0.45">
      <c r="A128" s="22">
        <v>100</v>
      </c>
      <c r="B128" s="7">
        <f t="shared" si="19"/>
        <v>0.28593018398391062</v>
      </c>
      <c r="C128">
        <f t="shared" si="14"/>
        <v>15</v>
      </c>
    </row>
    <row r="129" spans="1:3" x14ac:dyDescent="0.45">
      <c r="A129" s="22">
        <v>101</v>
      </c>
      <c r="B129" s="7">
        <f t="shared" si="19"/>
        <v>0.26736220001334826</v>
      </c>
      <c r="C129">
        <f t="shared" si="14"/>
        <v>15</v>
      </c>
    </row>
    <row r="130" spans="1:3" x14ac:dyDescent="0.45">
      <c r="A130" s="22">
        <v>102</v>
      </c>
      <c r="B130" s="7">
        <f t="shared" si="19"/>
        <v>0.24999999999999997</v>
      </c>
      <c r="C130">
        <f t="shared" si="14"/>
        <v>15</v>
      </c>
    </row>
    <row r="131" spans="1:3" x14ac:dyDescent="0.45">
      <c r="A131" s="22">
        <v>103</v>
      </c>
      <c r="B131" s="7">
        <f t="shared" si="19"/>
        <v>0.23376528169232452</v>
      </c>
      <c r="C131">
        <f t="shared" si="14"/>
        <v>15</v>
      </c>
    </row>
    <row r="132" spans="1:3" x14ac:dyDescent="0.45">
      <c r="A132" s="22">
        <v>104</v>
      </c>
      <c r="B132" s="7">
        <f t="shared" si="19"/>
        <v>0.21858482769876741</v>
      </c>
      <c r="C132">
        <f t="shared" si="14"/>
        <v>15</v>
      </c>
    </row>
    <row r="133" spans="1:3" x14ac:dyDescent="0.45">
      <c r="A133" s="22">
        <v>105</v>
      </c>
      <c r="B133" s="7">
        <f t="shared" si="19"/>
        <v>0.20439017528268241</v>
      </c>
      <c r="C133">
        <f t="shared" si="14"/>
        <v>15</v>
      </c>
    </row>
    <row r="134" spans="1:3" x14ac:dyDescent="0.45">
      <c r="A134" s="22">
        <v>106</v>
      </c>
      <c r="B134" s="7">
        <f t="shared" si="19"/>
        <v>0.19111730760039941</v>
      </c>
      <c r="C134">
        <f t="shared" si="14"/>
        <v>16</v>
      </c>
    </row>
    <row r="135" spans="1:3" x14ac:dyDescent="0.45">
      <c r="A135" s="22">
        <v>107</v>
      </c>
      <c r="B135" s="7">
        <f t="shared" si="19"/>
        <v>0.17870636498994408</v>
      </c>
      <c r="C135">
        <f t="shared" si="14"/>
        <v>16</v>
      </c>
    </row>
    <row r="136" spans="1:3" x14ac:dyDescent="0.45">
      <c r="A136" s="22">
        <v>108</v>
      </c>
      <c r="B136" s="7">
        <f t="shared" si="19"/>
        <v>0.1671013750083426</v>
      </c>
      <c r="C136">
        <f t="shared" si="14"/>
        <v>16</v>
      </c>
    </row>
    <row r="137" spans="1:3" x14ac:dyDescent="0.45">
      <c r="A137" s="22">
        <v>109</v>
      </c>
      <c r="B137" s="7">
        <f t="shared" si="19"/>
        <v>0.15624999999999992</v>
      </c>
      <c r="C137">
        <f t="shared" si="14"/>
        <v>16</v>
      </c>
    </row>
    <row r="138" spans="1:3" x14ac:dyDescent="0.45">
      <c r="A138" s="22">
        <v>110</v>
      </c>
      <c r="B138" s="7">
        <f t="shared" si="19"/>
        <v>0.14610330105770281</v>
      </c>
      <c r="C138">
        <f t="shared" si="14"/>
        <v>16</v>
      </c>
    </row>
    <row r="139" spans="1:3" x14ac:dyDescent="0.45">
      <c r="A139" s="22">
        <v>111</v>
      </c>
      <c r="B139" s="7">
        <f t="shared" si="19"/>
        <v>0.13661551731172958</v>
      </c>
      <c r="C139">
        <f t="shared" si="14"/>
        <v>16</v>
      </c>
    </row>
    <row r="140" spans="1:3" x14ac:dyDescent="0.45">
      <c r="A140" s="22">
        <v>112</v>
      </c>
      <c r="B140" s="7">
        <f t="shared" si="19"/>
        <v>0.12774385955167644</v>
      </c>
      <c r="C140">
        <f t="shared" si="14"/>
        <v>16</v>
      </c>
    </row>
    <row r="141" spans="1:3" x14ac:dyDescent="0.45">
      <c r="A141" s="22"/>
      <c r="B141" s="7"/>
    </row>
    <row r="142" spans="1:3" x14ac:dyDescent="0.45">
      <c r="A142" s="22"/>
    </row>
    <row r="145" spans="6:15" x14ac:dyDescent="0.45">
      <c r="F145" s="7"/>
      <c r="H145" s="7"/>
      <c r="I145" s="25"/>
      <c r="K145" s="7"/>
      <c r="L145" s="7"/>
      <c r="N145" s="7"/>
      <c r="O145" s="7"/>
    </row>
    <row r="146" spans="6:15" x14ac:dyDescent="0.45">
      <c r="F146" s="7"/>
      <c r="H146" s="7"/>
      <c r="I146" s="25"/>
      <c r="K146" s="7"/>
      <c r="L146" s="7"/>
      <c r="N146" s="7"/>
      <c r="O146" s="7"/>
    </row>
    <row r="147" spans="6:15" x14ac:dyDescent="0.45">
      <c r="F147" s="7"/>
      <c r="H147" s="7"/>
      <c r="I147" s="25"/>
      <c r="K147" s="7"/>
      <c r="L147" s="7"/>
      <c r="N147" s="7"/>
      <c r="O147" s="7"/>
    </row>
    <row r="148" spans="6:15" x14ac:dyDescent="0.45">
      <c r="F148" s="7"/>
      <c r="H148" s="7"/>
      <c r="I148" s="25"/>
      <c r="K148" s="7"/>
      <c r="L148" s="7"/>
      <c r="N148" s="7"/>
      <c r="O148" s="7"/>
    </row>
    <row r="149" spans="6:15" x14ac:dyDescent="0.45">
      <c r="F149" s="7"/>
      <c r="H149" s="7"/>
      <c r="I149" s="25"/>
      <c r="K149" s="7"/>
      <c r="L149" s="7"/>
      <c r="N149" s="7"/>
      <c r="O149" s="7"/>
    </row>
    <row r="150" spans="6:15" x14ac:dyDescent="0.45">
      <c r="F150" s="7"/>
      <c r="H150" s="7"/>
      <c r="I150" s="25"/>
      <c r="K150" s="7"/>
      <c r="L150" s="7"/>
      <c r="N150" s="7"/>
      <c r="O150" s="7"/>
    </row>
    <row r="151" spans="6:15" x14ac:dyDescent="0.45">
      <c r="F151" s="7"/>
      <c r="H151" s="7"/>
      <c r="I151" s="25"/>
      <c r="K151" s="7"/>
      <c r="L151" s="7"/>
      <c r="N151" s="7"/>
      <c r="O151" s="7"/>
    </row>
    <row r="152" spans="6:15" x14ac:dyDescent="0.45">
      <c r="F152" s="7"/>
      <c r="H152" s="7"/>
      <c r="I152" s="25"/>
      <c r="K152" s="7"/>
      <c r="L152" s="7"/>
      <c r="N152" s="7"/>
      <c r="O152" s="7"/>
    </row>
    <row r="153" spans="6:15" x14ac:dyDescent="0.45">
      <c r="F153" s="7"/>
      <c r="H153" s="7"/>
      <c r="I153" s="25"/>
      <c r="K153" s="7"/>
      <c r="L153" s="7"/>
      <c r="N153" s="7"/>
      <c r="O153" s="7"/>
    </row>
    <row r="154" spans="6:15" x14ac:dyDescent="0.45">
      <c r="F154" s="7"/>
      <c r="H154" s="7"/>
      <c r="I154" s="25"/>
      <c r="K154" s="7"/>
      <c r="L154" s="7"/>
      <c r="N154" s="7"/>
      <c r="O154" s="7"/>
    </row>
    <row r="155" spans="6:15" x14ac:dyDescent="0.45">
      <c r="F155" s="7"/>
      <c r="H155" s="7"/>
      <c r="I155" s="25"/>
      <c r="K155" s="7"/>
      <c r="L155" s="7"/>
      <c r="N155" s="7"/>
      <c r="O155" s="7"/>
    </row>
    <row r="156" spans="6:15" x14ac:dyDescent="0.45">
      <c r="F156" s="7"/>
      <c r="H156" s="7"/>
      <c r="I156" s="25"/>
      <c r="K156" s="7"/>
      <c r="L156" s="7"/>
      <c r="N156" s="7"/>
      <c r="O156" s="7"/>
    </row>
    <row r="157" spans="6:15" x14ac:dyDescent="0.45">
      <c r="F157" s="7"/>
      <c r="H157" s="7"/>
      <c r="I157" s="25"/>
      <c r="K157" s="7"/>
      <c r="L157" s="7"/>
      <c r="N157" s="7"/>
      <c r="O157" s="7"/>
    </row>
    <row r="158" spans="6:15" x14ac:dyDescent="0.45">
      <c r="F158" s="7"/>
      <c r="H158" s="7"/>
      <c r="I158" s="25"/>
      <c r="K158" s="7"/>
      <c r="L158" s="7"/>
      <c r="N158" s="7"/>
      <c r="O158" s="7"/>
    </row>
    <row r="159" spans="6:15" x14ac:dyDescent="0.45">
      <c r="F159" s="7"/>
      <c r="H159" s="7"/>
      <c r="I159" s="25"/>
      <c r="K159" s="7"/>
      <c r="L159" s="7"/>
      <c r="N159" s="7"/>
      <c r="O159" s="7"/>
    </row>
    <row r="160" spans="6:15" x14ac:dyDescent="0.45">
      <c r="F160" s="7"/>
      <c r="H160" s="7"/>
      <c r="I160" s="25"/>
      <c r="K160" s="7"/>
      <c r="L160" s="7"/>
      <c r="N160" s="7"/>
      <c r="O160" s="7"/>
    </row>
    <row r="161" spans="6:15" x14ac:dyDescent="0.45">
      <c r="F161" s="7"/>
      <c r="H161" s="7"/>
      <c r="I161" s="25"/>
      <c r="K161" s="7"/>
      <c r="L161" s="7"/>
      <c r="N161" s="7"/>
      <c r="O161" s="7"/>
    </row>
    <row r="162" spans="6:15" x14ac:dyDescent="0.45">
      <c r="F162" s="7"/>
      <c r="H162" s="7"/>
      <c r="I162" s="25"/>
      <c r="K162" s="7"/>
      <c r="L162" s="7"/>
      <c r="N162" s="7"/>
      <c r="O162" s="7"/>
    </row>
    <row r="163" spans="6:15" x14ac:dyDescent="0.45">
      <c r="F163" s="7"/>
      <c r="H163" s="7"/>
      <c r="I163" s="25"/>
      <c r="K163" s="7"/>
      <c r="L163" s="7"/>
      <c r="N163" s="7"/>
      <c r="O163" s="7"/>
    </row>
    <row r="164" spans="6:15" x14ac:dyDescent="0.45">
      <c r="F164" s="7"/>
      <c r="H164" s="7"/>
      <c r="I164" s="25"/>
      <c r="K164" s="7"/>
      <c r="L164" s="7"/>
      <c r="N164" s="7"/>
      <c r="O164" s="7"/>
    </row>
    <row r="165" spans="6:15" x14ac:dyDescent="0.45">
      <c r="F165" s="7"/>
      <c r="H165" s="7"/>
      <c r="I165" s="25"/>
      <c r="K165" s="7"/>
      <c r="L165" s="7"/>
      <c r="N165" s="7"/>
      <c r="O165" s="7"/>
    </row>
    <row r="166" spans="6:15" x14ac:dyDescent="0.45">
      <c r="F166" s="7"/>
      <c r="H166" s="7"/>
      <c r="I166" s="25"/>
      <c r="K166" s="7"/>
      <c r="L166" s="7"/>
      <c r="N166" s="7"/>
      <c r="O166" s="7"/>
    </row>
    <row r="167" spans="6:15" x14ac:dyDescent="0.45">
      <c r="F167" s="7"/>
      <c r="H167" s="7"/>
      <c r="I167" s="25"/>
      <c r="K167" s="7"/>
      <c r="L167" s="7"/>
      <c r="N167" s="7"/>
      <c r="O167" s="7"/>
    </row>
    <row r="168" spans="6:15" x14ac:dyDescent="0.45">
      <c r="F168" s="7"/>
      <c r="H168" s="7"/>
      <c r="I168" s="25"/>
      <c r="K168" s="7"/>
      <c r="L168" s="7"/>
      <c r="N168" s="7"/>
      <c r="O168" s="7"/>
    </row>
    <row r="169" spans="6:15" x14ac:dyDescent="0.45">
      <c r="F169" s="7"/>
      <c r="H169" s="7"/>
      <c r="I169" s="25"/>
      <c r="K169" s="7"/>
      <c r="L169" s="7"/>
      <c r="N169" s="7"/>
      <c r="O169" s="7"/>
    </row>
    <row r="170" spans="6:15" x14ac:dyDescent="0.45">
      <c r="F170" s="7"/>
      <c r="H170" s="7"/>
      <c r="I170" s="25"/>
      <c r="K170" s="7"/>
      <c r="L170" s="7"/>
      <c r="N170" s="7"/>
      <c r="O170" s="7"/>
    </row>
    <row r="171" spans="6:15" x14ac:dyDescent="0.45">
      <c r="F171" s="7"/>
      <c r="H171" s="7"/>
      <c r="I171" s="25"/>
      <c r="K171" s="7"/>
      <c r="L171" s="7"/>
      <c r="N171" s="7"/>
      <c r="O171" s="7"/>
    </row>
    <row r="172" spans="6:15" x14ac:dyDescent="0.45">
      <c r="F172" s="7"/>
      <c r="H172" s="7"/>
      <c r="I172" s="25"/>
      <c r="K172" s="7"/>
      <c r="L172" s="7"/>
      <c r="N172" s="7"/>
      <c r="O172" s="7"/>
    </row>
    <row r="173" spans="6:15" x14ac:dyDescent="0.45">
      <c r="F173" s="7"/>
      <c r="H173" s="7"/>
      <c r="I173" s="25"/>
      <c r="K173" s="7"/>
      <c r="L173" s="7"/>
      <c r="N173" s="7"/>
      <c r="O173" s="7"/>
    </row>
    <row r="174" spans="6:15" x14ac:dyDescent="0.45">
      <c r="F174" s="7"/>
      <c r="H174" s="7"/>
      <c r="I174" s="25"/>
      <c r="K174" s="7"/>
      <c r="L174" s="7"/>
      <c r="N174" s="7"/>
      <c r="O174" s="7"/>
    </row>
    <row r="175" spans="6:15" x14ac:dyDescent="0.45">
      <c r="F175" s="7"/>
      <c r="H175" s="7"/>
      <c r="I175" s="25"/>
      <c r="K175" s="7"/>
      <c r="L175" s="7"/>
      <c r="N175" s="7"/>
      <c r="O175" s="7"/>
    </row>
    <row r="176" spans="6:15" x14ac:dyDescent="0.45">
      <c r="F176" s="7"/>
      <c r="H176" s="7"/>
      <c r="I176" s="25"/>
      <c r="K176" s="7"/>
      <c r="L176" s="7"/>
      <c r="N176" s="7"/>
      <c r="O176" s="7"/>
    </row>
    <row r="177" spans="6:15" x14ac:dyDescent="0.45">
      <c r="F177" s="7"/>
      <c r="H177" s="7"/>
      <c r="I177" s="25"/>
      <c r="K177" s="7"/>
      <c r="L177" s="7"/>
      <c r="N177" s="7"/>
      <c r="O177" s="7"/>
    </row>
    <row r="178" spans="6:15" x14ac:dyDescent="0.45">
      <c r="F178" s="7"/>
      <c r="H178" s="7"/>
      <c r="I178" s="25"/>
      <c r="K178" s="7"/>
      <c r="L178" s="7"/>
      <c r="N178" s="7"/>
      <c r="O178" s="7"/>
    </row>
    <row r="179" spans="6:15" x14ac:dyDescent="0.45">
      <c r="F179" s="7"/>
      <c r="H179" s="7"/>
      <c r="I179" s="25"/>
      <c r="K179" s="7"/>
      <c r="L179" s="7"/>
      <c r="N179" s="7"/>
      <c r="O179" s="7"/>
    </row>
    <row r="180" spans="6:15" x14ac:dyDescent="0.45">
      <c r="F180" s="7"/>
      <c r="H180" s="7"/>
      <c r="I180" s="25"/>
      <c r="K180" s="7"/>
      <c r="L180" s="7"/>
      <c r="N180" s="7"/>
      <c r="O180" s="7"/>
    </row>
    <row r="181" spans="6:15" x14ac:dyDescent="0.45">
      <c r="F181" s="7"/>
      <c r="H181" s="7"/>
      <c r="I181" s="25"/>
      <c r="K181" s="7"/>
      <c r="L181" s="7"/>
      <c r="N181" s="7"/>
      <c r="O181" s="7"/>
    </row>
    <row r="182" spans="6:15" x14ac:dyDescent="0.45">
      <c r="F182" s="7"/>
      <c r="H182" s="7"/>
      <c r="I182" s="25"/>
      <c r="K182" s="7"/>
      <c r="L182" s="7"/>
      <c r="N182" s="7"/>
      <c r="O182" s="7"/>
    </row>
    <row r="183" spans="6:15" x14ac:dyDescent="0.45">
      <c r="F183" s="7"/>
      <c r="H183" s="7"/>
      <c r="I183" s="25"/>
      <c r="K183" s="7"/>
      <c r="L183" s="7"/>
      <c r="N183" s="7"/>
      <c r="O183" s="7"/>
    </row>
    <row r="184" spans="6:15" x14ac:dyDescent="0.45">
      <c r="F184" s="7"/>
      <c r="H184" s="7"/>
      <c r="I184" s="25"/>
      <c r="K184" s="7"/>
      <c r="L184" s="7"/>
      <c r="N184" s="7"/>
      <c r="O184" s="7"/>
    </row>
    <row r="185" spans="6:15" x14ac:dyDescent="0.45">
      <c r="F185" s="7"/>
      <c r="H185" s="7"/>
      <c r="I185" s="25"/>
      <c r="K185" s="7"/>
      <c r="L185" s="7"/>
      <c r="N185" s="7"/>
      <c r="O185" s="7"/>
    </row>
    <row r="186" spans="6:15" x14ac:dyDescent="0.45">
      <c r="F186" s="7"/>
      <c r="H186" s="7"/>
      <c r="I186" s="25"/>
      <c r="K186" s="7"/>
      <c r="L186" s="7"/>
      <c r="N186" s="7"/>
      <c r="O186" s="7"/>
    </row>
    <row r="187" spans="6:15" x14ac:dyDescent="0.45">
      <c r="F187" s="7"/>
      <c r="H187" s="7"/>
      <c r="I187" s="25"/>
      <c r="K187" s="7"/>
      <c r="L187" s="7"/>
      <c r="N187" s="7"/>
      <c r="O187" s="7"/>
    </row>
    <row r="188" spans="6:15" x14ac:dyDescent="0.45">
      <c r="F188" s="7"/>
      <c r="H188" s="7"/>
      <c r="I188" s="25"/>
      <c r="K188" s="7"/>
      <c r="L188" s="7"/>
      <c r="N188" s="7"/>
      <c r="O188" s="7"/>
    </row>
    <row r="189" spans="6:15" x14ac:dyDescent="0.45">
      <c r="F189" s="7"/>
      <c r="H189" s="7"/>
      <c r="I189" s="25"/>
      <c r="K189" s="7"/>
      <c r="L189" s="7"/>
      <c r="N189" s="7"/>
      <c r="O189" s="7"/>
    </row>
    <row r="190" spans="6:15" x14ac:dyDescent="0.45">
      <c r="F190" s="7"/>
      <c r="H190" s="7"/>
      <c r="I190" s="25"/>
      <c r="K190" s="7"/>
      <c r="L190" s="7"/>
      <c r="N190" s="7"/>
      <c r="O190" s="7"/>
    </row>
    <row r="191" spans="6:15" x14ac:dyDescent="0.45">
      <c r="F191" s="7"/>
      <c r="H191" s="7"/>
      <c r="I191" s="25"/>
      <c r="K191" s="7"/>
      <c r="L191" s="7"/>
      <c r="N191" s="7"/>
      <c r="O191" s="7"/>
    </row>
    <row r="192" spans="6:15" x14ac:dyDescent="0.45">
      <c r="F192" s="7"/>
      <c r="H192" s="7"/>
      <c r="I192" s="25"/>
      <c r="K192" s="7"/>
      <c r="L192" s="7"/>
      <c r="N192" s="7"/>
      <c r="O192" s="7"/>
    </row>
    <row r="193" spans="1:15" x14ac:dyDescent="0.45">
      <c r="F193" s="7"/>
      <c r="H193" s="7"/>
      <c r="I193" s="25"/>
      <c r="K193" s="7"/>
      <c r="L193" s="7"/>
      <c r="N193" s="7"/>
      <c r="O193" s="7"/>
    </row>
    <row r="194" spans="1:15" x14ac:dyDescent="0.45">
      <c r="F194" s="7"/>
      <c r="H194" s="7"/>
      <c r="I194" s="25"/>
      <c r="K194" s="7"/>
      <c r="L194" s="7"/>
      <c r="N194" s="7"/>
      <c r="O194" s="7"/>
    </row>
    <row r="195" spans="1:15" x14ac:dyDescent="0.45">
      <c r="F195" s="7"/>
      <c r="H195" s="7"/>
      <c r="I195" s="25"/>
      <c r="K195" s="7"/>
      <c r="L195" s="7"/>
      <c r="N195" s="7"/>
      <c r="O195" s="7"/>
    </row>
    <row r="196" spans="1:15" x14ac:dyDescent="0.45">
      <c r="F196" s="7"/>
      <c r="H196" s="7"/>
      <c r="I196" s="25"/>
      <c r="K196" s="7"/>
      <c r="L196" s="7"/>
      <c r="N196" s="7"/>
      <c r="O196" s="7"/>
    </row>
    <row r="197" spans="1:15" x14ac:dyDescent="0.45">
      <c r="F197" s="7"/>
      <c r="H197" s="7"/>
      <c r="I197" s="25"/>
      <c r="K197" s="7"/>
      <c r="L197" s="7"/>
      <c r="N197" s="7"/>
      <c r="O197" s="7"/>
    </row>
    <row r="198" spans="1:15" x14ac:dyDescent="0.45">
      <c r="F198" s="7"/>
      <c r="H198" s="7"/>
      <c r="I198" s="25"/>
      <c r="K198" s="7"/>
      <c r="L198" s="7"/>
      <c r="N198" s="7"/>
      <c r="O198" s="7"/>
    </row>
    <row r="199" spans="1:15" x14ac:dyDescent="0.45">
      <c r="F199" s="7"/>
      <c r="H199" s="7"/>
      <c r="I199" s="25"/>
      <c r="K199" s="7"/>
      <c r="L199" s="7"/>
      <c r="N199" s="7"/>
      <c r="O199" s="7"/>
    </row>
    <row r="200" spans="1:15" x14ac:dyDescent="0.45">
      <c r="F200" s="7"/>
      <c r="H200" s="7"/>
      <c r="I200" s="25"/>
      <c r="K200" s="7"/>
      <c r="L200" s="7"/>
      <c r="N200" s="7"/>
      <c r="O200" s="7"/>
    </row>
    <row r="201" spans="1:15" x14ac:dyDescent="0.45">
      <c r="F201" s="7"/>
      <c r="H201" s="7"/>
      <c r="I201" s="25"/>
      <c r="K201" s="7"/>
      <c r="L201" s="7"/>
      <c r="N201" s="7"/>
      <c r="O201" s="7"/>
    </row>
    <row r="202" spans="1:15" x14ac:dyDescent="0.45">
      <c r="F202" s="7"/>
      <c r="H202" s="7"/>
      <c r="I202" s="25"/>
      <c r="K202" s="7"/>
      <c r="L202" s="7"/>
      <c r="N202" s="7"/>
      <c r="O202" s="7"/>
    </row>
    <row r="203" spans="1:15" x14ac:dyDescent="0.45">
      <c r="I203" s="25"/>
      <c r="L203" s="7"/>
      <c r="O203" s="7"/>
    </row>
    <row r="207" spans="1:15" x14ac:dyDescent="0.45">
      <c r="A207" s="3"/>
    </row>
    <row r="208" spans="1:15" x14ac:dyDescent="0.45">
      <c r="A208" s="23"/>
      <c r="B208" s="24"/>
      <c r="C208" s="24"/>
      <c r="D208" s="24"/>
    </row>
    <row r="209" spans="1:15" x14ac:dyDescent="0.45">
      <c r="A209" s="2"/>
      <c r="B209" s="2"/>
      <c r="C209" s="2"/>
      <c r="D209" s="2"/>
    </row>
    <row r="211" spans="1:15" x14ac:dyDescent="0.45">
      <c r="A211" s="23"/>
      <c r="B211" s="24"/>
      <c r="C211" s="23"/>
      <c r="D211" s="23"/>
      <c r="E211" s="23"/>
      <c r="F211" s="23"/>
      <c r="G211" s="23"/>
      <c r="H211" s="23"/>
      <c r="I211" s="23"/>
      <c r="J211" s="23"/>
      <c r="K211" s="23"/>
      <c r="L211" s="23"/>
      <c r="M211" s="23"/>
      <c r="N211" s="23"/>
      <c r="O211" s="23"/>
    </row>
    <row r="212" spans="1:15" x14ac:dyDescent="0.45">
      <c r="F212" s="7"/>
      <c r="H212" s="7"/>
      <c r="I212" s="25"/>
      <c r="K212" s="7"/>
      <c r="L212" s="7"/>
      <c r="N212" s="7"/>
      <c r="O212" s="7"/>
    </row>
    <row r="213" spans="1:15" x14ac:dyDescent="0.45">
      <c r="F213" s="7"/>
      <c r="H213" s="7"/>
      <c r="I213" s="25"/>
      <c r="K213" s="7"/>
      <c r="L213" s="7"/>
      <c r="N213" s="7"/>
      <c r="O213" s="7"/>
    </row>
    <row r="214" spans="1:15" x14ac:dyDescent="0.45">
      <c r="F214" s="7"/>
      <c r="H214" s="7"/>
      <c r="I214" s="25"/>
      <c r="K214" s="7"/>
      <c r="L214" s="7"/>
      <c r="N214" s="7"/>
      <c r="O214" s="7"/>
    </row>
    <row r="215" spans="1:15" x14ac:dyDescent="0.45">
      <c r="F215" s="7"/>
      <c r="H215" s="7"/>
      <c r="I215" s="25"/>
      <c r="K215" s="7"/>
      <c r="L215" s="7"/>
      <c r="N215" s="7"/>
      <c r="O215" s="7"/>
    </row>
    <row r="216" spans="1:15" x14ac:dyDescent="0.45">
      <c r="F216" s="7"/>
      <c r="H216" s="7"/>
      <c r="I216" s="25"/>
      <c r="K216" s="7"/>
      <c r="L216" s="7"/>
      <c r="N216" s="7"/>
      <c r="O216" s="7"/>
    </row>
    <row r="217" spans="1:15" x14ac:dyDescent="0.45">
      <c r="F217" s="7"/>
      <c r="H217" s="7"/>
      <c r="I217" s="25"/>
      <c r="K217" s="7"/>
      <c r="L217" s="7"/>
      <c r="N217" s="7"/>
      <c r="O217" s="7"/>
    </row>
    <row r="218" spans="1:15" x14ac:dyDescent="0.45">
      <c r="F218" s="7"/>
      <c r="H218" s="7"/>
      <c r="I218" s="25"/>
      <c r="K218" s="7"/>
      <c r="L218" s="7"/>
      <c r="N218" s="7"/>
      <c r="O218" s="7"/>
    </row>
    <row r="219" spans="1:15" x14ac:dyDescent="0.45">
      <c r="F219" s="7"/>
      <c r="H219" s="7"/>
      <c r="I219" s="25"/>
      <c r="K219" s="7"/>
      <c r="L219" s="7"/>
      <c r="N219" s="7"/>
      <c r="O219" s="7"/>
    </row>
    <row r="220" spans="1:15" x14ac:dyDescent="0.45">
      <c r="F220" s="7"/>
      <c r="H220" s="7"/>
      <c r="I220" s="25"/>
      <c r="K220" s="7"/>
      <c r="L220" s="7"/>
      <c r="N220" s="7"/>
      <c r="O220" s="7"/>
    </row>
    <row r="221" spans="1:15" x14ac:dyDescent="0.45">
      <c r="F221" s="7"/>
      <c r="H221" s="7"/>
      <c r="I221" s="25"/>
      <c r="K221" s="7"/>
      <c r="L221" s="7"/>
      <c r="N221" s="7"/>
      <c r="O221" s="7"/>
    </row>
    <row r="222" spans="1:15" x14ac:dyDescent="0.45">
      <c r="F222" s="7"/>
      <c r="H222" s="7"/>
      <c r="I222" s="25"/>
      <c r="K222" s="7"/>
      <c r="L222" s="7"/>
      <c r="N222" s="7"/>
      <c r="O222" s="7"/>
    </row>
    <row r="223" spans="1:15" x14ac:dyDescent="0.45">
      <c r="F223" s="7"/>
      <c r="H223" s="7"/>
      <c r="I223" s="25"/>
      <c r="K223" s="7"/>
      <c r="L223" s="7"/>
      <c r="N223" s="7"/>
      <c r="O223" s="7"/>
    </row>
    <row r="224" spans="1:15" x14ac:dyDescent="0.45">
      <c r="F224" s="7"/>
      <c r="H224" s="7"/>
      <c r="I224" s="25"/>
      <c r="K224" s="7"/>
      <c r="L224" s="7"/>
      <c r="N224" s="7"/>
      <c r="O224" s="7"/>
    </row>
    <row r="225" spans="6:15" x14ac:dyDescent="0.45">
      <c r="F225" s="7"/>
      <c r="H225" s="7"/>
      <c r="I225" s="25"/>
      <c r="K225" s="7"/>
      <c r="L225" s="7"/>
      <c r="N225" s="7"/>
      <c r="O225" s="7"/>
    </row>
    <row r="226" spans="6:15" x14ac:dyDescent="0.45">
      <c r="F226" s="7"/>
      <c r="H226" s="7"/>
      <c r="I226" s="25"/>
      <c r="K226" s="7"/>
      <c r="L226" s="7"/>
      <c r="N226" s="7"/>
      <c r="O226" s="7"/>
    </row>
    <row r="227" spans="6:15" x14ac:dyDescent="0.45">
      <c r="F227" s="7"/>
      <c r="H227" s="7"/>
      <c r="I227" s="25"/>
      <c r="K227" s="7"/>
      <c r="L227" s="7"/>
      <c r="N227" s="7"/>
      <c r="O227" s="7"/>
    </row>
    <row r="228" spans="6:15" x14ac:dyDescent="0.45">
      <c r="F228" s="7"/>
      <c r="H228" s="7"/>
      <c r="I228" s="25"/>
      <c r="K228" s="7"/>
      <c r="L228" s="7"/>
      <c r="N228" s="7"/>
      <c r="O228" s="7"/>
    </row>
    <row r="229" spans="6:15" x14ac:dyDescent="0.45">
      <c r="F229" s="7"/>
      <c r="H229" s="7"/>
      <c r="I229" s="25"/>
      <c r="K229" s="7"/>
      <c r="L229" s="7"/>
      <c r="N229" s="7"/>
      <c r="O229" s="7"/>
    </row>
    <row r="230" spans="6:15" x14ac:dyDescent="0.45">
      <c r="F230" s="7"/>
      <c r="H230" s="7"/>
      <c r="I230" s="25"/>
      <c r="K230" s="7"/>
      <c r="L230" s="7"/>
      <c r="N230" s="7"/>
      <c r="O230" s="7"/>
    </row>
    <row r="231" spans="6:15" x14ac:dyDescent="0.45">
      <c r="F231" s="7"/>
      <c r="H231" s="7"/>
      <c r="I231" s="25"/>
      <c r="K231" s="7"/>
      <c r="L231" s="7"/>
      <c r="N231" s="7"/>
      <c r="O231" s="7"/>
    </row>
    <row r="232" spans="6:15" x14ac:dyDescent="0.45">
      <c r="F232" s="7"/>
      <c r="H232" s="7"/>
      <c r="I232" s="25"/>
      <c r="K232" s="7"/>
      <c r="L232" s="7"/>
      <c r="N232" s="7"/>
      <c r="O232" s="7"/>
    </row>
    <row r="233" spans="6:15" x14ac:dyDescent="0.45">
      <c r="F233" s="7"/>
      <c r="H233" s="7"/>
      <c r="I233" s="25"/>
      <c r="K233" s="7"/>
      <c r="L233" s="7"/>
      <c r="N233" s="7"/>
      <c r="O233" s="7"/>
    </row>
    <row r="234" spans="6:15" x14ac:dyDescent="0.45">
      <c r="F234" s="7"/>
      <c r="H234" s="7"/>
      <c r="I234" s="25"/>
      <c r="K234" s="7"/>
      <c r="L234" s="7"/>
      <c r="N234" s="7"/>
      <c r="O234" s="7"/>
    </row>
    <row r="235" spans="6:15" x14ac:dyDescent="0.45">
      <c r="F235" s="7"/>
      <c r="H235" s="7"/>
      <c r="I235" s="25"/>
      <c r="K235" s="7"/>
      <c r="L235" s="7"/>
      <c r="N235" s="7"/>
      <c r="O235" s="7"/>
    </row>
    <row r="236" spans="6:15" x14ac:dyDescent="0.45">
      <c r="F236" s="7"/>
      <c r="H236" s="7"/>
      <c r="I236" s="25"/>
      <c r="K236" s="7"/>
      <c r="L236" s="7"/>
      <c r="N236" s="7"/>
      <c r="O236" s="7"/>
    </row>
    <row r="237" spans="6:15" x14ac:dyDescent="0.45">
      <c r="F237" s="7"/>
      <c r="H237" s="7"/>
      <c r="I237" s="25"/>
      <c r="K237" s="7"/>
      <c r="L237" s="7"/>
      <c r="N237" s="7"/>
      <c r="O237" s="7"/>
    </row>
    <row r="238" spans="6:15" x14ac:dyDescent="0.45">
      <c r="F238" s="7"/>
      <c r="H238" s="7"/>
      <c r="I238" s="25"/>
      <c r="K238" s="7"/>
      <c r="L238" s="7"/>
      <c r="N238" s="7"/>
      <c r="O238" s="7"/>
    </row>
    <row r="239" spans="6:15" x14ac:dyDescent="0.45">
      <c r="F239" s="7"/>
      <c r="H239" s="7"/>
      <c r="I239" s="25"/>
      <c r="K239" s="7"/>
      <c r="L239" s="7"/>
      <c r="N239" s="7"/>
      <c r="O239" s="7"/>
    </row>
    <row r="240" spans="6:15" x14ac:dyDescent="0.45">
      <c r="F240" s="7"/>
      <c r="H240" s="7"/>
      <c r="I240" s="25"/>
      <c r="K240" s="7"/>
      <c r="L240" s="7"/>
      <c r="N240" s="7"/>
      <c r="O240" s="7"/>
    </row>
    <row r="241" spans="6:15" x14ac:dyDescent="0.45">
      <c r="F241" s="7"/>
      <c r="H241" s="7"/>
      <c r="I241" s="25"/>
      <c r="K241" s="7"/>
      <c r="L241" s="7"/>
      <c r="N241" s="7"/>
      <c r="O241" s="7"/>
    </row>
    <row r="242" spans="6:15" x14ac:dyDescent="0.45">
      <c r="F242" s="7"/>
      <c r="H242" s="7"/>
      <c r="I242" s="25"/>
      <c r="K242" s="7"/>
      <c r="L242" s="7"/>
      <c r="N242" s="7"/>
      <c r="O242" s="7"/>
    </row>
    <row r="243" spans="6:15" x14ac:dyDescent="0.45">
      <c r="F243" s="7"/>
      <c r="H243" s="7"/>
      <c r="I243" s="25"/>
      <c r="K243" s="7"/>
      <c r="L243" s="7"/>
      <c r="N243" s="7"/>
      <c r="O243" s="7"/>
    </row>
    <row r="244" spans="6:15" x14ac:dyDescent="0.45">
      <c r="F244" s="7"/>
      <c r="H244" s="7"/>
      <c r="I244" s="25"/>
      <c r="K244" s="7"/>
      <c r="L244" s="7"/>
      <c r="N244" s="7"/>
      <c r="O244" s="7"/>
    </row>
    <row r="245" spans="6:15" x14ac:dyDescent="0.45">
      <c r="F245" s="7"/>
      <c r="H245" s="7"/>
      <c r="I245" s="25"/>
      <c r="K245" s="7"/>
      <c r="L245" s="7"/>
      <c r="N245" s="7"/>
      <c r="O245" s="7"/>
    </row>
    <row r="246" spans="6:15" x14ac:dyDescent="0.45">
      <c r="F246" s="7"/>
      <c r="H246" s="7"/>
      <c r="I246" s="25"/>
      <c r="K246" s="7"/>
      <c r="L246" s="7"/>
      <c r="N246" s="7"/>
      <c r="O246" s="7"/>
    </row>
    <row r="247" spans="6:15" x14ac:dyDescent="0.45">
      <c r="F247" s="7"/>
      <c r="H247" s="7"/>
      <c r="I247" s="25"/>
      <c r="K247" s="7"/>
      <c r="L247" s="7"/>
      <c r="N247" s="7"/>
      <c r="O247" s="7"/>
    </row>
    <row r="248" spans="6:15" x14ac:dyDescent="0.45">
      <c r="F248" s="7"/>
      <c r="H248" s="7"/>
      <c r="I248" s="25"/>
      <c r="K248" s="7"/>
      <c r="L248" s="7"/>
      <c r="N248" s="7"/>
      <c r="O248" s="7"/>
    </row>
    <row r="249" spans="6:15" x14ac:dyDescent="0.45">
      <c r="F249" s="7"/>
      <c r="H249" s="7"/>
      <c r="I249" s="25"/>
      <c r="K249" s="7"/>
      <c r="L249" s="7"/>
      <c r="N249" s="7"/>
      <c r="O249" s="7"/>
    </row>
    <row r="250" spans="6:15" x14ac:dyDescent="0.45">
      <c r="F250" s="7"/>
      <c r="H250" s="7"/>
      <c r="I250" s="25"/>
      <c r="K250" s="7"/>
      <c r="L250" s="7"/>
      <c r="N250" s="7"/>
      <c r="O250" s="7"/>
    </row>
    <row r="251" spans="6:15" x14ac:dyDescent="0.45">
      <c r="F251" s="7"/>
      <c r="H251" s="7"/>
      <c r="I251" s="25"/>
      <c r="K251" s="7"/>
      <c r="L251" s="7"/>
      <c r="N251" s="7"/>
      <c r="O251" s="7"/>
    </row>
    <row r="252" spans="6:15" x14ac:dyDescent="0.45">
      <c r="F252" s="7"/>
      <c r="H252" s="7"/>
      <c r="I252" s="25"/>
      <c r="K252" s="7"/>
      <c r="L252" s="7"/>
      <c r="N252" s="7"/>
      <c r="O252" s="7"/>
    </row>
    <row r="253" spans="6:15" x14ac:dyDescent="0.45">
      <c r="F253" s="7"/>
      <c r="H253" s="7"/>
      <c r="I253" s="25"/>
      <c r="K253" s="7"/>
      <c r="L253" s="7"/>
      <c r="N253" s="7"/>
      <c r="O253" s="7"/>
    </row>
    <row r="254" spans="6:15" x14ac:dyDescent="0.45">
      <c r="F254" s="7"/>
      <c r="H254" s="7"/>
      <c r="I254" s="25"/>
      <c r="K254" s="7"/>
      <c r="L254" s="7"/>
      <c r="N254" s="7"/>
      <c r="O254" s="7"/>
    </row>
    <row r="255" spans="6:15" x14ac:dyDescent="0.45">
      <c r="F255" s="7"/>
      <c r="H255" s="7"/>
      <c r="I255" s="25"/>
      <c r="K255" s="7"/>
      <c r="L255" s="7"/>
      <c r="N255" s="7"/>
      <c r="O255" s="7"/>
    </row>
    <row r="256" spans="6:15" x14ac:dyDescent="0.45">
      <c r="F256" s="7"/>
      <c r="H256" s="7"/>
      <c r="I256" s="25"/>
      <c r="K256" s="7"/>
      <c r="L256" s="7"/>
      <c r="N256" s="7"/>
      <c r="O256" s="7"/>
    </row>
    <row r="257" spans="6:15" x14ac:dyDescent="0.45">
      <c r="F257" s="7"/>
      <c r="H257" s="7"/>
      <c r="I257" s="25"/>
      <c r="K257" s="7"/>
      <c r="L257" s="7"/>
      <c r="N257" s="7"/>
      <c r="O257" s="7"/>
    </row>
    <row r="258" spans="6:15" x14ac:dyDescent="0.45">
      <c r="F258" s="7"/>
      <c r="H258" s="7"/>
      <c r="I258" s="25"/>
      <c r="K258" s="7"/>
      <c r="L258" s="7"/>
      <c r="N258" s="7"/>
      <c r="O258" s="7"/>
    </row>
    <row r="259" spans="6:15" x14ac:dyDescent="0.45">
      <c r="F259" s="7"/>
      <c r="H259" s="7"/>
      <c r="I259" s="25"/>
      <c r="K259" s="7"/>
      <c r="L259" s="7"/>
      <c r="N259" s="7"/>
      <c r="O259" s="7"/>
    </row>
    <row r="260" spans="6:15" x14ac:dyDescent="0.45">
      <c r="F260" s="7"/>
      <c r="H260" s="7"/>
      <c r="I260" s="25"/>
      <c r="K260" s="7"/>
      <c r="L260" s="7"/>
      <c r="N260" s="7"/>
      <c r="O260" s="7"/>
    </row>
    <row r="261" spans="6:15" x14ac:dyDescent="0.45">
      <c r="F261" s="7"/>
      <c r="H261" s="7"/>
      <c r="I261" s="25"/>
      <c r="K261" s="7"/>
      <c r="L261" s="7"/>
      <c r="N261" s="7"/>
      <c r="O261" s="7"/>
    </row>
    <row r="262" spans="6:15" x14ac:dyDescent="0.45">
      <c r="F262" s="7"/>
      <c r="H262" s="7"/>
      <c r="I262" s="25"/>
      <c r="K262" s="7"/>
      <c r="L262" s="7"/>
      <c r="N262" s="7"/>
      <c r="O262" s="7"/>
    </row>
    <row r="263" spans="6:15" x14ac:dyDescent="0.45">
      <c r="F263" s="7"/>
      <c r="H263" s="7"/>
      <c r="I263" s="25"/>
      <c r="K263" s="7"/>
      <c r="L263" s="7"/>
      <c r="N263" s="7"/>
      <c r="O263" s="7"/>
    </row>
    <row r="264" spans="6:15" x14ac:dyDescent="0.45">
      <c r="F264" s="7"/>
      <c r="H264" s="7"/>
      <c r="I264" s="25"/>
      <c r="K264" s="7"/>
      <c r="L264" s="7"/>
      <c r="N264" s="7"/>
      <c r="O264" s="7"/>
    </row>
    <row r="265" spans="6:15" x14ac:dyDescent="0.45">
      <c r="F265" s="7"/>
      <c r="H265" s="7"/>
      <c r="I265" s="25"/>
      <c r="K265" s="7"/>
      <c r="L265" s="7"/>
      <c r="N265" s="7"/>
      <c r="O265" s="7"/>
    </row>
    <row r="266" spans="6:15" x14ac:dyDescent="0.45">
      <c r="F266" s="7"/>
      <c r="H266" s="7"/>
      <c r="I266" s="25"/>
      <c r="K266" s="7"/>
      <c r="L266" s="7"/>
      <c r="N266" s="7"/>
      <c r="O266" s="7"/>
    </row>
    <row r="267" spans="6:15" x14ac:dyDescent="0.45">
      <c r="F267" s="7"/>
      <c r="H267" s="7"/>
      <c r="I267" s="25"/>
      <c r="K267" s="7"/>
      <c r="L267" s="7"/>
      <c r="N267" s="7"/>
      <c r="O267" s="7"/>
    </row>
    <row r="268" spans="6:15" x14ac:dyDescent="0.45">
      <c r="F268" s="7"/>
      <c r="H268" s="7"/>
      <c r="I268" s="25"/>
      <c r="K268" s="7"/>
      <c r="L268" s="7"/>
      <c r="N268" s="7"/>
      <c r="O268" s="7"/>
    </row>
    <row r="269" spans="6:15" x14ac:dyDescent="0.45">
      <c r="F269" s="7"/>
      <c r="H269" s="7"/>
      <c r="I269" s="25"/>
      <c r="K269" s="7"/>
      <c r="L269" s="7"/>
      <c r="N269" s="7"/>
      <c r="O269" s="7"/>
    </row>
    <row r="270" spans="6:15" x14ac:dyDescent="0.45">
      <c r="F270" s="7"/>
      <c r="H270" s="7"/>
      <c r="I270" s="25"/>
      <c r="K270" s="7"/>
      <c r="L270" s="7"/>
      <c r="N270" s="7"/>
      <c r="O270" s="7"/>
    </row>
    <row r="271" spans="6:15" x14ac:dyDescent="0.45">
      <c r="I271" s="25"/>
      <c r="K271" s="7"/>
      <c r="L271" s="7"/>
      <c r="O271" s="7"/>
    </row>
    <row r="273" spans="9:12" x14ac:dyDescent="0.45">
      <c r="I273" s="25"/>
      <c r="K273" s="3"/>
      <c r="L273" s="25"/>
    </row>
  </sheetData>
  <mergeCells count="1">
    <mergeCell ref="A4:D4"/>
  </mergeCell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9185C-AAB8-424D-9DF9-1ABF215AEB86}">
  <sheetPr>
    <tabColor theme="8"/>
  </sheetPr>
  <dimension ref="A1:O149"/>
  <sheetViews>
    <sheetView workbookViewId="0"/>
  </sheetViews>
  <sheetFormatPr defaultRowHeight="14.25" x14ac:dyDescent="0.45"/>
  <cols>
    <col min="1" max="1" width="34.796875" bestFit="1" customWidth="1"/>
    <col min="2" max="2" width="18.06640625" bestFit="1" customWidth="1"/>
    <col min="3" max="3" width="15.265625" customWidth="1"/>
    <col min="4" max="4" width="12.46484375" customWidth="1"/>
    <col min="5" max="5" width="14.06640625" customWidth="1"/>
    <col min="6" max="6" width="12.06640625" bestFit="1" customWidth="1"/>
  </cols>
  <sheetData>
    <row r="1" spans="1:12" x14ac:dyDescent="0.45">
      <c r="A1" s="1" t="s">
        <v>0</v>
      </c>
    </row>
    <row r="2" spans="1:12" ht="28.5" x14ac:dyDescent="0.45">
      <c r="A2" s="1"/>
      <c r="B2" t="s">
        <v>1</v>
      </c>
      <c r="C2">
        <v>25</v>
      </c>
      <c r="E2" s="2" t="s">
        <v>2</v>
      </c>
      <c r="F2">
        <v>94</v>
      </c>
    </row>
    <row r="3" spans="1:12" ht="14.65" thickBot="1" x14ac:dyDescent="0.5">
      <c r="H3" s="1" t="s">
        <v>3</v>
      </c>
    </row>
    <row r="4" spans="1:12" ht="71.650000000000006" thickBot="1" x14ac:dyDescent="0.5">
      <c r="A4" s="145" t="s">
        <v>93</v>
      </c>
      <c r="B4" s="146"/>
      <c r="C4" s="146"/>
      <c r="D4" s="147"/>
      <c r="E4" s="3" t="s">
        <v>5</v>
      </c>
      <c r="F4" s="3" t="s">
        <v>6</v>
      </c>
      <c r="G4" s="3"/>
      <c r="H4" s="2" t="s">
        <v>7</v>
      </c>
      <c r="I4" s="2" t="s">
        <v>8</v>
      </c>
      <c r="J4" s="2" t="s">
        <v>9</v>
      </c>
      <c r="K4" s="2" t="s">
        <v>10</v>
      </c>
      <c r="L4" s="2" t="s">
        <v>11</v>
      </c>
    </row>
    <row r="5" spans="1:12" ht="28.9" thickBot="1" x14ac:dyDescent="0.5">
      <c r="A5" s="4" t="s">
        <v>12</v>
      </c>
      <c r="B5" s="26" t="s">
        <v>13</v>
      </c>
      <c r="C5" s="5" t="s">
        <v>14</v>
      </c>
      <c r="D5" s="6" t="s">
        <v>15</v>
      </c>
      <c r="E5" s="7">
        <f>(C2/C6)^(1/3)</f>
        <v>1.0357441686512863</v>
      </c>
      <c r="F5" s="8" t="s">
        <v>16</v>
      </c>
      <c r="G5" s="7"/>
      <c r="K5" s="7">
        <f>MIN(J6:J18)</f>
        <v>0.96697887567704233</v>
      </c>
      <c r="L5" s="7">
        <f>MAX(J6:J18)</f>
        <v>1.0295118365389755</v>
      </c>
    </row>
    <row r="6" spans="1:12" ht="42.75" x14ac:dyDescent="0.45">
      <c r="A6" s="27" t="s">
        <v>94</v>
      </c>
      <c r="B6" s="28">
        <v>1</v>
      </c>
      <c r="C6" s="10">
        <v>22.5</v>
      </c>
      <c r="D6" s="11">
        <v>180</v>
      </c>
      <c r="E6" s="7">
        <f>(C6/C7)^(1/8)</f>
        <v>1.0476865112467371</v>
      </c>
      <c r="F6" s="2" t="s">
        <v>95</v>
      </c>
      <c r="G6" s="7"/>
      <c r="H6">
        <v>1</v>
      </c>
      <c r="I6" s="7">
        <f t="shared" ref="I6:I17" si="0">SUMIFS($B$25:$B$118,$C$25:$C$118,H6)</f>
        <v>175.15599826059724</v>
      </c>
      <c r="J6" s="7">
        <f>I6/D6</f>
        <v>0.97308887922554022</v>
      </c>
    </row>
    <row r="7" spans="1:12" ht="42.75" x14ac:dyDescent="0.45">
      <c r="A7" s="29" t="s">
        <v>96</v>
      </c>
      <c r="B7" s="30">
        <v>2</v>
      </c>
      <c r="C7" s="13">
        <v>15.5</v>
      </c>
      <c r="D7" s="11">
        <v>124</v>
      </c>
      <c r="E7" s="7">
        <f t="shared" ref="E7:E16" si="1">(C7/C8)^(1/8)</f>
        <v>1.0563101727666424</v>
      </c>
      <c r="F7" s="2" t="s">
        <v>97</v>
      </c>
      <c r="G7" s="7"/>
      <c r="H7">
        <v>2</v>
      </c>
      <c r="I7" s="7">
        <f t="shared" si="0"/>
        <v>120.74357820917619</v>
      </c>
      <c r="J7" s="7">
        <f t="shared" ref="J7:J18" si="2">I7/D7</f>
        <v>0.97373853394496934</v>
      </c>
    </row>
    <row r="8" spans="1:12" ht="42.75" x14ac:dyDescent="0.45">
      <c r="A8" s="29" t="s">
        <v>98</v>
      </c>
      <c r="B8" s="30">
        <v>3</v>
      </c>
      <c r="C8" s="13">
        <v>10</v>
      </c>
      <c r="D8" s="11">
        <v>80</v>
      </c>
      <c r="E8" s="7">
        <f t="shared" si="1"/>
        <v>1.0282855942978897</v>
      </c>
      <c r="F8" s="2" t="s">
        <v>22</v>
      </c>
      <c r="G8" s="7"/>
      <c r="H8">
        <v>3</v>
      </c>
      <c r="I8" s="7">
        <f t="shared" si="0"/>
        <v>80.831107972486279</v>
      </c>
      <c r="J8" s="7">
        <f t="shared" si="2"/>
        <v>1.0103888496560784</v>
      </c>
    </row>
    <row r="9" spans="1:12" ht="42.75" x14ac:dyDescent="0.45">
      <c r="A9" s="29" t="s">
        <v>99</v>
      </c>
      <c r="B9" s="30">
        <v>4</v>
      </c>
      <c r="C9" s="13">
        <v>8</v>
      </c>
      <c r="D9" s="11">
        <v>64</v>
      </c>
      <c r="E9" s="7">
        <f t="shared" si="1"/>
        <v>1.0479508450076391</v>
      </c>
      <c r="F9" s="2" t="s">
        <v>24</v>
      </c>
      <c r="G9" s="7"/>
      <c r="H9">
        <v>4</v>
      </c>
      <c r="I9" s="7">
        <f t="shared" si="0"/>
        <v>61.886648043330709</v>
      </c>
      <c r="J9" s="7">
        <f t="shared" si="2"/>
        <v>0.96697887567704233</v>
      </c>
    </row>
    <row r="10" spans="1:12" ht="42.75" x14ac:dyDescent="0.45">
      <c r="A10" s="29" t="s">
        <v>100</v>
      </c>
      <c r="B10" s="30">
        <v>5</v>
      </c>
      <c r="C10" s="13">
        <v>5.5</v>
      </c>
      <c r="D10" s="11">
        <v>44</v>
      </c>
      <c r="E10" s="7">
        <f t="shared" si="1"/>
        <v>1.040609621968775</v>
      </c>
      <c r="F10" s="2" t="s">
        <v>26</v>
      </c>
      <c r="G10" s="7"/>
      <c r="H10">
        <v>5</v>
      </c>
      <c r="I10" s="7">
        <f t="shared" si="0"/>
        <v>43.56934237395118</v>
      </c>
      <c r="J10" s="7">
        <f t="shared" si="2"/>
        <v>0.99021232668070869</v>
      </c>
    </row>
    <row r="11" spans="1:12" ht="42.75" x14ac:dyDescent="0.45">
      <c r="A11" s="29" t="s">
        <v>101</v>
      </c>
      <c r="B11" s="30">
        <v>6</v>
      </c>
      <c r="C11" s="13">
        <v>4</v>
      </c>
      <c r="D11" s="11">
        <v>32</v>
      </c>
      <c r="E11" s="7">
        <f t="shared" si="1"/>
        <v>1.0366146496280775</v>
      </c>
      <c r="F11" s="2" t="s">
        <v>28</v>
      </c>
      <c r="G11" s="7"/>
      <c r="H11">
        <v>6</v>
      </c>
      <c r="I11" s="7">
        <f t="shared" si="0"/>
        <v>31.637459127067956</v>
      </c>
      <c r="J11" s="7">
        <f t="shared" si="2"/>
        <v>0.98867059772087362</v>
      </c>
    </row>
    <row r="12" spans="1:12" ht="42.75" x14ac:dyDescent="0.45">
      <c r="A12" s="29" t="s">
        <v>102</v>
      </c>
      <c r="B12" s="30">
        <v>7</v>
      </c>
      <c r="C12" s="13">
        <v>3</v>
      </c>
      <c r="D12" s="11">
        <v>24</v>
      </c>
      <c r="E12" s="7">
        <f t="shared" si="1"/>
        <v>1.0519895055086441</v>
      </c>
      <c r="F12" s="2" t="s">
        <v>30</v>
      </c>
      <c r="G12" s="7"/>
      <c r="H12">
        <v>7</v>
      </c>
      <c r="I12" s="7">
        <f t="shared" si="0"/>
        <v>23.264171276223355</v>
      </c>
      <c r="J12" s="7">
        <f t="shared" si="2"/>
        <v>0.96934046984263977</v>
      </c>
    </row>
    <row r="13" spans="1:12" ht="42.75" x14ac:dyDescent="0.45">
      <c r="A13" s="29" t="s">
        <v>103</v>
      </c>
      <c r="B13" s="30">
        <v>8</v>
      </c>
      <c r="C13" s="13">
        <v>2</v>
      </c>
      <c r="D13" s="11">
        <v>16</v>
      </c>
      <c r="E13" s="7">
        <f t="shared" si="1"/>
        <v>1.0366146496280775</v>
      </c>
      <c r="F13" s="2" t="s">
        <v>32</v>
      </c>
      <c r="G13" s="7"/>
      <c r="H13">
        <v>8</v>
      </c>
      <c r="I13" s="7">
        <f t="shared" si="0"/>
        <v>15.963865408059469</v>
      </c>
      <c r="J13" s="7">
        <f t="shared" si="2"/>
        <v>0.99774158800371682</v>
      </c>
    </row>
    <row r="14" spans="1:12" ht="42.75" x14ac:dyDescent="0.45">
      <c r="A14" s="29" t="s">
        <v>104</v>
      </c>
      <c r="B14" s="30">
        <v>9</v>
      </c>
      <c r="C14" s="13">
        <v>1.5</v>
      </c>
      <c r="D14" s="11">
        <v>12</v>
      </c>
      <c r="E14" s="7">
        <f t="shared" si="1"/>
        <v>1.0519895055086441</v>
      </c>
      <c r="F14" s="2" t="s">
        <v>34</v>
      </c>
      <c r="G14" s="7"/>
      <c r="H14">
        <v>9</v>
      </c>
      <c r="I14" s="7">
        <f t="shared" si="0"/>
        <v>11.632085638111677</v>
      </c>
      <c r="J14" s="7">
        <f t="shared" si="2"/>
        <v>0.96934046984263977</v>
      </c>
    </row>
    <row r="15" spans="1:12" ht="42.75" x14ac:dyDescent="0.45">
      <c r="A15" s="29" t="s">
        <v>105</v>
      </c>
      <c r="B15" s="30">
        <v>10</v>
      </c>
      <c r="C15" s="14">
        <v>1</v>
      </c>
      <c r="D15" s="11">
        <v>8</v>
      </c>
      <c r="E15" s="7">
        <f t="shared" si="1"/>
        <v>1.0366146496280775</v>
      </c>
      <c r="F15" s="2" t="s">
        <v>36</v>
      </c>
      <c r="G15" s="7"/>
      <c r="H15">
        <v>10</v>
      </c>
      <c r="I15" s="7">
        <f t="shared" si="0"/>
        <v>7.9819327040297345</v>
      </c>
      <c r="J15" s="7">
        <f t="shared" si="2"/>
        <v>0.99774158800371682</v>
      </c>
    </row>
    <row r="16" spans="1:12" ht="42.75" x14ac:dyDescent="0.45">
      <c r="A16" s="29" t="s">
        <v>106</v>
      </c>
      <c r="B16" s="30">
        <v>11</v>
      </c>
      <c r="C16" s="13">
        <v>0.75</v>
      </c>
      <c r="D16" s="11">
        <v>6</v>
      </c>
      <c r="E16" s="7">
        <f t="shared" si="1"/>
        <v>1.0519895055086441</v>
      </c>
      <c r="F16" s="2" t="s">
        <v>107</v>
      </c>
      <c r="G16" s="7"/>
      <c r="H16">
        <v>11</v>
      </c>
      <c r="I16" s="7">
        <f t="shared" si="0"/>
        <v>5.8160428190558386</v>
      </c>
      <c r="J16" s="7">
        <f t="shared" si="2"/>
        <v>0.96934046984263977</v>
      </c>
    </row>
    <row r="17" spans="1:10" ht="14.65" thickBot="1" x14ac:dyDescent="0.5">
      <c r="A17" s="31" t="s">
        <v>108</v>
      </c>
      <c r="B17" s="32">
        <v>12</v>
      </c>
      <c r="C17" s="17">
        <v>0.5</v>
      </c>
      <c r="D17" s="11">
        <v>3</v>
      </c>
      <c r="H17">
        <v>12</v>
      </c>
      <c r="I17" s="7">
        <f t="shared" si="0"/>
        <v>3.0885355096169262</v>
      </c>
      <c r="J17" s="7">
        <f t="shared" si="2"/>
        <v>1.0295118365389755</v>
      </c>
    </row>
    <row r="18" spans="1:10" ht="14.65" thickBot="1" x14ac:dyDescent="0.5">
      <c r="A18" s="33" t="s">
        <v>47</v>
      </c>
      <c r="B18" s="34"/>
      <c r="C18" s="34"/>
      <c r="D18" s="33">
        <v>593</v>
      </c>
      <c r="I18" s="7">
        <f>SUM(I6:I17)</f>
        <v>581.57076734170664</v>
      </c>
      <c r="J18" s="7">
        <f t="shared" si="2"/>
        <v>0.98072642047505332</v>
      </c>
    </row>
    <row r="19" spans="1:10" x14ac:dyDescent="0.45">
      <c r="A19" s="87"/>
      <c r="B19" s="88"/>
      <c r="C19" s="88"/>
      <c r="D19" s="52"/>
      <c r="I19" s="7"/>
      <c r="J19" s="7"/>
    </row>
    <row r="20" spans="1:10" x14ac:dyDescent="0.45">
      <c r="A20" s="86" t="s">
        <v>309</v>
      </c>
    </row>
    <row r="22" spans="1:10" x14ac:dyDescent="0.45">
      <c r="A22" t="s">
        <v>205</v>
      </c>
    </row>
    <row r="24" spans="1:10" ht="28.5" x14ac:dyDescent="0.45">
      <c r="A24" s="21" t="s">
        <v>48</v>
      </c>
      <c r="B24" s="3" t="s">
        <v>117</v>
      </c>
      <c r="C24" s="1" t="s">
        <v>298</v>
      </c>
    </row>
    <row r="25" spans="1:10" x14ac:dyDescent="0.45">
      <c r="A25" s="22">
        <v>1</v>
      </c>
      <c r="B25" s="7">
        <f>$C$2/($E$5^(A25-1))</f>
        <v>25</v>
      </c>
      <c r="C25">
        <f>ROUNDUP(A25/8,0)</f>
        <v>1</v>
      </c>
    </row>
    <row r="26" spans="1:10" x14ac:dyDescent="0.45">
      <c r="A26" s="22">
        <v>2</v>
      </c>
      <c r="B26" s="7">
        <f t="shared" ref="B26:B28" si="3">$C$2/($E$5^(A26-1))</f>
        <v>24.137234615140745</v>
      </c>
      <c r="C26">
        <f t="shared" ref="C26:C89" si="4">ROUNDUP(A26/8,0)</f>
        <v>1</v>
      </c>
    </row>
    <row r="27" spans="1:10" x14ac:dyDescent="0.45">
      <c r="A27" s="22">
        <v>3</v>
      </c>
      <c r="B27" s="7">
        <f t="shared" si="3"/>
        <v>23.304243794653942</v>
      </c>
      <c r="C27">
        <f t="shared" si="4"/>
        <v>1</v>
      </c>
    </row>
    <row r="28" spans="1:10" x14ac:dyDescent="0.45">
      <c r="A28" s="22">
        <v>4</v>
      </c>
      <c r="B28" s="7">
        <f t="shared" si="3"/>
        <v>22.500000000000004</v>
      </c>
      <c r="C28">
        <f t="shared" si="4"/>
        <v>1</v>
      </c>
    </row>
    <row r="29" spans="1:10" x14ac:dyDescent="0.45">
      <c r="A29" s="22">
        <v>5</v>
      </c>
      <c r="B29" s="7">
        <f>$C$6/($E$6^(A29-4))</f>
        <v>21.475889742271487</v>
      </c>
      <c r="C29">
        <f t="shared" si="4"/>
        <v>1</v>
      </c>
    </row>
    <row r="30" spans="1:10" x14ac:dyDescent="0.45">
      <c r="A30" s="22">
        <v>6</v>
      </c>
      <c r="B30" s="7">
        <f t="shared" ref="B30:B36" si="5">$C$6/($E$6^(A30-4))</f>
        <v>20.498392898764518</v>
      </c>
      <c r="C30">
        <f t="shared" si="4"/>
        <v>1</v>
      </c>
    </row>
    <row r="31" spans="1:10" x14ac:dyDescent="0.45">
      <c r="A31" s="22">
        <v>7</v>
      </c>
      <c r="B31" s="7">
        <f t="shared" si="5"/>
        <v>19.565387812783445</v>
      </c>
      <c r="C31">
        <f t="shared" si="4"/>
        <v>1</v>
      </c>
    </row>
    <row r="32" spans="1:10" x14ac:dyDescent="0.45">
      <c r="A32" s="22">
        <v>8</v>
      </c>
      <c r="B32" s="7">
        <f t="shared" si="5"/>
        <v>18.674849396983095</v>
      </c>
      <c r="C32">
        <f t="shared" si="4"/>
        <v>1</v>
      </c>
    </row>
    <row r="33" spans="1:3" x14ac:dyDescent="0.45">
      <c r="A33" s="22">
        <v>9</v>
      </c>
      <c r="B33" s="7">
        <f t="shared" si="5"/>
        <v>17.824844737917072</v>
      </c>
      <c r="C33">
        <f t="shared" si="4"/>
        <v>2</v>
      </c>
    </row>
    <row r="34" spans="1:3" x14ac:dyDescent="0.45">
      <c r="A34" s="22">
        <v>10</v>
      </c>
      <c r="B34" s="7">
        <f t="shared" si="5"/>
        <v>17.013528900649558</v>
      </c>
      <c r="C34">
        <f t="shared" si="4"/>
        <v>2</v>
      </c>
    </row>
    <row r="35" spans="1:3" x14ac:dyDescent="0.45">
      <c r="A35" s="22">
        <v>11</v>
      </c>
      <c r="B35" s="7">
        <f t="shared" si="5"/>
        <v>16.239140924324413</v>
      </c>
      <c r="C35">
        <f t="shared" si="4"/>
        <v>2</v>
      </c>
    </row>
    <row r="36" spans="1:3" x14ac:dyDescent="0.45">
      <c r="A36" s="22">
        <v>12</v>
      </c>
      <c r="B36" s="7">
        <f t="shared" si="5"/>
        <v>15.499999999999993</v>
      </c>
      <c r="C36">
        <f t="shared" si="4"/>
        <v>2</v>
      </c>
    </row>
    <row r="37" spans="1:3" x14ac:dyDescent="0.45">
      <c r="A37" s="22">
        <v>13</v>
      </c>
      <c r="B37" s="7">
        <f>$C$7/($E$7^(A37-12))</f>
        <v>14.673720276122177</v>
      </c>
      <c r="C37">
        <f t="shared" si="4"/>
        <v>2</v>
      </c>
    </row>
    <row r="38" spans="1:3" x14ac:dyDescent="0.45">
      <c r="A38" s="22">
        <v>14</v>
      </c>
      <c r="B38" s="7">
        <f>$C$7/($E$7^(A38-12))</f>
        <v>13.891488176895425</v>
      </c>
      <c r="C38">
        <f t="shared" si="4"/>
        <v>2</v>
      </c>
    </row>
    <row r="39" spans="1:3" x14ac:dyDescent="0.45">
      <c r="A39" s="22">
        <v>15</v>
      </c>
      <c r="B39" s="7">
        <f t="shared" ref="B39:B44" si="6">$C$7/($E$7^(A39-12))</f>
        <v>13.15095559527883</v>
      </c>
      <c r="C39">
        <f t="shared" si="4"/>
        <v>2</v>
      </c>
    </row>
    <row r="40" spans="1:3" x14ac:dyDescent="0.45">
      <c r="A40" s="22">
        <v>16</v>
      </c>
      <c r="B40" s="7">
        <f t="shared" si="6"/>
        <v>12.449899597988736</v>
      </c>
      <c r="C40">
        <f t="shared" si="4"/>
        <v>2</v>
      </c>
    </row>
    <row r="41" spans="1:3" x14ac:dyDescent="0.45">
      <c r="A41" s="22">
        <v>17</v>
      </c>
      <c r="B41" s="7">
        <f t="shared" si="6"/>
        <v>11.786215752689849</v>
      </c>
      <c r="C41">
        <f t="shared" si="4"/>
        <v>3</v>
      </c>
    </row>
    <row r="42" spans="1:3" x14ac:dyDescent="0.45">
      <c r="A42" s="22">
        <v>18</v>
      </c>
      <c r="B42" s="7">
        <f t="shared" si="6"/>
        <v>11.157911810902943</v>
      </c>
      <c r="C42">
        <f t="shared" si="4"/>
        <v>3</v>
      </c>
    </row>
    <row r="43" spans="1:3" x14ac:dyDescent="0.45">
      <c r="A43" s="22">
        <v>19</v>
      </c>
      <c r="B43" s="7">
        <f t="shared" si="6"/>
        <v>10.563101727666428</v>
      </c>
      <c r="C43">
        <f t="shared" si="4"/>
        <v>3</v>
      </c>
    </row>
    <row r="44" spans="1:3" x14ac:dyDescent="0.45">
      <c r="A44" s="22">
        <v>20</v>
      </c>
      <c r="B44" s="7">
        <f t="shared" si="6"/>
        <v>10.000000000000004</v>
      </c>
      <c r="C44">
        <f t="shared" si="4"/>
        <v>3</v>
      </c>
    </row>
    <row r="45" spans="1:3" x14ac:dyDescent="0.45">
      <c r="A45" s="22">
        <v>21</v>
      </c>
      <c r="B45" s="7">
        <f>$C$8/($E$8^(A45-20))</f>
        <v>9.7249247246607293</v>
      </c>
      <c r="C45">
        <f t="shared" si="4"/>
        <v>3</v>
      </c>
    </row>
    <row r="46" spans="1:3" x14ac:dyDescent="0.45">
      <c r="A46" s="22">
        <v>22</v>
      </c>
      <c r="B46" s="7">
        <f t="shared" ref="B46:B52" si="7">$C$8/($E$8^(A46-20))</f>
        <v>9.4574160900317583</v>
      </c>
      <c r="C46">
        <f t="shared" si="4"/>
        <v>3</v>
      </c>
    </row>
    <row r="47" spans="1:3" x14ac:dyDescent="0.45">
      <c r="A47" s="22">
        <v>23</v>
      </c>
      <c r="B47" s="7">
        <f t="shared" si="7"/>
        <v>9.1972659565354054</v>
      </c>
      <c r="C47">
        <f t="shared" si="4"/>
        <v>3</v>
      </c>
    </row>
    <row r="48" spans="1:3" x14ac:dyDescent="0.45">
      <c r="A48" s="22">
        <v>24</v>
      </c>
      <c r="B48" s="7">
        <f t="shared" si="7"/>
        <v>8.944271909999161</v>
      </c>
      <c r="C48">
        <f t="shared" si="4"/>
        <v>3</v>
      </c>
    </row>
    <row r="49" spans="1:3" x14ac:dyDescent="0.45">
      <c r="A49" s="22">
        <v>25</v>
      </c>
      <c r="B49" s="7">
        <f t="shared" si="7"/>
        <v>8.6982371041639279</v>
      </c>
      <c r="C49">
        <f t="shared" si="4"/>
        <v>4</v>
      </c>
    </row>
    <row r="50" spans="1:3" x14ac:dyDescent="0.45">
      <c r="A50" s="22">
        <v>26</v>
      </c>
      <c r="B50" s="7">
        <f t="shared" si="7"/>
        <v>8.4589701075245145</v>
      </c>
      <c r="C50">
        <f t="shared" si="4"/>
        <v>4</v>
      </c>
    </row>
    <row r="51" spans="1:3" x14ac:dyDescent="0.45">
      <c r="A51" s="22">
        <v>27</v>
      </c>
      <c r="B51" s="7">
        <f t="shared" si="7"/>
        <v>8.2262847543831175</v>
      </c>
      <c r="C51">
        <f t="shared" si="4"/>
        <v>4</v>
      </c>
    </row>
    <row r="52" spans="1:3" x14ac:dyDescent="0.45">
      <c r="A52" s="22">
        <v>28</v>
      </c>
      <c r="B52" s="7">
        <f t="shared" si="7"/>
        <v>8.0000000000000036</v>
      </c>
      <c r="C52">
        <f t="shared" si="4"/>
        <v>4</v>
      </c>
    </row>
    <row r="53" spans="1:3" x14ac:dyDescent="0.45">
      <c r="A53" s="22">
        <v>29</v>
      </c>
      <c r="B53" s="7">
        <f>$C$9/($E$9^(A53-28))</f>
        <v>7.6339458459444094</v>
      </c>
      <c r="C53">
        <f t="shared" si="4"/>
        <v>4</v>
      </c>
    </row>
    <row r="54" spans="1:3" x14ac:dyDescent="0.45">
      <c r="A54" s="22">
        <v>30</v>
      </c>
      <c r="B54" s="7">
        <f t="shared" ref="B54:B60" si="8">$C$9/($E$9^(A54-28))</f>
        <v>7.2846411473514872</v>
      </c>
      <c r="C54">
        <f t="shared" si="4"/>
        <v>4</v>
      </c>
    </row>
    <row r="55" spans="1:3" x14ac:dyDescent="0.45">
      <c r="A55" s="22">
        <v>31</v>
      </c>
      <c r="B55" s="7">
        <f t="shared" si="8"/>
        <v>6.9513195032524493</v>
      </c>
      <c r="C55">
        <f t="shared" si="4"/>
        <v>4</v>
      </c>
    </row>
    <row r="56" spans="1:3" x14ac:dyDescent="0.45">
      <c r="A56" s="22">
        <v>32</v>
      </c>
      <c r="B56" s="7">
        <f t="shared" si="8"/>
        <v>6.6332495807107996</v>
      </c>
      <c r="C56">
        <f t="shared" si="4"/>
        <v>4</v>
      </c>
    </row>
    <row r="57" spans="1:3" x14ac:dyDescent="0.45">
      <c r="A57" s="22">
        <v>33</v>
      </c>
      <c r="B57" s="7">
        <f t="shared" si="8"/>
        <v>6.3297335102224634</v>
      </c>
      <c r="C57">
        <f t="shared" si="4"/>
        <v>5</v>
      </c>
    </row>
    <row r="58" spans="1:3" x14ac:dyDescent="0.45">
      <c r="A58" s="22">
        <v>34</v>
      </c>
      <c r="B58" s="7">
        <f t="shared" si="8"/>
        <v>6.0401053545372365</v>
      </c>
      <c r="C58">
        <f t="shared" si="4"/>
        <v>5</v>
      </c>
    </row>
    <row r="59" spans="1:3" x14ac:dyDescent="0.45">
      <c r="A59" s="22">
        <v>35</v>
      </c>
      <c r="B59" s="7">
        <f t="shared" si="8"/>
        <v>5.7637296475420143</v>
      </c>
      <c r="C59">
        <f t="shared" si="4"/>
        <v>5</v>
      </c>
    </row>
    <row r="60" spans="1:3" x14ac:dyDescent="0.45">
      <c r="A60" s="22">
        <v>36</v>
      </c>
      <c r="B60" s="7">
        <f t="shared" si="8"/>
        <v>5.5</v>
      </c>
      <c r="C60">
        <f t="shared" si="4"/>
        <v>5</v>
      </c>
    </row>
    <row r="61" spans="1:3" x14ac:dyDescent="0.45">
      <c r="A61" s="22">
        <v>37</v>
      </c>
      <c r="B61" s="7">
        <f>$C$10/($E$10^(A61-36))</f>
        <v>5.2853633907346627</v>
      </c>
      <c r="C61">
        <f t="shared" si="4"/>
        <v>5</v>
      </c>
    </row>
    <row r="62" spans="1:3" x14ac:dyDescent="0.45">
      <c r="A62" s="22">
        <v>38</v>
      </c>
      <c r="B62" s="7">
        <f t="shared" ref="B62:B68" si="9">$C$10/($E$10^(A62-36))</f>
        <v>5.0791029403851287</v>
      </c>
      <c r="C62">
        <f t="shared" si="4"/>
        <v>5</v>
      </c>
    </row>
    <row r="63" spans="1:3" x14ac:dyDescent="0.45">
      <c r="A63" s="22">
        <v>39</v>
      </c>
      <c r="B63" s="7">
        <f t="shared" si="9"/>
        <v>4.8808917707062429</v>
      </c>
      <c r="C63">
        <f t="shared" si="4"/>
        <v>5</v>
      </c>
    </row>
    <row r="64" spans="1:3" x14ac:dyDescent="0.45">
      <c r="A64" s="22">
        <v>40</v>
      </c>
      <c r="B64" s="7">
        <f t="shared" si="9"/>
        <v>4.6904157598234297</v>
      </c>
      <c r="C64">
        <f t="shared" si="4"/>
        <v>5</v>
      </c>
    </row>
    <row r="65" spans="1:3" x14ac:dyDescent="0.45">
      <c r="A65" s="22">
        <v>41</v>
      </c>
      <c r="B65" s="7">
        <f t="shared" si="9"/>
        <v>4.5073730444173927</v>
      </c>
      <c r="C65">
        <f t="shared" si="4"/>
        <v>6</v>
      </c>
    </row>
    <row r="66" spans="1:3" x14ac:dyDescent="0.45">
      <c r="A66" s="22">
        <v>42</v>
      </c>
      <c r="B66" s="7">
        <f t="shared" si="9"/>
        <v>4.3314735413359866</v>
      </c>
      <c r="C66">
        <f t="shared" si="4"/>
        <v>6</v>
      </c>
    </row>
    <row r="67" spans="1:3" x14ac:dyDescent="0.45">
      <c r="A67" s="22">
        <v>43</v>
      </c>
      <c r="B67" s="7">
        <f t="shared" si="9"/>
        <v>4.1624384878750993</v>
      </c>
      <c r="C67">
        <f t="shared" si="4"/>
        <v>6</v>
      </c>
    </row>
    <row r="68" spans="1:3" x14ac:dyDescent="0.45">
      <c r="A68" s="22">
        <v>44</v>
      </c>
      <c r="B68" s="7">
        <f t="shared" si="9"/>
        <v>4</v>
      </c>
      <c r="C68">
        <f t="shared" si="4"/>
        <v>6</v>
      </c>
    </row>
    <row r="69" spans="1:3" x14ac:dyDescent="0.45">
      <c r="A69" s="22">
        <v>45</v>
      </c>
      <c r="B69" s="7">
        <f>$C$11/($E$11^(A69-44))</f>
        <v>3.858714519841238</v>
      </c>
      <c r="C69">
        <f t="shared" si="4"/>
        <v>6</v>
      </c>
    </row>
    <row r="70" spans="1:3" x14ac:dyDescent="0.45">
      <c r="A70" s="22">
        <v>46</v>
      </c>
      <c r="B70" s="7">
        <f t="shared" ref="B70:B75" si="10">$C$11/($E$11^(A70-44))</f>
        <v>3.7224194364083991</v>
      </c>
      <c r="C70">
        <f t="shared" si="4"/>
        <v>6</v>
      </c>
    </row>
    <row r="71" spans="1:3" x14ac:dyDescent="0.45">
      <c r="A71" s="22">
        <v>47</v>
      </c>
      <c r="B71" s="7">
        <f t="shared" si="10"/>
        <v>3.5909384820520818</v>
      </c>
      <c r="C71">
        <f t="shared" si="4"/>
        <v>6</v>
      </c>
    </row>
    <row r="72" spans="1:3" x14ac:dyDescent="0.45">
      <c r="A72" s="22">
        <v>48</v>
      </c>
      <c r="B72" s="7">
        <f t="shared" si="10"/>
        <v>3.4641016151377553</v>
      </c>
      <c r="C72">
        <f t="shared" si="4"/>
        <v>6</v>
      </c>
    </row>
    <row r="73" spans="1:3" x14ac:dyDescent="0.45">
      <c r="A73" s="22">
        <v>49</v>
      </c>
      <c r="B73" s="7">
        <f t="shared" si="10"/>
        <v>3.3417448001343852</v>
      </c>
      <c r="C73">
        <f t="shared" si="4"/>
        <v>7</v>
      </c>
    </row>
    <row r="74" spans="1:3" x14ac:dyDescent="0.45">
      <c r="A74" s="22">
        <v>50</v>
      </c>
      <c r="B74" s="7">
        <f t="shared" si="10"/>
        <v>3.2237097954706271</v>
      </c>
      <c r="C74">
        <f t="shared" si="4"/>
        <v>7</v>
      </c>
    </row>
    <row r="75" spans="1:3" x14ac:dyDescent="0.45">
      <c r="A75" s="22">
        <v>51</v>
      </c>
      <c r="B75" s="7">
        <f t="shared" si="10"/>
        <v>3.1098439488842344</v>
      </c>
      <c r="C75">
        <f t="shared" si="4"/>
        <v>7</v>
      </c>
    </row>
    <row r="76" spans="1:3" x14ac:dyDescent="0.45">
      <c r="A76" s="22">
        <v>52</v>
      </c>
      <c r="B76" s="7">
        <f>$C$11/($E$11^(A76-44))</f>
        <v>3.0000000000000018</v>
      </c>
      <c r="C76">
        <f t="shared" si="4"/>
        <v>7</v>
      </c>
    </row>
    <row r="77" spans="1:3" x14ac:dyDescent="0.45">
      <c r="A77" s="22">
        <v>53</v>
      </c>
      <c r="B77" s="7">
        <f>$C$12/($E$12^(A77-52))</f>
        <v>2.8517394748624221</v>
      </c>
      <c r="C77">
        <f t="shared" si="4"/>
        <v>7</v>
      </c>
    </row>
    <row r="78" spans="1:3" x14ac:dyDescent="0.45">
      <c r="A78" s="22">
        <v>54</v>
      </c>
      <c r="B78" s="7">
        <f t="shared" ref="B78:B84" si="11">$C$12/($E$12^(A78-52))</f>
        <v>2.7108060108295349</v>
      </c>
      <c r="C78">
        <f t="shared" si="4"/>
        <v>7</v>
      </c>
    </row>
    <row r="79" spans="1:3" x14ac:dyDescent="0.45">
      <c r="A79" s="22">
        <v>55</v>
      </c>
      <c r="B79" s="7">
        <f t="shared" si="11"/>
        <v>2.5768375032589717</v>
      </c>
      <c r="C79">
        <f t="shared" si="4"/>
        <v>7</v>
      </c>
    </row>
    <row r="80" spans="1:3" x14ac:dyDescent="0.45">
      <c r="A80" s="22">
        <v>56</v>
      </c>
      <c r="B80" s="7">
        <f t="shared" si="11"/>
        <v>2.4494897427831788</v>
      </c>
      <c r="C80">
        <f t="shared" si="4"/>
        <v>7</v>
      </c>
    </row>
    <row r="81" spans="1:3" x14ac:dyDescent="0.45">
      <c r="A81" s="22">
        <v>57</v>
      </c>
      <c r="B81" s="7">
        <f t="shared" si="11"/>
        <v>2.3284355309217974</v>
      </c>
      <c r="C81">
        <f t="shared" si="4"/>
        <v>8</v>
      </c>
    </row>
    <row r="82" spans="1:3" x14ac:dyDescent="0.45">
      <c r="A82" s="22">
        <v>58</v>
      </c>
      <c r="B82" s="7">
        <f t="shared" si="11"/>
        <v>2.2133638394006439</v>
      </c>
      <c r="C82">
        <f t="shared" si="4"/>
        <v>8</v>
      </c>
    </row>
    <row r="83" spans="1:3" x14ac:dyDescent="0.45">
      <c r="A83" s="22">
        <v>59</v>
      </c>
      <c r="B83" s="7">
        <f t="shared" si="11"/>
        <v>2.1039790110172891</v>
      </c>
      <c r="C83">
        <f t="shared" si="4"/>
        <v>8</v>
      </c>
    </row>
    <row r="84" spans="1:3" x14ac:dyDescent="0.45">
      <c r="A84" s="22">
        <v>60</v>
      </c>
      <c r="B84" s="7">
        <f t="shared" si="11"/>
        <v>2.0000000000000013</v>
      </c>
      <c r="C84">
        <f t="shared" si="4"/>
        <v>8</v>
      </c>
    </row>
    <row r="85" spans="1:3" x14ac:dyDescent="0.45">
      <c r="A85" s="22">
        <v>61</v>
      </c>
      <c r="B85" s="7">
        <f>$C$13/($E$13^(A85-60))</f>
        <v>1.929357259920619</v>
      </c>
      <c r="C85">
        <f t="shared" si="4"/>
        <v>8</v>
      </c>
    </row>
    <row r="86" spans="1:3" x14ac:dyDescent="0.45">
      <c r="A86" s="22">
        <v>62</v>
      </c>
      <c r="B86" s="7">
        <f t="shared" ref="B86:B92" si="12">$C$13/($E$13^(A86-60))</f>
        <v>1.8612097182041996</v>
      </c>
      <c r="C86">
        <f t="shared" si="4"/>
        <v>8</v>
      </c>
    </row>
    <row r="87" spans="1:3" x14ac:dyDescent="0.45">
      <c r="A87" s="22">
        <v>63</v>
      </c>
      <c r="B87" s="7">
        <f t="shared" si="12"/>
        <v>1.7954692410260409</v>
      </c>
      <c r="C87">
        <f t="shared" si="4"/>
        <v>8</v>
      </c>
    </row>
    <row r="88" spans="1:3" x14ac:dyDescent="0.45">
      <c r="A88" s="22">
        <v>64</v>
      </c>
      <c r="B88" s="7">
        <f t="shared" si="12"/>
        <v>1.7320508075688776</v>
      </c>
      <c r="C88">
        <f t="shared" si="4"/>
        <v>8</v>
      </c>
    </row>
    <row r="89" spans="1:3" x14ac:dyDescent="0.45">
      <c r="A89" s="22">
        <v>65</v>
      </c>
      <c r="B89" s="7">
        <f t="shared" si="12"/>
        <v>1.6708724000671926</v>
      </c>
      <c r="C89">
        <f t="shared" si="4"/>
        <v>9</v>
      </c>
    </row>
    <row r="90" spans="1:3" x14ac:dyDescent="0.45">
      <c r="A90" s="22">
        <v>66</v>
      </c>
      <c r="B90" s="7">
        <f t="shared" si="12"/>
        <v>1.6118548977353135</v>
      </c>
      <c r="C90">
        <f t="shared" ref="C90:C118" si="13">ROUNDUP(A90/8,0)</f>
        <v>9</v>
      </c>
    </row>
    <row r="91" spans="1:3" x14ac:dyDescent="0.45">
      <c r="A91" s="22">
        <v>67</v>
      </c>
      <c r="B91" s="7">
        <f t="shared" si="12"/>
        <v>1.5549219744421172</v>
      </c>
      <c r="C91">
        <f t="shared" si="13"/>
        <v>9</v>
      </c>
    </row>
    <row r="92" spans="1:3" x14ac:dyDescent="0.45">
      <c r="A92" s="22">
        <v>68</v>
      </c>
      <c r="B92" s="7">
        <f t="shared" si="12"/>
        <v>1.5000000000000009</v>
      </c>
      <c r="C92">
        <f t="shared" si="13"/>
        <v>9</v>
      </c>
    </row>
    <row r="93" spans="1:3" x14ac:dyDescent="0.45">
      <c r="A93" s="22">
        <v>69</v>
      </c>
      <c r="B93" s="7">
        <f>$C$14/($E$14^(A93-68))</f>
        <v>1.425869737431211</v>
      </c>
      <c r="C93">
        <f t="shared" si="13"/>
        <v>9</v>
      </c>
    </row>
    <row r="94" spans="1:3" x14ac:dyDescent="0.45">
      <c r="A94" s="22">
        <v>70</v>
      </c>
      <c r="B94" s="7">
        <f t="shared" ref="B94:B100" si="14">$C$14/($E$14^(A94-68))</f>
        <v>1.3554030054147674</v>
      </c>
      <c r="C94">
        <f t="shared" si="13"/>
        <v>9</v>
      </c>
    </row>
    <row r="95" spans="1:3" x14ac:dyDescent="0.45">
      <c r="A95" s="22">
        <v>71</v>
      </c>
      <c r="B95" s="7">
        <f t="shared" si="14"/>
        <v>1.2884187516294858</v>
      </c>
      <c r="C95">
        <f t="shared" si="13"/>
        <v>9</v>
      </c>
    </row>
    <row r="96" spans="1:3" x14ac:dyDescent="0.45">
      <c r="A96" s="22">
        <v>72</v>
      </c>
      <c r="B96" s="7">
        <f t="shared" si="14"/>
        <v>1.2247448713915894</v>
      </c>
      <c r="C96">
        <f t="shared" si="13"/>
        <v>9</v>
      </c>
    </row>
    <row r="97" spans="1:3" x14ac:dyDescent="0.45">
      <c r="A97" s="22">
        <v>73</v>
      </c>
      <c r="B97" s="7">
        <f t="shared" si="14"/>
        <v>1.1642177654608987</v>
      </c>
      <c r="C97">
        <f t="shared" si="13"/>
        <v>10</v>
      </c>
    </row>
    <row r="98" spans="1:3" x14ac:dyDescent="0.45">
      <c r="A98" s="22">
        <v>74</v>
      </c>
      <c r="B98" s="7">
        <f t="shared" si="14"/>
        <v>1.1066819197003219</v>
      </c>
      <c r="C98">
        <f t="shared" si="13"/>
        <v>10</v>
      </c>
    </row>
    <row r="99" spans="1:3" x14ac:dyDescent="0.45">
      <c r="A99" s="22">
        <v>75</v>
      </c>
      <c r="B99" s="7">
        <f t="shared" si="14"/>
        <v>1.0519895055086446</v>
      </c>
      <c r="C99">
        <f t="shared" si="13"/>
        <v>10</v>
      </c>
    </row>
    <row r="100" spans="1:3" x14ac:dyDescent="0.45">
      <c r="A100" s="22">
        <v>76</v>
      </c>
      <c r="B100" s="7">
        <f t="shared" si="14"/>
        <v>1.0000000000000007</v>
      </c>
      <c r="C100">
        <f t="shared" si="13"/>
        <v>10</v>
      </c>
    </row>
    <row r="101" spans="1:3" x14ac:dyDescent="0.45">
      <c r="A101" s="22">
        <v>77</v>
      </c>
      <c r="B101" s="7">
        <f>$C$15/($E$15^(A101-76))</f>
        <v>0.96467862996030951</v>
      </c>
      <c r="C101">
        <f t="shared" si="13"/>
        <v>10</v>
      </c>
    </row>
    <row r="102" spans="1:3" x14ac:dyDescent="0.45">
      <c r="A102" s="22">
        <v>78</v>
      </c>
      <c r="B102" s="7">
        <f t="shared" ref="B102:B108" si="15">$C$15/($E$15^(A102-76))</f>
        <v>0.93060485910209978</v>
      </c>
      <c r="C102">
        <f t="shared" si="13"/>
        <v>10</v>
      </c>
    </row>
    <row r="103" spans="1:3" x14ac:dyDescent="0.45">
      <c r="A103" s="22">
        <v>79</v>
      </c>
      <c r="B103" s="7">
        <f t="shared" si="15"/>
        <v>0.89773462051302044</v>
      </c>
      <c r="C103">
        <f t="shared" si="13"/>
        <v>10</v>
      </c>
    </row>
    <row r="104" spans="1:3" x14ac:dyDescent="0.45">
      <c r="A104" s="22">
        <v>80</v>
      </c>
      <c r="B104" s="7">
        <f t="shared" si="15"/>
        <v>0.86602540378443882</v>
      </c>
      <c r="C104">
        <f t="shared" si="13"/>
        <v>10</v>
      </c>
    </row>
    <row r="105" spans="1:3" x14ac:dyDescent="0.45">
      <c r="A105" s="22">
        <v>81</v>
      </c>
      <c r="B105" s="7">
        <f t="shared" si="15"/>
        <v>0.83543620003359631</v>
      </c>
      <c r="C105">
        <f t="shared" si="13"/>
        <v>11</v>
      </c>
    </row>
    <row r="106" spans="1:3" x14ac:dyDescent="0.45">
      <c r="A106" s="22">
        <v>82</v>
      </c>
      <c r="B106" s="7">
        <f t="shared" si="15"/>
        <v>0.80592744886765677</v>
      </c>
      <c r="C106">
        <f t="shared" si="13"/>
        <v>11</v>
      </c>
    </row>
    <row r="107" spans="1:3" x14ac:dyDescent="0.45">
      <c r="A107" s="22">
        <v>83</v>
      </c>
      <c r="B107" s="7">
        <f t="shared" si="15"/>
        <v>0.77746098722105861</v>
      </c>
      <c r="C107">
        <f t="shared" si="13"/>
        <v>11</v>
      </c>
    </row>
    <row r="108" spans="1:3" x14ac:dyDescent="0.45">
      <c r="A108" s="22">
        <v>84</v>
      </c>
      <c r="B108" s="7">
        <f t="shared" si="15"/>
        <v>0.75000000000000044</v>
      </c>
      <c r="C108">
        <f t="shared" si="13"/>
        <v>11</v>
      </c>
    </row>
    <row r="109" spans="1:3" x14ac:dyDescent="0.45">
      <c r="A109" s="22">
        <v>85</v>
      </c>
      <c r="B109" s="7">
        <f>$C$16/($E$16^(A109-84))</f>
        <v>0.71293486871560552</v>
      </c>
      <c r="C109">
        <f t="shared" si="13"/>
        <v>11</v>
      </c>
    </row>
    <row r="110" spans="1:3" x14ac:dyDescent="0.45">
      <c r="A110" s="22">
        <v>86</v>
      </c>
      <c r="B110" s="7">
        <f t="shared" ref="B110:B118" si="16">$C$16/($E$16^(A110-84))</f>
        <v>0.67770150270738372</v>
      </c>
      <c r="C110">
        <f t="shared" si="13"/>
        <v>11</v>
      </c>
    </row>
    <row r="111" spans="1:3" x14ac:dyDescent="0.45">
      <c r="A111" s="22">
        <v>87</v>
      </c>
      <c r="B111" s="7">
        <f t="shared" si="16"/>
        <v>0.64420937581474291</v>
      </c>
      <c r="C111">
        <f t="shared" si="13"/>
        <v>11</v>
      </c>
    </row>
    <row r="112" spans="1:3" x14ac:dyDescent="0.45">
      <c r="A112" s="22">
        <v>88</v>
      </c>
      <c r="B112" s="7">
        <f t="shared" si="16"/>
        <v>0.61237243569579469</v>
      </c>
      <c r="C112">
        <f t="shared" si="13"/>
        <v>11</v>
      </c>
    </row>
    <row r="113" spans="1:15" x14ac:dyDescent="0.45">
      <c r="A113" s="22">
        <v>89</v>
      </c>
      <c r="B113" s="7">
        <f t="shared" si="16"/>
        <v>0.58210888273044936</v>
      </c>
      <c r="C113">
        <f t="shared" si="13"/>
        <v>12</v>
      </c>
    </row>
    <row r="114" spans="1:15" x14ac:dyDescent="0.45">
      <c r="A114" s="22">
        <v>90</v>
      </c>
      <c r="B114" s="7">
        <f t="shared" si="16"/>
        <v>0.55334095985016096</v>
      </c>
      <c r="C114">
        <f t="shared" si="13"/>
        <v>12</v>
      </c>
    </row>
    <row r="115" spans="1:15" x14ac:dyDescent="0.45">
      <c r="A115" s="22">
        <v>91</v>
      </c>
      <c r="B115" s="7">
        <f t="shared" si="16"/>
        <v>0.52599475275432228</v>
      </c>
      <c r="C115">
        <f t="shared" si="13"/>
        <v>12</v>
      </c>
    </row>
    <row r="116" spans="1:15" x14ac:dyDescent="0.45">
      <c r="A116" s="22">
        <v>92</v>
      </c>
      <c r="B116" s="7">
        <f t="shared" si="16"/>
        <v>0.50000000000000033</v>
      </c>
      <c r="C116">
        <f t="shared" si="13"/>
        <v>12</v>
      </c>
    </row>
    <row r="117" spans="1:15" x14ac:dyDescent="0.45">
      <c r="A117" s="22">
        <v>93</v>
      </c>
      <c r="B117" s="7">
        <f t="shared" si="16"/>
        <v>0.47528991247707064</v>
      </c>
      <c r="C117">
        <f t="shared" si="13"/>
        <v>12</v>
      </c>
    </row>
    <row r="118" spans="1:15" x14ac:dyDescent="0.45">
      <c r="A118" s="22">
        <v>94</v>
      </c>
      <c r="B118" s="7">
        <f t="shared" si="16"/>
        <v>0.45180100180492272</v>
      </c>
      <c r="C118">
        <f t="shared" si="13"/>
        <v>12</v>
      </c>
    </row>
    <row r="120" spans="1:15" ht="13.9" customHeight="1" x14ac:dyDescent="0.45"/>
    <row r="121" spans="1:15" x14ac:dyDescent="0.45">
      <c r="F121" s="7"/>
      <c r="H121" s="7"/>
      <c r="I121" s="25"/>
      <c r="K121" s="7"/>
      <c r="L121" s="7"/>
      <c r="N121" s="7"/>
      <c r="O121" s="7"/>
    </row>
    <row r="122" spans="1:15" x14ac:dyDescent="0.45">
      <c r="F122" s="7"/>
      <c r="H122" s="7"/>
      <c r="I122" s="25"/>
      <c r="K122" s="7"/>
      <c r="L122" s="7"/>
      <c r="N122" s="7"/>
      <c r="O122" s="7"/>
    </row>
    <row r="123" spans="1:15" x14ac:dyDescent="0.45">
      <c r="F123" s="7"/>
      <c r="H123" s="7"/>
      <c r="I123" s="25"/>
      <c r="K123" s="7"/>
      <c r="L123" s="7"/>
      <c r="N123" s="7"/>
      <c r="O123" s="7"/>
    </row>
    <row r="124" spans="1:15" x14ac:dyDescent="0.45">
      <c r="F124" s="7"/>
      <c r="H124" s="7"/>
      <c r="I124" s="25"/>
      <c r="K124" s="7"/>
      <c r="L124" s="7"/>
      <c r="N124" s="7"/>
      <c r="O124" s="7"/>
    </row>
    <row r="125" spans="1:15" x14ac:dyDescent="0.45">
      <c r="F125" s="7"/>
      <c r="H125" s="7"/>
      <c r="I125" s="25"/>
      <c r="K125" s="7"/>
      <c r="L125" s="7"/>
      <c r="N125" s="7"/>
      <c r="O125" s="7"/>
    </row>
    <row r="126" spans="1:15" x14ac:dyDescent="0.45">
      <c r="F126" s="7"/>
      <c r="H126" s="7"/>
      <c r="I126" s="25"/>
      <c r="K126" s="7"/>
      <c r="L126" s="7"/>
      <c r="N126" s="7"/>
      <c r="O126" s="7"/>
    </row>
    <row r="127" spans="1:15" x14ac:dyDescent="0.45">
      <c r="F127" s="7"/>
      <c r="H127" s="7"/>
      <c r="I127" s="25"/>
      <c r="K127" s="7"/>
      <c r="L127" s="7"/>
      <c r="N127" s="7"/>
      <c r="O127" s="7"/>
    </row>
    <row r="128" spans="1:15" x14ac:dyDescent="0.45">
      <c r="F128" s="7"/>
      <c r="H128" s="7"/>
      <c r="I128" s="25"/>
      <c r="K128" s="7"/>
      <c r="L128" s="7"/>
      <c r="N128" s="7"/>
      <c r="O128" s="7"/>
    </row>
    <row r="129" spans="6:15" x14ac:dyDescent="0.45">
      <c r="F129" s="7"/>
      <c r="H129" s="7"/>
      <c r="I129" s="25"/>
      <c r="K129" s="7"/>
      <c r="L129" s="7"/>
      <c r="N129" s="7"/>
      <c r="O129" s="7"/>
    </row>
    <row r="130" spans="6:15" x14ac:dyDescent="0.45">
      <c r="F130" s="7"/>
      <c r="H130" s="7"/>
      <c r="I130" s="25"/>
      <c r="K130" s="7"/>
      <c r="L130" s="7"/>
      <c r="N130" s="7"/>
      <c r="O130" s="7"/>
    </row>
    <row r="131" spans="6:15" x14ac:dyDescent="0.45">
      <c r="F131" s="7"/>
      <c r="H131" s="7"/>
      <c r="I131" s="25"/>
      <c r="K131" s="7"/>
      <c r="L131" s="7"/>
      <c r="N131" s="7"/>
      <c r="O131" s="7"/>
    </row>
    <row r="132" spans="6:15" x14ac:dyDescent="0.45">
      <c r="F132" s="7"/>
      <c r="H132" s="7"/>
      <c r="I132" s="25"/>
      <c r="K132" s="7"/>
      <c r="L132" s="7"/>
      <c r="N132" s="7"/>
      <c r="O132" s="7"/>
    </row>
    <row r="133" spans="6:15" x14ac:dyDescent="0.45">
      <c r="F133" s="7"/>
      <c r="H133" s="7"/>
      <c r="I133" s="25"/>
      <c r="K133" s="7"/>
      <c r="L133" s="7"/>
      <c r="N133" s="7"/>
      <c r="O133" s="7"/>
    </row>
    <row r="134" spans="6:15" x14ac:dyDescent="0.45">
      <c r="F134" s="7"/>
      <c r="H134" s="7"/>
      <c r="I134" s="25"/>
      <c r="K134" s="7"/>
      <c r="L134" s="7"/>
      <c r="N134" s="7"/>
      <c r="O134" s="7"/>
    </row>
    <row r="135" spans="6:15" x14ac:dyDescent="0.45">
      <c r="F135" s="7"/>
      <c r="H135" s="7"/>
      <c r="I135" s="25"/>
      <c r="K135" s="7"/>
      <c r="L135" s="7"/>
      <c r="N135" s="7"/>
      <c r="O135" s="7"/>
    </row>
    <row r="136" spans="6:15" x14ac:dyDescent="0.45">
      <c r="F136" s="7"/>
      <c r="H136" s="7"/>
      <c r="I136" s="25"/>
      <c r="K136" s="7"/>
      <c r="L136" s="7"/>
      <c r="N136" s="7"/>
      <c r="O136" s="7"/>
    </row>
    <row r="137" spans="6:15" x14ac:dyDescent="0.45">
      <c r="F137" s="7"/>
      <c r="H137" s="7"/>
      <c r="I137" s="25"/>
      <c r="K137" s="7"/>
      <c r="L137" s="7"/>
      <c r="N137" s="7"/>
      <c r="O137" s="7"/>
    </row>
    <row r="138" spans="6:15" x14ac:dyDescent="0.45">
      <c r="F138" s="7"/>
      <c r="H138" s="7"/>
      <c r="I138" s="25"/>
      <c r="K138" s="7"/>
      <c r="L138" s="7"/>
      <c r="N138" s="7"/>
      <c r="O138" s="7"/>
    </row>
    <row r="139" spans="6:15" x14ac:dyDescent="0.45">
      <c r="F139" s="7"/>
      <c r="H139" s="7"/>
      <c r="I139" s="25"/>
      <c r="K139" s="7"/>
      <c r="L139" s="7"/>
      <c r="N139" s="7"/>
      <c r="O139" s="7"/>
    </row>
    <row r="140" spans="6:15" x14ac:dyDescent="0.45">
      <c r="F140" s="7"/>
      <c r="H140" s="7"/>
      <c r="I140" s="25"/>
      <c r="K140" s="7"/>
      <c r="L140" s="7"/>
      <c r="N140" s="7"/>
      <c r="O140" s="7"/>
    </row>
    <row r="141" spans="6:15" x14ac:dyDescent="0.45">
      <c r="F141" s="7"/>
      <c r="H141" s="7"/>
      <c r="I141" s="25"/>
      <c r="K141" s="7"/>
      <c r="L141" s="7"/>
      <c r="N141" s="7"/>
      <c r="O141" s="7"/>
    </row>
    <row r="142" spans="6:15" x14ac:dyDescent="0.45">
      <c r="F142" s="7"/>
      <c r="H142" s="7"/>
      <c r="I142" s="25"/>
      <c r="K142" s="7"/>
      <c r="L142" s="7"/>
      <c r="N142" s="7"/>
      <c r="O142" s="7"/>
    </row>
    <row r="143" spans="6:15" x14ac:dyDescent="0.45">
      <c r="F143" s="7"/>
      <c r="H143" s="7"/>
      <c r="I143" s="25"/>
      <c r="K143" s="7"/>
      <c r="L143" s="7"/>
      <c r="N143" s="7"/>
      <c r="O143" s="7"/>
    </row>
    <row r="144" spans="6:15" x14ac:dyDescent="0.45">
      <c r="F144" s="7"/>
      <c r="H144" s="7"/>
      <c r="I144" s="25"/>
      <c r="K144" s="7"/>
      <c r="L144" s="7"/>
      <c r="N144" s="7"/>
      <c r="O144" s="7"/>
    </row>
    <row r="145" spans="1:15" x14ac:dyDescent="0.45">
      <c r="F145" s="7"/>
      <c r="H145" s="7"/>
      <c r="I145" s="25"/>
      <c r="K145" s="7"/>
      <c r="L145" s="7"/>
      <c r="N145" s="7"/>
      <c r="O145" s="7"/>
    </row>
    <row r="146" spans="1:15" x14ac:dyDescent="0.45">
      <c r="F146" s="7"/>
      <c r="H146" s="7"/>
      <c r="I146" s="25"/>
      <c r="K146" s="7"/>
      <c r="L146" s="7"/>
      <c r="N146" s="7"/>
      <c r="O146" s="7"/>
    </row>
    <row r="147" spans="1:15" x14ac:dyDescent="0.45">
      <c r="F147" s="7"/>
      <c r="H147" s="7"/>
      <c r="I147" s="25"/>
      <c r="K147" s="7"/>
      <c r="L147" s="7"/>
      <c r="N147" s="7"/>
      <c r="O147" s="7"/>
    </row>
    <row r="148" spans="1:15" x14ac:dyDescent="0.45">
      <c r="A148" s="2"/>
      <c r="I148" s="25"/>
      <c r="L148" s="7"/>
      <c r="O148" s="7"/>
    </row>
    <row r="149" spans="1:15" x14ac:dyDescent="0.45">
      <c r="I149" s="37"/>
      <c r="L149" s="37"/>
      <c r="O149" s="37"/>
    </row>
  </sheetData>
  <mergeCells count="1">
    <mergeCell ref="A4:D4"/>
  </mergeCell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9D76A-90B9-4C66-B82F-37DD2DAE2B71}">
  <sheetPr>
    <tabColor theme="8"/>
  </sheetPr>
  <dimension ref="A2:M72"/>
  <sheetViews>
    <sheetView workbookViewId="0"/>
  </sheetViews>
  <sheetFormatPr defaultRowHeight="14.25" x14ac:dyDescent="0.45"/>
  <cols>
    <col min="2" max="2" width="10.796875" bestFit="1" customWidth="1"/>
    <col min="3" max="3" width="26.06640625" bestFit="1" customWidth="1"/>
    <col min="7" max="7" width="10.796875" bestFit="1" customWidth="1"/>
    <col min="8" max="8" width="26.06640625" bestFit="1" customWidth="1"/>
    <col min="12" max="12" width="10.796875" bestFit="1" customWidth="1"/>
    <col min="13" max="13" width="26.06640625" bestFit="1" customWidth="1"/>
  </cols>
  <sheetData>
    <row r="2" spans="1:13" x14ac:dyDescent="0.45">
      <c r="A2" t="s">
        <v>243</v>
      </c>
      <c r="H2" s="38"/>
      <c r="I2" s="38"/>
      <c r="M2" s="38"/>
    </row>
    <row r="3" spans="1:13" x14ac:dyDescent="0.45">
      <c r="A3" t="s">
        <v>299</v>
      </c>
      <c r="G3" s="38"/>
      <c r="H3" s="38"/>
    </row>
    <row r="4" spans="1:13" x14ac:dyDescent="0.45">
      <c r="G4" s="38"/>
      <c r="H4" s="38"/>
    </row>
    <row r="5" spans="1:13" x14ac:dyDescent="0.45">
      <c r="A5" t="s">
        <v>122</v>
      </c>
      <c r="D5" t="s">
        <v>221</v>
      </c>
      <c r="F5" t="s">
        <v>288</v>
      </c>
      <c r="K5" t="s">
        <v>294</v>
      </c>
    </row>
    <row r="7" spans="1:13" x14ac:dyDescent="0.45">
      <c r="A7" t="s">
        <v>121</v>
      </c>
      <c r="B7" t="s">
        <v>123</v>
      </c>
      <c r="C7" t="s">
        <v>50</v>
      </c>
      <c r="F7" t="s">
        <v>121</v>
      </c>
      <c r="G7" t="s">
        <v>123</v>
      </c>
      <c r="H7" t="s">
        <v>50</v>
      </c>
      <c r="K7" t="s">
        <v>121</v>
      </c>
      <c r="L7" t="s">
        <v>123</v>
      </c>
      <c r="M7" t="s">
        <v>50</v>
      </c>
    </row>
    <row r="8" spans="1:13" x14ac:dyDescent="0.45">
      <c r="A8">
        <v>100</v>
      </c>
      <c r="B8">
        <v>0</v>
      </c>
      <c r="C8" t="s">
        <v>124</v>
      </c>
      <c r="F8">
        <v>100</v>
      </c>
      <c r="G8">
        <v>0</v>
      </c>
      <c r="H8" t="s">
        <v>124</v>
      </c>
      <c r="K8">
        <v>100</v>
      </c>
      <c r="L8">
        <v>0</v>
      </c>
      <c r="M8" t="s">
        <v>124</v>
      </c>
    </row>
    <row r="9" spans="1:13" x14ac:dyDescent="0.45">
      <c r="A9">
        <v>101</v>
      </c>
      <c r="B9">
        <v>1</v>
      </c>
      <c r="C9" t="s">
        <v>125</v>
      </c>
      <c r="F9">
        <v>101</v>
      </c>
      <c r="G9">
        <v>1</v>
      </c>
      <c r="H9" t="s">
        <v>125</v>
      </c>
      <c r="K9">
        <v>101</v>
      </c>
      <c r="L9">
        <v>1</v>
      </c>
      <c r="M9" t="s">
        <v>125</v>
      </c>
    </row>
    <row r="10" spans="1:13" x14ac:dyDescent="0.45">
      <c r="A10">
        <v>102</v>
      </c>
      <c r="B10">
        <v>2</v>
      </c>
      <c r="C10" t="s">
        <v>90</v>
      </c>
      <c r="F10">
        <v>102</v>
      </c>
      <c r="G10">
        <v>2</v>
      </c>
      <c r="H10" t="s">
        <v>90</v>
      </c>
      <c r="K10">
        <v>102</v>
      </c>
      <c r="L10">
        <v>2</v>
      </c>
      <c r="M10" t="s">
        <v>90</v>
      </c>
    </row>
    <row r="11" spans="1:13" x14ac:dyDescent="0.45">
      <c r="A11">
        <v>103</v>
      </c>
      <c r="B11">
        <v>3</v>
      </c>
      <c r="C11" t="s">
        <v>126</v>
      </c>
      <c r="F11">
        <v>103</v>
      </c>
      <c r="G11">
        <v>3</v>
      </c>
      <c r="H11" t="s">
        <v>126</v>
      </c>
      <c r="K11">
        <v>103</v>
      </c>
      <c r="L11">
        <v>3</v>
      </c>
      <c r="M11" t="s">
        <v>126</v>
      </c>
    </row>
    <row r="12" spans="1:13" x14ac:dyDescent="0.45">
      <c r="A12">
        <v>104</v>
      </c>
      <c r="B12">
        <v>4</v>
      </c>
      <c r="C12" t="s">
        <v>118</v>
      </c>
      <c r="F12">
        <v>104</v>
      </c>
      <c r="G12">
        <v>4</v>
      </c>
      <c r="H12" t="s">
        <v>118</v>
      </c>
      <c r="K12">
        <v>104</v>
      </c>
      <c r="L12">
        <v>4</v>
      </c>
      <c r="M12" t="s">
        <v>118</v>
      </c>
    </row>
    <row r="13" spans="1:13" x14ac:dyDescent="0.45">
      <c r="A13">
        <v>105</v>
      </c>
      <c r="B13">
        <v>5</v>
      </c>
      <c r="C13" t="s">
        <v>82</v>
      </c>
      <c r="F13">
        <v>105</v>
      </c>
      <c r="G13">
        <v>5</v>
      </c>
      <c r="H13" t="s">
        <v>82</v>
      </c>
      <c r="K13">
        <v>105</v>
      </c>
      <c r="L13">
        <v>5</v>
      </c>
      <c r="M13" t="s">
        <v>82</v>
      </c>
    </row>
    <row r="14" spans="1:13" x14ac:dyDescent="0.45">
      <c r="A14">
        <v>106</v>
      </c>
      <c r="B14">
        <v>6</v>
      </c>
      <c r="C14" t="s">
        <v>119</v>
      </c>
      <c r="F14">
        <v>106</v>
      </c>
      <c r="G14">
        <v>6</v>
      </c>
      <c r="H14" t="s">
        <v>119</v>
      </c>
      <c r="K14">
        <v>106</v>
      </c>
      <c r="L14">
        <v>6</v>
      </c>
      <c r="M14" t="s">
        <v>119</v>
      </c>
    </row>
    <row r="15" spans="1:13" x14ac:dyDescent="0.45">
      <c r="A15">
        <v>107</v>
      </c>
      <c r="B15">
        <v>7</v>
      </c>
      <c r="C15" t="s">
        <v>91</v>
      </c>
      <c r="F15">
        <v>107</v>
      </c>
      <c r="G15">
        <v>7</v>
      </c>
      <c r="H15" t="s">
        <v>91</v>
      </c>
      <c r="K15">
        <v>107</v>
      </c>
      <c r="L15">
        <v>7</v>
      </c>
      <c r="M15" t="s">
        <v>91</v>
      </c>
    </row>
    <row r="16" spans="1:13" x14ac:dyDescent="0.45">
      <c r="A16">
        <v>108</v>
      </c>
      <c r="B16">
        <v>8</v>
      </c>
      <c r="C16" t="s">
        <v>127</v>
      </c>
      <c r="F16">
        <v>108</v>
      </c>
      <c r="G16">
        <v>8</v>
      </c>
      <c r="H16" t="s">
        <v>127</v>
      </c>
      <c r="K16">
        <v>108</v>
      </c>
      <c r="L16">
        <v>8</v>
      </c>
      <c r="M16" t="s">
        <v>127</v>
      </c>
    </row>
    <row r="17" spans="1:13" x14ac:dyDescent="0.45">
      <c r="A17">
        <v>109</v>
      </c>
      <c r="B17">
        <v>9</v>
      </c>
      <c r="C17" t="s">
        <v>53</v>
      </c>
      <c r="F17">
        <v>109</v>
      </c>
      <c r="G17">
        <v>9</v>
      </c>
      <c r="H17" t="s">
        <v>53</v>
      </c>
      <c r="K17">
        <v>109</v>
      </c>
      <c r="L17">
        <v>9</v>
      </c>
      <c r="M17" t="s">
        <v>53</v>
      </c>
    </row>
    <row r="18" spans="1:13" x14ac:dyDescent="0.45">
      <c r="A18">
        <v>110</v>
      </c>
      <c r="B18">
        <v>10</v>
      </c>
      <c r="C18" t="s">
        <v>54</v>
      </c>
      <c r="F18">
        <v>110</v>
      </c>
      <c r="G18">
        <v>10</v>
      </c>
      <c r="H18" t="s">
        <v>54</v>
      </c>
      <c r="K18">
        <v>110</v>
      </c>
      <c r="L18">
        <v>10</v>
      </c>
      <c r="M18" t="s">
        <v>54</v>
      </c>
    </row>
    <row r="19" spans="1:13" x14ac:dyDescent="0.45">
      <c r="A19">
        <v>111</v>
      </c>
      <c r="B19">
        <v>11</v>
      </c>
      <c r="C19" t="s">
        <v>128</v>
      </c>
      <c r="F19">
        <v>111</v>
      </c>
      <c r="G19">
        <v>11</v>
      </c>
      <c r="H19" t="s">
        <v>128</v>
      </c>
      <c r="K19">
        <v>111</v>
      </c>
      <c r="L19">
        <v>11</v>
      </c>
      <c r="M19" t="s">
        <v>128</v>
      </c>
    </row>
    <row r="20" spans="1:13" x14ac:dyDescent="0.45">
      <c r="A20">
        <v>112</v>
      </c>
      <c r="B20">
        <v>12</v>
      </c>
      <c r="C20" t="s">
        <v>129</v>
      </c>
      <c r="F20">
        <v>112</v>
      </c>
      <c r="G20">
        <v>12</v>
      </c>
      <c r="H20" t="s">
        <v>129</v>
      </c>
      <c r="K20">
        <v>112</v>
      </c>
      <c r="L20">
        <v>12</v>
      </c>
      <c r="M20" t="s">
        <v>129</v>
      </c>
    </row>
    <row r="21" spans="1:13" x14ac:dyDescent="0.45">
      <c r="A21">
        <v>113</v>
      </c>
      <c r="B21">
        <v>13</v>
      </c>
      <c r="C21" t="s">
        <v>130</v>
      </c>
      <c r="F21">
        <v>113</v>
      </c>
      <c r="G21">
        <v>13</v>
      </c>
      <c r="H21" t="s">
        <v>130</v>
      </c>
      <c r="K21">
        <v>113</v>
      </c>
      <c r="L21">
        <v>13</v>
      </c>
      <c r="M21" t="s">
        <v>130</v>
      </c>
    </row>
    <row r="22" spans="1:13" x14ac:dyDescent="0.45">
      <c r="A22">
        <v>114</v>
      </c>
      <c r="B22">
        <v>14</v>
      </c>
      <c r="C22" t="s">
        <v>56</v>
      </c>
      <c r="F22">
        <v>114</v>
      </c>
      <c r="G22">
        <v>14</v>
      </c>
      <c r="H22" t="s">
        <v>56</v>
      </c>
      <c r="K22">
        <v>114</v>
      </c>
      <c r="L22">
        <v>14</v>
      </c>
      <c r="M22" t="s">
        <v>56</v>
      </c>
    </row>
    <row r="23" spans="1:13" x14ac:dyDescent="0.45">
      <c r="A23">
        <v>115</v>
      </c>
      <c r="B23">
        <v>15</v>
      </c>
      <c r="C23" t="s">
        <v>57</v>
      </c>
      <c r="F23">
        <v>115</v>
      </c>
      <c r="G23">
        <v>15</v>
      </c>
      <c r="H23" t="s">
        <v>57</v>
      </c>
      <c r="K23">
        <v>115</v>
      </c>
      <c r="L23">
        <v>15</v>
      </c>
      <c r="M23" t="s">
        <v>57</v>
      </c>
    </row>
    <row r="24" spans="1:13" x14ac:dyDescent="0.45">
      <c r="A24">
        <v>116</v>
      </c>
      <c r="B24">
        <v>16</v>
      </c>
      <c r="C24" t="s">
        <v>58</v>
      </c>
      <c r="F24">
        <v>116</v>
      </c>
      <c r="G24">
        <v>16</v>
      </c>
      <c r="H24" t="s">
        <v>58</v>
      </c>
      <c r="K24">
        <v>116</v>
      </c>
      <c r="L24">
        <v>16</v>
      </c>
      <c r="M24" t="s">
        <v>58</v>
      </c>
    </row>
    <row r="25" spans="1:13" x14ac:dyDescent="0.45">
      <c r="A25">
        <v>117</v>
      </c>
      <c r="B25">
        <v>17</v>
      </c>
      <c r="C25" t="s">
        <v>59</v>
      </c>
      <c r="F25">
        <v>117</v>
      </c>
      <c r="G25">
        <v>17</v>
      </c>
      <c r="H25" t="s">
        <v>59</v>
      </c>
      <c r="K25">
        <v>117</v>
      </c>
      <c r="L25">
        <v>17</v>
      </c>
      <c r="M25" t="s">
        <v>59</v>
      </c>
    </row>
    <row r="26" spans="1:13" x14ac:dyDescent="0.45">
      <c r="A26">
        <v>118</v>
      </c>
      <c r="B26">
        <v>18</v>
      </c>
      <c r="C26" t="s">
        <v>60</v>
      </c>
      <c r="F26">
        <v>118</v>
      </c>
      <c r="G26">
        <v>18</v>
      </c>
      <c r="H26" t="s">
        <v>60</v>
      </c>
      <c r="K26">
        <v>118</v>
      </c>
      <c r="L26">
        <v>18</v>
      </c>
      <c r="M26" t="s">
        <v>60</v>
      </c>
    </row>
    <row r="27" spans="1:13" x14ac:dyDescent="0.45">
      <c r="A27">
        <v>119</v>
      </c>
      <c r="B27">
        <v>19</v>
      </c>
      <c r="C27" t="s">
        <v>61</v>
      </c>
      <c r="F27">
        <v>119</v>
      </c>
      <c r="G27">
        <v>19</v>
      </c>
      <c r="H27" t="s">
        <v>61</v>
      </c>
      <c r="K27">
        <v>119</v>
      </c>
      <c r="L27">
        <v>19</v>
      </c>
      <c r="M27" t="s">
        <v>61</v>
      </c>
    </row>
    <row r="28" spans="1:13" x14ac:dyDescent="0.45">
      <c r="A28">
        <v>120</v>
      </c>
      <c r="B28">
        <v>20</v>
      </c>
      <c r="C28" t="s">
        <v>131</v>
      </c>
      <c r="F28">
        <v>120</v>
      </c>
      <c r="G28">
        <v>20</v>
      </c>
      <c r="H28" t="s">
        <v>131</v>
      </c>
      <c r="K28">
        <v>120</v>
      </c>
      <c r="L28">
        <v>20</v>
      </c>
      <c r="M28" t="s">
        <v>131</v>
      </c>
    </row>
    <row r="29" spans="1:13" x14ac:dyDescent="0.45">
      <c r="A29">
        <v>121</v>
      </c>
      <c r="B29">
        <v>21</v>
      </c>
      <c r="C29" t="s">
        <v>132</v>
      </c>
      <c r="F29">
        <v>121</v>
      </c>
      <c r="G29">
        <v>21</v>
      </c>
      <c r="H29" t="s">
        <v>132</v>
      </c>
      <c r="K29">
        <v>121</v>
      </c>
      <c r="L29">
        <v>21</v>
      </c>
      <c r="M29" t="s">
        <v>132</v>
      </c>
    </row>
    <row r="30" spans="1:13" x14ac:dyDescent="0.45">
      <c r="A30">
        <v>122</v>
      </c>
      <c r="B30">
        <v>22</v>
      </c>
      <c r="C30" t="s">
        <v>62</v>
      </c>
      <c r="F30">
        <v>122</v>
      </c>
      <c r="G30">
        <v>22</v>
      </c>
      <c r="H30" t="s">
        <v>62</v>
      </c>
      <c r="K30">
        <v>122</v>
      </c>
      <c r="L30">
        <v>22</v>
      </c>
      <c r="M30" t="s">
        <v>146</v>
      </c>
    </row>
    <row r="31" spans="1:13" x14ac:dyDescent="0.45">
      <c r="A31">
        <v>123</v>
      </c>
      <c r="B31">
        <v>23</v>
      </c>
      <c r="C31" t="s">
        <v>63</v>
      </c>
      <c r="F31">
        <v>123</v>
      </c>
      <c r="G31">
        <v>23</v>
      </c>
      <c r="H31" t="s">
        <v>89</v>
      </c>
      <c r="K31">
        <v>123</v>
      </c>
      <c r="L31">
        <v>23</v>
      </c>
      <c r="M31" t="s">
        <v>89</v>
      </c>
    </row>
    <row r="32" spans="1:13" x14ac:dyDescent="0.45">
      <c r="A32">
        <v>124</v>
      </c>
      <c r="B32">
        <v>24</v>
      </c>
      <c r="C32" t="s">
        <v>133</v>
      </c>
      <c r="F32">
        <v>124</v>
      </c>
      <c r="G32">
        <v>24</v>
      </c>
      <c r="H32" t="s">
        <v>150</v>
      </c>
      <c r="K32">
        <v>124</v>
      </c>
      <c r="L32">
        <v>24</v>
      </c>
      <c r="M32" t="s">
        <v>150</v>
      </c>
    </row>
    <row r="33" spans="1:13" x14ac:dyDescent="0.45">
      <c r="A33">
        <v>125</v>
      </c>
      <c r="B33">
        <v>25</v>
      </c>
      <c r="C33" t="s">
        <v>64</v>
      </c>
      <c r="F33">
        <v>125</v>
      </c>
      <c r="G33">
        <v>25</v>
      </c>
      <c r="H33" t="s">
        <v>63</v>
      </c>
      <c r="K33">
        <v>125</v>
      </c>
      <c r="L33">
        <v>25</v>
      </c>
      <c r="M33" t="s">
        <v>62</v>
      </c>
    </row>
    <row r="34" spans="1:13" x14ac:dyDescent="0.45">
      <c r="A34">
        <v>126</v>
      </c>
      <c r="B34">
        <v>26</v>
      </c>
      <c r="C34" t="s">
        <v>65</v>
      </c>
      <c r="F34">
        <v>126</v>
      </c>
      <c r="G34">
        <v>26</v>
      </c>
      <c r="H34" t="s">
        <v>133</v>
      </c>
      <c r="K34">
        <v>126</v>
      </c>
      <c r="L34">
        <v>26</v>
      </c>
      <c r="M34" t="s">
        <v>63</v>
      </c>
    </row>
    <row r="35" spans="1:13" x14ac:dyDescent="0.45">
      <c r="A35">
        <v>127</v>
      </c>
      <c r="B35">
        <v>27</v>
      </c>
      <c r="C35" t="s">
        <v>66</v>
      </c>
      <c r="F35">
        <v>127</v>
      </c>
      <c r="G35">
        <v>27</v>
      </c>
      <c r="H35" t="s">
        <v>64</v>
      </c>
      <c r="K35">
        <v>127</v>
      </c>
      <c r="L35">
        <v>27</v>
      </c>
      <c r="M35" t="s">
        <v>133</v>
      </c>
    </row>
    <row r="36" spans="1:13" x14ac:dyDescent="0.45">
      <c r="A36">
        <v>128</v>
      </c>
      <c r="B36">
        <v>28</v>
      </c>
      <c r="C36" t="s">
        <v>68</v>
      </c>
      <c r="F36">
        <v>128</v>
      </c>
      <c r="G36">
        <v>28</v>
      </c>
      <c r="H36" t="s">
        <v>65</v>
      </c>
      <c r="K36">
        <v>128</v>
      </c>
      <c r="L36">
        <v>28</v>
      </c>
      <c r="M36" t="s">
        <v>64</v>
      </c>
    </row>
    <row r="37" spans="1:13" x14ac:dyDescent="0.45">
      <c r="A37">
        <v>129</v>
      </c>
      <c r="B37">
        <v>29</v>
      </c>
      <c r="C37" t="s">
        <v>134</v>
      </c>
      <c r="F37">
        <v>129</v>
      </c>
      <c r="G37">
        <v>29</v>
      </c>
      <c r="H37" t="s">
        <v>66</v>
      </c>
      <c r="K37">
        <v>129</v>
      </c>
      <c r="L37">
        <v>29</v>
      </c>
      <c r="M37" t="s">
        <v>65</v>
      </c>
    </row>
    <row r="38" spans="1:13" x14ac:dyDescent="0.45">
      <c r="A38">
        <v>130</v>
      </c>
      <c r="B38">
        <v>30</v>
      </c>
      <c r="C38" t="s">
        <v>67</v>
      </c>
      <c r="F38">
        <v>130</v>
      </c>
      <c r="G38">
        <v>30</v>
      </c>
      <c r="H38" t="s">
        <v>68</v>
      </c>
      <c r="K38">
        <v>130</v>
      </c>
      <c r="L38">
        <v>30</v>
      </c>
      <c r="M38" t="s">
        <v>66</v>
      </c>
    </row>
    <row r="39" spans="1:13" x14ac:dyDescent="0.45">
      <c r="A39">
        <v>131</v>
      </c>
      <c r="B39">
        <v>31</v>
      </c>
      <c r="C39" t="s">
        <v>135</v>
      </c>
      <c r="F39">
        <v>131</v>
      </c>
      <c r="G39">
        <v>31</v>
      </c>
      <c r="H39" t="s">
        <v>134</v>
      </c>
      <c r="K39">
        <v>131</v>
      </c>
      <c r="L39">
        <v>31</v>
      </c>
      <c r="M39" t="s">
        <v>68</v>
      </c>
    </row>
    <row r="40" spans="1:13" x14ac:dyDescent="0.45">
      <c r="A40">
        <v>132</v>
      </c>
      <c r="B40">
        <v>32</v>
      </c>
      <c r="C40" t="s">
        <v>69</v>
      </c>
      <c r="F40">
        <v>132</v>
      </c>
      <c r="G40">
        <v>32</v>
      </c>
      <c r="H40" t="s">
        <v>67</v>
      </c>
      <c r="K40">
        <v>132</v>
      </c>
      <c r="L40">
        <v>32</v>
      </c>
      <c r="M40" t="s">
        <v>134</v>
      </c>
    </row>
    <row r="41" spans="1:13" x14ac:dyDescent="0.45">
      <c r="A41">
        <v>133</v>
      </c>
      <c r="B41">
        <v>33</v>
      </c>
      <c r="C41" t="s">
        <v>70</v>
      </c>
      <c r="F41">
        <v>133</v>
      </c>
      <c r="G41">
        <v>33</v>
      </c>
      <c r="H41" t="s">
        <v>135</v>
      </c>
      <c r="K41">
        <v>133</v>
      </c>
      <c r="L41">
        <v>33</v>
      </c>
      <c r="M41" t="s">
        <v>67</v>
      </c>
    </row>
    <row r="42" spans="1:13" x14ac:dyDescent="0.45">
      <c r="A42">
        <v>134</v>
      </c>
      <c r="B42">
        <v>34</v>
      </c>
      <c r="C42" t="s">
        <v>71</v>
      </c>
      <c r="F42">
        <v>134</v>
      </c>
      <c r="G42">
        <v>34</v>
      </c>
      <c r="H42" t="s">
        <v>69</v>
      </c>
      <c r="K42">
        <v>134</v>
      </c>
      <c r="L42">
        <v>34</v>
      </c>
      <c r="M42" t="s">
        <v>135</v>
      </c>
    </row>
    <row r="43" spans="1:13" x14ac:dyDescent="0.45">
      <c r="A43">
        <v>135</v>
      </c>
      <c r="B43">
        <v>35</v>
      </c>
      <c r="C43" t="s">
        <v>136</v>
      </c>
      <c r="F43">
        <v>135</v>
      </c>
      <c r="G43">
        <v>35</v>
      </c>
      <c r="H43" t="s">
        <v>70</v>
      </c>
      <c r="K43">
        <v>135</v>
      </c>
      <c r="L43">
        <v>35</v>
      </c>
      <c r="M43" t="s">
        <v>69</v>
      </c>
    </row>
    <row r="44" spans="1:13" x14ac:dyDescent="0.45">
      <c r="A44">
        <v>136</v>
      </c>
      <c r="B44">
        <v>36</v>
      </c>
      <c r="C44" t="s">
        <v>137</v>
      </c>
      <c r="F44">
        <v>136</v>
      </c>
      <c r="G44">
        <v>36</v>
      </c>
      <c r="H44" t="s">
        <v>71</v>
      </c>
      <c r="K44">
        <v>136</v>
      </c>
      <c r="L44">
        <v>36</v>
      </c>
      <c r="M44" t="s">
        <v>70</v>
      </c>
    </row>
    <row r="45" spans="1:13" x14ac:dyDescent="0.45">
      <c r="A45">
        <v>137</v>
      </c>
      <c r="B45">
        <v>37</v>
      </c>
      <c r="C45" t="s">
        <v>138</v>
      </c>
      <c r="F45">
        <v>137</v>
      </c>
      <c r="G45">
        <v>37</v>
      </c>
      <c r="H45" t="s">
        <v>136</v>
      </c>
      <c r="K45">
        <v>137</v>
      </c>
      <c r="L45">
        <v>37</v>
      </c>
      <c r="M45" t="s">
        <v>71</v>
      </c>
    </row>
    <row r="46" spans="1:13" x14ac:dyDescent="0.45">
      <c r="A46">
        <v>138</v>
      </c>
      <c r="B46">
        <v>38</v>
      </c>
      <c r="C46" t="s">
        <v>139</v>
      </c>
      <c r="F46">
        <v>138</v>
      </c>
      <c r="G46">
        <v>38</v>
      </c>
      <c r="H46" t="s">
        <v>137</v>
      </c>
      <c r="K46">
        <v>138</v>
      </c>
      <c r="L46">
        <v>38</v>
      </c>
      <c r="M46" t="s">
        <v>136</v>
      </c>
    </row>
    <row r="47" spans="1:13" x14ac:dyDescent="0.45">
      <c r="A47">
        <v>139</v>
      </c>
      <c r="B47">
        <v>39</v>
      </c>
      <c r="C47" t="s">
        <v>72</v>
      </c>
      <c r="F47">
        <v>139</v>
      </c>
      <c r="G47">
        <v>39</v>
      </c>
      <c r="H47" t="s">
        <v>138</v>
      </c>
      <c r="K47">
        <v>139</v>
      </c>
      <c r="L47">
        <v>39</v>
      </c>
      <c r="M47" t="s">
        <v>137</v>
      </c>
    </row>
    <row r="48" spans="1:13" x14ac:dyDescent="0.45">
      <c r="A48">
        <v>140</v>
      </c>
      <c r="B48">
        <v>40</v>
      </c>
      <c r="C48" t="s">
        <v>140</v>
      </c>
      <c r="F48">
        <v>140</v>
      </c>
      <c r="G48">
        <v>40</v>
      </c>
      <c r="H48" t="s">
        <v>139</v>
      </c>
      <c r="K48">
        <v>140</v>
      </c>
      <c r="L48">
        <v>40</v>
      </c>
      <c r="M48" t="s">
        <v>138</v>
      </c>
    </row>
    <row r="49" spans="1:13" x14ac:dyDescent="0.45">
      <c r="A49">
        <v>141</v>
      </c>
      <c r="B49">
        <v>41</v>
      </c>
      <c r="C49" t="s">
        <v>73</v>
      </c>
      <c r="F49">
        <v>141</v>
      </c>
      <c r="G49">
        <v>41</v>
      </c>
      <c r="H49" t="s">
        <v>72</v>
      </c>
      <c r="K49">
        <v>141</v>
      </c>
      <c r="L49">
        <v>41</v>
      </c>
      <c r="M49" t="s">
        <v>139</v>
      </c>
    </row>
    <row r="50" spans="1:13" x14ac:dyDescent="0.45">
      <c r="A50">
        <v>142</v>
      </c>
      <c r="B50">
        <v>42</v>
      </c>
      <c r="C50" t="s">
        <v>74</v>
      </c>
      <c r="F50">
        <v>142</v>
      </c>
      <c r="G50">
        <v>42</v>
      </c>
      <c r="H50" t="s">
        <v>140</v>
      </c>
      <c r="K50">
        <v>142</v>
      </c>
      <c r="L50">
        <v>42</v>
      </c>
      <c r="M50" t="s">
        <v>72</v>
      </c>
    </row>
    <row r="51" spans="1:13" x14ac:dyDescent="0.45">
      <c r="A51">
        <v>143</v>
      </c>
      <c r="B51">
        <v>43</v>
      </c>
      <c r="C51" t="s">
        <v>141</v>
      </c>
      <c r="F51">
        <v>143</v>
      </c>
      <c r="G51">
        <v>43</v>
      </c>
      <c r="H51" t="s">
        <v>73</v>
      </c>
      <c r="K51">
        <v>143</v>
      </c>
      <c r="L51">
        <v>43</v>
      </c>
      <c r="M51" t="s">
        <v>140</v>
      </c>
    </row>
    <row r="52" spans="1:13" x14ac:dyDescent="0.45">
      <c r="A52">
        <v>145</v>
      </c>
      <c r="B52">
        <v>44</v>
      </c>
      <c r="C52" t="s">
        <v>76</v>
      </c>
      <c r="F52">
        <v>145</v>
      </c>
      <c r="G52">
        <v>44</v>
      </c>
      <c r="H52" t="s">
        <v>74</v>
      </c>
      <c r="K52">
        <v>145</v>
      </c>
      <c r="L52">
        <v>44</v>
      </c>
      <c r="M52" t="s">
        <v>73</v>
      </c>
    </row>
    <row r="53" spans="1:13" x14ac:dyDescent="0.45">
      <c r="A53">
        <v>146</v>
      </c>
      <c r="B53">
        <v>45</v>
      </c>
      <c r="C53" t="s">
        <v>77</v>
      </c>
      <c r="F53">
        <v>146</v>
      </c>
      <c r="G53">
        <v>45</v>
      </c>
      <c r="H53" t="s">
        <v>141</v>
      </c>
      <c r="K53">
        <v>146</v>
      </c>
      <c r="L53">
        <v>45</v>
      </c>
      <c r="M53" t="s">
        <v>74</v>
      </c>
    </row>
    <row r="54" spans="1:13" x14ac:dyDescent="0.45">
      <c r="A54">
        <v>147</v>
      </c>
      <c r="B54">
        <v>46</v>
      </c>
      <c r="C54" t="s">
        <v>78</v>
      </c>
      <c r="F54">
        <v>147</v>
      </c>
      <c r="G54">
        <v>46</v>
      </c>
      <c r="H54" t="s">
        <v>76</v>
      </c>
      <c r="K54">
        <v>147</v>
      </c>
      <c r="L54">
        <v>46</v>
      </c>
      <c r="M54" t="s">
        <v>141</v>
      </c>
    </row>
    <row r="55" spans="1:13" x14ac:dyDescent="0.45">
      <c r="A55">
        <v>148</v>
      </c>
      <c r="B55">
        <v>47</v>
      </c>
      <c r="C55" t="s">
        <v>79</v>
      </c>
      <c r="F55">
        <v>148</v>
      </c>
      <c r="G55">
        <v>47</v>
      </c>
      <c r="H55" t="s">
        <v>77</v>
      </c>
      <c r="K55">
        <v>148</v>
      </c>
      <c r="L55">
        <v>47</v>
      </c>
      <c r="M55" t="s">
        <v>76</v>
      </c>
    </row>
    <row r="56" spans="1:13" x14ac:dyDescent="0.45">
      <c r="A56">
        <v>149</v>
      </c>
      <c r="B56">
        <v>48</v>
      </c>
      <c r="C56" t="s">
        <v>80</v>
      </c>
      <c r="F56">
        <v>149</v>
      </c>
      <c r="G56">
        <v>48</v>
      </c>
      <c r="H56" t="s">
        <v>78</v>
      </c>
      <c r="K56">
        <v>149</v>
      </c>
      <c r="L56">
        <v>48</v>
      </c>
      <c r="M56" t="s">
        <v>77</v>
      </c>
    </row>
    <row r="57" spans="1:13" x14ac:dyDescent="0.45">
      <c r="A57">
        <v>150</v>
      </c>
      <c r="B57">
        <v>49</v>
      </c>
      <c r="C57" t="s">
        <v>81</v>
      </c>
      <c r="F57">
        <v>150</v>
      </c>
      <c r="G57">
        <v>49</v>
      </c>
      <c r="H57" t="s">
        <v>79</v>
      </c>
      <c r="K57">
        <v>150</v>
      </c>
      <c r="L57">
        <v>49</v>
      </c>
      <c r="M57" t="s">
        <v>78</v>
      </c>
    </row>
    <row r="58" spans="1:13" x14ac:dyDescent="0.45">
      <c r="A58">
        <v>151</v>
      </c>
      <c r="B58">
        <v>50</v>
      </c>
      <c r="C58" t="s">
        <v>142</v>
      </c>
      <c r="F58">
        <v>151</v>
      </c>
      <c r="G58">
        <v>50</v>
      </c>
      <c r="H58" t="s">
        <v>80</v>
      </c>
      <c r="K58">
        <v>151</v>
      </c>
      <c r="L58">
        <v>50</v>
      </c>
      <c r="M58" t="s">
        <v>79</v>
      </c>
    </row>
    <row r="59" spans="1:13" x14ac:dyDescent="0.45">
      <c r="A59">
        <v>152</v>
      </c>
      <c r="B59">
        <v>51</v>
      </c>
      <c r="C59" t="s">
        <v>84</v>
      </c>
      <c r="F59">
        <v>152</v>
      </c>
      <c r="G59">
        <v>51</v>
      </c>
      <c r="H59" t="s">
        <v>81</v>
      </c>
      <c r="K59">
        <v>152</v>
      </c>
      <c r="L59">
        <v>51</v>
      </c>
      <c r="M59" t="s">
        <v>80</v>
      </c>
    </row>
    <row r="60" spans="1:13" x14ac:dyDescent="0.45">
      <c r="A60">
        <v>153</v>
      </c>
      <c r="B60">
        <v>52</v>
      </c>
      <c r="C60" t="s">
        <v>85</v>
      </c>
      <c r="F60">
        <v>153</v>
      </c>
      <c r="G60">
        <v>52</v>
      </c>
      <c r="H60" t="s">
        <v>142</v>
      </c>
      <c r="K60">
        <v>153</v>
      </c>
      <c r="L60">
        <v>52</v>
      </c>
      <c r="M60" t="s">
        <v>81</v>
      </c>
    </row>
    <row r="61" spans="1:13" x14ac:dyDescent="0.45">
      <c r="A61">
        <v>154</v>
      </c>
      <c r="B61">
        <v>53</v>
      </c>
      <c r="C61" t="s">
        <v>143</v>
      </c>
      <c r="F61">
        <v>154</v>
      </c>
      <c r="G61">
        <v>53</v>
      </c>
      <c r="H61" t="s">
        <v>84</v>
      </c>
      <c r="K61">
        <v>154</v>
      </c>
      <c r="L61">
        <v>53</v>
      </c>
      <c r="M61" t="s">
        <v>142</v>
      </c>
    </row>
    <row r="62" spans="1:13" x14ac:dyDescent="0.45">
      <c r="A62">
        <v>155</v>
      </c>
      <c r="B62">
        <v>54</v>
      </c>
      <c r="C62" t="s">
        <v>144</v>
      </c>
      <c r="F62">
        <v>155</v>
      </c>
      <c r="G62">
        <v>54</v>
      </c>
      <c r="H62" t="s">
        <v>85</v>
      </c>
      <c r="K62">
        <v>155</v>
      </c>
      <c r="L62">
        <v>54</v>
      </c>
      <c r="M62" t="s">
        <v>84</v>
      </c>
    </row>
    <row r="63" spans="1:13" x14ac:dyDescent="0.45">
      <c r="A63">
        <v>156</v>
      </c>
      <c r="B63">
        <v>55</v>
      </c>
      <c r="C63" t="s">
        <v>86</v>
      </c>
      <c r="F63">
        <v>156</v>
      </c>
      <c r="G63">
        <v>55</v>
      </c>
      <c r="H63" t="s">
        <v>143</v>
      </c>
      <c r="K63">
        <v>156</v>
      </c>
      <c r="L63">
        <v>55</v>
      </c>
      <c r="M63" t="s">
        <v>85</v>
      </c>
    </row>
    <row r="64" spans="1:13" x14ac:dyDescent="0.45">
      <c r="A64">
        <v>157</v>
      </c>
      <c r="B64">
        <v>56</v>
      </c>
      <c r="C64" t="s">
        <v>87</v>
      </c>
      <c r="F64">
        <v>157</v>
      </c>
      <c r="G64">
        <v>56</v>
      </c>
      <c r="H64" t="s">
        <v>144</v>
      </c>
      <c r="K64">
        <v>157</v>
      </c>
      <c r="L64">
        <v>56</v>
      </c>
      <c r="M64" t="s">
        <v>143</v>
      </c>
    </row>
    <row r="65" spans="1:13" x14ac:dyDescent="0.45">
      <c r="A65">
        <v>158</v>
      </c>
      <c r="B65">
        <v>57</v>
      </c>
      <c r="C65" t="s">
        <v>145</v>
      </c>
      <c r="F65">
        <v>158</v>
      </c>
      <c r="G65">
        <v>57</v>
      </c>
      <c r="H65" t="s">
        <v>86</v>
      </c>
      <c r="K65">
        <v>158</v>
      </c>
      <c r="L65">
        <v>57</v>
      </c>
      <c r="M65" t="s">
        <v>144</v>
      </c>
    </row>
    <row r="66" spans="1:13" x14ac:dyDescent="0.45">
      <c r="A66">
        <v>159</v>
      </c>
      <c r="B66">
        <v>58</v>
      </c>
      <c r="C66" t="s">
        <v>146</v>
      </c>
      <c r="F66">
        <v>159</v>
      </c>
      <c r="G66">
        <v>58</v>
      </c>
      <c r="H66" t="s">
        <v>146</v>
      </c>
      <c r="K66">
        <v>159</v>
      </c>
      <c r="L66">
        <v>58</v>
      </c>
      <c r="M66" t="s">
        <v>86</v>
      </c>
    </row>
    <row r="67" spans="1:13" x14ac:dyDescent="0.45">
      <c r="A67">
        <v>160</v>
      </c>
      <c r="B67">
        <v>59</v>
      </c>
      <c r="C67" t="s">
        <v>88</v>
      </c>
      <c r="F67">
        <v>160</v>
      </c>
      <c r="G67">
        <v>59</v>
      </c>
      <c r="H67" t="s">
        <v>87</v>
      </c>
      <c r="K67">
        <v>160</v>
      </c>
      <c r="L67">
        <v>59</v>
      </c>
      <c r="M67" t="s">
        <v>87</v>
      </c>
    </row>
    <row r="68" spans="1:13" x14ac:dyDescent="0.45">
      <c r="A68">
        <v>161</v>
      </c>
      <c r="B68">
        <v>60</v>
      </c>
      <c r="C68" t="s">
        <v>89</v>
      </c>
      <c r="F68">
        <v>161</v>
      </c>
      <c r="G68">
        <v>60</v>
      </c>
      <c r="H68" t="s">
        <v>145</v>
      </c>
      <c r="K68">
        <v>161</v>
      </c>
      <c r="L68">
        <v>60</v>
      </c>
      <c r="M68" t="s">
        <v>145</v>
      </c>
    </row>
    <row r="69" spans="1:13" x14ac:dyDescent="0.45">
      <c r="A69">
        <v>162</v>
      </c>
      <c r="B69">
        <v>61</v>
      </c>
      <c r="C69" t="s">
        <v>147</v>
      </c>
      <c r="F69">
        <v>162</v>
      </c>
      <c r="G69">
        <v>61</v>
      </c>
      <c r="H69" t="s">
        <v>88</v>
      </c>
      <c r="K69">
        <v>162</v>
      </c>
      <c r="L69">
        <v>61</v>
      </c>
      <c r="M69" t="s">
        <v>88</v>
      </c>
    </row>
    <row r="70" spans="1:13" x14ac:dyDescent="0.45">
      <c r="A70">
        <v>164</v>
      </c>
      <c r="B70">
        <v>62</v>
      </c>
      <c r="C70" t="s">
        <v>148</v>
      </c>
      <c r="F70">
        <v>164</v>
      </c>
      <c r="G70">
        <v>62</v>
      </c>
      <c r="H70" t="s">
        <v>147</v>
      </c>
      <c r="K70">
        <v>164</v>
      </c>
      <c r="L70">
        <v>62</v>
      </c>
      <c r="M70" t="s">
        <v>147</v>
      </c>
    </row>
    <row r="71" spans="1:13" x14ac:dyDescent="0.45">
      <c r="A71">
        <v>165</v>
      </c>
      <c r="B71">
        <v>63</v>
      </c>
      <c r="C71" t="s">
        <v>149</v>
      </c>
      <c r="F71">
        <v>165</v>
      </c>
      <c r="G71">
        <v>63</v>
      </c>
      <c r="H71" t="s">
        <v>148</v>
      </c>
      <c r="K71">
        <v>165</v>
      </c>
      <c r="L71">
        <v>63</v>
      </c>
      <c r="M71" t="s">
        <v>148</v>
      </c>
    </row>
    <row r="72" spans="1:13" x14ac:dyDescent="0.45">
      <c r="A72">
        <v>166</v>
      </c>
      <c r="B72">
        <v>64</v>
      </c>
      <c r="C72" t="s">
        <v>150</v>
      </c>
      <c r="F72">
        <v>166</v>
      </c>
      <c r="G72">
        <v>64</v>
      </c>
      <c r="H72" t="s">
        <v>149</v>
      </c>
      <c r="K72">
        <v>166</v>
      </c>
      <c r="L72">
        <v>64</v>
      </c>
      <c r="M72" t="s">
        <v>149</v>
      </c>
    </row>
  </sheetData>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33773-DD1C-4AD5-AB5D-42665B8EC7AC}">
  <sheetPr>
    <tabColor theme="8"/>
  </sheetPr>
  <dimension ref="A1:AI53"/>
  <sheetViews>
    <sheetView zoomScale="50" zoomScaleNormal="50" workbookViewId="0"/>
  </sheetViews>
  <sheetFormatPr defaultRowHeight="14.25" x14ac:dyDescent="0.45"/>
  <cols>
    <col min="2" max="2" width="10.796875" bestFit="1" customWidth="1"/>
    <col min="3" max="3" width="20.33203125" bestFit="1" customWidth="1"/>
    <col min="6" max="6" width="10.796875" bestFit="1" customWidth="1"/>
    <col min="7" max="7" width="20.33203125" bestFit="1" customWidth="1"/>
    <col min="10" max="10" width="10.796875" bestFit="1" customWidth="1"/>
    <col min="11" max="11" width="20.33203125" bestFit="1" customWidth="1"/>
    <col min="14" max="14" width="10.796875" bestFit="1" customWidth="1"/>
    <col min="15" max="15" width="20.33203125" bestFit="1" customWidth="1"/>
    <col min="18" max="18" width="10.796875" bestFit="1" customWidth="1"/>
    <col min="19" max="19" width="20.796875" bestFit="1" customWidth="1"/>
    <col min="23" max="23" width="20.796875" bestFit="1" customWidth="1"/>
    <col min="26" max="26" width="10.796875" bestFit="1" customWidth="1"/>
    <col min="27" max="27" width="20.796875" bestFit="1" customWidth="1"/>
    <col min="30" max="30" width="10.796875" bestFit="1" customWidth="1"/>
    <col min="31" max="31" width="20.796875" bestFit="1" customWidth="1"/>
    <col min="35" max="35" width="20.796875" bestFit="1" customWidth="1"/>
  </cols>
  <sheetData>
    <row r="1" spans="1:35" x14ac:dyDescent="0.45">
      <c r="C1" s="38"/>
      <c r="D1" s="38"/>
      <c r="E1" s="38"/>
      <c r="F1" s="38"/>
      <c r="G1" s="38"/>
    </row>
    <row r="2" spans="1:35" x14ac:dyDescent="0.45">
      <c r="A2" t="s">
        <v>244</v>
      </c>
      <c r="C2" s="38"/>
      <c r="D2" s="38"/>
      <c r="E2" s="38"/>
      <c r="F2" s="38"/>
      <c r="G2" s="38"/>
    </row>
    <row r="3" spans="1:35" ht="14.65" x14ac:dyDescent="0.45">
      <c r="A3" t="s">
        <v>287</v>
      </c>
      <c r="G3" s="38"/>
      <c r="H3" s="38"/>
      <c r="I3" s="38"/>
      <c r="J3" s="38"/>
      <c r="K3" s="38"/>
      <c r="L3" s="38"/>
      <c r="M3" s="38"/>
      <c r="N3" s="38"/>
    </row>
    <row r="5" spans="1:35" x14ac:dyDescent="0.45">
      <c r="A5" s="1" t="s">
        <v>122</v>
      </c>
      <c r="C5" t="s">
        <v>221</v>
      </c>
      <c r="Q5" s="1" t="s">
        <v>288</v>
      </c>
      <c r="AG5" s="1" t="s">
        <v>294</v>
      </c>
    </row>
    <row r="6" spans="1:35" x14ac:dyDescent="0.45">
      <c r="AG6" t="s">
        <v>182</v>
      </c>
    </row>
    <row r="7" spans="1:35" x14ac:dyDescent="0.45">
      <c r="A7" s="1" t="s">
        <v>153</v>
      </c>
      <c r="E7" s="1" t="s">
        <v>154</v>
      </c>
      <c r="I7" s="1" t="s">
        <v>155</v>
      </c>
      <c r="M7" s="1" t="s">
        <v>110</v>
      </c>
      <c r="Q7" s="1" t="s">
        <v>153</v>
      </c>
      <c r="U7" s="1" t="s">
        <v>154</v>
      </c>
      <c r="Y7" s="1" t="s">
        <v>155</v>
      </c>
      <c r="AC7" s="1" t="s">
        <v>110</v>
      </c>
      <c r="AG7" s="1" t="s">
        <v>110</v>
      </c>
    </row>
    <row r="9" spans="1:35" x14ac:dyDescent="0.45">
      <c r="A9" t="s">
        <v>121</v>
      </c>
      <c r="B9" t="s">
        <v>123</v>
      </c>
      <c r="C9" t="s">
        <v>50</v>
      </c>
      <c r="E9" t="s">
        <v>121</v>
      </c>
      <c r="F9" t="s">
        <v>123</v>
      </c>
      <c r="G9" t="s">
        <v>50</v>
      </c>
      <c r="I9" t="s">
        <v>121</v>
      </c>
      <c r="J9" t="s">
        <v>123</v>
      </c>
      <c r="K9" t="s">
        <v>50</v>
      </c>
      <c r="M9" t="s">
        <v>121</v>
      </c>
      <c r="N9" t="s">
        <v>123</v>
      </c>
      <c r="O9" t="s">
        <v>50</v>
      </c>
      <c r="Q9" t="s">
        <v>121</v>
      </c>
      <c r="R9" t="s">
        <v>123</v>
      </c>
      <c r="S9" t="s">
        <v>50</v>
      </c>
      <c r="U9" t="s">
        <v>121</v>
      </c>
      <c r="V9" t="s">
        <v>123</v>
      </c>
      <c r="W9" t="s">
        <v>50</v>
      </c>
      <c r="Y9" t="s">
        <v>121</v>
      </c>
      <c r="Z9" t="s">
        <v>123</v>
      </c>
      <c r="AA9" t="s">
        <v>50</v>
      </c>
      <c r="AC9" t="s">
        <v>121</v>
      </c>
      <c r="AD9" t="s">
        <v>123</v>
      </c>
      <c r="AE9" t="s">
        <v>50</v>
      </c>
      <c r="AG9" t="s">
        <v>121</v>
      </c>
      <c r="AH9" t="s">
        <v>123</v>
      </c>
      <c r="AI9" t="s">
        <v>50</v>
      </c>
    </row>
    <row r="10" spans="1:35" x14ac:dyDescent="0.45">
      <c r="A10">
        <v>101</v>
      </c>
      <c r="B10">
        <v>1</v>
      </c>
      <c r="C10" t="s">
        <v>156</v>
      </c>
      <c r="E10">
        <v>101</v>
      </c>
      <c r="F10">
        <v>1</v>
      </c>
      <c r="G10" t="s">
        <v>156</v>
      </c>
      <c r="I10">
        <v>101</v>
      </c>
      <c r="J10">
        <v>1</v>
      </c>
      <c r="K10" t="s">
        <v>156</v>
      </c>
      <c r="M10">
        <v>101</v>
      </c>
      <c r="N10">
        <v>1</v>
      </c>
      <c r="O10" t="s">
        <v>156</v>
      </c>
      <c r="Q10">
        <v>101</v>
      </c>
      <c r="R10">
        <v>1</v>
      </c>
      <c r="S10" t="s">
        <v>156</v>
      </c>
      <c r="U10">
        <v>101</v>
      </c>
      <c r="V10">
        <v>1</v>
      </c>
      <c r="W10" t="s">
        <v>156</v>
      </c>
      <c r="Y10">
        <v>101</v>
      </c>
      <c r="Z10">
        <v>1</v>
      </c>
      <c r="AA10" t="s">
        <v>156</v>
      </c>
      <c r="AC10">
        <v>101</v>
      </c>
      <c r="AD10">
        <v>1</v>
      </c>
      <c r="AE10" t="s">
        <v>156</v>
      </c>
      <c r="AG10">
        <v>101</v>
      </c>
      <c r="AH10">
        <v>1</v>
      </c>
      <c r="AI10" t="s">
        <v>156</v>
      </c>
    </row>
    <row r="11" spans="1:35" x14ac:dyDescent="0.45">
      <c r="A11">
        <v>102</v>
      </c>
      <c r="B11">
        <v>2</v>
      </c>
      <c r="C11" t="s">
        <v>157</v>
      </c>
      <c r="E11">
        <v>102</v>
      </c>
      <c r="F11">
        <v>2</v>
      </c>
      <c r="G11" t="s">
        <v>157</v>
      </c>
      <c r="I11">
        <v>102</v>
      </c>
      <c r="J11">
        <v>2</v>
      </c>
      <c r="K11" t="s">
        <v>157</v>
      </c>
      <c r="M11">
        <v>102</v>
      </c>
      <c r="N11">
        <v>2</v>
      </c>
      <c r="O11" t="s">
        <v>157</v>
      </c>
      <c r="Q11">
        <v>102</v>
      </c>
      <c r="R11">
        <v>2</v>
      </c>
      <c r="S11" t="s">
        <v>157</v>
      </c>
      <c r="U11">
        <v>102</v>
      </c>
      <c r="V11">
        <v>2</v>
      </c>
      <c r="W11" t="s">
        <v>157</v>
      </c>
      <c r="Y11">
        <v>102</v>
      </c>
      <c r="Z11">
        <v>2</v>
      </c>
      <c r="AA11" t="s">
        <v>157</v>
      </c>
      <c r="AC11">
        <v>102</v>
      </c>
      <c r="AD11">
        <v>2</v>
      </c>
      <c r="AE11" t="s">
        <v>157</v>
      </c>
      <c r="AG11">
        <v>102</v>
      </c>
      <c r="AH11">
        <v>2</v>
      </c>
      <c r="AI11" t="s">
        <v>157</v>
      </c>
    </row>
    <row r="12" spans="1:35" x14ac:dyDescent="0.45">
      <c r="A12">
        <v>103</v>
      </c>
      <c r="B12">
        <v>3</v>
      </c>
      <c r="C12" t="s">
        <v>55</v>
      </c>
      <c r="E12">
        <v>103</v>
      </c>
      <c r="F12">
        <v>3</v>
      </c>
      <c r="G12" t="s">
        <v>179</v>
      </c>
      <c r="I12">
        <v>103</v>
      </c>
      <c r="J12">
        <v>3</v>
      </c>
      <c r="K12" t="s">
        <v>180</v>
      </c>
      <c r="M12">
        <v>103</v>
      </c>
      <c r="N12">
        <v>3</v>
      </c>
      <c r="O12" t="s">
        <v>55</v>
      </c>
      <c r="Q12">
        <v>103</v>
      </c>
      <c r="R12">
        <v>3</v>
      </c>
      <c r="S12" t="s">
        <v>55</v>
      </c>
      <c r="U12">
        <v>103</v>
      </c>
      <c r="V12">
        <v>3</v>
      </c>
      <c r="W12" t="s">
        <v>179</v>
      </c>
      <c r="Y12">
        <v>103</v>
      </c>
      <c r="Z12">
        <v>3</v>
      </c>
      <c r="AA12" t="s">
        <v>180</v>
      </c>
      <c r="AC12">
        <v>103</v>
      </c>
      <c r="AD12">
        <v>3</v>
      </c>
      <c r="AE12" t="s">
        <v>55</v>
      </c>
      <c r="AG12">
        <v>103</v>
      </c>
      <c r="AH12">
        <v>3</v>
      </c>
      <c r="AI12" t="s">
        <v>55</v>
      </c>
    </row>
    <row r="13" spans="1:35" x14ac:dyDescent="0.45">
      <c r="A13">
        <v>104</v>
      </c>
      <c r="B13">
        <v>4</v>
      </c>
      <c r="C13" t="s">
        <v>118</v>
      </c>
      <c r="E13">
        <v>104</v>
      </c>
      <c r="F13">
        <v>4</v>
      </c>
      <c r="G13" t="s">
        <v>118</v>
      </c>
      <c r="I13">
        <v>104</v>
      </c>
      <c r="J13">
        <v>4</v>
      </c>
      <c r="K13" t="s">
        <v>118</v>
      </c>
      <c r="M13">
        <v>104</v>
      </c>
      <c r="N13">
        <v>4</v>
      </c>
      <c r="O13" t="s">
        <v>92</v>
      </c>
      <c r="Q13">
        <v>104</v>
      </c>
      <c r="R13">
        <v>4</v>
      </c>
      <c r="S13" t="s">
        <v>118</v>
      </c>
      <c r="U13">
        <v>104</v>
      </c>
      <c r="V13">
        <v>4</v>
      </c>
      <c r="W13" t="s">
        <v>118</v>
      </c>
      <c r="Y13">
        <v>104</v>
      </c>
      <c r="Z13">
        <v>4</v>
      </c>
      <c r="AA13" t="s">
        <v>118</v>
      </c>
      <c r="AC13">
        <v>104</v>
      </c>
      <c r="AD13">
        <v>4</v>
      </c>
      <c r="AE13" t="s">
        <v>92</v>
      </c>
      <c r="AG13">
        <v>104</v>
      </c>
      <c r="AH13">
        <v>4</v>
      </c>
      <c r="AI13" t="s">
        <v>92</v>
      </c>
    </row>
    <row r="14" spans="1:35" x14ac:dyDescent="0.45">
      <c r="A14">
        <v>105</v>
      </c>
      <c r="B14">
        <v>5</v>
      </c>
      <c r="C14" t="s">
        <v>82</v>
      </c>
      <c r="E14">
        <v>105</v>
      </c>
      <c r="F14">
        <v>5</v>
      </c>
      <c r="G14" t="s">
        <v>82</v>
      </c>
      <c r="I14">
        <v>105</v>
      </c>
      <c r="J14">
        <v>5</v>
      </c>
      <c r="K14" t="s">
        <v>82</v>
      </c>
      <c r="M14">
        <v>105</v>
      </c>
      <c r="N14">
        <v>5</v>
      </c>
      <c r="O14" t="s">
        <v>82</v>
      </c>
      <c r="Q14">
        <v>105</v>
      </c>
      <c r="R14">
        <v>5</v>
      </c>
      <c r="S14" t="s">
        <v>82</v>
      </c>
      <c r="U14">
        <v>105</v>
      </c>
      <c r="V14">
        <v>5</v>
      </c>
      <c r="W14" t="s">
        <v>82</v>
      </c>
      <c r="Y14">
        <v>105</v>
      </c>
      <c r="Z14">
        <v>5</v>
      </c>
      <c r="AA14" t="s">
        <v>82</v>
      </c>
      <c r="AC14">
        <v>105</v>
      </c>
      <c r="AD14">
        <v>5</v>
      </c>
      <c r="AE14" t="s">
        <v>82</v>
      </c>
      <c r="AG14">
        <v>105</v>
      </c>
      <c r="AH14">
        <v>5</v>
      </c>
      <c r="AI14" t="s">
        <v>82</v>
      </c>
    </row>
    <row r="15" spans="1:35" x14ac:dyDescent="0.45">
      <c r="A15">
        <v>106</v>
      </c>
      <c r="B15">
        <v>6</v>
      </c>
      <c r="C15" t="s">
        <v>53</v>
      </c>
      <c r="E15">
        <v>106</v>
      </c>
      <c r="F15">
        <v>6</v>
      </c>
      <c r="G15" t="s">
        <v>53</v>
      </c>
      <c r="I15">
        <v>106</v>
      </c>
      <c r="J15">
        <v>6</v>
      </c>
      <c r="K15" t="s">
        <v>53</v>
      </c>
      <c r="M15">
        <v>106</v>
      </c>
      <c r="N15">
        <v>6</v>
      </c>
      <c r="O15" t="s">
        <v>53</v>
      </c>
      <c r="Q15">
        <v>106</v>
      </c>
      <c r="R15">
        <v>6</v>
      </c>
      <c r="S15" t="s">
        <v>53</v>
      </c>
      <c r="U15">
        <v>106</v>
      </c>
      <c r="V15">
        <v>6</v>
      </c>
      <c r="W15" t="s">
        <v>53</v>
      </c>
      <c r="Y15">
        <v>106</v>
      </c>
      <c r="Z15">
        <v>6</v>
      </c>
      <c r="AA15" t="s">
        <v>53</v>
      </c>
      <c r="AC15">
        <v>106</v>
      </c>
      <c r="AD15">
        <v>6</v>
      </c>
      <c r="AE15" t="s">
        <v>53</v>
      </c>
      <c r="AG15">
        <v>106</v>
      </c>
      <c r="AH15">
        <v>6</v>
      </c>
      <c r="AI15" t="s">
        <v>53</v>
      </c>
    </row>
    <row r="16" spans="1:35" x14ac:dyDescent="0.45">
      <c r="A16">
        <v>107</v>
      </c>
      <c r="B16">
        <v>7</v>
      </c>
      <c r="C16" t="s">
        <v>128</v>
      </c>
      <c r="E16">
        <v>107</v>
      </c>
      <c r="F16">
        <v>7</v>
      </c>
      <c r="G16" t="s">
        <v>128</v>
      </c>
      <c r="I16">
        <v>107</v>
      </c>
      <c r="J16">
        <v>7</v>
      </c>
      <c r="K16" t="s">
        <v>128</v>
      </c>
      <c r="M16">
        <v>107</v>
      </c>
      <c r="N16">
        <v>7</v>
      </c>
      <c r="O16" t="s">
        <v>128</v>
      </c>
      <c r="Q16">
        <v>107</v>
      </c>
      <c r="R16">
        <v>7</v>
      </c>
      <c r="S16" t="s">
        <v>128</v>
      </c>
      <c r="U16">
        <v>107</v>
      </c>
      <c r="V16">
        <v>7</v>
      </c>
      <c r="W16" t="s">
        <v>128</v>
      </c>
      <c r="Y16">
        <v>107</v>
      </c>
      <c r="Z16">
        <v>7</v>
      </c>
      <c r="AA16" t="s">
        <v>128</v>
      </c>
      <c r="AC16">
        <v>107</v>
      </c>
      <c r="AD16">
        <v>7</v>
      </c>
      <c r="AE16" t="s">
        <v>128</v>
      </c>
      <c r="AG16">
        <v>107</v>
      </c>
      <c r="AH16">
        <v>7</v>
      </c>
      <c r="AI16" t="s">
        <v>128</v>
      </c>
    </row>
    <row r="17" spans="1:35" x14ac:dyDescent="0.45">
      <c r="A17">
        <v>108</v>
      </c>
      <c r="B17">
        <v>8</v>
      </c>
      <c r="C17" t="s">
        <v>158</v>
      </c>
      <c r="E17">
        <v>108</v>
      </c>
      <c r="F17">
        <v>8</v>
      </c>
      <c r="G17" t="s">
        <v>158</v>
      </c>
      <c r="I17">
        <v>108</v>
      </c>
      <c r="J17">
        <v>8</v>
      </c>
      <c r="K17" t="s">
        <v>158</v>
      </c>
      <c r="M17">
        <v>108</v>
      </c>
      <c r="N17">
        <v>8</v>
      </c>
      <c r="O17" t="s">
        <v>158</v>
      </c>
      <c r="Q17">
        <v>108</v>
      </c>
      <c r="U17">
        <v>108</v>
      </c>
      <c r="Y17">
        <v>108</v>
      </c>
      <c r="AC17">
        <v>108</v>
      </c>
      <c r="AD17">
        <v>8</v>
      </c>
      <c r="AE17" t="s">
        <v>118</v>
      </c>
      <c r="AG17">
        <v>108</v>
      </c>
      <c r="AH17">
        <v>8</v>
      </c>
      <c r="AI17" t="s">
        <v>118</v>
      </c>
    </row>
    <row r="18" spans="1:35" x14ac:dyDescent="0.45">
      <c r="A18">
        <v>109</v>
      </c>
      <c r="B18">
        <v>9</v>
      </c>
      <c r="C18" t="s">
        <v>159</v>
      </c>
      <c r="E18">
        <v>109</v>
      </c>
      <c r="F18">
        <v>9</v>
      </c>
      <c r="G18" t="s">
        <v>159</v>
      </c>
      <c r="I18">
        <v>109</v>
      </c>
      <c r="J18">
        <v>9</v>
      </c>
      <c r="K18" t="s">
        <v>159</v>
      </c>
      <c r="M18">
        <v>109</v>
      </c>
      <c r="N18">
        <v>9</v>
      </c>
      <c r="O18" t="s">
        <v>159</v>
      </c>
      <c r="Q18">
        <v>109</v>
      </c>
      <c r="R18">
        <v>8</v>
      </c>
      <c r="S18" t="s">
        <v>158</v>
      </c>
      <c r="U18">
        <v>109</v>
      </c>
      <c r="V18">
        <v>8</v>
      </c>
      <c r="W18" t="s">
        <v>158</v>
      </c>
      <c r="Y18">
        <v>109</v>
      </c>
      <c r="Z18">
        <v>8</v>
      </c>
      <c r="AA18" t="s">
        <v>158</v>
      </c>
      <c r="AC18">
        <v>109</v>
      </c>
      <c r="AD18">
        <v>9</v>
      </c>
      <c r="AE18" t="s">
        <v>158</v>
      </c>
      <c r="AG18">
        <v>109</v>
      </c>
      <c r="AH18">
        <v>9</v>
      </c>
      <c r="AI18" t="s">
        <v>158</v>
      </c>
    </row>
    <row r="19" spans="1:35" x14ac:dyDescent="0.45">
      <c r="A19">
        <v>110</v>
      </c>
      <c r="B19">
        <v>10</v>
      </c>
      <c r="C19" t="s">
        <v>133</v>
      </c>
      <c r="E19">
        <v>110</v>
      </c>
      <c r="F19">
        <v>10</v>
      </c>
      <c r="G19" t="s">
        <v>133</v>
      </c>
      <c r="I19">
        <v>110</v>
      </c>
      <c r="J19">
        <v>10</v>
      </c>
      <c r="K19" t="s">
        <v>133</v>
      </c>
      <c r="M19">
        <v>110</v>
      </c>
      <c r="N19">
        <v>10</v>
      </c>
      <c r="O19" t="s">
        <v>133</v>
      </c>
      <c r="Q19">
        <v>110</v>
      </c>
      <c r="R19">
        <v>9</v>
      </c>
      <c r="S19" t="s">
        <v>159</v>
      </c>
      <c r="U19">
        <v>110</v>
      </c>
      <c r="V19">
        <v>9</v>
      </c>
      <c r="W19" t="s">
        <v>159</v>
      </c>
      <c r="Y19">
        <v>110</v>
      </c>
      <c r="Z19">
        <v>9</v>
      </c>
      <c r="AA19" t="s">
        <v>159</v>
      </c>
      <c r="AC19">
        <v>110</v>
      </c>
      <c r="AD19">
        <v>10</v>
      </c>
      <c r="AE19" t="s">
        <v>159</v>
      </c>
      <c r="AG19">
        <v>110</v>
      </c>
      <c r="AH19">
        <v>10</v>
      </c>
      <c r="AI19" t="s">
        <v>159</v>
      </c>
    </row>
    <row r="20" spans="1:35" x14ac:dyDescent="0.45">
      <c r="A20">
        <v>111</v>
      </c>
      <c r="B20">
        <v>11</v>
      </c>
      <c r="C20" t="s">
        <v>160</v>
      </c>
      <c r="E20">
        <v>111</v>
      </c>
      <c r="F20">
        <v>11</v>
      </c>
      <c r="G20" t="s">
        <v>160</v>
      </c>
      <c r="I20">
        <v>111</v>
      </c>
      <c r="J20">
        <v>11</v>
      </c>
      <c r="K20" t="s">
        <v>160</v>
      </c>
      <c r="M20">
        <v>111</v>
      </c>
      <c r="N20">
        <v>11</v>
      </c>
      <c r="O20" t="s">
        <v>160</v>
      </c>
      <c r="Q20">
        <v>111</v>
      </c>
      <c r="R20">
        <v>10</v>
      </c>
      <c r="S20" t="s">
        <v>133</v>
      </c>
      <c r="U20">
        <v>111</v>
      </c>
      <c r="V20">
        <v>10</v>
      </c>
      <c r="W20" t="s">
        <v>133</v>
      </c>
      <c r="Y20">
        <v>111</v>
      </c>
      <c r="Z20">
        <v>10</v>
      </c>
      <c r="AA20" t="s">
        <v>133</v>
      </c>
      <c r="AC20">
        <v>111</v>
      </c>
      <c r="AD20">
        <v>11</v>
      </c>
      <c r="AE20" t="s">
        <v>133</v>
      </c>
      <c r="AG20">
        <v>111</v>
      </c>
      <c r="AH20">
        <v>11</v>
      </c>
      <c r="AI20" t="s">
        <v>133</v>
      </c>
    </row>
    <row r="21" spans="1:35" x14ac:dyDescent="0.45">
      <c r="A21">
        <v>112</v>
      </c>
      <c r="B21">
        <v>12</v>
      </c>
      <c r="C21" t="s">
        <v>161</v>
      </c>
      <c r="E21">
        <v>112</v>
      </c>
      <c r="F21">
        <v>12</v>
      </c>
      <c r="G21" t="s">
        <v>161</v>
      </c>
      <c r="I21">
        <v>112</v>
      </c>
      <c r="J21">
        <v>12</v>
      </c>
      <c r="K21" t="s">
        <v>161</v>
      </c>
      <c r="M21">
        <v>112</v>
      </c>
      <c r="N21">
        <v>12</v>
      </c>
      <c r="O21" t="s">
        <v>161</v>
      </c>
      <c r="Q21">
        <v>112</v>
      </c>
      <c r="R21">
        <v>11</v>
      </c>
      <c r="S21" t="s">
        <v>160</v>
      </c>
      <c r="U21">
        <v>112</v>
      </c>
      <c r="V21">
        <v>11</v>
      </c>
      <c r="W21" t="s">
        <v>160</v>
      </c>
      <c r="Y21">
        <v>112</v>
      </c>
      <c r="Z21">
        <v>11</v>
      </c>
      <c r="AA21" t="s">
        <v>160</v>
      </c>
      <c r="AC21">
        <v>112</v>
      </c>
      <c r="AD21">
        <v>12</v>
      </c>
      <c r="AE21" t="s">
        <v>160</v>
      </c>
      <c r="AG21">
        <v>112</v>
      </c>
      <c r="AH21">
        <v>12</v>
      </c>
      <c r="AI21" t="s">
        <v>160</v>
      </c>
    </row>
    <row r="22" spans="1:35" x14ac:dyDescent="0.45">
      <c r="A22">
        <v>113</v>
      </c>
      <c r="B22">
        <v>13</v>
      </c>
      <c r="C22" t="s">
        <v>162</v>
      </c>
      <c r="E22">
        <v>113</v>
      </c>
      <c r="F22">
        <v>13</v>
      </c>
      <c r="G22" t="s">
        <v>162</v>
      </c>
      <c r="I22">
        <v>113</v>
      </c>
      <c r="J22">
        <v>13</v>
      </c>
      <c r="K22" t="s">
        <v>162</v>
      </c>
      <c r="M22">
        <v>113</v>
      </c>
      <c r="N22">
        <v>13</v>
      </c>
      <c r="O22" t="s">
        <v>162</v>
      </c>
      <c r="Q22">
        <v>113</v>
      </c>
      <c r="R22">
        <v>12</v>
      </c>
      <c r="S22" t="s">
        <v>161</v>
      </c>
      <c r="U22">
        <v>113</v>
      </c>
      <c r="V22">
        <v>12</v>
      </c>
      <c r="W22" t="s">
        <v>161</v>
      </c>
      <c r="Y22">
        <v>113</v>
      </c>
      <c r="Z22">
        <v>12</v>
      </c>
      <c r="AA22" t="s">
        <v>161</v>
      </c>
      <c r="AC22">
        <v>113</v>
      </c>
      <c r="AD22">
        <v>13</v>
      </c>
      <c r="AE22" t="s">
        <v>161</v>
      </c>
      <c r="AG22">
        <v>113</v>
      </c>
      <c r="AH22">
        <v>13</v>
      </c>
      <c r="AI22" t="s">
        <v>161</v>
      </c>
    </row>
    <row r="23" spans="1:35" x14ac:dyDescent="0.45">
      <c r="A23">
        <v>114</v>
      </c>
      <c r="B23">
        <v>14</v>
      </c>
      <c r="C23" t="s">
        <v>149</v>
      </c>
      <c r="E23">
        <v>114</v>
      </c>
      <c r="F23">
        <v>14</v>
      </c>
      <c r="G23" t="s">
        <v>149</v>
      </c>
      <c r="I23">
        <v>114</v>
      </c>
      <c r="J23">
        <v>14</v>
      </c>
      <c r="K23" t="s">
        <v>149</v>
      </c>
      <c r="M23">
        <v>114</v>
      </c>
      <c r="N23">
        <v>14</v>
      </c>
      <c r="O23" t="s">
        <v>149</v>
      </c>
      <c r="Q23">
        <v>114</v>
      </c>
      <c r="R23">
        <v>13</v>
      </c>
      <c r="S23" t="s">
        <v>162</v>
      </c>
      <c r="U23">
        <v>114</v>
      </c>
      <c r="V23">
        <v>13</v>
      </c>
      <c r="W23" t="s">
        <v>162</v>
      </c>
      <c r="Y23">
        <v>114</v>
      </c>
      <c r="Z23">
        <v>13</v>
      </c>
      <c r="AA23" t="s">
        <v>162</v>
      </c>
      <c r="AC23">
        <v>114</v>
      </c>
      <c r="AD23">
        <v>14</v>
      </c>
      <c r="AE23" t="s">
        <v>162</v>
      </c>
      <c r="AG23">
        <v>114</v>
      </c>
      <c r="AH23">
        <v>14</v>
      </c>
      <c r="AI23" t="s">
        <v>162</v>
      </c>
    </row>
    <row r="24" spans="1:35" x14ac:dyDescent="0.45">
      <c r="A24">
        <v>115</v>
      </c>
      <c r="B24">
        <v>15</v>
      </c>
      <c r="C24" t="s">
        <v>52</v>
      </c>
      <c r="E24">
        <v>115</v>
      </c>
      <c r="F24">
        <v>15</v>
      </c>
      <c r="G24" t="s">
        <v>90</v>
      </c>
      <c r="I24">
        <v>115</v>
      </c>
      <c r="J24">
        <v>15</v>
      </c>
      <c r="K24" t="s">
        <v>51</v>
      </c>
      <c r="M24">
        <v>115</v>
      </c>
      <c r="Q24">
        <v>115</v>
      </c>
      <c r="R24">
        <v>14</v>
      </c>
      <c r="S24" t="s">
        <v>149</v>
      </c>
      <c r="U24">
        <v>115</v>
      </c>
      <c r="V24">
        <v>14</v>
      </c>
      <c r="W24" t="s">
        <v>149</v>
      </c>
      <c r="Y24">
        <v>115</v>
      </c>
      <c r="Z24">
        <v>14</v>
      </c>
      <c r="AA24" t="s">
        <v>149</v>
      </c>
      <c r="AC24">
        <v>115</v>
      </c>
      <c r="AD24">
        <v>15</v>
      </c>
      <c r="AE24" t="s">
        <v>149</v>
      </c>
      <c r="AG24">
        <v>115</v>
      </c>
      <c r="AH24">
        <v>15</v>
      </c>
      <c r="AI24" t="s">
        <v>149</v>
      </c>
    </row>
    <row r="25" spans="1:35" x14ac:dyDescent="0.45">
      <c r="A25">
        <v>116</v>
      </c>
      <c r="B25">
        <v>16</v>
      </c>
      <c r="C25" t="s">
        <v>120</v>
      </c>
      <c r="E25">
        <v>116</v>
      </c>
      <c r="F25">
        <v>16</v>
      </c>
      <c r="G25" t="s">
        <v>120</v>
      </c>
      <c r="I25">
        <v>116</v>
      </c>
      <c r="J25">
        <v>16</v>
      </c>
      <c r="K25" t="s">
        <v>120</v>
      </c>
      <c r="M25">
        <v>116</v>
      </c>
      <c r="N25">
        <v>15</v>
      </c>
      <c r="O25" t="s">
        <v>120</v>
      </c>
      <c r="Q25">
        <v>116</v>
      </c>
      <c r="R25">
        <v>15</v>
      </c>
      <c r="S25" t="s">
        <v>52</v>
      </c>
      <c r="U25">
        <v>116</v>
      </c>
      <c r="V25">
        <v>15</v>
      </c>
      <c r="W25" t="s">
        <v>90</v>
      </c>
      <c r="Y25">
        <v>116</v>
      </c>
      <c r="Z25">
        <v>15</v>
      </c>
      <c r="AA25" t="s">
        <v>51</v>
      </c>
      <c r="AC25">
        <v>116</v>
      </c>
      <c r="AG25">
        <v>116</v>
      </c>
    </row>
    <row r="26" spans="1:35" x14ac:dyDescent="0.45">
      <c r="A26">
        <v>117</v>
      </c>
      <c r="B26">
        <v>17</v>
      </c>
      <c r="C26" t="s">
        <v>163</v>
      </c>
      <c r="E26">
        <v>117</v>
      </c>
      <c r="I26">
        <v>117</v>
      </c>
      <c r="M26">
        <v>117</v>
      </c>
      <c r="N26">
        <v>16</v>
      </c>
      <c r="O26" t="s">
        <v>118</v>
      </c>
      <c r="Q26">
        <v>117</v>
      </c>
      <c r="R26">
        <v>16</v>
      </c>
      <c r="S26" t="s">
        <v>120</v>
      </c>
      <c r="U26">
        <v>117</v>
      </c>
      <c r="V26">
        <v>16</v>
      </c>
      <c r="W26" t="s">
        <v>120</v>
      </c>
      <c r="Y26">
        <v>117</v>
      </c>
      <c r="Z26">
        <v>16</v>
      </c>
      <c r="AA26" t="s">
        <v>120</v>
      </c>
      <c r="AC26">
        <v>117</v>
      </c>
      <c r="AD26">
        <v>16</v>
      </c>
      <c r="AE26" t="s">
        <v>120</v>
      </c>
      <c r="AG26">
        <v>117</v>
      </c>
      <c r="AH26">
        <v>16</v>
      </c>
      <c r="AI26" t="s">
        <v>120</v>
      </c>
    </row>
    <row r="27" spans="1:35" x14ac:dyDescent="0.45">
      <c r="A27">
        <v>118</v>
      </c>
      <c r="B27">
        <v>18</v>
      </c>
      <c r="C27" t="s">
        <v>164</v>
      </c>
      <c r="E27">
        <v>118</v>
      </c>
      <c r="F27">
        <v>17</v>
      </c>
      <c r="G27" t="s">
        <v>164</v>
      </c>
      <c r="I27">
        <v>118</v>
      </c>
      <c r="J27">
        <v>17</v>
      </c>
      <c r="K27" t="s">
        <v>164</v>
      </c>
      <c r="M27">
        <v>118</v>
      </c>
      <c r="N27">
        <v>17</v>
      </c>
      <c r="O27" t="s">
        <v>164</v>
      </c>
      <c r="Q27">
        <v>118</v>
      </c>
      <c r="R27">
        <v>17</v>
      </c>
      <c r="S27" t="s">
        <v>163</v>
      </c>
      <c r="U27">
        <v>118</v>
      </c>
      <c r="Y27">
        <v>118</v>
      </c>
      <c r="AC27">
        <v>118</v>
      </c>
      <c r="AG27">
        <v>118</v>
      </c>
    </row>
    <row r="28" spans="1:35" x14ac:dyDescent="0.45">
      <c r="A28">
        <v>119</v>
      </c>
      <c r="B28">
        <v>19</v>
      </c>
      <c r="C28" t="s">
        <v>165</v>
      </c>
      <c r="E28">
        <v>119</v>
      </c>
      <c r="F28">
        <v>18</v>
      </c>
      <c r="G28" t="s">
        <v>165</v>
      </c>
      <c r="I28">
        <v>119</v>
      </c>
      <c r="J28">
        <v>18</v>
      </c>
      <c r="K28" t="s">
        <v>165</v>
      </c>
      <c r="M28">
        <v>119</v>
      </c>
      <c r="N28">
        <v>18</v>
      </c>
      <c r="O28" t="s">
        <v>165</v>
      </c>
      <c r="Q28">
        <v>119</v>
      </c>
      <c r="R28">
        <v>18</v>
      </c>
      <c r="S28" t="s">
        <v>164</v>
      </c>
      <c r="U28">
        <v>119</v>
      </c>
      <c r="V28">
        <v>17</v>
      </c>
      <c r="W28" t="s">
        <v>164</v>
      </c>
      <c r="Y28">
        <v>119</v>
      </c>
      <c r="Z28">
        <v>17</v>
      </c>
      <c r="AA28" t="s">
        <v>164</v>
      </c>
      <c r="AC28">
        <v>119</v>
      </c>
      <c r="AD28">
        <v>17</v>
      </c>
      <c r="AE28" t="s">
        <v>164</v>
      </c>
      <c r="AG28">
        <v>119</v>
      </c>
      <c r="AH28">
        <v>17</v>
      </c>
      <c r="AI28" t="s">
        <v>164</v>
      </c>
    </row>
    <row r="29" spans="1:35" x14ac:dyDescent="0.45">
      <c r="A29">
        <v>120</v>
      </c>
      <c r="B29">
        <v>20</v>
      </c>
      <c r="C29" t="s">
        <v>166</v>
      </c>
      <c r="E29">
        <v>120</v>
      </c>
      <c r="F29">
        <v>19</v>
      </c>
      <c r="G29" t="s">
        <v>166</v>
      </c>
      <c r="I29">
        <v>120</v>
      </c>
      <c r="J29">
        <v>19</v>
      </c>
      <c r="K29" t="s">
        <v>166</v>
      </c>
      <c r="M29">
        <v>120</v>
      </c>
      <c r="N29">
        <v>19</v>
      </c>
      <c r="O29" t="s">
        <v>166</v>
      </c>
      <c r="Q29">
        <v>120</v>
      </c>
      <c r="R29">
        <v>19</v>
      </c>
      <c r="S29" t="s">
        <v>165</v>
      </c>
      <c r="U29">
        <v>120</v>
      </c>
      <c r="V29">
        <v>18</v>
      </c>
      <c r="W29" t="s">
        <v>165</v>
      </c>
      <c r="Y29">
        <v>120</v>
      </c>
      <c r="Z29">
        <v>18</v>
      </c>
      <c r="AA29" t="s">
        <v>165</v>
      </c>
      <c r="AC29">
        <v>120</v>
      </c>
      <c r="AD29">
        <v>18</v>
      </c>
      <c r="AE29" t="s">
        <v>165</v>
      </c>
      <c r="AG29">
        <v>120</v>
      </c>
      <c r="AH29">
        <v>18</v>
      </c>
      <c r="AI29" t="s">
        <v>165</v>
      </c>
    </row>
    <row r="30" spans="1:35" x14ac:dyDescent="0.45">
      <c r="A30">
        <v>121</v>
      </c>
      <c r="B30">
        <v>21</v>
      </c>
      <c r="C30" t="s">
        <v>167</v>
      </c>
      <c r="E30">
        <v>121</v>
      </c>
      <c r="F30">
        <v>20</v>
      </c>
      <c r="G30" t="s">
        <v>167</v>
      </c>
      <c r="I30">
        <v>121</v>
      </c>
      <c r="J30">
        <v>20</v>
      </c>
      <c r="K30" t="s">
        <v>167</v>
      </c>
      <c r="M30">
        <v>121</v>
      </c>
      <c r="N30">
        <v>20</v>
      </c>
      <c r="O30" t="s">
        <v>167</v>
      </c>
      <c r="Q30">
        <v>121</v>
      </c>
      <c r="R30">
        <v>20</v>
      </c>
      <c r="S30" t="s">
        <v>166</v>
      </c>
      <c r="U30">
        <v>121</v>
      </c>
      <c r="V30">
        <v>19</v>
      </c>
      <c r="W30" t="s">
        <v>166</v>
      </c>
      <c r="Y30">
        <v>121</v>
      </c>
      <c r="Z30">
        <v>19</v>
      </c>
      <c r="AA30" t="s">
        <v>166</v>
      </c>
      <c r="AC30">
        <v>121</v>
      </c>
      <c r="AD30">
        <v>19</v>
      </c>
      <c r="AE30" t="s">
        <v>166</v>
      </c>
      <c r="AG30">
        <v>121</v>
      </c>
      <c r="AH30">
        <v>19</v>
      </c>
      <c r="AI30" t="s">
        <v>166</v>
      </c>
    </row>
    <row r="31" spans="1:35" x14ac:dyDescent="0.45">
      <c r="A31">
        <v>122</v>
      </c>
      <c r="B31">
        <v>22</v>
      </c>
      <c r="C31" t="s">
        <v>168</v>
      </c>
      <c r="E31">
        <v>122</v>
      </c>
      <c r="F31">
        <v>21</v>
      </c>
      <c r="G31" t="s">
        <v>168</v>
      </c>
      <c r="I31">
        <v>122</v>
      </c>
      <c r="J31">
        <v>21</v>
      </c>
      <c r="K31" t="s">
        <v>168</v>
      </c>
      <c r="M31">
        <v>122</v>
      </c>
      <c r="N31">
        <v>21</v>
      </c>
      <c r="O31" t="s">
        <v>168</v>
      </c>
      <c r="Q31">
        <v>122</v>
      </c>
      <c r="R31">
        <v>21</v>
      </c>
      <c r="S31" t="s">
        <v>167</v>
      </c>
      <c r="U31">
        <v>122</v>
      </c>
      <c r="V31">
        <v>20</v>
      </c>
      <c r="W31" t="s">
        <v>167</v>
      </c>
      <c r="Y31">
        <v>122</v>
      </c>
      <c r="Z31">
        <v>20</v>
      </c>
      <c r="AA31" t="s">
        <v>167</v>
      </c>
      <c r="AC31">
        <v>122</v>
      </c>
      <c r="AD31">
        <v>20</v>
      </c>
      <c r="AE31" t="s">
        <v>167</v>
      </c>
      <c r="AG31">
        <v>122</v>
      </c>
      <c r="AH31">
        <v>20</v>
      </c>
      <c r="AI31" t="s">
        <v>167</v>
      </c>
    </row>
    <row r="32" spans="1:35" x14ac:dyDescent="0.45">
      <c r="A32">
        <v>123</v>
      </c>
      <c r="B32">
        <v>23</v>
      </c>
      <c r="C32" t="s">
        <v>169</v>
      </c>
      <c r="E32">
        <v>123</v>
      </c>
      <c r="F32">
        <v>22</v>
      </c>
      <c r="G32" t="s">
        <v>169</v>
      </c>
      <c r="I32">
        <v>123</v>
      </c>
      <c r="J32">
        <v>22</v>
      </c>
      <c r="K32" t="s">
        <v>169</v>
      </c>
      <c r="M32">
        <v>123</v>
      </c>
      <c r="N32">
        <v>22</v>
      </c>
      <c r="O32" t="s">
        <v>169</v>
      </c>
      <c r="Q32">
        <v>123</v>
      </c>
      <c r="R32">
        <v>22</v>
      </c>
      <c r="S32" t="s">
        <v>168</v>
      </c>
      <c r="U32">
        <v>123</v>
      </c>
      <c r="V32">
        <v>21</v>
      </c>
      <c r="W32" t="s">
        <v>168</v>
      </c>
      <c r="Y32">
        <v>123</v>
      </c>
      <c r="Z32">
        <v>21</v>
      </c>
      <c r="AA32" t="s">
        <v>168</v>
      </c>
      <c r="AC32">
        <v>123</v>
      </c>
      <c r="AD32">
        <v>21</v>
      </c>
      <c r="AE32" t="s">
        <v>168</v>
      </c>
      <c r="AG32">
        <v>123</v>
      </c>
      <c r="AH32">
        <v>21</v>
      </c>
      <c r="AI32" t="s">
        <v>168</v>
      </c>
    </row>
    <row r="33" spans="1:35" x14ac:dyDescent="0.45">
      <c r="A33">
        <v>124</v>
      </c>
      <c r="B33">
        <v>24</v>
      </c>
      <c r="C33" t="s">
        <v>170</v>
      </c>
      <c r="E33">
        <v>124</v>
      </c>
      <c r="F33">
        <v>23</v>
      </c>
      <c r="G33" t="s">
        <v>170</v>
      </c>
      <c r="I33">
        <v>124</v>
      </c>
      <c r="J33">
        <v>23</v>
      </c>
      <c r="K33" t="s">
        <v>170</v>
      </c>
      <c r="M33">
        <v>124</v>
      </c>
      <c r="N33">
        <v>23</v>
      </c>
      <c r="O33" t="s">
        <v>170</v>
      </c>
      <c r="Q33">
        <v>124</v>
      </c>
      <c r="R33">
        <v>23</v>
      </c>
      <c r="S33" t="s">
        <v>169</v>
      </c>
      <c r="U33">
        <v>124</v>
      </c>
      <c r="V33">
        <v>22</v>
      </c>
      <c r="W33" t="s">
        <v>169</v>
      </c>
      <c r="Y33">
        <v>124</v>
      </c>
      <c r="Z33">
        <v>22</v>
      </c>
      <c r="AA33" t="s">
        <v>169</v>
      </c>
      <c r="AC33">
        <v>124</v>
      </c>
      <c r="AD33">
        <v>22</v>
      </c>
      <c r="AE33" t="s">
        <v>169</v>
      </c>
      <c r="AG33">
        <v>124</v>
      </c>
      <c r="AH33">
        <v>22</v>
      </c>
      <c r="AI33" t="s">
        <v>169</v>
      </c>
    </row>
    <row r="34" spans="1:35" x14ac:dyDescent="0.45">
      <c r="A34">
        <v>125</v>
      </c>
      <c r="B34">
        <v>25</v>
      </c>
      <c r="C34" t="s">
        <v>194</v>
      </c>
      <c r="E34">
        <v>125</v>
      </c>
      <c r="F34">
        <v>24</v>
      </c>
      <c r="G34" t="s">
        <v>194</v>
      </c>
      <c r="I34">
        <v>125</v>
      </c>
      <c r="J34">
        <v>24</v>
      </c>
      <c r="K34" t="s">
        <v>194</v>
      </c>
      <c r="M34">
        <v>125</v>
      </c>
      <c r="N34">
        <v>24</v>
      </c>
      <c r="O34" t="s">
        <v>194</v>
      </c>
      <c r="Q34">
        <v>125</v>
      </c>
      <c r="R34">
        <v>24</v>
      </c>
      <c r="S34" t="s">
        <v>170</v>
      </c>
      <c r="U34">
        <v>125</v>
      </c>
      <c r="V34">
        <v>23</v>
      </c>
      <c r="W34" t="s">
        <v>170</v>
      </c>
      <c r="Y34">
        <v>125</v>
      </c>
      <c r="Z34">
        <v>23</v>
      </c>
      <c r="AA34" t="s">
        <v>170</v>
      </c>
      <c r="AC34">
        <v>125</v>
      </c>
      <c r="AD34">
        <v>23</v>
      </c>
      <c r="AE34" t="s">
        <v>170</v>
      </c>
      <c r="AG34">
        <v>125</v>
      </c>
      <c r="AH34">
        <v>23</v>
      </c>
      <c r="AI34" t="s">
        <v>170</v>
      </c>
    </row>
    <row r="35" spans="1:35" x14ac:dyDescent="0.45">
      <c r="A35">
        <v>126</v>
      </c>
      <c r="B35">
        <v>26</v>
      </c>
      <c r="C35" t="s">
        <v>171</v>
      </c>
      <c r="E35">
        <v>126</v>
      </c>
      <c r="F35">
        <v>25</v>
      </c>
      <c r="G35" t="s">
        <v>171</v>
      </c>
      <c r="I35">
        <v>126</v>
      </c>
      <c r="J35">
        <v>25</v>
      </c>
      <c r="K35" t="s">
        <v>171</v>
      </c>
      <c r="M35">
        <v>126</v>
      </c>
      <c r="N35">
        <v>25</v>
      </c>
      <c r="O35" t="s">
        <v>171</v>
      </c>
      <c r="Q35">
        <v>126</v>
      </c>
      <c r="U35">
        <v>126</v>
      </c>
      <c r="Y35">
        <v>126</v>
      </c>
      <c r="Z35">
        <v>24</v>
      </c>
      <c r="AA35" t="s">
        <v>89</v>
      </c>
      <c r="AC35">
        <v>126</v>
      </c>
      <c r="AG35">
        <v>126</v>
      </c>
      <c r="AH35">
        <v>24</v>
      </c>
      <c r="AI35" t="s">
        <v>181</v>
      </c>
    </row>
    <row r="36" spans="1:35" x14ac:dyDescent="0.45">
      <c r="A36">
        <v>127</v>
      </c>
      <c r="B36">
        <v>27</v>
      </c>
      <c r="C36" t="s">
        <v>172</v>
      </c>
      <c r="E36">
        <v>127</v>
      </c>
      <c r="F36">
        <v>26</v>
      </c>
      <c r="G36" t="s">
        <v>172</v>
      </c>
      <c r="I36">
        <v>127</v>
      </c>
      <c r="J36">
        <v>26</v>
      </c>
      <c r="K36" t="s">
        <v>172</v>
      </c>
      <c r="M36">
        <v>127</v>
      </c>
      <c r="N36">
        <v>26</v>
      </c>
      <c r="O36" t="s">
        <v>172</v>
      </c>
      <c r="Q36">
        <v>127</v>
      </c>
      <c r="R36">
        <v>25</v>
      </c>
      <c r="S36" t="s">
        <v>194</v>
      </c>
      <c r="U36">
        <v>127</v>
      </c>
      <c r="V36">
        <v>24</v>
      </c>
      <c r="W36" t="s">
        <v>194</v>
      </c>
      <c r="Y36">
        <v>127</v>
      </c>
      <c r="Z36">
        <v>25</v>
      </c>
      <c r="AA36" t="s">
        <v>194</v>
      </c>
      <c r="AC36">
        <v>127</v>
      </c>
      <c r="AD36">
        <v>24</v>
      </c>
      <c r="AE36" t="s">
        <v>194</v>
      </c>
      <c r="AG36">
        <v>127</v>
      </c>
      <c r="AH36">
        <v>25</v>
      </c>
      <c r="AI36" t="s">
        <v>194</v>
      </c>
    </row>
    <row r="37" spans="1:35" x14ac:dyDescent="0.45">
      <c r="A37">
        <v>128</v>
      </c>
      <c r="B37">
        <v>28</v>
      </c>
      <c r="C37" t="s">
        <v>83</v>
      </c>
      <c r="E37">
        <v>128</v>
      </c>
      <c r="F37">
        <v>27</v>
      </c>
      <c r="G37" t="s">
        <v>83</v>
      </c>
      <c r="I37">
        <v>128</v>
      </c>
      <c r="J37">
        <v>27</v>
      </c>
      <c r="K37" t="s">
        <v>83</v>
      </c>
      <c r="M37">
        <v>128</v>
      </c>
      <c r="N37">
        <v>27</v>
      </c>
      <c r="O37" t="s">
        <v>83</v>
      </c>
      <c r="Q37">
        <v>128</v>
      </c>
      <c r="R37">
        <v>26</v>
      </c>
      <c r="S37" t="s">
        <v>171</v>
      </c>
      <c r="U37">
        <v>128</v>
      </c>
      <c r="V37">
        <v>25</v>
      </c>
      <c r="W37" t="s">
        <v>171</v>
      </c>
      <c r="Y37">
        <v>128</v>
      </c>
      <c r="Z37">
        <v>26</v>
      </c>
      <c r="AA37" t="s">
        <v>171</v>
      </c>
      <c r="AC37">
        <v>128</v>
      </c>
      <c r="AD37">
        <v>25</v>
      </c>
      <c r="AE37" t="s">
        <v>171</v>
      </c>
      <c r="AG37">
        <v>128</v>
      </c>
      <c r="AH37">
        <v>26</v>
      </c>
      <c r="AI37" t="s">
        <v>171</v>
      </c>
    </row>
    <row r="38" spans="1:35" x14ac:dyDescent="0.45">
      <c r="A38">
        <v>129</v>
      </c>
      <c r="B38">
        <v>29</v>
      </c>
      <c r="C38" t="s">
        <v>195</v>
      </c>
      <c r="E38">
        <v>129</v>
      </c>
      <c r="F38">
        <v>28</v>
      </c>
      <c r="G38" t="s">
        <v>195</v>
      </c>
      <c r="I38">
        <v>129</v>
      </c>
      <c r="J38">
        <v>28</v>
      </c>
      <c r="K38" t="s">
        <v>195</v>
      </c>
      <c r="M38">
        <v>129</v>
      </c>
      <c r="N38">
        <v>28</v>
      </c>
      <c r="O38" t="s">
        <v>195</v>
      </c>
      <c r="Q38">
        <v>129</v>
      </c>
      <c r="R38">
        <v>27</v>
      </c>
      <c r="S38" t="s">
        <v>172</v>
      </c>
      <c r="U38">
        <v>129</v>
      </c>
      <c r="V38">
        <v>26</v>
      </c>
      <c r="W38" t="s">
        <v>172</v>
      </c>
      <c r="Y38">
        <v>129</v>
      </c>
      <c r="Z38">
        <v>27</v>
      </c>
      <c r="AA38" t="s">
        <v>172</v>
      </c>
      <c r="AC38">
        <v>129</v>
      </c>
      <c r="AD38">
        <v>26</v>
      </c>
      <c r="AE38" t="s">
        <v>172</v>
      </c>
      <c r="AG38">
        <v>129</v>
      </c>
      <c r="AH38">
        <v>27</v>
      </c>
      <c r="AI38" t="s">
        <v>172</v>
      </c>
    </row>
    <row r="39" spans="1:35" x14ac:dyDescent="0.45">
      <c r="A39">
        <v>130</v>
      </c>
      <c r="B39">
        <v>30</v>
      </c>
      <c r="C39" t="s">
        <v>196</v>
      </c>
      <c r="E39">
        <v>130</v>
      </c>
      <c r="F39">
        <v>29</v>
      </c>
      <c r="G39" t="s">
        <v>196</v>
      </c>
      <c r="I39">
        <v>130</v>
      </c>
      <c r="J39">
        <v>29</v>
      </c>
      <c r="K39" t="s">
        <v>196</v>
      </c>
      <c r="M39">
        <v>130</v>
      </c>
      <c r="N39">
        <v>29</v>
      </c>
      <c r="O39" t="s">
        <v>196</v>
      </c>
      <c r="Q39">
        <v>130</v>
      </c>
      <c r="R39">
        <v>28</v>
      </c>
      <c r="S39" t="s">
        <v>83</v>
      </c>
      <c r="U39">
        <v>130</v>
      </c>
      <c r="V39">
        <v>27</v>
      </c>
      <c r="W39" t="s">
        <v>83</v>
      </c>
      <c r="Y39">
        <v>130</v>
      </c>
      <c r="Z39">
        <v>28</v>
      </c>
      <c r="AA39" t="s">
        <v>83</v>
      </c>
      <c r="AC39">
        <v>130</v>
      </c>
      <c r="AD39">
        <v>27</v>
      </c>
      <c r="AE39" t="s">
        <v>83</v>
      </c>
      <c r="AG39">
        <v>130</v>
      </c>
      <c r="AH39">
        <v>28</v>
      </c>
      <c r="AI39" t="s">
        <v>83</v>
      </c>
    </row>
    <row r="40" spans="1:35" x14ac:dyDescent="0.45">
      <c r="A40">
        <v>131</v>
      </c>
      <c r="B40">
        <v>31</v>
      </c>
      <c r="C40" t="s">
        <v>61</v>
      </c>
      <c r="E40">
        <v>131</v>
      </c>
      <c r="F40">
        <v>30</v>
      </c>
      <c r="G40" t="s">
        <v>61</v>
      </c>
      <c r="I40">
        <v>131</v>
      </c>
      <c r="J40">
        <v>30</v>
      </c>
      <c r="K40" t="s">
        <v>61</v>
      </c>
      <c r="M40">
        <v>131</v>
      </c>
      <c r="N40">
        <v>30</v>
      </c>
      <c r="O40" t="s">
        <v>61</v>
      </c>
      <c r="Q40">
        <v>131</v>
      </c>
      <c r="R40">
        <v>29</v>
      </c>
      <c r="S40" t="s">
        <v>195</v>
      </c>
      <c r="U40">
        <v>131</v>
      </c>
      <c r="V40">
        <v>28</v>
      </c>
      <c r="W40" t="s">
        <v>195</v>
      </c>
      <c r="Y40">
        <v>131</v>
      </c>
      <c r="Z40">
        <v>29</v>
      </c>
      <c r="AA40" t="s">
        <v>195</v>
      </c>
      <c r="AC40">
        <v>131</v>
      </c>
      <c r="AD40">
        <v>28</v>
      </c>
      <c r="AE40" t="s">
        <v>195</v>
      </c>
      <c r="AG40">
        <v>131</v>
      </c>
      <c r="AH40">
        <v>29</v>
      </c>
      <c r="AI40" t="s">
        <v>195</v>
      </c>
    </row>
    <row r="41" spans="1:35" x14ac:dyDescent="0.45">
      <c r="A41">
        <v>132</v>
      </c>
      <c r="B41">
        <v>32</v>
      </c>
      <c r="C41" t="s">
        <v>173</v>
      </c>
      <c r="E41">
        <v>132</v>
      </c>
      <c r="F41">
        <v>31</v>
      </c>
      <c r="G41" t="s">
        <v>173</v>
      </c>
      <c r="I41">
        <v>132</v>
      </c>
      <c r="J41">
        <v>31</v>
      </c>
      <c r="K41" t="s">
        <v>173</v>
      </c>
      <c r="M41">
        <v>132</v>
      </c>
      <c r="N41">
        <v>31</v>
      </c>
      <c r="O41" t="s">
        <v>173</v>
      </c>
      <c r="Q41">
        <v>132</v>
      </c>
      <c r="R41">
        <v>30</v>
      </c>
      <c r="S41" t="s">
        <v>196</v>
      </c>
      <c r="U41">
        <v>132</v>
      </c>
      <c r="V41">
        <v>29</v>
      </c>
      <c r="W41" t="s">
        <v>196</v>
      </c>
      <c r="Y41">
        <v>132</v>
      </c>
      <c r="Z41">
        <v>30</v>
      </c>
      <c r="AA41" t="s">
        <v>196</v>
      </c>
      <c r="AC41">
        <v>132</v>
      </c>
      <c r="AD41">
        <v>29</v>
      </c>
      <c r="AE41" t="s">
        <v>196</v>
      </c>
      <c r="AG41">
        <v>132</v>
      </c>
      <c r="AH41">
        <v>30</v>
      </c>
      <c r="AI41" t="s">
        <v>196</v>
      </c>
    </row>
    <row r="42" spans="1:35" x14ac:dyDescent="0.45">
      <c r="A42">
        <v>133</v>
      </c>
      <c r="B42">
        <v>33</v>
      </c>
      <c r="C42" t="s">
        <v>174</v>
      </c>
      <c r="E42">
        <v>133</v>
      </c>
      <c r="F42">
        <v>32</v>
      </c>
      <c r="G42" t="s">
        <v>174</v>
      </c>
      <c r="I42">
        <v>133</v>
      </c>
      <c r="J42">
        <v>32</v>
      </c>
      <c r="K42" t="s">
        <v>174</v>
      </c>
      <c r="M42">
        <v>133</v>
      </c>
      <c r="N42">
        <v>32</v>
      </c>
      <c r="O42" t="s">
        <v>174</v>
      </c>
      <c r="Q42">
        <v>133</v>
      </c>
      <c r="R42">
        <v>31</v>
      </c>
      <c r="S42" t="s">
        <v>61</v>
      </c>
      <c r="U42">
        <v>133</v>
      </c>
      <c r="V42">
        <v>30</v>
      </c>
      <c r="W42" t="s">
        <v>61</v>
      </c>
      <c r="Y42">
        <v>133</v>
      </c>
      <c r="Z42">
        <v>31</v>
      </c>
      <c r="AA42" t="s">
        <v>61</v>
      </c>
      <c r="AC42">
        <v>133</v>
      </c>
      <c r="AD42">
        <v>30</v>
      </c>
      <c r="AE42" t="s">
        <v>61</v>
      </c>
      <c r="AG42">
        <v>133</v>
      </c>
      <c r="AH42">
        <v>31</v>
      </c>
      <c r="AI42" t="s">
        <v>61</v>
      </c>
    </row>
    <row r="43" spans="1:35" x14ac:dyDescent="0.45">
      <c r="A43">
        <v>134</v>
      </c>
      <c r="B43">
        <v>34</v>
      </c>
      <c r="C43" t="s">
        <v>92</v>
      </c>
      <c r="E43">
        <v>134</v>
      </c>
      <c r="F43">
        <v>33</v>
      </c>
      <c r="G43" t="s">
        <v>92</v>
      </c>
      <c r="I43">
        <v>134</v>
      </c>
      <c r="J43">
        <v>33</v>
      </c>
      <c r="K43" t="s">
        <v>92</v>
      </c>
      <c r="M43">
        <v>134</v>
      </c>
      <c r="N43">
        <v>33</v>
      </c>
      <c r="O43" t="s">
        <v>181</v>
      </c>
      <c r="Q43">
        <v>134</v>
      </c>
      <c r="R43">
        <v>32</v>
      </c>
      <c r="S43" t="s">
        <v>173</v>
      </c>
      <c r="U43">
        <v>134</v>
      </c>
      <c r="V43">
        <v>31</v>
      </c>
      <c r="W43" t="s">
        <v>173</v>
      </c>
      <c r="Y43">
        <v>134</v>
      </c>
      <c r="Z43">
        <v>32</v>
      </c>
      <c r="AA43" t="s">
        <v>173</v>
      </c>
      <c r="AC43">
        <v>134</v>
      </c>
      <c r="AD43">
        <v>31</v>
      </c>
      <c r="AE43" t="s">
        <v>173</v>
      </c>
      <c r="AG43">
        <v>134</v>
      </c>
      <c r="AH43">
        <v>32</v>
      </c>
      <c r="AI43" t="s">
        <v>173</v>
      </c>
    </row>
    <row r="44" spans="1:35" x14ac:dyDescent="0.45">
      <c r="A44">
        <v>135</v>
      </c>
      <c r="B44">
        <v>35</v>
      </c>
      <c r="C44" t="s">
        <v>76</v>
      </c>
      <c r="E44">
        <v>135</v>
      </c>
      <c r="F44">
        <v>34</v>
      </c>
      <c r="G44" t="s">
        <v>76</v>
      </c>
      <c r="I44">
        <v>135</v>
      </c>
      <c r="J44">
        <v>34</v>
      </c>
      <c r="K44" t="s">
        <v>76</v>
      </c>
      <c r="M44">
        <v>135</v>
      </c>
      <c r="N44">
        <v>34</v>
      </c>
      <c r="O44" t="s">
        <v>76</v>
      </c>
      <c r="Q44">
        <v>135</v>
      </c>
      <c r="R44">
        <v>33</v>
      </c>
      <c r="S44" t="s">
        <v>174</v>
      </c>
      <c r="U44">
        <v>135</v>
      </c>
      <c r="V44">
        <v>32</v>
      </c>
      <c r="W44" t="s">
        <v>174</v>
      </c>
      <c r="Y44">
        <v>135</v>
      </c>
      <c r="Z44">
        <v>33</v>
      </c>
      <c r="AA44" t="s">
        <v>174</v>
      </c>
      <c r="AC44">
        <v>135</v>
      </c>
      <c r="AD44">
        <v>32</v>
      </c>
      <c r="AE44" t="s">
        <v>174</v>
      </c>
      <c r="AG44">
        <v>135</v>
      </c>
      <c r="AH44">
        <v>33</v>
      </c>
      <c r="AI44" t="s">
        <v>174</v>
      </c>
    </row>
    <row r="45" spans="1:35" x14ac:dyDescent="0.45">
      <c r="A45">
        <v>136</v>
      </c>
      <c r="B45">
        <v>36</v>
      </c>
      <c r="C45" t="s">
        <v>175</v>
      </c>
      <c r="E45">
        <v>136</v>
      </c>
      <c r="F45">
        <v>35</v>
      </c>
      <c r="G45" t="s">
        <v>175</v>
      </c>
      <c r="I45">
        <v>136</v>
      </c>
      <c r="J45">
        <v>35</v>
      </c>
      <c r="K45" t="s">
        <v>175</v>
      </c>
      <c r="M45">
        <v>136</v>
      </c>
      <c r="N45">
        <v>35</v>
      </c>
      <c r="O45" t="s">
        <v>175</v>
      </c>
      <c r="Q45">
        <v>136</v>
      </c>
      <c r="R45">
        <v>34</v>
      </c>
      <c r="S45" t="s">
        <v>92</v>
      </c>
      <c r="U45">
        <v>136</v>
      </c>
      <c r="V45">
        <v>33</v>
      </c>
      <c r="W45" t="s">
        <v>92</v>
      </c>
      <c r="Y45">
        <v>136</v>
      </c>
      <c r="Z45">
        <v>34</v>
      </c>
      <c r="AA45" t="s">
        <v>92</v>
      </c>
      <c r="AC45">
        <v>136</v>
      </c>
      <c r="AD45">
        <v>33</v>
      </c>
      <c r="AE45" t="s">
        <v>181</v>
      </c>
      <c r="AG45">
        <v>136</v>
      </c>
    </row>
    <row r="46" spans="1:35" x14ac:dyDescent="0.45">
      <c r="A46">
        <v>137</v>
      </c>
      <c r="B46">
        <v>37</v>
      </c>
      <c r="C46" t="s">
        <v>75</v>
      </c>
      <c r="E46">
        <v>137</v>
      </c>
      <c r="F46">
        <v>36</v>
      </c>
      <c r="G46" t="s">
        <v>75</v>
      </c>
      <c r="I46">
        <v>137</v>
      </c>
      <c r="J46">
        <v>36</v>
      </c>
      <c r="K46" t="s">
        <v>75</v>
      </c>
      <c r="M46">
        <v>137</v>
      </c>
      <c r="N46">
        <v>36</v>
      </c>
      <c r="O46" t="s">
        <v>75</v>
      </c>
      <c r="Q46">
        <v>137</v>
      </c>
      <c r="R46">
        <v>35</v>
      </c>
      <c r="S46" t="s">
        <v>76</v>
      </c>
      <c r="U46">
        <v>137</v>
      </c>
      <c r="V46">
        <v>34</v>
      </c>
      <c r="W46" t="s">
        <v>76</v>
      </c>
      <c r="Y46">
        <v>137</v>
      </c>
      <c r="Z46">
        <v>35</v>
      </c>
      <c r="AA46" t="s">
        <v>76</v>
      </c>
      <c r="AC46">
        <v>137</v>
      </c>
      <c r="AD46">
        <v>34</v>
      </c>
      <c r="AE46" t="s">
        <v>76</v>
      </c>
      <c r="AG46">
        <v>137</v>
      </c>
      <c r="AH46">
        <v>34</v>
      </c>
      <c r="AI46" t="s">
        <v>76</v>
      </c>
    </row>
    <row r="47" spans="1:35" x14ac:dyDescent="0.45">
      <c r="A47">
        <v>138</v>
      </c>
      <c r="E47">
        <v>138</v>
      </c>
      <c r="F47">
        <v>37</v>
      </c>
      <c r="G47" t="s">
        <v>73</v>
      </c>
      <c r="I47">
        <v>138</v>
      </c>
      <c r="J47">
        <v>37</v>
      </c>
      <c r="K47" t="s">
        <v>73</v>
      </c>
      <c r="M47">
        <v>138</v>
      </c>
      <c r="N47">
        <v>37</v>
      </c>
      <c r="O47" t="s">
        <v>73</v>
      </c>
      <c r="Q47">
        <v>138</v>
      </c>
      <c r="R47">
        <v>36</v>
      </c>
      <c r="S47" t="s">
        <v>175</v>
      </c>
      <c r="U47">
        <v>138</v>
      </c>
      <c r="V47">
        <v>35</v>
      </c>
      <c r="W47" t="s">
        <v>175</v>
      </c>
      <c r="Y47">
        <v>138</v>
      </c>
      <c r="Z47">
        <v>36</v>
      </c>
      <c r="AA47" t="s">
        <v>175</v>
      </c>
      <c r="AC47">
        <v>138</v>
      </c>
      <c r="AD47">
        <v>35</v>
      </c>
      <c r="AE47" t="s">
        <v>175</v>
      </c>
      <c r="AG47">
        <v>138</v>
      </c>
      <c r="AH47">
        <v>35</v>
      </c>
      <c r="AI47" t="s">
        <v>175</v>
      </c>
    </row>
    <row r="48" spans="1:35" x14ac:dyDescent="0.45">
      <c r="A48">
        <v>139</v>
      </c>
      <c r="B48">
        <v>38</v>
      </c>
      <c r="C48" t="s">
        <v>176</v>
      </c>
      <c r="E48">
        <v>139</v>
      </c>
      <c r="F48">
        <v>38</v>
      </c>
      <c r="G48" t="s">
        <v>176</v>
      </c>
      <c r="I48">
        <v>139</v>
      </c>
      <c r="J48">
        <v>38</v>
      </c>
      <c r="K48" t="s">
        <v>176</v>
      </c>
      <c r="M48">
        <v>139</v>
      </c>
      <c r="N48">
        <v>38</v>
      </c>
      <c r="O48" t="s">
        <v>176</v>
      </c>
      <c r="Q48">
        <v>139</v>
      </c>
      <c r="R48">
        <v>37</v>
      </c>
      <c r="S48" t="s">
        <v>75</v>
      </c>
      <c r="U48">
        <v>139</v>
      </c>
      <c r="V48">
        <v>36</v>
      </c>
      <c r="W48" t="s">
        <v>75</v>
      </c>
      <c r="Y48">
        <v>139</v>
      </c>
      <c r="Z48">
        <v>37</v>
      </c>
      <c r="AA48" t="s">
        <v>75</v>
      </c>
      <c r="AC48">
        <v>139</v>
      </c>
      <c r="AD48">
        <v>36</v>
      </c>
      <c r="AE48" t="s">
        <v>75</v>
      </c>
      <c r="AG48">
        <v>139</v>
      </c>
      <c r="AH48">
        <v>36</v>
      </c>
      <c r="AI48" t="s">
        <v>75</v>
      </c>
    </row>
    <row r="49" spans="1:35" x14ac:dyDescent="0.45">
      <c r="A49">
        <v>140</v>
      </c>
      <c r="B49">
        <v>39</v>
      </c>
      <c r="C49" t="s">
        <v>151</v>
      </c>
      <c r="E49">
        <v>140</v>
      </c>
      <c r="F49">
        <v>39</v>
      </c>
      <c r="G49" t="s">
        <v>151</v>
      </c>
      <c r="I49">
        <v>140</v>
      </c>
      <c r="J49">
        <v>39</v>
      </c>
      <c r="K49" t="s">
        <v>151</v>
      </c>
      <c r="M49">
        <v>140</v>
      </c>
      <c r="N49">
        <v>39</v>
      </c>
      <c r="O49" t="s">
        <v>151</v>
      </c>
      <c r="Q49">
        <v>140</v>
      </c>
      <c r="U49">
        <v>140</v>
      </c>
      <c r="V49">
        <v>37</v>
      </c>
      <c r="W49" t="s">
        <v>73</v>
      </c>
      <c r="Y49">
        <v>140</v>
      </c>
      <c r="Z49">
        <v>38</v>
      </c>
      <c r="AA49" t="s">
        <v>73</v>
      </c>
      <c r="AC49">
        <v>140</v>
      </c>
      <c r="AD49">
        <v>37</v>
      </c>
      <c r="AE49" t="s">
        <v>73</v>
      </c>
      <c r="AG49">
        <v>140</v>
      </c>
      <c r="AH49">
        <v>37</v>
      </c>
      <c r="AI49" t="s">
        <v>73</v>
      </c>
    </row>
    <row r="50" spans="1:35" x14ac:dyDescent="0.45">
      <c r="A50">
        <v>141</v>
      </c>
      <c r="B50">
        <v>40</v>
      </c>
      <c r="C50" t="s">
        <v>177</v>
      </c>
      <c r="E50">
        <v>141</v>
      </c>
      <c r="F50">
        <v>40</v>
      </c>
      <c r="G50" t="s">
        <v>177</v>
      </c>
      <c r="I50">
        <v>141</v>
      </c>
      <c r="J50">
        <v>40</v>
      </c>
      <c r="K50" t="s">
        <v>89</v>
      </c>
      <c r="M50">
        <v>141</v>
      </c>
      <c r="N50">
        <v>40</v>
      </c>
      <c r="O50" t="s">
        <v>177</v>
      </c>
      <c r="Q50">
        <v>141</v>
      </c>
      <c r="R50">
        <v>38</v>
      </c>
      <c r="S50" t="s">
        <v>176</v>
      </c>
      <c r="U50">
        <v>141</v>
      </c>
      <c r="V50">
        <v>38</v>
      </c>
      <c r="W50" t="s">
        <v>176</v>
      </c>
      <c r="Y50">
        <v>141</v>
      </c>
      <c r="Z50">
        <v>39</v>
      </c>
      <c r="AA50" t="s">
        <v>176</v>
      </c>
      <c r="AC50">
        <v>141</v>
      </c>
      <c r="AD50">
        <v>38</v>
      </c>
      <c r="AE50" t="s">
        <v>176</v>
      </c>
      <c r="AG50">
        <v>141</v>
      </c>
      <c r="AH50">
        <v>38</v>
      </c>
      <c r="AI50" t="s">
        <v>176</v>
      </c>
    </row>
    <row r="51" spans="1:35" x14ac:dyDescent="0.45">
      <c r="A51">
        <v>142</v>
      </c>
      <c r="B51">
        <v>41</v>
      </c>
      <c r="C51" t="s">
        <v>68</v>
      </c>
      <c r="E51">
        <v>142</v>
      </c>
      <c r="F51">
        <v>41</v>
      </c>
      <c r="G51" t="s">
        <v>68</v>
      </c>
      <c r="I51">
        <v>142</v>
      </c>
      <c r="J51">
        <v>41</v>
      </c>
      <c r="K51" t="s">
        <v>68</v>
      </c>
      <c r="M51">
        <v>142</v>
      </c>
      <c r="N51">
        <v>41</v>
      </c>
      <c r="O51" t="s">
        <v>68</v>
      </c>
      <c r="Q51">
        <v>142</v>
      </c>
      <c r="R51">
        <v>39</v>
      </c>
      <c r="S51" t="s">
        <v>151</v>
      </c>
      <c r="U51">
        <v>142</v>
      </c>
      <c r="V51">
        <v>39</v>
      </c>
      <c r="W51" t="s">
        <v>151</v>
      </c>
      <c r="Y51">
        <v>142</v>
      </c>
      <c r="Z51">
        <v>40</v>
      </c>
      <c r="AA51" t="s">
        <v>151</v>
      </c>
      <c r="AC51">
        <v>142</v>
      </c>
      <c r="AD51">
        <v>39</v>
      </c>
      <c r="AE51" t="s">
        <v>151</v>
      </c>
      <c r="AG51">
        <v>142</v>
      </c>
      <c r="AH51">
        <v>39</v>
      </c>
      <c r="AI51" t="s">
        <v>151</v>
      </c>
    </row>
    <row r="52" spans="1:35" x14ac:dyDescent="0.45">
      <c r="A52">
        <v>143</v>
      </c>
      <c r="B52">
        <v>42</v>
      </c>
      <c r="C52" t="s">
        <v>67</v>
      </c>
      <c r="E52">
        <v>143</v>
      </c>
      <c r="F52">
        <v>42</v>
      </c>
      <c r="G52" t="s">
        <v>67</v>
      </c>
      <c r="I52">
        <v>143</v>
      </c>
      <c r="J52">
        <v>42</v>
      </c>
      <c r="K52" t="s">
        <v>67</v>
      </c>
      <c r="M52">
        <v>143</v>
      </c>
      <c r="N52">
        <v>42</v>
      </c>
      <c r="O52" t="s">
        <v>67</v>
      </c>
      <c r="Q52">
        <v>143</v>
      </c>
      <c r="R52">
        <v>40</v>
      </c>
      <c r="S52" t="s">
        <v>177</v>
      </c>
      <c r="U52">
        <v>143</v>
      </c>
      <c r="V52">
        <v>40</v>
      </c>
      <c r="W52" t="s">
        <v>177</v>
      </c>
      <c r="Y52">
        <v>143</v>
      </c>
      <c r="AC52">
        <v>143</v>
      </c>
      <c r="AD52">
        <v>40</v>
      </c>
      <c r="AE52" t="s">
        <v>177</v>
      </c>
      <c r="AG52">
        <v>143</v>
      </c>
      <c r="AH52">
        <v>40</v>
      </c>
      <c r="AI52" t="s">
        <v>177</v>
      </c>
    </row>
    <row r="53" spans="1:35" x14ac:dyDescent="0.45">
      <c r="A53">
        <v>144</v>
      </c>
      <c r="B53">
        <v>43</v>
      </c>
      <c r="C53" t="s">
        <v>178</v>
      </c>
      <c r="E53">
        <v>144</v>
      </c>
      <c r="F53">
        <v>43</v>
      </c>
      <c r="G53" t="s">
        <v>178</v>
      </c>
      <c r="I53">
        <v>144</v>
      </c>
      <c r="J53">
        <v>43</v>
      </c>
      <c r="K53" t="s">
        <v>178</v>
      </c>
      <c r="M53">
        <v>144</v>
      </c>
      <c r="N53">
        <v>43</v>
      </c>
      <c r="O53" t="s">
        <v>178</v>
      </c>
      <c r="Q53">
        <v>144</v>
      </c>
      <c r="R53">
        <v>41</v>
      </c>
      <c r="S53" t="s">
        <v>68</v>
      </c>
      <c r="U53">
        <v>144</v>
      </c>
      <c r="V53">
        <v>41</v>
      </c>
      <c r="W53" t="s">
        <v>68</v>
      </c>
      <c r="Y53">
        <v>144</v>
      </c>
      <c r="Z53">
        <v>41</v>
      </c>
      <c r="AA53" t="s">
        <v>68</v>
      </c>
      <c r="AC53">
        <v>144</v>
      </c>
      <c r="AD53">
        <v>41</v>
      </c>
      <c r="AE53" t="s">
        <v>68</v>
      </c>
      <c r="AG53">
        <v>144</v>
      </c>
      <c r="AH53">
        <v>41</v>
      </c>
      <c r="AI53" t="s">
        <v>68</v>
      </c>
    </row>
  </sheetData>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04E36-96BB-497E-96D0-ED9471B980A5}">
  <sheetPr>
    <tabColor theme="8" tint="0.59999389629810485"/>
  </sheetPr>
  <dimension ref="A1"/>
  <sheetViews>
    <sheetView workbookViewId="0"/>
  </sheetViews>
  <sheetFormatPr defaultRowHeight="14.25" x14ac:dyDescent="0.45"/>
  <sheetData/>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3</vt:i4>
      </vt:variant>
    </vt:vector>
  </HeadingPairs>
  <TitlesOfParts>
    <vt:vector size="35" baseType="lpstr">
      <vt:lpstr>Contents</vt:lpstr>
      <vt:lpstr>INPUTS (Ofcom model re-run) --&gt;</vt:lpstr>
      <vt:lpstr>Viewing data</vt:lpstr>
      <vt:lpstr>Nation weights - Sky</vt:lpstr>
      <vt:lpstr> VM-Gen Ent - EMP slot values</vt:lpstr>
      <vt:lpstr>Sky-Gen Ent - EMP slot values</vt:lpstr>
      <vt:lpstr>VM-Gen Ent EPG</vt:lpstr>
      <vt:lpstr>Sky-Gen Ent EPG</vt:lpstr>
      <vt:lpstr>IMPACTS (Ofcom model re-run)--&gt;</vt:lpstr>
      <vt:lpstr>Impacts - Virgin Media</vt:lpstr>
      <vt:lpstr>Impacts - Sky - England and NI</vt:lpstr>
      <vt:lpstr>Impacts - Sky - Scotland</vt:lpstr>
      <vt:lpstr>Impacts - Sky - Wales</vt:lpstr>
      <vt:lpstr>Impacts - Sky - Kids</vt:lpstr>
      <vt:lpstr>INPUTS (O&amp;O model re-run) --&gt;</vt:lpstr>
      <vt:lpstr>Viewing data (2)</vt:lpstr>
      <vt:lpstr>Nation weights - Sky (2)</vt:lpstr>
      <vt:lpstr>O&amp;O - Revenues &amp; viewing</vt:lpstr>
      <vt:lpstr>O&amp;O - other input parameters</vt:lpstr>
      <vt:lpstr>VM-Gen Ent EPG (2)</vt:lpstr>
      <vt:lpstr>Sky-Gen Ent EPG (2)</vt:lpstr>
      <vt:lpstr>Freeview-Gen Ent</vt:lpstr>
      <vt:lpstr>Freeview-Gen Ent-more than min</vt:lpstr>
      <vt:lpstr>Freesat-Gen Ent EPG</vt:lpstr>
      <vt:lpstr>IMPACTS (O&amp;O model re-run) --&gt;</vt:lpstr>
      <vt:lpstr>Impacts - VM</vt:lpstr>
      <vt:lpstr>Impact - Sky Wales</vt:lpstr>
      <vt:lpstr>Impacts - Freeview - non Scot</vt:lpstr>
      <vt:lpstr>Impacts - Freeview - Scotland</vt:lpstr>
      <vt:lpstr>Impacts - Freesat - non Wales</vt:lpstr>
      <vt:lpstr>Impacts - Freesat - Wales</vt:lpstr>
      <vt:lpstr>Additional C4 calculations</vt:lpstr>
      <vt:lpstr>Workbook.Objective</vt:lpstr>
      <vt:lpstr>Contents!Workbook.Title</vt:lpstr>
      <vt:lpstr>Workbook.Version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2019-07-03T08:15:37Z</dcterms:created>
  <dcterms:modified xsi:type="dcterms:W3CDTF">2020-10-29T11:30:40Z</dcterms:modified>
</cp:coreProperties>
</file>