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filterPrivacy="1" defaultThemeVersion="166925"/>
  <xr:revisionPtr revIDLastSave="0" documentId="13_ncr:1_{31592748-41F5-44B2-B3C7-7482871F13E5}" xr6:coauthVersionLast="28" xr6:coauthVersionMax="28" xr10:uidLastSave="{00000000-0000-0000-0000-000000000000}"/>
  <bookViews>
    <workbookView xWindow="0" yWindow="0" windowWidth="15288" windowHeight="5688" xr2:uid="{00000000-000D-0000-FFFF-FFFF00000000}"/>
  </bookViews>
  <sheets>
    <sheet name="Contents" sheetId="32" r:id="rId1"/>
    <sheet name="Viewing data" sheetId="34" r:id="rId2"/>
    <sheet name="VM-Gen Ent" sheetId="25" r:id="rId3"/>
    <sheet name="Sky-Gen Ent-Scotland" sheetId="30" r:id="rId4"/>
    <sheet name="Sky-Gen Ent-Wales" sheetId="24" r:id="rId5"/>
    <sheet name="Sky-Gen Ent-Eng and NI" sheetId="31" r:id="rId6"/>
    <sheet name="VM-News" sheetId="27" r:id="rId7"/>
    <sheet name="Sky-News" sheetId="29" r:id="rId8"/>
    <sheet name="VM-Kids" sheetId="26" r:id="rId9"/>
    <sheet name="Sky-Kids" sheetId="28" r:id="rId10"/>
  </sheets>
  <definedNames>
    <definedName name="Workbook.Objective">Contents!$B$8</definedName>
    <definedName name="Workbook.Title">Contents!$B$6</definedName>
    <definedName name="Workbook.Version">Contents!$B$9</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6" i="24" l="1"/>
  <c r="I35" i="24"/>
  <c r="I34" i="24"/>
  <c r="H31" i="24"/>
  <c r="I31" i="24" s="1"/>
  <c r="H32" i="24"/>
  <c r="I32" i="24" s="1"/>
  <c r="H33" i="24"/>
  <c r="I33" i="24" s="1"/>
  <c r="H34" i="24"/>
  <c r="H30" i="24"/>
  <c r="I30" i="24" s="1"/>
  <c r="G31" i="24"/>
  <c r="G32" i="24"/>
  <c r="G33" i="24"/>
  <c r="G34" i="24"/>
  <c r="G30" i="24"/>
  <c r="D34" i="24"/>
  <c r="D33" i="24"/>
  <c r="D32" i="24"/>
  <c r="D31" i="24"/>
  <c r="D30" i="24"/>
  <c r="D73" i="24" l="1"/>
  <c r="D72" i="24"/>
  <c r="D71" i="24"/>
  <c r="D70" i="24"/>
  <c r="D69" i="24"/>
  <c r="D68" i="24"/>
  <c r="D67" i="24"/>
  <c r="D66" i="24"/>
  <c r="D65" i="24"/>
  <c r="D64" i="24"/>
  <c r="D63" i="24"/>
  <c r="D62" i="24"/>
  <c r="D61" i="24"/>
  <c r="D60" i="24"/>
  <c r="D59" i="24"/>
  <c r="D58" i="24"/>
  <c r="D57" i="24"/>
  <c r="D56" i="24"/>
  <c r="D55" i="24"/>
  <c r="D54" i="24"/>
  <c r="D53" i="24"/>
  <c r="D52" i="24"/>
  <c r="D51" i="24"/>
  <c r="D50" i="24"/>
  <c r="D49" i="24"/>
  <c r="D48" i="24"/>
  <c r="D47" i="24"/>
  <c r="D46" i="24"/>
  <c r="D45" i="24"/>
  <c r="D44" i="24"/>
  <c r="D43" i="24"/>
  <c r="D271" i="25"/>
  <c r="D270" i="25"/>
  <c r="D269" i="25"/>
  <c r="D268" i="25"/>
  <c r="D267" i="25"/>
  <c r="D266" i="25"/>
  <c r="D265" i="25"/>
  <c r="D264" i="25"/>
  <c r="D263" i="25"/>
  <c r="D262" i="25"/>
  <c r="D261" i="25"/>
  <c r="D260" i="25"/>
  <c r="D259" i="25"/>
  <c r="D258" i="25"/>
  <c r="D257" i="25"/>
  <c r="D256" i="25"/>
  <c r="D255" i="25"/>
  <c r="D254" i="25"/>
  <c r="D253" i="25"/>
  <c r="D252" i="25"/>
  <c r="D251" i="25"/>
  <c r="D250" i="25"/>
  <c r="D249" i="25"/>
  <c r="D248" i="25"/>
  <c r="D247" i="25"/>
  <c r="D246" i="25"/>
  <c r="D245" i="25"/>
  <c r="D244" i="25"/>
  <c r="D243" i="25"/>
  <c r="D242" i="25"/>
  <c r="D241" i="25"/>
  <c r="D240" i="25"/>
  <c r="D239" i="25"/>
  <c r="D238" i="25"/>
  <c r="D237" i="25"/>
  <c r="D236" i="25"/>
  <c r="D235" i="25"/>
  <c r="D234" i="25"/>
  <c r="D233" i="25"/>
  <c r="D232" i="25"/>
  <c r="D231" i="25"/>
  <c r="D230" i="25"/>
  <c r="D229" i="25"/>
  <c r="D228" i="25"/>
  <c r="D227" i="25"/>
  <c r="D226" i="25"/>
  <c r="D225" i="25"/>
  <c r="D224" i="25"/>
  <c r="D223" i="25"/>
  <c r="D222" i="25"/>
  <c r="D221" i="25"/>
  <c r="D220" i="25"/>
  <c r="D219" i="25"/>
  <c r="D218" i="25"/>
  <c r="D217" i="25"/>
  <c r="D216" i="25"/>
  <c r="D215" i="25"/>
  <c r="D214" i="25"/>
  <c r="D213" i="25"/>
  <c r="D203" i="25"/>
  <c r="D202" i="25"/>
  <c r="D201" i="25"/>
  <c r="D200" i="25"/>
  <c r="D199" i="25"/>
  <c r="D198" i="25"/>
  <c r="D197" i="25"/>
  <c r="D196" i="25"/>
  <c r="D195" i="25"/>
  <c r="D194" i="25"/>
  <c r="D193" i="25"/>
  <c r="D192" i="25"/>
  <c r="D191" i="25"/>
  <c r="D190" i="25"/>
  <c r="D189" i="25"/>
  <c r="D188" i="25"/>
  <c r="D187" i="25"/>
  <c r="D186" i="25"/>
  <c r="D185" i="25"/>
  <c r="D184" i="25"/>
  <c r="D183" i="25"/>
  <c r="D182" i="25"/>
  <c r="D181" i="25"/>
  <c r="D180" i="25"/>
  <c r="D179" i="25"/>
  <c r="D178" i="25"/>
  <c r="D177" i="25"/>
  <c r="D176" i="25"/>
  <c r="D175" i="25"/>
  <c r="D174" i="25"/>
  <c r="D173" i="25"/>
  <c r="D172" i="25"/>
  <c r="D171" i="25"/>
  <c r="D170" i="25"/>
  <c r="D169" i="25"/>
  <c r="D168" i="25"/>
  <c r="D167" i="25"/>
  <c r="D166" i="25"/>
  <c r="D165" i="25"/>
  <c r="D164" i="25"/>
  <c r="D163" i="25"/>
  <c r="D162" i="25"/>
  <c r="D161" i="25"/>
  <c r="D160" i="25"/>
  <c r="D159" i="25"/>
  <c r="D158" i="25"/>
  <c r="D157" i="25"/>
  <c r="D156" i="25"/>
  <c r="D155" i="25"/>
  <c r="D154" i="25"/>
  <c r="D153" i="25"/>
  <c r="D152" i="25"/>
  <c r="D151" i="25"/>
  <c r="D150" i="25"/>
  <c r="D149" i="25"/>
  <c r="D148" i="25"/>
  <c r="D147" i="25"/>
  <c r="D146" i="25"/>
  <c r="D145" i="25"/>
  <c r="G5" i="24"/>
  <c r="G4" i="24"/>
  <c r="F5" i="24"/>
  <c r="F4" i="24"/>
  <c r="E5" i="24"/>
  <c r="E4" i="24"/>
  <c r="F23" i="30"/>
  <c r="F22" i="30"/>
  <c r="E23" i="30"/>
  <c r="E22" i="30"/>
  <c r="D23" i="30"/>
  <c r="D22" i="30"/>
  <c r="F10" i="34"/>
  <c r="D5" i="24" s="1"/>
  <c r="F11" i="34"/>
  <c r="D4" i="24" s="1"/>
  <c r="C22" i="30" l="1"/>
  <c r="C23" i="30"/>
  <c r="B2" i="32"/>
  <c r="D30" i="27" l="1"/>
  <c r="C14" i="28" l="1"/>
  <c r="C15" i="28"/>
  <c r="C16" i="28"/>
  <c r="C17" i="28"/>
  <c r="C18" i="28"/>
  <c r="C19" i="28"/>
  <c r="C20" i="28"/>
  <c r="C21" i="28"/>
  <c r="C22" i="28"/>
  <c r="C23" i="28"/>
  <c r="C24" i="28"/>
  <c r="C25" i="28"/>
  <c r="C26" i="28"/>
  <c r="C27" i="28"/>
  <c r="C28" i="28"/>
  <c r="C29" i="28"/>
  <c r="C30" i="28"/>
  <c r="C31" i="28"/>
  <c r="C32" i="28"/>
  <c r="C33" i="28"/>
  <c r="C34" i="28"/>
  <c r="C35" i="28"/>
  <c r="C36" i="28"/>
  <c r="C37" i="28"/>
  <c r="C38" i="28"/>
  <c r="C39" i="28"/>
  <c r="C40" i="28"/>
  <c r="C41" i="28"/>
  <c r="C42" i="28"/>
  <c r="C43" i="28"/>
  <c r="C44" i="28"/>
  <c r="C45" i="28"/>
  <c r="C46" i="28"/>
  <c r="C47" i="28"/>
  <c r="C48" i="28"/>
  <c r="C13" i="28"/>
  <c r="C13" i="26"/>
  <c r="C14" i="26"/>
  <c r="C15" i="26"/>
  <c r="C16" i="26"/>
  <c r="C17" i="26"/>
  <c r="C18" i="26"/>
  <c r="C19" i="26"/>
  <c r="C20" i="26"/>
  <c r="C21" i="26"/>
  <c r="C22" i="26"/>
  <c r="C23" i="26"/>
  <c r="C24" i="26"/>
  <c r="C25" i="26"/>
  <c r="C26" i="26"/>
  <c r="C27" i="26"/>
  <c r="C28" i="26"/>
  <c r="C29" i="26"/>
  <c r="C30" i="26"/>
  <c r="C31" i="26"/>
  <c r="C32" i="26"/>
  <c r="C33" i="26"/>
  <c r="C34" i="26"/>
  <c r="C35" i="26"/>
  <c r="C36" i="26"/>
  <c r="C12" i="26"/>
  <c r="C12" i="29"/>
  <c r="C13" i="29"/>
  <c r="C14" i="29"/>
  <c r="C15" i="29"/>
  <c r="C16" i="29"/>
  <c r="C17" i="29"/>
  <c r="C18" i="29"/>
  <c r="C19" i="29"/>
  <c r="C20" i="29"/>
  <c r="C21" i="29"/>
  <c r="C22" i="29"/>
  <c r="C23" i="29"/>
  <c r="C24" i="29"/>
  <c r="C25" i="29"/>
  <c r="C26" i="29"/>
  <c r="C27" i="29"/>
  <c r="C28" i="29"/>
  <c r="C29" i="29"/>
  <c r="C30" i="29"/>
  <c r="C31" i="29"/>
  <c r="C32" i="29"/>
  <c r="C11" i="29"/>
  <c r="C11" i="27"/>
  <c r="C12" i="27"/>
  <c r="C13" i="27"/>
  <c r="C14" i="27"/>
  <c r="C15" i="27"/>
  <c r="C16" i="27"/>
  <c r="C17" i="27"/>
  <c r="C18" i="27"/>
  <c r="C19" i="27"/>
  <c r="C20" i="27"/>
  <c r="C21" i="27"/>
  <c r="C22" i="27"/>
  <c r="C10" i="27"/>
  <c r="C120" i="30"/>
  <c r="C119" i="30"/>
  <c r="C118" i="30"/>
  <c r="C117" i="30"/>
  <c r="C116" i="30"/>
  <c r="C115" i="30"/>
  <c r="C114" i="30"/>
  <c r="C113" i="30"/>
  <c r="C112" i="30"/>
  <c r="C111" i="30"/>
  <c r="C110" i="30"/>
  <c r="C109" i="30"/>
  <c r="C108" i="30"/>
  <c r="C107" i="30"/>
  <c r="C106" i="30"/>
  <c r="C105" i="30"/>
  <c r="C104" i="30"/>
  <c r="C103" i="30"/>
  <c r="C102" i="30"/>
  <c r="C101" i="30"/>
  <c r="C100" i="30"/>
  <c r="C99" i="30"/>
  <c r="C98" i="30"/>
  <c r="C97" i="30"/>
  <c r="C96" i="30"/>
  <c r="C95" i="30"/>
  <c r="C94" i="30"/>
  <c r="C93" i="30"/>
  <c r="C92" i="30"/>
  <c r="C91" i="30"/>
  <c r="C90" i="30"/>
  <c r="C89" i="30"/>
  <c r="C88" i="30"/>
  <c r="C87" i="30"/>
  <c r="C86" i="30"/>
  <c r="C85" i="30"/>
  <c r="C84" i="30"/>
  <c r="C83" i="30"/>
  <c r="C82" i="30"/>
  <c r="C81" i="30"/>
  <c r="C80" i="30"/>
  <c r="C79" i="30"/>
  <c r="C78" i="30"/>
  <c r="C77" i="30"/>
  <c r="C76" i="30"/>
  <c r="C75" i="30"/>
  <c r="C74" i="30"/>
  <c r="C73" i="30"/>
  <c r="C72" i="30"/>
  <c r="C71" i="30"/>
  <c r="C70" i="30"/>
  <c r="C69" i="30"/>
  <c r="C68" i="30"/>
  <c r="C67" i="30"/>
  <c r="C66" i="30"/>
  <c r="C65" i="30"/>
  <c r="C64" i="30"/>
  <c r="C63" i="30"/>
  <c r="C62" i="30"/>
  <c r="C61" i="30"/>
  <c r="C60" i="30"/>
  <c r="C59" i="30"/>
  <c r="C58" i="30"/>
  <c r="C57" i="30"/>
  <c r="C56" i="30"/>
  <c r="C55" i="30"/>
  <c r="C54" i="30"/>
  <c r="C53" i="30"/>
  <c r="C52" i="30"/>
  <c r="C51" i="30"/>
  <c r="C50" i="30"/>
  <c r="C49" i="30"/>
  <c r="C48" i="30"/>
  <c r="C47" i="30"/>
  <c r="C46" i="30"/>
  <c r="C45" i="30"/>
  <c r="C44" i="30"/>
  <c r="C43" i="30"/>
  <c r="C42" i="30"/>
  <c r="C41" i="30"/>
  <c r="C40" i="30"/>
  <c r="C39" i="30"/>
  <c r="C38" i="30"/>
  <c r="C37" i="30"/>
  <c r="C36" i="30"/>
  <c r="C35" i="30"/>
  <c r="C34" i="30"/>
  <c r="C33" i="30"/>
  <c r="C32" i="30"/>
  <c r="C31" i="30"/>
  <c r="C30" i="30"/>
  <c r="C29" i="30"/>
  <c r="C28" i="30"/>
  <c r="C27" i="30"/>
  <c r="C135" i="25"/>
  <c r="C134" i="25"/>
  <c r="C133" i="25"/>
  <c r="C132" i="25"/>
  <c r="C131" i="25"/>
  <c r="C130" i="25"/>
  <c r="C129" i="25"/>
  <c r="C128" i="25"/>
  <c r="C127" i="25"/>
  <c r="C126" i="25"/>
  <c r="C125" i="25"/>
  <c r="C124" i="25"/>
  <c r="C123" i="25"/>
  <c r="C122" i="25"/>
  <c r="C121" i="25"/>
  <c r="C120" i="25"/>
  <c r="C119" i="25"/>
  <c r="C118" i="25"/>
  <c r="C117" i="25"/>
  <c r="C116" i="25"/>
  <c r="C115" i="25"/>
  <c r="C114" i="25"/>
  <c r="C113" i="25"/>
  <c r="C112" i="25"/>
  <c r="C111" i="25"/>
  <c r="C110" i="25"/>
  <c r="C109" i="25"/>
  <c r="C108" i="25"/>
  <c r="C107" i="25"/>
  <c r="C106" i="25"/>
  <c r="C105" i="25"/>
  <c r="C104" i="25"/>
  <c r="C103" i="25"/>
  <c r="C102" i="25"/>
  <c r="C101" i="25"/>
  <c r="C100" i="25"/>
  <c r="C99" i="25"/>
  <c r="C98" i="25"/>
  <c r="C97" i="25"/>
  <c r="C96" i="25"/>
  <c r="C95" i="25"/>
  <c r="C94" i="25"/>
  <c r="C93" i="25"/>
  <c r="C92" i="25"/>
  <c r="C91" i="25"/>
  <c r="C90" i="25"/>
  <c r="C89" i="25"/>
  <c r="C88" i="25"/>
  <c r="C87" i="25"/>
  <c r="C86" i="25"/>
  <c r="C85" i="25"/>
  <c r="C84" i="25"/>
  <c r="C83" i="25"/>
  <c r="C82" i="25"/>
  <c r="C81" i="25"/>
  <c r="C80" i="25"/>
  <c r="C79" i="25"/>
  <c r="C78" i="25"/>
  <c r="C77" i="25"/>
  <c r="C76" i="25"/>
  <c r="C75" i="25"/>
  <c r="C74" i="25"/>
  <c r="C73" i="25"/>
  <c r="C72" i="25"/>
  <c r="C71" i="25"/>
  <c r="C70" i="25"/>
  <c r="C69" i="25"/>
  <c r="C68" i="25"/>
  <c r="C67" i="25"/>
  <c r="C66" i="25"/>
  <c r="C65" i="25"/>
  <c r="C64" i="25"/>
  <c r="C63" i="25"/>
  <c r="C62" i="25"/>
  <c r="C61" i="25"/>
  <c r="C60" i="25"/>
  <c r="C59" i="25"/>
  <c r="C58" i="25"/>
  <c r="C57" i="25"/>
  <c r="C56" i="25"/>
  <c r="C55" i="25"/>
  <c r="C54" i="25"/>
  <c r="C53" i="25"/>
  <c r="C52" i="25"/>
  <c r="C51" i="25"/>
  <c r="C50" i="25"/>
  <c r="C49" i="25"/>
  <c r="C48" i="25"/>
  <c r="C47" i="25"/>
  <c r="C46" i="25"/>
  <c r="C45" i="25"/>
  <c r="C44" i="25"/>
  <c r="C43" i="25"/>
  <c r="C42" i="25"/>
  <c r="C41" i="25"/>
  <c r="C40" i="25"/>
  <c r="C39" i="25"/>
  <c r="C38" i="25"/>
  <c r="C37" i="25"/>
  <c r="C36" i="25"/>
  <c r="C35" i="25"/>
  <c r="C34" i="25"/>
  <c r="C33" i="25"/>
  <c r="C32" i="25"/>
  <c r="C31" i="25"/>
  <c r="C30" i="25"/>
  <c r="C29" i="25"/>
  <c r="C28" i="25"/>
  <c r="C27" i="25"/>
  <c r="C26" i="25"/>
  <c r="C25" i="25"/>
  <c r="C24" i="25"/>
  <c r="E7" i="30" l="1"/>
  <c r="B42" i="30" s="1"/>
  <c r="E8" i="30"/>
  <c r="E9" i="30"/>
  <c r="E10" i="30"/>
  <c r="B65" i="30" s="1"/>
  <c r="F152" i="30" s="1"/>
  <c r="E4" i="27"/>
  <c r="B12" i="27" s="1"/>
  <c r="D31" i="27"/>
  <c r="B13" i="27"/>
  <c r="D32" i="27"/>
  <c r="D33" i="27"/>
  <c r="D34" i="27"/>
  <c r="E4" i="29"/>
  <c r="B11" i="29" s="1"/>
  <c r="D40" i="29"/>
  <c r="D41" i="29"/>
  <c r="E4" i="26"/>
  <c r="B15" i="26" s="1"/>
  <c r="D63" i="28"/>
  <c r="D62" i="28"/>
  <c r="D61" i="28"/>
  <c r="D60" i="28"/>
  <c r="D59" i="28"/>
  <c r="D58" i="28"/>
  <c r="D57" i="28"/>
  <c r="D56" i="28"/>
  <c r="D44" i="26"/>
  <c r="D45" i="26"/>
  <c r="D7" i="31"/>
  <c r="D8" i="31"/>
  <c r="D14" i="24"/>
  <c r="D15" i="24"/>
  <c r="D16" i="24"/>
  <c r="D17" i="24"/>
  <c r="D18" i="24"/>
  <c r="D19" i="24"/>
  <c r="D20" i="24"/>
  <c r="D21" i="24"/>
  <c r="D22" i="24"/>
  <c r="D13" i="24"/>
  <c r="D156" i="30"/>
  <c r="D155" i="30"/>
  <c r="D154" i="30"/>
  <c r="D153" i="30"/>
  <c r="D152" i="30"/>
  <c r="D151" i="30"/>
  <c r="D150" i="30"/>
  <c r="D149" i="30"/>
  <c r="D148" i="30"/>
  <c r="D147" i="30"/>
  <c r="D146" i="30"/>
  <c r="D145" i="30"/>
  <c r="D144" i="30"/>
  <c r="D143" i="30"/>
  <c r="D142" i="30"/>
  <c r="D141" i="30"/>
  <c r="D140" i="30"/>
  <c r="D139" i="30"/>
  <c r="D138" i="30"/>
  <c r="D137" i="30"/>
  <c r="D136" i="30"/>
  <c r="D135" i="30"/>
  <c r="D134" i="30"/>
  <c r="D133" i="30"/>
  <c r="D132" i="30"/>
  <c r="D131" i="30"/>
  <c r="D130" i="30"/>
  <c r="D129" i="30"/>
  <c r="E5" i="25"/>
  <c r="B33" i="25" s="1"/>
  <c r="E6" i="25"/>
  <c r="E7" i="25"/>
  <c r="B43" i="25" s="1"/>
  <c r="E8" i="25"/>
  <c r="E9" i="25"/>
  <c r="B57" i="25" s="1"/>
  <c r="E10" i="25"/>
  <c r="B67" i="25" s="1"/>
  <c r="E11" i="25"/>
  <c r="B72" i="25" s="1"/>
  <c r="E12" i="25"/>
  <c r="E13" i="25"/>
  <c r="B84" i="25" s="1"/>
  <c r="E6" i="30"/>
  <c r="B35" i="30" s="1"/>
  <c r="G14" i="24" s="1"/>
  <c r="B39" i="30"/>
  <c r="H17" i="24" s="1"/>
  <c r="E5" i="30"/>
  <c r="B27" i="30" s="1"/>
  <c r="G18" i="24"/>
  <c r="E5" i="26"/>
  <c r="B18" i="26" s="1"/>
  <c r="E6" i="26"/>
  <c r="B29" i="26" s="1"/>
  <c r="E4" i="28"/>
  <c r="B14" i="28" s="1"/>
  <c r="E6" i="28"/>
  <c r="B31" i="28" s="1"/>
  <c r="E5" i="28"/>
  <c r="B24" i="28" s="1"/>
  <c r="E7" i="28"/>
  <c r="B34" i="28" s="1"/>
  <c r="B40" i="28"/>
  <c r="E8" i="28"/>
  <c r="B41" i="28" s="1"/>
  <c r="E6" i="29"/>
  <c r="B28" i="29" s="1"/>
  <c r="E5" i="29"/>
  <c r="B17" i="29" s="1"/>
  <c r="B17" i="27"/>
  <c r="B18" i="27"/>
  <c r="B19" i="27"/>
  <c r="B20" i="27"/>
  <c r="B21" i="27"/>
  <c r="B22" i="27"/>
  <c r="B10" i="27"/>
  <c r="B15" i="27"/>
  <c r="B16" i="27"/>
  <c r="E16" i="30"/>
  <c r="E15" i="30"/>
  <c r="B108" i="30" s="1"/>
  <c r="E14" i="30"/>
  <c r="B97" i="30" s="1"/>
  <c r="B106" i="30"/>
  <c r="E13" i="30"/>
  <c r="B90" i="30" s="1"/>
  <c r="E12" i="30"/>
  <c r="B81" i="30" s="1"/>
  <c r="E11" i="30"/>
  <c r="B72" i="30" s="1"/>
  <c r="N150" i="30"/>
  <c r="G22" i="30"/>
  <c r="G23" i="30"/>
  <c r="B24" i="25"/>
  <c r="E4" i="25"/>
  <c r="B26" i="25" s="1"/>
  <c r="H4" i="24"/>
  <c r="H5" i="24"/>
  <c r="D7" i="29"/>
  <c r="D6" i="29"/>
  <c r="D5" i="29"/>
  <c r="E14" i="25"/>
  <c r="B96" i="25" s="1"/>
  <c r="E15" i="25"/>
  <c r="B99" i="25" s="1"/>
  <c r="E16" i="25"/>
  <c r="B109" i="25" s="1"/>
  <c r="E17" i="25"/>
  <c r="B116" i="25" s="1"/>
  <c r="E18" i="25"/>
  <c r="B121" i="25" s="1"/>
  <c r="H13" i="24" l="1"/>
  <c r="B107" i="30"/>
  <c r="B14" i="27"/>
  <c r="B11" i="27"/>
  <c r="I5" i="27" s="1"/>
  <c r="B29" i="25"/>
  <c r="B28" i="25"/>
  <c r="B130" i="25"/>
  <c r="B65" i="25"/>
  <c r="N244" i="25" s="1"/>
  <c r="B31" i="25"/>
  <c r="B127" i="25"/>
  <c r="B110" i="25"/>
  <c r="B29" i="30"/>
  <c r="B68" i="30"/>
  <c r="K153" i="30" s="1"/>
  <c r="K150" i="30"/>
  <c r="B70" i="30"/>
  <c r="B69" i="30"/>
  <c r="N155" i="30" s="1"/>
  <c r="B12" i="29"/>
  <c r="B29" i="29"/>
  <c r="B14" i="29"/>
  <c r="B13" i="29"/>
  <c r="B25" i="29"/>
  <c r="B48" i="28"/>
  <c r="B16" i="28"/>
  <c r="B20" i="26"/>
  <c r="B33" i="26"/>
  <c r="B45" i="25"/>
  <c r="N227" i="25" s="1"/>
  <c r="B13" i="26"/>
  <c r="B36" i="28"/>
  <c r="B27" i="28"/>
  <c r="B85" i="30"/>
  <c r="B32" i="29"/>
  <c r="B35" i="28"/>
  <c r="B34" i="26"/>
  <c r="B22" i="26"/>
  <c r="B42" i="25"/>
  <c r="F225" i="25" s="1"/>
  <c r="B28" i="30"/>
  <c r="B38" i="28"/>
  <c r="B23" i="26"/>
  <c r="B16" i="26"/>
  <c r="B75" i="25"/>
  <c r="F257" i="25" s="1"/>
  <c r="B19" i="28"/>
  <c r="B22" i="28"/>
  <c r="F59" i="28" s="1"/>
  <c r="B43" i="28"/>
  <c r="B104" i="30"/>
  <c r="B109" i="30"/>
  <c r="B23" i="29"/>
  <c r="B46" i="28"/>
  <c r="B42" i="28"/>
  <c r="B39" i="28"/>
  <c r="B17" i="28"/>
  <c r="B23" i="28"/>
  <c r="B19" i="26"/>
  <c r="B33" i="30"/>
  <c r="N46" i="24" s="1"/>
  <c r="B46" i="30"/>
  <c r="F133" i="30" s="1"/>
  <c r="B44" i="28"/>
  <c r="B18" i="28"/>
  <c r="B21" i="28"/>
  <c r="B105" i="30"/>
  <c r="B110" i="30"/>
  <c r="B47" i="28"/>
  <c r="I9" i="28" s="1"/>
  <c r="J9" i="28" s="1"/>
  <c r="B108" i="25"/>
  <c r="B103" i="30"/>
  <c r="B45" i="28"/>
  <c r="B20" i="28"/>
  <c r="B36" i="30"/>
  <c r="H14" i="24" s="1"/>
  <c r="I14" i="24" s="1"/>
  <c r="B118" i="30"/>
  <c r="B112" i="30"/>
  <c r="B55" i="30"/>
  <c r="K67" i="24" s="1"/>
  <c r="B59" i="30"/>
  <c r="N71" i="24" s="1"/>
  <c r="B56" i="30"/>
  <c r="B60" i="30"/>
  <c r="N72" i="24" s="1"/>
  <c r="B57" i="30"/>
  <c r="B61" i="30"/>
  <c r="B84" i="30"/>
  <c r="B86" i="30"/>
  <c r="B80" i="30"/>
  <c r="B111" i="30"/>
  <c r="B47" i="30"/>
  <c r="F134" i="30" s="1"/>
  <c r="B51" i="30"/>
  <c r="N64" i="24" s="1"/>
  <c r="B50" i="30"/>
  <c r="F63" i="24" s="1"/>
  <c r="B53" i="30"/>
  <c r="B79" i="30"/>
  <c r="B62" i="30"/>
  <c r="B100" i="30"/>
  <c r="B98" i="30"/>
  <c r="B77" i="30"/>
  <c r="B78" i="30"/>
  <c r="B73" i="30"/>
  <c r="B119" i="30"/>
  <c r="B58" i="30"/>
  <c r="K70" i="24" s="1"/>
  <c r="B37" i="30"/>
  <c r="N49" i="24" s="1"/>
  <c r="B67" i="30"/>
  <c r="B45" i="30"/>
  <c r="N58" i="24" s="1"/>
  <c r="B32" i="30"/>
  <c r="N45" i="24" s="1"/>
  <c r="B38" i="30"/>
  <c r="N50" i="24" s="1"/>
  <c r="N55" i="24"/>
  <c r="F55" i="24"/>
  <c r="K55" i="24"/>
  <c r="G21" i="24"/>
  <c r="H21" i="24"/>
  <c r="N129" i="30"/>
  <c r="K129" i="30"/>
  <c r="F129" i="30"/>
  <c r="B74" i="30"/>
  <c r="B76" i="30"/>
  <c r="B89" i="30"/>
  <c r="B93" i="30"/>
  <c r="B99" i="30"/>
  <c r="B30" i="30"/>
  <c r="N51" i="24"/>
  <c r="F51" i="24"/>
  <c r="K51" i="24"/>
  <c r="B63" i="30"/>
  <c r="F150" i="30" s="1"/>
  <c r="K68" i="24"/>
  <c r="N69" i="24"/>
  <c r="F59" i="24"/>
  <c r="B75" i="30"/>
  <c r="B91" i="30"/>
  <c r="K58" i="24"/>
  <c r="B34" i="30"/>
  <c r="G13" i="24" s="1"/>
  <c r="B66" i="30"/>
  <c r="B71" i="30"/>
  <c r="B95" i="30"/>
  <c r="N47" i="24"/>
  <c r="F47" i="24"/>
  <c r="K47" i="24"/>
  <c r="B64" i="30"/>
  <c r="F70" i="24"/>
  <c r="K65" i="24"/>
  <c r="N66" i="24"/>
  <c r="B120" i="25"/>
  <c r="B125" i="25"/>
  <c r="B27" i="25"/>
  <c r="B91" i="25"/>
  <c r="B131" i="25"/>
  <c r="B111" i="25"/>
  <c r="B89" i="25"/>
  <c r="B107" i="25"/>
  <c r="B90" i="25"/>
  <c r="B86" i="25"/>
  <c r="K201" i="25" s="1"/>
  <c r="B85" i="25"/>
  <c r="F267" i="25" s="1"/>
  <c r="B68" i="25"/>
  <c r="K247" i="25" s="1"/>
  <c r="B63" i="25"/>
  <c r="F245" i="25" s="1"/>
  <c r="B114" i="25"/>
  <c r="B104" i="25"/>
  <c r="B87" i="25"/>
  <c r="N202" i="25" s="1"/>
  <c r="B69" i="25"/>
  <c r="K248" i="25" s="1"/>
  <c r="B66" i="25"/>
  <c r="B46" i="25"/>
  <c r="F228" i="25" s="1"/>
  <c r="N236" i="25"/>
  <c r="F239" i="25"/>
  <c r="F172" i="25"/>
  <c r="K236" i="25"/>
  <c r="K171" i="25"/>
  <c r="N171" i="25"/>
  <c r="N216" i="25"/>
  <c r="N148" i="25"/>
  <c r="K216" i="25"/>
  <c r="F216" i="25"/>
  <c r="F148" i="25"/>
  <c r="K148" i="25"/>
  <c r="K271" i="25"/>
  <c r="N226" i="25"/>
  <c r="N158" i="25"/>
  <c r="F226" i="25"/>
  <c r="K158" i="25"/>
  <c r="F158" i="25"/>
  <c r="N177" i="25"/>
  <c r="K214" i="25"/>
  <c r="N214" i="25"/>
  <c r="N146" i="25"/>
  <c r="F214" i="25"/>
  <c r="K146" i="25"/>
  <c r="F146" i="25"/>
  <c r="B106" i="25"/>
  <c r="B115" i="25"/>
  <c r="B126" i="25"/>
  <c r="B25" i="25"/>
  <c r="N225" i="25"/>
  <c r="K266" i="25"/>
  <c r="B105" i="25"/>
  <c r="N265" i="25"/>
  <c r="K265" i="25"/>
  <c r="K251" i="25"/>
  <c r="N251" i="25"/>
  <c r="N186" i="25"/>
  <c r="F254" i="25"/>
  <c r="F187" i="25"/>
  <c r="K186" i="25"/>
  <c r="K246" i="25"/>
  <c r="N246" i="25"/>
  <c r="F249" i="25"/>
  <c r="K181" i="25"/>
  <c r="N181" i="25"/>
  <c r="F182" i="25"/>
  <c r="B48" i="25"/>
  <c r="B44" i="25"/>
  <c r="K263" i="25"/>
  <c r="N263" i="25"/>
  <c r="N198" i="25"/>
  <c r="K198" i="25"/>
  <c r="F266" i="25"/>
  <c r="F199" i="25"/>
  <c r="B64" i="25"/>
  <c r="B47" i="25"/>
  <c r="H6" i="24"/>
  <c r="G24" i="30"/>
  <c r="B101" i="25"/>
  <c r="B94" i="25"/>
  <c r="B93" i="25"/>
  <c r="B92" i="25"/>
  <c r="B97" i="25"/>
  <c r="B119" i="25"/>
  <c r="B117" i="25"/>
  <c r="B118" i="25"/>
  <c r="B113" i="25"/>
  <c r="B112" i="25"/>
  <c r="N153" i="30"/>
  <c r="F155" i="30"/>
  <c r="H59" i="28"/>
  <c r="B100" i="25"/>
  <c r="B103" i="25"/>
  <c r="B102" i="25"/>
  <c r="B20" i="29"/>
  <c r="B16" i="29"/>
  <c r="B21" i="29"/>
  <c r="B22" i="29"/>
  <c r="B15" i="29"/>
  <c r="B123" i="25"/>
  <c r="B122" i="25"/>
  <c r="B133" i="25"/>
  <c r="B135" i="25"/>
  <c r="B124" i="25"/>
  <c r="B132" i="25"/>
  <c r="B26" i="28"/>
  <c r="B30" i="28"/>
  <c r="B25" i="28"/>
  <c r="B28" i="28"/>
  <c r="B29" i="28"/>
  <c r="B24" i="26"/>
  <c r="B28" i="26"/>
  <c r="B32" i="26"/>
  <c r="B36" i="26"/>
  <c r="B25" i="26"/>
  <c r="B30" i="26"/>
  <c r="B35" i="26"/>
  <c r="B26" i="26"/>
  <c r="B31" i="26"/>
  <c r="B95" i="25"/>
  <c r="B134" i="25"/>
  <c r="B128" i="25"/>
  <c r="B129" i="25"/>
  <c r="B98" i="25"/>
  <c r="D8" i="29"/>
  <c r="B117" i="30"/>
  <c r="B114" i="30"/>
  <c r="B115" i="30"/>
  <c r="B120" i="30"/>
  <c r="B113" i="30"/>
  <c r="B116" i="30"/>
  <c r="B18" i="29"/>
  <c r="B19" i="29"/>
  <c r="B32" i="28"/>
  <c r="F61" i="28"/>
  <c r="H57" i="28"/>
  <c r="B13" i="28"/>
  <c r="B15" i="28"/>
  <c r="B27" i="26"/>
  <c r="B51" i="25"/>
  <c r="B55" i="25"/>
  <c r="B53" i="25"/>
  <c r="B50" i="25"/>
  <c r="B49" i="25"/>
  <c r="B54" i="25"/>
  <c r="B52" i="25"/>
  <c r="B70" i="25"/>
  <c r="B74" i="25"/>
  <c r="B73" i="25"/>
  <c r="B71" i="25"/>
  <c r="B76" i="25"/>
  <c r="B56" i="25"/>
  <c r="B60" i="25"/>
  <c r="B58" i="25"/>
  <c r="B62" i="25"/>
  <c r="B61" i="25"/>
  <c r="B35" i="25"/>
  <c r="B36" i="25"/>
  <c r="B37" i="25"/>
  <c r="B38" i="25"/>
  <c r="B39" i="25"/>
  <c r="B40" i="25"/>
  <c r="B41" i="25"/>
  <c r="B92" i="30"/>
  <c r="B87" i="30"/>
  <c r="B101" i="30"/>
  <c r="B96" i="30"/>
  <c r="B27" i="29"/>
  <c r="B31" i="29"/>
  <c r="B24" i="29"/>
  <c r="B12" i="26"/>
  <c r="B14" i="26"/>
  <c r="K133" i="30"/>
  <c r="L133" i="30" s="1"/>
  <c r="B88" i="30"/>
  <c r="B83" i="30"/>
  <c r="B82" i="30"/>
  <c r="B94" i="30"/>
  <c r="B102" i="30"/>
  <c r="I6" i="27"/>
  <c r="B26" i="29"/>
  <c r="B30" i="29"/>
  <c r="B33" i="28"/>
  <c r="B37" i="28"/>
  <c r="F58" i="28"/>
  <c r="B17" i="26"/>
  <c r="B21" i="26"/>
  <c r="B31" i="30"/>
  <c r="B59" i="25"/>
  <c r="B32" i="25"/>
  <c r="B30" i="25"/>
  <c r="B34" i="25"/>
  <c r="B77" i="25"/>
  <c r="B78" i="25"/>
  <c r="B79" i="25"/>
  <c r="B80" i="25"/>
  <c r="B81" i="25"/>
  <c r="B82" i="25"/>
  <c r="B83" i="25"/>
  <c r="B88" i="25"/>
  <c r="B49" i="30"/>
  <c r="B48" i="30"/>
  <c r="B52" i="30"/>
  <c r="B54" i="30"/>
  <c r="B40" i="30"/>
  <c r="B44" i="30"/>
  <c r="B43" i="30"/>
  <c r="B41" i="30"/>
  <c r="I13" i="24" l="1"/>
  <c r="F157" i="25"/>
  <c r="N157" i="25"/>
  <c r="O157" i="25" s="1"/>
  <c r="I11" i="30"/>
  <c r="J11" i="30" s="1"/>
  <c r="F190" i="25"/>
  <c r="I6" i="28"/>
  <c r="J6" i="28" s="1"/>
  <c r="N254" i="25"/>
  <c r="O254" i="25" s="1"/>
  <c r="K244" i="25"/>
  <c r="F180" i="25"/>
  <c r="N189" i="25"/>
  <c r="K254" i="25"/>
  <c r="L254" i="25" s="1"/>
  <c r="K157" i="25"/>
  <c r="L157" i="25" s="1"/>
  <c r="N179" i="25"/>
  <c r="F247" i="25"/>
  <c r="K189" i="25"/>
  <c r="K179" i="25"/>
  <c r="N269" i="25"/>
  <c r="I5" i="25"/>
  <c r="K224" i="25"/>
  <c r="L146" i="25"/>
  <c r="N183" i="25"/>
  <c r="K160" i="25"/>
  <c r="I16" i="30"/>
  <c r="J16" i="30" s="1"/>
  <c r="O51" i="24"/>
  <c r="H15" i="24"/>
  <c r="L51" i="24"/>
  <c r="K46" i="24"/>
  <c r="N138" i="30"/>
  <c r="F46" i="24"/>
  <c r="O46" i="24" s="1"/>
  <c r="K155" i="30"/>
  <c r="L155" i="30" s="1"/>
  <c r="G16" i="24"/>
  <c r="K49" i="24"/>
  <c r="F156" i="30"/>
  <c r="H56" i="28"/>
  <c r="I8" i="28"/>
  <c r="J8" i="28" s="1"/>
  <c r="I8" i="26"/>
  <c r="G15" i="24"/>
  <c r="N160" i="25"/>
  <c r="N201" i="25"/>
  <c r="N267" i="25"/>
  <c r="N60" i="24"/>
  <c r="I6" i="26"/>
  <c r="J6" i="26" s="1"/>
  <c r="N133" i="30"/>
  <c r="O133" i="30" s="1"/>
  <c r="K159" i="25"/>
  <c r="F227" i="25"/>
  <c r="O227" i="25" s="1"/>
  <c r="N180" i="25"/>
  <c r="O180" i="25" s="1"/>
  <c r="F269" i="25"/>
  <c r="K267" i="25"/>
  <c r="L267" i="25" s="1"/>
  <c r="N248" i="25"/>
  <c r="F66" i="24"/>
  <c r="O66" i="24" s="1"/>
  <c r="N48" i="24"/>
  <c r="F69" i="24"/>
  <c r="O69" i="24" s="1"/>
  <c r="F73" i="24"/>
  <c r="K60" i="24"/>
  <c r="F160" i="25"/>
  <c r="F201" i="25"/>
  <c r="L201" i="25" s="1"/>
  <c r="K183" i="25"/>
  <c r="K59" i="24"/>
  <c r="L59" i="24" s="1"/>
  <c r="K72" i="24"/>
  <c r="I21" i="24"/>
  <c r="K134" i="30"/>
  <c r="L134" i="30" s="1"/>
  <c r="H58" i="28"/>
  <c r="F60" i="28"/>
  <c r="I5" i="29"/>
  <c r="J5" i="29" s="1"/>
  <c r="F49" i="24"/>
  <c r="O49" i="24" s="1"/>
  <c r="N68" i="24"/>
  <c r="F200" i="25"/>
  <c r="K225" i="25"/>
  <c r="L225" i="25" s="1"/>
  <c r="K48" i="24"/>
  <c r="F60" i="24"/>
  <c r="L60" i="24" s="1"/>
  <c r="H63" i="28"/>
  <c r="F57" i="28"/>
  <c r="I57" i="28" s="1"/>
  <c r="H62" i="28"/>
  <c r="F56" i="28"/>
  <c r="I15" i="30"/>
  <c r="J15" i="30" s="1"/>
  <c r="I7" i="29"/>
  <c r="J7" i="29" s="1"/>
  <c r="I59" i="28"/>
  <c r="K199" i="25"/>
  <c r="L199" i="25" s="1"/>
  <c r="K202" i="25"/>
  <c r="F48" i="24"/>
  <c r="N59" i="24"/>
  <c r="O59" i="24" s="1"/>
  <c r="N134" i="30"/>
  <c r="L55" i="24"/>
  <c r="L47" i="24"/>
  <c r="N156" i="30"/>
  <c r="O156" i="30" s="1"/>
  <c r="F145" i="30"/>
  <c r="K143" i="30"/>
  <c r="F137" i="30"/>
  <c r="K156" i="30"/>
  <c r="L156" i="30" s="1"/>
  <c r="K146" i="30"/>
  <c r="N146" i="30"/>
  <c r="F148" i="30"/>
  <c r="N144" i="30"/>
  <c r="K144" i="30"/>
  <c r="F146" i="30"/>
  <c r="K50" i="24"/>
  <c r="K71" i="24"/>
  <c r="F132" i="30"/>
  <c r="N132" i="30"/>
  <c r="O132" i="30" s="1"/>
  <c r="K132" i="30"/>
  <c r="N147" i="30"/>
  <c r="K147" i="30"/>
  <c r="F149" i="30"/>
  <c r="N154" i="30"/>
  <c r="K142" i="30"/>
  <c r="F144" i="30"/>
  <c r="I12" i="30"/>
  <c r="J12" i="30" s="1"/>
  <c r="K136" i="30"/>
  <c r="F138" i="30"/>
  <c r="H16" i="24"/>
  <c r="G17" i="24"/>
  <c r="I17" i="24" s="1"/>
  <c r="N70" i="24"/>
  <c r="O70" i="24" s="1"/>
  <c r="F50" i="24"/>
  <c r="O50" i="24" s="1"/>
  <c r="F71" i="24"/>
  <c r="O71" i="24" s="1"/>
  <c r="F58" i="24"/>
  <c r="O58" i="24" s="1"/>
  <c r="K63" i="24"/>
  <c r="L63" i="24" s="1"/>
  <c r="F72" i="24"/>
  <c r="K45" i="24"/>
  <c r="K73" i="24"/>
  <c r="F154" i="30"/>
  <c r="N152" i="30"/>
  <c r="O152" i="30" s="1"/>
  <c r="K152" i="30"/>
  <c r="L152" i="30" s="1"/>
  <c r="N145" i="30"/>
  <c r="K145" i="30"/>
  <c r="F147" i="30"/>
  <c r="N73" i="24"/>
  <c r="N142" i="30"/>
  <c r="K140" i="30"/>
  <c r="F142" i="30"/>
  <c r="I10" i="30"/>
  <c r="J10" i="30" s="1"/>
  <c r="N137" i="30"/>
  <c r="O155" i="30"/>
  <c r="K69" i="24"/>
  <c r="F64" i="24"/>
  <c r="O64" i="24" s="1"/>
  <c r="F68" i="24"/>
  <c r="L68" i="24" s="1"/>
  <c r="F45" i="24"/>
  <c r="N63" i="24"/>
  <c r="O63" i="24" s="1"/>
  <c r="O55" i="24"/>
  <c r="F140" i="30"/>
  <c r="K138" i="30"/>
  <c r="N140" i="30"/>
  <c r="N143" i="30"/>
  <c r="K141" i="30"/>
  <c r="F143" i="30"/>
  <c r="N67" i="24"/>
  <c r="F67" i="24"/>
  <c r="L67" i="24" s="1"/>
  <c r="K66" i="24"/>
  <c r="K53" i="24"/>
  <c r="N53" i="24"/>
  <c r="F53" i="24"/>
  <c r="I7" i="30"/>
  <c r="J7" i="30" s="1"/>
  <c r="F52" i="24"/>
  <c r="K52" i="24"/>
  <c r="N52" i="24"/>
  <c r="N62" i="24"/>
  <c r="F62" i="24"/>
  <c r="K62" i="24"/>
  <c r="N43" i="24"/>
  <c r="K43" i="24"/>
  <c r="F43" i="24"/>
  <c r="I17" i="30"/>
  <c r="J17" i="30" s="1"/>
  <c r="N149" i="30"/>
  <c r="K149" i="30"/>
  <c r="L149" i="30" s="1"/>
  <c r="F151" i="30"/>
  <c r="O47" i="24"/>
  <c r="O134" i="30"/>
  <c r="N54" i="24"/>
  <c r="F54" i="24"/>
  <c r="K54" i="24"/>
  <c r="K64" i="24"/>
  <c r="N65" i="24"/>
  <c r="F65" i="24"/>
  <c r="L65" i="24" s="1"/>
  <c r="L70" i="24"/>
  <c r="N151" i="30"/>
  <c r="F153" i="30"/>
  <c r="L153" i="30" s="1"/>
  <c r="K151" i="30"/>
  <c r="L129" i="30"/>
  <c r="F44" i="24"/>
  <c r="K44" i="24"/>
  <c r="N44" i="24"/>
  <c r="K57" i="24"/>
  <c r="N57" i="24"/>
  <c r="F57" i="24"/>
  <c r="K61" i="24"/>
  <c r="N61" i="24"/>
  <c r="F61" i="24"/>
  <c r="I6" i="30"/>
  <c r="J6" i="30" s="1"/>
  <c r="I14" i="30"/>
  <c r="J14" i="30" s="1"/>
  <c r="F56" i="24"/>
  <c r="K56" i="24"/>
  <c r="N56" i="24"/>
  <c r="H22" i="24"/>
  <c r="N148" i="30"/>
  <c r="K148" i="30"/>
  <c r="L148" i="30" s="1"/>
  <c r="O129" i="30"/>
  <c r="N247" i="25"/>
  <c r="O247" i="25" s="1"/>
  <c r="F250" i="25"/>
  <c r="N161" i="25"/>
  <c r="N228" i="25"/>
  <c r="O228" i="25" s="1"/>
  <c r="F183" i="25"/>
  <c r="F270" i="25"/>
  <c r="O267" i="25"/>
  <c r="I11" i="25"/>
  <c r="J11" i="25" s="1"/>
  <c r="N182" i="25"/>
  <c r="O182" i="25" s="1"/>
  <c r="N199" i="25"/>
  <c r="O199" i="25" s="1"/>
  <c r="K269" i="25"/>
  <c r="F161" i="25"/>
  <c r="I18" i="25"/>
  <c r="J18" i="25" s="1"/>
  <c r="N242" i="25"/>
  <c r="F184" i="25"/>
  <c r="K177" i="25"/>
  <c r="K242" i="25"/>
  <c r="F251" i="25"/>
  <c r="O251" i="25" s="1"/>
  <c r="K180" i="25"/>
  <c r="K245" i="25"/>
  <c r="L245" i="25" s="1"/>
  <c r="O214" i="25"/>
  <c r="N245" i="25"/>
  <c r="O245" i="25" s="1"/>
  <c r="I17" i="25"/>
  <c r="J17" i="25" s="1"/>
  <c r="F248" i="25"/>
  <c r="L248" i="25" s="1"/>
  <c r="K182" i="25"/>
  <c r="L182" i="25" s="1"/>
  <c r="F202" i="25"/>
  <c r="F181" i="25"/>
  <c r="L181" i="25" s="1"/>
  <c r="F178" i="25"/>
  <c r="I20" i="25"/>
  <c r="N243" i="25"/>
  <c r="K243" i="25"/>
  <c r="N178" i="25"/>
  <c r="F179" i="25"/>
  <c r="O179" i="25" s="1"/>
  <c r="F246" i="25"/>
  <c r="O246" i="25" s="1"/>
  <c r="K178" i="25"/>
  <c r="O225" i="25"/>
  <c r="O226" i="25"/>
  <c r="L148" i="25"/>
  <c r="O148" i="25"/>
  <c r="N260" i="25"/>
  <c r="K260" i="25"/>
  <c r="N196" i="25"/>
  <c r="F264" i="25"/>
  <c r="F196" i="25"/>
  <c r="K196" i="25"/>
  <c r="N221" i="25"/>
  <c r="K221" i="25"/>
  <c r="F221" i="25"/>
  <c r="N153" i="25"/>
  <c r="K153" i="25"/>
  <c r="F153" i="25"/>
  <c r="N240" i="25"/>
  <c r="F243" i="25"/>
  <c r="K240" i="25"/>
  <c r="F176" i="25"/>
  <c r="N175" i="25"/>
  <c r="K175" i="25"/>
  <c r="N253" i="25"/>
  <c r="K253" i="25"/>
  <c r="N188" i="25"/>
  <c r="F256" i="25"/>
  <c r="K188" i="25"/>
  <c r="F189" i="25"/>
  <c r="O189" i="25" s="1"/>
  <c r="K229" i="25"/>
  <c r="N266" i="25"/>
  <c r="O266" i="25" s="1"/>
  <c r="F232" i="25"/>
  <c r="K164" i="25"/>
  <c r="N165" i="25"/>
  <c r="F165" i="25"/>
  <c r="K259" i="25"/>
  <c r="N259" i="25"/>
  <c r="N194" i="25"/>
  <c r="F195" i="25"/>
  <c r="F262" i="25"/>
  <c r="K194" i="25"/>
  <c r="N217" i="25"/>
  <c r="K217" i="25"/>
  <c r="F217" i="25"/>
  <c r="K149" i="25"/>
  <c r="N149" i="25"/>
  <c r="F149" i="25"/>
  <c r="N224" i="25"/>
  <c r="N156" i="25"/>
  <c r="K264" i="25"/>
  <c r="F224" i="25"/>
  <c r="F156" i="25"/>
  <c r="K156" i="25"/>
  <c r="N220" i="25"/>
  <c r="N152" i="25"/>
  <c r="F220" i="25"/>
  <c r="K220" i="25"/>
  <c r="F152" i="25"/>
  <c r="K152" i="25"/>
  <c r="N241" i="25"/>
  <c r="K241" i="25"/>
  <c r="N176" i="25"/>
  <c r="F244" i="25"/>
  <c r="K176" i="25"/>
  <c r="F177" i="25"/>
  <c r="O177" i="25" s="1"/>
  <c r="K255" i="25"/>
  <c r="N255" i="25"/>
  <c r="N190" i="25"/>
  <c r="O190" i="25" s="1"/>
  <c r="F191" i="25"/>
  <c r="F258" i="25"/>
  <c r="K190" i="25"/>
  <c r="L190" i="25" s="1"/>
  <c r="N249" i="25"/>
  <c r="O249" i="25" s="1"/>
  <c r="K249" i="25"/>
  <c r="L249" i="25" s="1"/>
  <c r="N184" i="25"/>
  <c r="F252" i="25"/>
  <c r="K184" i="25"/>
  <c r="F185" i="25"/>
  <c r="N231" i="25"/>
  <c r="K231" i="25"/>
  <c r="N166" i="25"/>
  <c r="F234" i="25"/>
  <c r="F167" i="25"/>
  <c r="K166" i="25"/>
  <c r="N232" i="25"/>
  <c r="F235" i="25"/>
  <c r="K232" i="25"/>
  <c r="F168" i="25"/>
  <c r="N167" i="25"/>
  <c r="K167" i="25"/>
  <c r="K262" i="25"/>
  <c r="N262" i="25"/>
  <c r="K197" i="25"/>
  <c r="F265" i="25"/>
  <c r="L265" i="25" s="1"/>
  <c r="N197" i="25"/>
  <c r="F198" i="25"/>
  <c r="L198" i="25" s="1"/>
  <c r="K258" i="25"/>
  <c r="N258" i="25"/>
  <c r="F261" i="25"/>
  <c r="N193" i="25"/>
  <c r="K193" i="25"/>
  <c r="F194" i="25"/>
  <c r="N213" i="25"/>
  <c r="K213" i="25"/>
  <c r="F213" i="25"/>
  <c r="N145" i="25"/>
  <c r="K145" i="25"/>
  <c r="F145" i="25"/>
  <c r="N223" i="25"/>
  <c r="K223" i="25"/>
  <c r="F223" i="25"/>
  <c r="K155" i="25"/>
  <c r="N155" i="25"/>
  <c r="F155" i="25"/>
  <c r="N237" i="25"/>
  <c r="K237" i="25"/>
  <c r="N172" i="25"/>
  <c r="O172" i="25" s="1"/>
  <c r="F240" i="25"/>
  <c r="K172" i="25"/>
  <c r="L172" i="25" s="1"/>
  <c r="F173" i="25"/>
  <c r="K234" i="25"/>
  <c r="N234" i="25"/>
  <c r="F237" i="25"/>
  <c r="N169" i="25"/>
  <c r="K169" i="25"/>
  <c r="F170" i="25"/>
  <c r="N256" i="25"/>
  <c r="F259" i="25"/>
  <c r="K256" i="25"/>
  <c r="F192" i="25"/>
  <c r="N191" i="25"/>
  <c r="K191" i="25"/>
  <c r="K238" i="25"/>
  <c r="N238" i="25"/>
  <c r="F241" i="25"/>
  <c r="K173" i="25"/>
  <c r="N173" i="25"/>
  <c r="F174" i="25"/>
  <c r="N235" i="25"/>
  <c r="K235" i="25"/>
  <c r="N170" i="25"/>
  <c r="F238" i="25"/>
  <c r="F171" i="25"/>
  <c r="L171" i="25" s="1"/>
  <c r="K170" i="25"/>
  <c r="N219" i="25"/>
  <c r="F219" i="25"/>
  <c r="K219" i="25"/>
  <c r="N151" i="25"/>
  <c r="K151" i="25"/>
  <c r="F151" i="25"/>
  <c r="K250" i="25"/>
  <c r="N250" i="25"/>
  <c r="F253" i="25"/>
  <c r="N185" i="25"/>
  <c r="K185" i="25"/>
  <c r="F186" i="25"/>
  <c r="L186" i="25" s="1"/>
  <c r="N233" i="25"/>
  <c r="K233" i="25"/>
  <c r="N168" i="25"/>
  <c r="F236" i="25"/>
  <c r="K168" i="25"/>
  <c r="F169" i="25"/>
  <c r="K270" i="25"/>
  <c r="N270" i="25"/>
  <c r="F271" i="25"/>
  <c r="L271" i="25" s="1"/>
  <c r="K203" i="25"/>
  <c r="F203" i="25"/>
  <c r="N203" i="25"/>
  <c r="N261" i="25"/>
  <c r="K261" i="25"/>
  <c r="F263" i="25"/>
  <c r="O263" i="25" s="1"/>
  <c r="K195" i="25"/>
  <c r="N195" i="25"/>
  <c r="F197" i="25"/>
  <c r="N257" i="25"/>
  <c r="O257" i="25" s="1"/>
  <c r="K257" i="25"/>
  <c r="L257" i="25" s="1"/>
  <c r="N192" i="25"/>
  <c r="F260" i="25"/>
  <c r="K192" i="25"/>
  <c r="F193" i="25"/>
  <c r="I6" i="25"/>
  <c r="J6" i="25" s="1"/>
  <c r="N215" i="25"/>
  <c r="K215" i="25"/>
  <c r="F215" i="25"/>
  <c r="K147" i="25"/>
  <c r="N147" i="25"/>
  <c r="F147" i="25"/>
  <c r="K222" i="25"/>
  <c r="N222" i="25"/>
  <c r="N154" i="25"/>
  <c r="F222" i="25"/>
  <c r="F154" i="25"/>
  <c r="K154" i="25"/>
  <c r="K218" i="25"/>
  <c r="N218" i="25"/>
  <c r="N150" i="25"/>
  <c r="F218" i="25"/>
  <c r="K150" i="25"/>
  <c r="F150" i="25"/>
  <c r="N239" i="25"/>
  <c r="O239" i="25" s="1"/>
  <c r="K239" i="25"/>
  <c r="L239" i="25" s="1"/>
  <c r="N174" i="25"/>
  <c r="F175" i="25"/>
  <c r="F242" i="25"/>
  <c r="K174" i="25"/>
  <c r="N252" i="25"/>
  <c r="O252" i="25" s="1"/>
  <c r="F255" i="25"/>
  <c r="K252" i="25"/>
  <c r="F188" i="25"/>
  <c r="K187" i="25"/>
  <c r="L187" i="25" s="1"/>
  <c r="N187" i="25"/>
  <c r="O187" i="25" s="1"/>
  <c r="N264" i="25"/>
  <c r="F231" i="25"/>
  <c r="N164" i="25"/>
  <c r="F164" i="25"/>
  <c r="K163" i="25"/>
  <c r="K228" i="25"/>
  <c r="L228" i="25" s="1"/>
  <c r="K230" i="25"/>
  <c r="N271" i="25"/>
  <c r="N200" i="25"/>
  <c r="F233" i="25"/>
  <c r="K165" i="25"/>
  <c r="F166" i="25"/>
  <c r="N268" i="25"/>
  <c r="K268" i="25"/>
  <c r="F268" i="25"/>
  <c r="N159" i="25"/>
  <c r="K200" i="25"/>
  <c r="F159" i="25"/>
  <c r="L247" i="25"/>
  <c r="L214" i="25"/>
  <c r="O216" i="25"/>
  <c r="O171" i="25"/>
  <c r="N229" i="25"/>
  <c r="K226" i="25"/>
  <c r="L226" i="25" s="1"/>
  <c r="F229" i="25"/>
  <c r="N162" i="25"/>
  <c r="K161" i="25"/>
  <c r="L161" i="25" s="1"/>
  <c r="F162" i="25"/>
  <c r="N230" i="25"/>
  <c r="K227" i="25"/>
  <c r="L227" i="25" s="1"/>
  <c r="F163" i="25"/>
  <c r="F230" i="25"/>
  <c r="N163" i="25"/>
  <c r="K162" i="25"/>
  <c r="L266" i="25"/>
  <c r="O146" i="25"/>
  <c r="L158" i="25"/>
  <c r="O158" i="25"/>
  <c r="L216" i="25"/>
  <c r="I8" i="30"/>
  <c r="J8" i="30" s="1"/>
  <c r="F130" i="30"/>
  <c r="H20" i="24"/>
  <c r="G22" i="24"/>
  <c r="N130" i="30"/>
  <c r="K130" i="30"/>
  <c r="N136" i="30"/>
  <c r="F136" i="30"/>
  <c r="K154" i="30"/>
  <c r="L154" i="30" s="1"/>
  <c r="I13" i="25"/>
  <c r="J13" i="25" s="1"/>
  <c r="J5" i="25"/>
  <c r="O150" i="30"/>
  <c r="L150" i="30"/>
  <c r="I10" i="25"/>
  <c r="J10" i="25" s="1"/>
  <c r="J5" i="27"/>
  <c r="I7" i="27"/>
  <c r="J7" i="27" s="1"/>
  <c r="I8" i="25"/>
  <c r="J8" i="25" s="1"/>
  <c r="I15" i="25"/>
  <c r="J15" i="25" s="1"/>
  <c r="N141" i="30"/>
  <c r="F141" i="30"/>
  <c r="K139" i="30"/>
  <c r="I14" i="25"/>
  <c r="J14" i="25" s="1"/>
  <c r="H60" i="28"/>
  <c r="F62" i="28"/>
  <c r="I62" i="28" s="1"/>
  <c r="N131" i="30"/>
  <c r="F131" i="30"/>
  <c r="K131" i="30"/>
  <c r="F139" i="30"/>
  <c r="N139" i="30"/>
  <c r="K137" i="30"/>
  <c r="L137" i="30" s="1"/>
  <c r="I12" i="25"/>
  <c r="J12" i="25" s="1"/>
  <c r="I9" i="25"/>
  <c r="J9" i="25" s="1"/>
  <c r="I7" i="26"/>
  <c r="J7" i="26" s="1"/>
  <c r="I9" i="30"/>
  <c r="J9" i="30" s="1"/>
  <c r="I16" i="25"/>
  <c r="J16" i="25" s="1"/>
  <c r="I58" i="28"/>
  <c r="I5" i="26"/>
  <c r="H19" i="24"/>
  <c r="G20" i="24"/>
  <c r="G19" i="24"/>
  <c r="H18" i="24"/>
  <c r="I18" i="24" s="1"/>
  <c r="F135" i="30"/>
  <c r="N135" i="30"/>
  <c r="K135" i="30"/>
  <c r="I13" i="30"/>
  <c r="J13" i="30" s="1"/>
  <c r="I15" i="24"/>
  <c r="I7" i="25"/>
  <c r="I5" i="28"/>
  <c r="I6" i="29"/>
  <c r="I7" i="28"/>
  <c r="J7" i="28" s="1"/>
  <c r="H61" i="28"/>
  <c r="I61" i="28" s="1"/>
  <c r="F63" i="28"/>
  <c r="I19" i="25"/>
  <c r="J19" i="25" s="1"/>
  <c r="I22" i="24" l="1"/>
  <c r="L46" i="24"/>
  <c r="L136" i="30"/>
  <c r="O264" i="25"/>
  <c r="O148" i="30"/>
  <c r="O137" i="30"/>
  <c r="L69" i="24"/>
  <c r="O149" i="30"/>
  <c r="I16" i="24"/>
  <c r="L160" i="25"/>
  <c r="I60" i="28"/>
  <c r="L72" i="24"/>
  <c r="O48" i="24"/>
  <c r="L180" i="25"/>
  <c r="O269" i="25"/>
  <c r="O270" i="25"/>
  <c r="O258" i="25"/>
  <c r="O184" i="25"/>
  <c r="O271" i="25"/>
  <c r="L256" i="25"/>
  <c r="L258" i="25"/>
  <c r="L184" i="25"/>
  <c r="O160" i="25"/>
  <c r="L192" i="25"/>
  <c r="L235" i="25"/>
  <c r="O262" i="25"/>
  <c r="L202" i="25"/>
  <c r="O192" i="25"/>
  <c r="O195" i="25"/>
  <c r="L262" i="25"/>
  <c r="L232" i="25"/>
  <c r="O161" i="25"/>
  <c r="L64" i="24"/>
  <c r="L138" i="30"/>
  <c r="L145" i="30"/>
  <c r="L132" i="30"/>
  <c r="L49" i="24"/>
  <c r="L140" i="30"/>
  <c r="L151" i="30"/>
  <c r="L58" i="24"/>
  <c r="O73" i="24"/>
  <c r="O44" i="24"/>
  <c r="L170" i="25"/>
  <c r="O173" i="25"/>
  <c r="O250" i="25"/>
  <c r="L183" i="25"/>
  <c r="O68" i="24"/>
  <c r="L73" i="24"/>
  <c r="O186" i="25"/>
  <c r="O202" i="25"/>
  <c r="L250" i="25"/>
  <c r="O235" i="25"/>
  <c r="L269" i="25"/>
  <c r="O151" i="30"/>
  <c r="O72" i="24"/>
  <c r="L66" i="24"/>
  <c r="L48" i="24"/>
  <c r="O201" i="25"/>
  <c r="O136" i="30"/>
  <c r="L189" i="25"/>
  <c r="L270" i="25"/>
  <c r="L43" i="24"/>
  <c r="L146" i="30"/>
  <c r="I56" i="28"/>
  <c r="I64" i="28" s="1"/>
  <c r="O60" i="24"/>
  <c r="L130" i="30"/>
  <c r="O244" i="25"/>
  <c r="O200" i="25"/>
  <c r="L179" i="25"/>
  <c r="O147" i="30"/>
  <c r="O145" i="30"/>
  <c r="O130" i="30"/>
  <c r="L200" i="25"/>
  <c r="L215" i="25"/>
  <c r="O170" i="25"/>
  <c r="O237" i="25"/>
  <c r="L155" i="25"/>
  <c r="O223" i="25"/>
  <c r="O145" i="25"/>
  <c r="O248" i="25"/>
  <c r="L251" i="25"/>
  <c r="L177" i="25"/>
  <c r="O140" i="30"/>
  <c r="O56" i="24"/>
  <c r="L56" i="24"/>
  <c r="L45" i="24"/>
  <c r="L71" i="24"/>
  <c r="O53" i="24"/>
  <c r="L144" i="30"/>
  <c r="O143" i="30"/>
  <c r="O153" i="30"/>
  <c r="O62" i="24"/>
  <c r="O142" i="30"/>
  <c r="O45" i="24"/>
  <c r="L142" i="30"/>
  <c r="L147" i="30"/>
  <c r="L50" i="24"/>
  <c r="O144" i="30"/>
  <c r="O146" i="30"/>
  <c r="L143" i="30"/>
  <c r="O65" i="24"/>
  <c r="L62" i="24"/>
  <c r="O154" i="30"/>
  <c r="O138" i="30"/>
  <c r="I20" i="24"/>
  <c r="O61" i="24"/>
  <c r="L44" i="24"/>
  <c r="O54" i="24"/>
  <c r="O43" i="24"/>
  <c r="O74" i="24" s="1"/>
  <c r="O52" i="24"/>
  <c r="O131" i="30"/>
  <c r="L61" i="24"/>
  <c r="L57" i="24"/>
  <c r="L54" i="24"/>
  <c r="L52" i="24"/>
  <c r="O139" i="30"/>
  <c r="O141" i="30"/>
  <c r="O57" i="24"/>
  <c r="L53" i="24"/>
  <c r="O67" i="24"/>
  <c r="O183" i="25"/>
  <c r="L195" i="25"/>
  <c r="L224" i="25"/>
  <c r="O168" i="25"/>
  <c r="L244" i="25"/>
  <c r="L252" i="25"/>
  <c r="L174" i="25"/>
  <c r="O265" i="25"/>
  <c r="L168" i="25"/>
  <c r="O191" i="25"/>
  <c r="L167" i="25"/>
  <c r="O176" i="25"/>
  <c r="L264" i="25"/>
  <c r="O178" i="25"/>
  <c r="L246" i="25"/>
  <c r="L191" i="25"/>
  <c r="L165" i="25"/>
  <c r="L242" i="25"/>
  <c r="O203" i="25"/>
  <c r="O198" i="25"/>
  <c r="L173" i="25"/>
  <c r="O256" i="25"/>
  <c r="O155" i="25"/>
  <c r="L223" i="25"/>
  <c r="L145" i="25"/>
  <c r="L176" i="25"/>
  <c r="O196" i="25"/>
  <c r="L159" i="25"/>
  <c r="O238" i="25"/>
  <c r="L152" i="25"/>
  <c r="O152" i="25"/>
  <c r="L156" i="25"/>
  <c r="L162" i="25"/>
  <c r="L150" i="25"/>
  <c r="O218" i="25"/>
  <c r="L203" i="25"/>
  <c r="L236" i="25"/>
  <c r="L219" i="25"/>
  <c r="O194" i="25"/>
  <c r="O243" i="25"/>
  <c r="O181" i="25"/>
  <c r="O163" i="25"/>
  <c r="L163" i="25"/>
  <c r="O222" i="25"/>
  <c r="O147" i="25"/>
  <c r="O162" i="25"/>
  <c r="O229" i="25"/>
  <c r="L222" i="25"/>
  <c r="L237" i="25"/>
  <c r="O167" i="25"/>
  <c r="L178" i="25"/>
  <c r="O242" i="25"/>
  <c r="O159" i="25"/>
  <c r="O268" i="25"/>
  <c r="O154" i="25"/>
  <c r="O197" i="25"/>
  <c r="L197" i="25"/>
  <c r="O188" i="25"/>
  <c r="L240" i="25"/>
  <c r="O236" i="25"/>
  <c r="L169" i="25"/>
  <c r="O234" i="25"/>
  <c r="L213" i="25"/>
  <c r="L166" i="25"/>
  <c r="O166" i="25"/>
  <c r="O149" i="25"/>
  <c r="L194" i="25"/>
  <c r="O165" i="25"/>
  <c r="L175" i="25"/>
  <c r="L196" i="25"/>
  <c r="L260" i="25"/>
  <c r="O230" i="25"/>
  <c r="L268" i="25"/>
  <c r="L230" i="25"/>
  <c r="L218" i="25"/>
  <c r="O215" i="25"/>
  <c r="L261" i="25"/>
  <c r="L233" i="25"/>
  <c r="L185" i="25"/>
  <c r="L151" i="25"/>
  <c r="O169" i="25"/>
  <c r="L234" i="25"/>
  <c r="O213" i="25"/>
  <c r="L193" i="25"/>
  <c r="L231" i="25"/>
  <c r="O255" i="25"/>
  <c r="L241" i="25"/>
  <c r="O156" i="25"/>
  <c r="L217" i="25"/>
  <c r="O259" i="25"/>
  <c r="L188" i="25"/>
  <c r="L253" i="25"/>
  <c r="O175" i="25"/>
  <c r="L153" i="25"/>
  <c r="L221" i="25"/>
  <c r="L263" i="25"/>
  <c r="L243" i="25"/>
  <c r="O164" i="25"/>
  <c r="O174" i="25"/>
  <c r="O150" i="25"/>
  <c r="L154" i="25"/>
  <c r="L147" i="25"/>
  <c r="O261" i="25"/>
  <c r="O233" i="25"/>
  <c r="O185" i="25"/>
  <c r="O151" i="25"/>
  <c r="O219" i="25"/>
  <c r="L238" i="25"/>
  <c r="O193" i="25"/>
  <c r="O232" i="25"/>
  <c r="O231" i="25"/>
  <c r="L255" i="25"/>
  <c r="O241" i="25"/>
  <c r="L220" i="25"/>
  <c r="O220" i="25"/>
  <c r="O224" i="25"/>
  <c r="L149" i="25"/>
  <c r="O217" i="25"/>
  <c r="L259" i="25"/>
  <c r="L164" i="25"/>
  <c r="L229" i="25"/>
  <c r="O253" i="25"/>
  <c r="O240" i="25"/>
  <c r="O153" i="25"/>
  <c r="O221" i="25"/>
  <c r="O260" i="25"/>
  <c r="J6" i="29"/>
  <c r="I8" i="29"/>
  <c r="J8" i="29" s="1"/>
  <c r="I10" i="28"/>
  <c r="J10" i="28" s="1"/>
  <c r="J5" i="28"/>
  <c r="L5" i="27"/>
  <c r="K5" i="27"/>
  <c r="J7" i="25"/>
  <c r="I21" i="25"/>
  <c r="J21" i="25" s="1"/>
  <c r="I63" i="28"/>
  <c r="L135" i="30"/>
  <c r="L131" i="30"/>
  <c r="I18" i="30"/>
  <c r="J18" i="30" s="1"/>
  <c r="K5" i="30" s="1"/>
  <c r="O135" i="30"/>
  <c r="I19" i="24"/>
  <c r="I9" i="26"/>
  <c r="J9" i="26" s="1"/>
  <c r="J5" i="26"/>
  <c r="L139" i="30"/>
  <c r="L141" i="30"/>
  <c r="I23" i="24" l="1"/>
  <c r="O204" i="25"/>
  <c r="I24" i="24"/>
  <c r="O272" i="25"/>
  <c r="O157" i="30"/>
  <c r="L204" i="25"/>
  <c r="L272" i="25"/>
  <c r="L157" i="30"/>
  <c r="L74" i="24"/>
  <c r="L5" i="30"/>
  <c r="L5" i="29"/>
  <c r="K5" i="29"/>
  <c r="I65" i="28"/>
  <c r="L4" i="25"/>
  <c r="L75" i="24"/>
  <c r="O158" i="30"/>
  <c r="O75" i="24"/>
  <c r="L205" i="25"/>
  <c r="O205" i="25"/>
  <c r="O273" i="25"/>
  <c r="L273" i="25"/>
  <c r="K4" i="25"/>
  <c r="L5" i="26"/>
  <c r="K5" i="26"/>
  <c r="L158" i="30"/>
  <c r="L5" i="28"/>
  <c r="K5" i="28"/>
</calcChain>
</file>

<file path=xl/sharedStrings.xml><?xml version="1.0" encoding="utf-8"?>
<sst xmlns="http://schemas.openxmlformats.org/spreadsheetml/2006/main" count="885" uniqueCount="342">
  <si>
    <t>Information</t>
  </si>
  <si>
    <t xml:space="preserve">Title </t>
  </si>
  <si>
    <t>Objective</t>
  </si>
  <si>
    <t>Version</t>
  </si>
  <si>
    <t>Confidentiality status</t>
  </si>
  <si>
    <t>Non-confidential</t>
  </si>
  <si>
    <t>Contents</t>
  </si>
  <si>
    <t>Sheet</t>
  </si>
  <si>
    <t>Description</t>
  </si>
  <si>
    <t>VM-Gen Ent</t>
  </si>
  <si>
    <t>Sky-Gen Ent-Scotland</t>
  </si>
  <si>
    <t>Sky-Gen Ent-Wales</t>
  </si>
  <si>
    <t>Sky-Gen Ent-England and NI</t>
  </si>
  <si>
    <t>VM-News</t>
  </si>
  <si>
    <t>Sky-News</t>
  </si>
  <si>
    <t>VM-Kids</t>
  </si>
  <si>
    <t>Sky-Kids</t>
  </si>
  <si>
    <t>Terms and conditions</t>
  </si>
  <si>
    <t xml:space="preserve">The terms and conditions on which OFCOM is making available the model are set out below.                                      </t>
  </si>
  <si>
    <t>The Impact of EPG Proposals model has been created solely for the purpose of estimating impacts of Ofcom's EPG proposals. As indicated in the accompanying Technical Annex, these estimates are indicative only and should be considered on that basis.  </t>
  </si>
  <si>
    <t xml:space="preserve">All right, title and interest in the provided model (the ‘Model’) constructed in Excel to estimate the impact of EPG proposals are owned by OFCOM. Such title and interest is protected by United Kingdom intellectual property laws and international treaty provisions. While you may freely use the Model for the purposes for which it is provided, as set out in the accompanying model documentation, it is not to be modified in any way or used for commercial gain or otherwise without the prior written permission of OFCOM.                                                                                   </t>
  </si>
  <si>
    <t>No representation or warranty is given as to the accuracy, completeness or correctness of the provided Model and it is provided 'as is'. It is provided without any representation or endorsement made and without warranty of any kind, whether express or implied, including but not limited to the implied warranties of satisfactory quality, fitness for a particular purpose, non-infringement, compatibility, security and accuracy.</t>
  </si>
  <si>
    <t xml:space="preserve">OFCOM does not accept any responsibility for any loss, disruption or damage to your data or your computer system which may occur whilst using the Model or material derived from the Model. OFCOM does not warrant that the functions contained in the Model will be uninterrupted or error free. Also, OFCOM does not warrant that defects will be corrected, or that the Model provided is free of viruses. </t>
  </si>
  <si>
    <t xml:space="preserve">In no event will OFCOM be liable for any loss or damage including, without limitation, indirect or consequential loss or damage, or any loss or damages whatsoever arising from use or loss of use of, data or profits arising out of or in connection with the use or otherwise of the provided Model. By using this Model, you agree to the above.                                           </t>
  </si>
  <si>
    <t>Input from EMP (for the whole of the UK)</t>
  </si>
  <si>
    <t>Value of top slot (£M)</t>
  </si>
  <si>
    <t>Total number of positions</t>
  </si>
  <si>
    <t>Checking how our total value compares with that of EMP</t>
  </si>
  <si>
    <t>VIRGIN ENTERTAINMENT GENRE</t>
  </si>
  <si>
    <t>Common ratio: r</t>
  </si>
  <si>
    <t>r is for the range</t>
  </si>
  <si>
    <t>Page no</t>
  </si>
  <si>
    <t>Our total value (£M)</t>
  </si>
  <si>
    <t>LCN</t>
  </si>
  <si>
    <t>Page No</t>
  </si>
  <si>
    <t>Average Value (£M)</t>
  </si>
  <si>
    <t>Total Value (£M)</t>
  </si>
  <si>
    <t>Top slot - page 1 middle</t>
  </si>
  <si>
    <t>101-107</t>
  </si>
  <si>
    <t>Page 1 middle - Page 2 middle</t>
  </si>
  <si>
    <t>108-114</t>
  </si>
  <si>
    <t>Page 2 middle - Page 3 middle</t>
  </si>
  <si>
    <t>115-121</t>
  </si>
  <si>
    <t>Page 3 middle - page 4 middle</t>
  </si>
  <si>
    <t>122-128</t>
  </si>
  <si>
    <t>Page 4 middle - page 5 middle</t>
  </si>
  <si>
    <t>129-135</t>
  </si>
  <si>
    <t>Page 5 middle - page 6 middle</t>
  </si>
  <si>
    <t>136-142</t>
  </si>
  <si>
    <t>Page 6 middle - page 7 middle</t>
  </si>
  <si>
    <t>143-150</t>
  </si>
  <si>
    <t>Page 7 middle - page 8 middle</t>
  </si>
  <si>
    <t>151-157</t>
  </si>
  <si>
    <t>Page 8 middle - page 9 middle</t>
  </si>
  <si>
    <t>158-164</t>
  </si>
  <si>
    <t>Page 9 middle - page 10 middle</t>
  </si>
  <si>
    <t>165-171</t>
  </si>
  <si>
    <t>Page 10 middle - page 11 middle</t>
  </si>
  <si>
    <t>172-178</t>
  </si>
  <si>
    <t>Page 11 middle - page 12 middle</t>
  </si>
  <si>
    <t>179-185</t>
  </si>
  <si>
    <t>Page 12 middle - page 13 middle</t>
  </si>
  <si>
    <t>186-194</t>
  </si>
  <si>
    <t>Page 13 middle - page 14 middle</t>
  </si>
  <si>
    <t>195-201</t>
  </si>
  <si>
    <t>Page 14 middle - bottom slot</t>
  </si>
  <si>
    <t>202-209</t>
  </si>
  <si>
    <t>210-216</t>
  </si>
  <si>
    <t>Total</t>
  </si>
  <si>
    <t>Slot value (£M)</t>
  </si>
  <si>
    <t>Proposals regarding General Entertainment channels</t>
  </si>
  <si>
    <t>Proposal is about</t>
  </si>
  <si>
    <t>3-page proposal</t>
  </si>
  <si>
    <t>4-page proposal</t>
  </si>
  <si>
    <t>Owner</t>
  </si>
  <si>
    <t>PSB: 1 if PSB, 0 otherwise</t>
  </si>
  <si>
    <t>Commercial: 1 if commercial, 0 otherwise</t>
  </si>
  <si>
    <t>Current position</t>
  </si>
  <si>
    <t>Position under 3-page proposal</t>
  </si>
  <si>
    <t>Slot value under 3-page proposal</t>
  </si>
  <si>
    <t>Change in slot value under 3-page proposal</t>
  </si>
  <si>
    <t>Position under 4-page proposal</t>
  </si>
  <si>
    <t>Slot value under 4-page proposal</t>
  </si>
  <si>
    <t>Change in slot value under 4-page proposal</t>
  </si>
  <si>
    <t>BBC Four</t>
  </si>
  <si>
    <t>BBC</t>
  </si>
  <si>
    <t>BBC One HD</t>
  </si>
  <si>
    <t>Sky One HD</t>
  </si>
  <si>
    <t>Sky</t>
  </si>
  <si>
    <t>Sky One</t>
  </si>
  <si>
    <t>Sky Living HD</t>
  </si>
  <si>
    <t>Sky Living</t>
  </si>
  <si>
    <t>ITV HD</t>
  </si>
  <si>
    <t>ITV</t>
  </si>
  <si>
    <t>ITV +1</t>
  </si>
  <si>
    <t>ITV2</t>
  </si>
  <si>
    <t>ITV2 +1</t>
  </si>
  <si>
    <t>ITV3</t>
  </si>
  <si>
    <t>ITV4</t>
  </si>
  <si>
    <t>ITVBe</t>
  </si>
  <si>
    <t>ITVBe +1</t>
  </si>
  <si>
    <t>Sky 2</t>
  </si>
  <si>
    <t>Sky Arts</t>
  </si>
  <si>
    <t>Pick</t>
  </si>
  <si>
    <t>Gold</t>
  </si>
  <si>
    <t>UKTV</t>
  </si>
  <si>
    <t>W</t>
  </si>
  <si>
    <t>alibi</t>
  </si>
  <si>
    <t>Dave</t>
  </si>
  <si>
    <t>Drama</t>
  </si>
  <si>
    <t>Really</t>
  </si>
  <si>
    <t>alibi +1</t>
  </si>
  <si>
    <t>W +1</t>
  </si>
  <si>
    <t>Comedy Central</t>
  </si>
  <si>
    <t>Comedy Central +1</t>
  </si>
  <si>
    <t>MTV</t>
  </si>
  <si>
    <t>Viacom</t>
  </si>
  <si>
    <t>Syfy</t>
  </si>
  <si>
    <t>NBC Universal</t>
  </si>
  <si>
    <t>Syfy +1</t>
  </si>
  <si>
    <t>Universal Channel</t>
  </si>
  <si>
    <t>Universal Channel +1</t>
  </si>
  <si>
    <t>Challenge</t>
  </si>
  <si>
    <t>Sky Living +1</t>
  </si>
  <si>
    <t>Channel 4 HD</t>
  </si>
  <si>
    <t>Channel 4 Corporation</t>
  </si>
  <si>
    <t>Channel 4 +1</t>
  </si>
  <si>
    <t>4seven</t>
  </si>
  <si>
    <t>E4 HD</t>
  </si>
  <si>
    <t>E4 +1</t>
  </si>
  <si>
    <t>More4</t>
  </si>
  <si>
    <t>CBS Reality</t>
  </si>
  <si>
    <t>CBS Studios</t>
  </si>
  <si>
    <t>Horror Channel</t>
  </si>
  <si>
    <t>Channel 5 HD</t>
  </si>
  <si>
    <t>Channel 5</t>
  </si>
  <si>
    <t>5STAR</t>
  </si>
  <si>
    <t>5Select</t>
  </si>
  <si>
    <t>5 USA</t>
  </si>
  <si>
    <t>5 Spike</t>
  </si>
  <si>
    <t>Channel 5+1</t>
  </si>
  <si>
    <t>E!</t>
  </si>
  <si>
    <t>FOX</t>
  </si>
  <si>
    <t>21st Century Fox</t>
  </si>
  <si>
    <t>FOX +</t>
  </si>
  <si>
    <t>Local TV Channel</t>
  </si>
  <si>
    <t>Various operators</t>
  </si>
  <si>
    <t>Real Lives</t>
  </si>
  <si>
    <t>BBC Alba</t>
  </si>
  <si>
    <t>BBC Two HD</t>
  </si>
  <si>
    <t>BBC Four HD</t>
  </si>
  <si>
    <t>Universal Channel HD</t>
  </si>
  <si>
    <t>Syfy HD</t>
  </si>
  <si>
    <t>S4C</t>
  </si>
  <si>
    <t>Number of commercial channels affected</t>
  </si>
  <si>
    <t>BBC Scotland</t>
  </si>
  <si>
    <t>SKY ENTERTAINMENT SECTION</t>
  </si>
  <si>
    <t>101 - 108</t>
  </si>
  <si>
    <t>Page 1 middle - page 2 middle</t>
  </si>
  <si>
    <t>109 - 116</t>
  </si>
  <si>
    <t>Page 2 middle - page 3 middle</t>
  </si>
  <si>
    <t>117 - 124</t>
  </si>
  <si>
    <t>125 - 132</t>
  </si>
  <si>
    <t>133 - 141</t>
  </si>
  <si>
    <t>142 - 149</t>
  </si>
  <si>
    <t>150 - 157</t>
  </si>
  <si>
    <t>158- 165</t>
  </si>
  <si>
    <t>166-173</t>
  </si>
  <si>
    <t>174-182</t>
  </si>
  <si>
    <t>183- 192</t>
  </si>
  <si>
    <t>Page 11 middle - bottom slot</t>
  </si>
  <si>
    <t xml:space="preserve">193 - 199 </t>
  </si>
  <si>
    <t>Basis</t>
  </si>
  <si>
    <t>England and NI</t>
  </si>
  <si>
    <t xml:space="preserve">Scotland </t>
  </si>
  <si>
    <t>Wales</t>
  </si>
  <si>
    <t>UK</t>
  </si>
  <si>
    <t>Weight for Scotland</t>
  </si>
  <si>
    <t>Weighting scheme 1</t>
  </si>
  <si>
    <t>BBC One viewership (in hours 2017)</t>
  </si>
  <si>
    <t>Weighting scheme 2</t>
  </si>
  <si>
    <t>Total Sky platform viewership (2017)</t>
  </si>
  <si>
    <t>Average</t>
  </si>
  <si>
    <t>Slot value for whole of UK (£M)</t>
  </si>
  <si>
    <r>
      <rPr>
        <b/>
        <sz val="11"/>
        <color theme="1"/>
        <rFont val="Calibri"/>
        <family val="2"/>
        <scheme val="minor"/>
      </rPr>
      <t>Note:</t>
    </r>
    <r>
      <rPr>
        <sz val="11"/>
        <color theme="1"/>
        <rFont val="Calibri"/>
        <family val="2"/>
        <scheme val="minor"/>
      </rPr>
      <t xml:space="preserve"> Values for individual channels below calculated on whole of UK basis</t>
    </r>
  </si>
  <si>
    <t>Channels affected</t>
  </si>
  <si>
    <t>Local TV</t>
  </si>
  <si>
    <t>Various</t>
  </si>
  <si>
    <t>Sky Sp Mix</t>
  </si>
  <si>
    <t>Fox</t>
  </si>
  <si>
    <t>Discovery</t>
  </si>
  <si>
    <t>Comedy Xtra</t>
  </si>
  <si>
    <t>5 star</t>
  </si>
  <si>
    <t>National Geographic</t>
  </si>
  <si>
    <t>History</t>
  </si>
  <si>
    <t>AETN</t>
  </si>
  <si>
    <t>Good Food</t>
  </si>
  <si>
    <t>Channel 4</t>
  </si>
  <si>
    <t>E4</t>
  </si>
  <si>
    <t>4 More</t>
  </si>
  <si>
    <t>4 Seven</t>
  </si>
  <si>
    <t>4 HD</t>
  </si>
  <si>
    <t>4 Music</t>
  </si>
  <si>
    <t>TLC</t>
  </si>
  <si>
    <t>BBC Alba, BBC Scotland, Local TV and BBC Four within first three pages</t>
  </si>
  <si>
    <t>BBC Alba, BBC Scotland, Local TV and BBC Four within first four pages</t>
  </si>
  <si>
    <t>Universal</t>
  </si>
  <si>
    <t>Weight for Wales</t>
  </si>
  <si>
    <t>Calculations for C4 only</t>
  </si>
  <si>
    <t>Proposal:</t>
  </si>
  <si>
    <t>Position under C4 proposal</t>
  </si>
  <si>
    <t>Slot value under proposal</t>
  </si>
  <si>
    <t>Change in slot value under proposal</t>
  </si>
  <si>
    <t>Sky Atlantic</t>
  </si>
  <si>
    <t>BBC2 HD</t>
  </si>
  <si>
    <t>BBC4</t>
  </si>
  <si>
    <t>C4</t>
  </si>
  <si>
    <t>C5</t>
  </si>
  <si>
    <t>Sky 1</t>
  </si>
  <si>
    <t>Local TV within first three pages</t>
  </si>
  <si>
    <t>Local TV within first four pages</t>
  </si>
  <si>
    <t>Sky Sports Mix</t>
  </si>
  <si>
    <t>5 Star</t>
  </si>
  <si>
    <t>Various channels</t>
  </si>
  <si>
    <t>Local TV and BBC Four within first three pages</t>
  </si>
  <si>
    <t>Local TV and BBC Four within first four pages</t>
  </si>
  <si>
    <t>Local TV channels</t>
  </si>
  <si>
    <t xml:space="preserve">Total number of positions </t>
  </si>
  <si>
    <t>VIRGIN NEWS GENRE</t>
  </si>
  <si>
    <t>Entire genre since only two positive values</t>
  </si>
  <si>
    <t>601-609</t>
  </si>
  <si>
    <t>613-625</t>
  </si>
  <si>
    <t>Proposals regarding News channels</t>
  </si>
  <si>
    <t>Proposal</t>
  </si>
  <si>
    <t xml:space="preserve">Position of BBC News and BBC Parliament </t>
  </si>
  <si>
    <t>Sky News</t>
  </si>
  <si>
    <t>Sky News HD</t>
  </si>
  <si>
    <t>BBC News HD</t>
  </si>
  <si>
    <t>BBC Parliament</t>
  </si>
  <si>
    <t>SKY NEWS SECTION</t>
  </si>
  <si>
    <t>501 - 508</t>
  </si>
  <si>
    <t>509 - 516</t>
  </si>
  <si>
    <t>Page 2 middle - bottom slot</t>
  </si>
  <si>
    <t>518 - 522</t>
  </si>
  <si>
    <t>Position of BBC News and BBC Parliament</t>
  </si>
  <si>
    <t>VIRGIN KIDS GENRE</t>
  </si>
  <si>
    <t>700-706</t>
  </si>
  <si>
    <t>707-714</t>
  </si>
  <si>
    <t>715-730</t>
  </si>
  <si>
    <t>731-737</t>
  </si>
  <si>
    <t> </t>
  </si>
  <si>
    <t>Proposals regarding Children's channels</t>
  </si>
  <si>
    <t>First page proposal</t>
  </si>
  <si>
    <t>Position of CBBC and CBeebies</t>
  </si>
  <si>
    <t>Within the first page of the children's genre</t>
  </si>
  <si>
    <t>CBBC</t>
  </si>
  <si>
    <t>CBeebies</t>
  </si>
  <si>
    <t>SKY KIDS SECTION</t>
  </si>
  <si>
    <t xml:space="preserve">601 - 608 </t>
  </si>
  <si>
    <t>609 - 616</t>
  </si>
  <si>
    <t>617 -625</t>
  </si>
  <si>
    <t>626 - 644</t>
  </si>
  <si>
    <t>Page 4 middle - bottom slot</t>
  </si>
  <si>
    <t>645 - 648</t>
  </si>
  <si>
    <t xml:space="preserve">Total </t>
  </si>
  <si>
    <t>Position under first page proposal</t>
  </si>
  <si>
    <t>Slot value under first page proposal</t>
  </si>
  <si>
    <t>Change in slot value under first page proposal</t>
  </si>
  <si>
    <t>Disney Junior HD</t>
  </si>
  <si>
    <t>Disney</t>
  </si>
  <si>
    <t>Disney Junior +</t>
  </si>
  <si>
    <t>Disney Channel HD</t>
  </si>
  <si>
    <t>Disney Channel +1</t>
  </si>
  <si>
    <t>Disney XD HD</t>
  </si>
  <si>
    <t>Disney XD +1</t>
  </si>
  <si>
    <t>CBBC HD</t>
  </si>
  <si>
    <t>CBeebies HD</t>
  </si>
  <si>
    <t>Page number</t>
  </si>
  <si>
    <t>BBC 1</t>
  </si>
  <si>
    <t>Total TV</t>
  </si>
  <si>
    <t>England</t>
  </si>
  <si>
    <t>Ulster</t>
  </si>
  <si>
    <t>Scotland</t>
  </si>
  <si>
    <t>Our total value as a ratio of EMP</t>
  </si>
  <si>
    <t>Our total value as a ratio of EMP: minimum</t>
  </si>
  <si>
    <t>Our total value as a ratio of EMP: maximum</t>
  </si>
  <si>
    <t>BBC News</t>
  </si>
  <si>
    <r>
      <t xml:space="preserve">contains viewing data on Sky which is used as an input to construct weights for individual Nations. Source: </t>
    </r>
    <r>
      <rPr>
        <i/>
        <sz val="9"/>
        <rFont val="Arial"/>
        <family val="2"/>
      </rPr>
      <t>BARB. Sky viewing of individuals by ITV areas.</t>
    </r>
  </si>
  <si>
    <t>Viewing data</t>
  </si>
  <si>
    <t>Estimate EPG slot prices and forecast potential financial impact of our proposed changes to the linear EPG Code on the Sky and Virgin Media EPGs</t>
  </si>
  <si>
    <t>England &amp; Ulster combined</t>
  </si>
  <si>
    <t>Total yearly minutes (000s)</t>
  </si>
  <si>
    <t>Universe: DSAT</t>
  </si>
  <si>
    <t>Target: Individuals (4+) in BBC areas, watching through Sky platform only</t>
  </si>
  <si>
    <t>Period: 01.01.2017 - 03.12.2017</t>
  </si>
  <si>
    <t>Source: BARB, 7-day consolidated</t>
  </si>
  <si>
    <t>BBC One viewership (in minutes 2017)</t>
  </si>
  <si>
    <t>Total Sky platform viewership (in minutes 2017)</t>
  </si>
  <si>
    <t xml:space="preserve">Source: BARB, 7-day consolidated
</t>
  </si>
  <si>
    <t>BBC Four only</t>
  </si>
  <si>
    <t>BBC Four within first three pages</t>
  </si>
  <si>
    <t>BBC Four within first four pages</t>
  </si>
  <si>
    <t>BBC Alba, S4C, local TV, BBC Scotland within first three pages</t>
  </si>
  <si>
    <t>BBC Alba, S4C, local TV, BBC Scotland within first four pages</t>
  </si>
  <si>
    <t>Local TV given C4 within first page and S4C unchanged</t>
  </si>
  <si>
    <t>Position of Nation and area specific channels given BBC Four within page 3</t>
  </si>
  <si>
    <t>Position</t>
  </si>
  <si>
    <t xml:space="preserve">Position of Nation and area specific channels </t>
  </si>
  <si>
    <t xml:space="preserve">Position of National channel and Nation and area specific channels </t>
  </si>
  <si>
    <r>
      <rPr>
        <b/>
        <sz val="11"/>
        <color theme="1"/>
        <rFont val="Calibri"/>
        <family val="2"/>
        <scheme val="minor"/>
      </rPr>
      <t>NOTE:</t>
    </r>
    <r>
      <rPr>
        <sz val="11"/>
        <color theme="1"/>
        <rFont val="Calibri"/>
        <family val="2"/>
        <scheme val="minor"/>
      </rPr>
      <t xml:space="preserve"> The calculations here assume that BBC Four has been moved to within the first 3 pages. Hence, BBC Four is at slot 21 (i.e. bottom of page 3) throughout this set of calculations.</t>
    </r>
  </si>
  <si>
    <t xml:space="preserve">Review of rules for prominence of public service broadcasters and local TV: Consultation on proposed changes to the linear EPG Code and future of the regime </t>
  </si>
  <si>
    <t>EPG slot price modelling and interpretation</t>
  </si>
  <si>
    <t>C4 within page 1; S4C stays at position 4</t>
  </si>
  <si>
    <t>Within first page of the News genre</t>
  </si>
  <si>
    <t>Second page proposal</t>
  </si>
  <si>
    <t>Within the first two pages of the children's genre</t>
  </si>
  <si>
    <t>Channel</t>
  </si>
  <si>
    <r>
      <rPr>
        <b/>
        <sz val="11"/>
        <color theme="1"/>
        <rFont val="Calibri"/>
        <family val="2"/>
        <scheme val="minor"/>
      </rPr>
      <t>Note:</t>
    </r>
    <r>
      <rPr>
        <sz val="11"/>
        <color theme="1"/>
        <rFont val="Calibri"/>
        <family val="2"/>
        <scheme val="minor"/>
      </rPr>
      <t xml:space="preserve"> Based on the current positions of channels, it immediately follows that no changes would be needed under the second page proposal and hence the indicative cost to commercial broadcasters would be 0 under the second page proposal.</t>
    </r>
  </si>
  <si>
    <r>
      <rPr>
        <b/>
        <sz val="11"/>
        <color theme="1"/>
        <rFont val="Calibri"/>
        <family val="2"/>
        <scheme val="minor"/>
      </rPr>
      <t>Note:</t>
    </r>
    <r>
      <rPr>
        <sz val="11"/>
        <color theme="1"/>
        <rFont val="Calibri"/>
        <family val="2"/>
        <scheme val="minor"/>
      </rPr>
      <t xml:space="preserve"> Based on the current positions of channels, it immediately follows that no changes would be needed under this proposal and hence the indicative cost to commercial broadcasters would be 0 under this proposal.</t>
    </r>
  </si>
  <si>
    <r>
      <rPr>
        <b/>
        <sz val="11"/>
        <color theme="1"/>
        <rFont val="Calibri"/>
        <family val="2"/>
        <scheme val="minor"/>
      </rPr>
      <t>Note:</t>
    </r>
    <r>
      <rPr>
        <sz val="11"/>
        <color theme="1"/>
        <rFont val="Calibri"/>
        <family val="2"/>
        <scheme val="minor"/>
      </rPr>
      <t xml:space="preserve"> Based on the current positions of channels, it immediately follows that no changes would be needed under this proposal and hence the indicative cost to Virgin Media would be 0 under this proposal.</t>
    </r>
  </si>
  <si>
    <t>estimates slot prices and potential impact of our proposals and alternative options on the Virgin Media General Entertainment EPG</t>
  </si>
  <si>
    <t>estimates slot prices and potential impact of our proposals and alternative options on the Sky General Entertainment EPG in Scotland</t>
  </si>
  <si>
    <t>estimates slot prices and potential impact of our proposals and alternative options on the Sky General Entertainment EPG in Wales</t>
  </si>
  <si>
    <t>estimates slot prices and potential impact of our proposals and alternative options on the Sky General Entertainment EPG in England and NI</t>
  </si>
  <si>
    <t>estimates slot prices and potential impact of our proposals and alternative options on the Virgin Media News EPG</t>
  </si>
  <si>
    <t>estimates slot prices and potential impact of our proposals and alternative options on the Sky News EPG</t>
  </si>
  <si>
    <t>estimates slot prices and potential impact of our proposals and alternative options on the Virgin Media Kids EPG</t>
  </si>
  <si>
    <t>estimates slot prices and potential impact of our proposals and alternative options on the Sky Kids EPG</t>
  </si>
  <si>
    <t>Current slot value (£M)</t>
  </si>
  <si>
    <t>Indicative cost to Virgin Media (£M)</t>
  </si>
  <si>
    <t>Indicative cost to commercial channels, adjusted for size of Scotland (£M)</t>
  </si>
  <si>
    <t>Indicative cost to commercial channels adjusted for Wales (£M)</t>
  </si>
  <si>
    <t>Indicative cost to commercial broadcasters adjusting for Wales (£M)</t>
  </si>
  <si>
    <t>Indicative cost to commercial broadcasters (£M)</t>
  </si>
  <si>
    <t>Current position in our counterfactual*</t>
  </si>
  <si>
    <t xml:space="preserve">Notes: *Our counterfactual reflects the expected changes to the EPG positions of the BBC channels in Scotland following the launch of BBC Scotland. </t>
  </si>
  <si>
    <t>Comedy Central Extra</t>
  </si>
  <si>
    <t xml:space="preserve"> </t>
  </si>
  <si>
    <t>C4 in slot 4, S4C stays within the first page (i.e. S4C and C4 swop); assuming C4 has already been moved up to the first page</t>
  </si>
  <si>
    <r>
      <rPr>
        <b/>
        <sz val="11"/>
        <color theme="1"/>
        <rFont val="Calibri"/>
        <family val="2"/>
        <scheme val="minor"/>
      </rPr>
      <t>Note:</t>
    </r>
    <r>
      <rPr>
        <sz val="11"/>
        <color theme="1"/>
        <rFont val="Calibri"/>
        <family val="2"/>
        <scheme val="minor"/>
      </rPr>
      <t xml:space="preserve"> Based on the current positions of channels, it immediately follows that no changes would be needed under either proposal and hence the indicative cost to Virgin Media would be 0 under either proposal.</t>
    </r>
  </si>
  <si>
    <r>
      <rPr>
        <b/>
        <sz val="11"/>
        <color theme="1"/>
        <rFont val="Calibri"/>
        <family val="2"/>
        <scheme val="minor"/>
      </rPr>
      <t>Note:</t>
    </r>
    <r>
      <rPr>
        <sz val="11"/>
        <color theme="1"/>
        <rFont val="Calibri"/>
        <family val="2"/>
        <scheme val="minor"/>
      </rPr>
      <t xml:space="preserve"> Based on the current positions of channels, it immediately follows that no changes would be needed under either proposal and hence the indicative cost to commercial broadcasters would be 0 under either proposal.</t>
    </r>
  </si>
  <si>
    <t>contents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</si>
</sst>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Red]0.00"/>
    <numFmt numFmtId="165" formatCode="0.0"/>
    <numFmt numFmtId="166" formatCode="0;[Red]0"/>
    <numFmt numFmtId="167" formatCode="0.0%"/>
    <numFmt numFmtId="168" formatCode="_-* #,##0_-;\-* #,##0_-;_-* &quot;-&quot;??_-;_-@_-"/>
  </numFmts>
  <fonts count="11" x14ac:knownFonts="1">
    <font>
      <sz val="11"/>
      <color theme="1"/>
      <name val="Calibri"/>
      <family val="2"/>
      <scheme val="minor"/>
    </font>
    <font>
      <b/>
      <sz val="11"/>
      <color theme="1"/>
      <name val="Calibri"/>
      <family val="2"/>
      <scheme val="minor"/>
    </font>
    <font>
      <sz val="11"/>
      <color theme="1"/>
      <name val="Calibri"/>
      <family val="2"/>
      <scheme val="minor"/>
    </font>
    <font>
      <sz val="9"/>
      <name val="Arial"/>
      <family val="2"/>
    </font>
    <font>
      <b/>
      <sz val="14"/>
      <name val="Arial"/>
      <family val="2"/>
    </font>
    <font>
      <b/>
      <sz val="12"/>
      <name val="Arial"/>
      <family val="2"/>
    </font>
    <font>
      <b/>
      <sz val="22"/>
      <name val="Arial"/>
      <family val="2"/>
    </font>
    <font>
      <sz val="11"/>
      <name val="Calibri"/>
      <family val="2"/>
      <scheme val="minor"/>
    </font>
    <font>
      <i/>
      <sz val="9"/>
      <name val="Arial"/>
      <family val="2"/>
    </font>
    <font>
      <b/>
      <sz val="19"/>
      <name val="Arial"/>
      <family val="2"/>
    </font>
    <font>
      <b/>
      <sz val="9"/>
      <name val="Arial"/>
      <family val="2"/>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28">
    <border>
      <left/>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s>
  <cellStyleXfs count="6">
    <xf numFmtId="0" fontId="0" fillId="0" borderId="0"/>
    <xf numFmtId="43" fontId="2" fillId="0" borderId="0" applyFont="0" applyFill="0" applyBorder="0" applyAlignment="0" applyProtection="0"/>
    <xf numFmtId="0" fontId="3" fillId="0" borderId="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horizontal="left" vertical="center"/>
    </xf>
    <xf numFmtId="43" fontId="2" fillId="0" borderId="0" applyFont="0" applyFill="0" applyBorder="0" applyAlignment="0" applyProtection="0"/>
  </cellStyleXfs>
  <cellXfs count="102">
    <xf numFmtId="0" fontId="0" fillId="0" borderId="0" xfId="0"/>
    <xf numFmtId="2" fontId="0" fillId="0" borderId="0" xfId="0" applyNumberFormat="1"/>
    <xf numFmtId="0" fontId="1" fillId="0" borderId="0" xfId="0" applyFont="1"/>
    <xf numFmtId="0" fontId="1" fillId="0" borderId="0" xfId="0" applyFont="1" applyAlignment="1">
      <alignment wrapText="1"/>
    </xf>
    <xf numFmtId="0" fontId="0" fillId="0" borderId="0" xfId="0" applyAlignment="1">
      <alignment wrapText="1"/>
    </xf>
    <xf numFmtId="0" fontId="0" fillId="2" borderId="0" xfId="0" applyFill="1"/>
    <xf numFmtId="164" fontId="0" fillId="0" borderId="0" xfId="0" applyNumberFormat="1"/>
    <xf numFmtId="3" fontId="0" fillId="0" borderId="0" xfId="0" applyNumberFormat="1"/>
    <xf numFmtId="0" fontId="1" fillId="3" borderId="0" xfId="0" applyFont="1" applyFill="1"/>
    <xf numFmtId="0" fontId="1" fillId="3" borderId="0" xfId="0" applyFont="1" applyFill="1" applyAlignment="1">
      <alignment wrapText="1"/>
    </xf>
    <xf numFmtId="3" fontId="0" fillId="0" borderId="1" xfId="0" applyNumberFormat="1" applyBorder="1"/>
    <xf numFmtId="0" fontId="0" fillId="0" borderId="2" xfId="0" applyBorder="1" applyAlignment="1">
      <alignment horizontal="center"/>
    </xf>
    <xf numFmtId="0" fontId="0" fillId="0" borderId="4" xfId="0" applyBorder="1" applyAlignment="1">
      <alignment horizontal="center"/>
    </xf>
    <xf numFmtId="0" fontId="1" fillId="0" borderId="13" xfId="0" applyFont="1" applyBorder="1" applyAlignment="1">
      <alignment horizontal="center"/>
    </xf>
    <xf numFmtId="0" fontId="1" fillId="0" borderId="10" xfId="0" applyFont="1" applyBorder="1" applyAlignment="1">
      <alignment horizontal="center" vertical="center" wrapText="1"/>
    </xf>
    <xf numFmtId="165" fontId="0" fillId="0" borderId="9" xfId="0" applyNumberFormat="1" applyBorder="1" applyAlignment="1">
      <alignment horizontal="center"/>
    </xf>
    <xf numFmtId="0" fontId="0" fillId="0" borderId="0" xfId="0" applyAlignment="1">
      <alignment horizontal="center" vertical="top" wrapText="1"/>
    </xf>
    <xf numFmtId="0" fontId="1" fillId="0" borderId="0" xfId="0" applyFont="1" applyAlignment="1">
      <alignment horizontal="center"/>
    </xf>
    <xf numFmtId="0" fontId="0" fillId="0" borderId="9" xfId="0" applyBorder="1" applyAlignment="1">
      <alignment horizontal="center"/>
    </xf>
    <xf numFmtId="0" fontId="1" fillId="0" borderId="11" xfId="0" applyFont="1" applyBorder="1" applyAlignment="1">
      <alignment horizontal="center" vertical="center" wrapText="1"/>
    </xf>
    <xf numFmtId="0" fontId="0" fillId="0" borderId="7"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center" vertical="top"/>
    </xf>
    <xf numFmtId="0" fontId="0" fillId="0" borderId="2" xfId="0" applyBorder="1" applyAlignment="1">
      <alignment horizontal="center" vertical="top"/>
    </xf>
    <xf numFmtId="0" fontId="0" fillId="0" borderId="4" xfId="0" applyBorder="1" applyAlignment="1">
      <alignment horizontal="center" vertical="top"/>
    </xf>
    <xf numFmtId="0" fontId="0" fillId="0" borderId="14" xfId="0" applyBorder="1" applyAlignment="1">
      <alignment horizontal="center"/>
    </xf>
    <xf numFmtId="165" fontId="0" fillId="0" borderId="3" xfId="0" applyNumberFormat="1" applyBorder="1" applyAlignment="1">
      <alignment horizontal="center"/>
    </xf>
    <xf numFmtId="2" fontId="0" fillId="0" borderId="5" xfId="0" applyNumberFormat="1" applyBorder="1" applyAlignment="1">
      <alignment horizontal="center" vertical="center"/>
    </xf>
    <xf numFmtId="2" fontId="0" fillId="0" borderId="3" xfId="0" applyNumberFormat="1" applyBorder="1" applyAlignment="1">
      <alignment horizontal="center" vertical="center"/>
    </xf>
    <xf numFmtId="0" fontId="1" fillId="0" borderId="6" xfId="0" applyFont="1"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1" fillId="0" borderId="15" xfId="0" applyFont="1" applyBorder="1" applyAlignment="1">
      <alignment horizontal="center" vertical="top" wrapText="1"/>
    </xf>
    <xf numFmtId="0" fontId="0" fillId="0" borderId="9" xfId="0" applyBorder="1" applyAlignment="1">
      <alignment horizontal="center" vertical="center"/>
    </xf>
    <xf numFmtId="0" fontId="0" fillId="0" borderId="25" xfId="0" applyBorder="1" applyAlignment="1">
      <alignment horizontal="center" vertical="center"/>
    </xf>
    <xf numFmtId="0" fontId="1" fillId="0" borderId="10" xfId="0" applyFont="1" applyBorder="1" applyAlignment="1">
      <alignment horizontal="center"/>
    </xf>
    <xf numFmtId="0" fontId="1" fillId="0" borderId="6" xfId="0" applyFont="1" applyBorder="1" applyAlignment="1">
      <alignment horizontal="center" vertical="center"/>
    </xf>
    <xf numFmtId="0" fontId="0" fillId="0" borderId="7" xfId="0" applyBorder="1"/>
    <xf numFmtId="0" fontId="0" fillId="0" borderId="8" xfId="0" applyBorder="1" applyAlignment="1">
      <alignment horizontal="center"/>
    </xf>
    <xf numFmtId="0" fontId="1" fillId="0" borderId="12" xfId="0" applyFont="1" applyBorder="1" applyAlignment="1">
      <alignment horizontal="center" vertical="top" wrapText="1"/>
    </xf>
    <xf numFmtId="0" fontId="1" fillId="0" borderId="6" xfId="0" applyFont="1" applyBorder="1" applyAlignment="1">
      <alignment horizontal="center" vertical="top" wrapText="1"/>
    </xf>
    <xf numFmtId="0" fontId="1" fillId="0" borderId="16" xfId="0" applyFont="1" applyBorder="1" applyAlignment="1">
      <alignment horizontal="center" vertical="top" wrapText="1"/>
    </xf>
    <xf numFmtId="0" fontId="0" fillId="0" borderId="14" xfId="0" applyBorder="1"/>
    <xf numFmtId="165" fontId="0" fillId="0" borderId="8" xfId="0" applyNumberFormat="1" applyBorder="1" applyAlignment="1">
      <alignment horizontal="center" vertical="center"/>
    </xf>
    <xf numFmtId="0" fontId="0" fillId="0" borderId="5" xfId="0" applyBorder="1" applyAlignment="1">
      <alignment horizontal="center" vertical="center"/>
    </xf>
    <xf numFmtId="165" fontId="0" fillId="0" borderId="9" xfId="0" applyNumberFormat="1" applyBorder="1" applyAlignment="1">
      <alignment horizontal="center" vertical="center"/>
    </xf>
    <xf numFmtId="0" fontId="0" fillId="0" borderId="20" xfId="0" applyBorder="1"/>
    <xf numFmtId="0" fontId="0" fillId="0" borderId="21" xfId="0" applyBorder="1" applyAlignment="1">
      <alignment horizontal="center"/>
    </xf>
    <xf numFmtId="0" fontId="0" fillId="0" borderId="21" xfId="0" applyBorder="1" applyAlignment="1">
      <alignment horizontal="center" vertical="center"/>
    </xf>
    <xf numFmtId="165" fontId="0" fillId="0" borderId="22" xfId="0" applyNumberFormat="1" applyBorder="1" applyAlignment="1">
      <alignment horizontal="center" vertical="center"/>
    </xf>
    <xf numFmtId="0" fontId="1" fillId="0" borderId="23" xfId="0" applyFont="1" applyBorder="1"/>
    <xf numFmtId="0" fontId="0" fillId="0" borderId="24" xfId="0" applyBorder="1"/>
    <xf numFmtId="165" fontId="1" fillId="0" borderId="6" xfId="0" applyNumberFormat="1" applyFont="1"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2" fontId="0" fillId="0" borderId="8" xfId="0" applyNumberFormat="1" applyBorder="1" applyAlignment="1">
      <alignment horizontal="center" vertical="center"/>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0" fillId="0" borderId="0" xfId="0" applyAlignment="1">
      <alignment horizontal="center"/>
    </xf>
    <xf numFmtId="0" fontId="1" fillId="0" borderId="0" xfId="0" applyFont="1" applyAlignment="1">
      <alignment horizontal="center" vertical="center"/>
    </xf>
    <xf numFmtId="166" fontId="0" fillId="0" borderId="0" xfId="0" applyNumberFormat="1"/>
    <xf numFmtId="0" fontId="3" fillId="0" borderId="0" xfId="2">
      <alignment vertical="center"/>
    </xf>
    <xf numFmtId="0" fontId="4" fillId="0" borderId="0" xfId="3" applyAlignment="1">
      <alignment horizontal="left"/>
    </xf>
    <xf numFmtId="0" fontId="3" fillId="0" borderId="0" xfId="2" applyAlignment="1">
      <alignment horizontal="left" vertical="center" wrapText="1"/>
    </xf>
    <xf numFmtId="0" fontId="5" fillId="0" borderId="0" xfId="4" applyAlignment="1"/>
    <xf numFmtId="0" fontId="5" fillId="0" borderId="0" xfId="4" applyAlignment="1">
      <alignment vertical="center"/>
    </xf>
    <xf numFmtId="49" fontId="3" fillId="0" borderId="0" xfId="2" applyNumberFormat="1">
      <alignment vertical="center"/>
    </xf>
    <xf numFmtId="0" fontId="3" fillId="0" borderId="0" xfId="2" applyAlignment="1">
      <alignment horizontal="left" vertical="center" wrapText="1" indent="1"/>
    </xf>
    <xf numFmtId="0" fontId="3" fillId="0" borderId="0" xfId="2" applyAlignment="1">
      <alignment horizontal="left" vertical="center"/>
    </xf>
    <xf numFmtId="165" fontId="3" fillId="0" borderId="0" xfId="2" applyNumberFormat="1" applyAlignment="1">
      <alignment horizontal="left" vertical="center"/>
    </xf>
    <xf numFmtId="0" fontId="6" fillId="0" borderId="0" xfId="2" applyFont="1" applyAlignment="1"/>
    <xf numFmtId="0" fontId="0" fillId="0" borderId="0" xfId="0" applyFill="1" applyBorder="1" applyAlignment="1">
      <alignment horizontal="center" vertical="top" wrapText="1"/>
    </xf>
    <xf numFmtId="0" fontId="1" fillId="0" borderId="26" xfId="0" applyFont="1" applyFill="1" applyBorder="1" applyAlignment="1">
      <alignment horizontal="center"/>
    </xf>
    <xf numFmtId="0" fontId="1" fillId="0" borderId="26" xfId="0" applyFont="1" applyBorder="1" applyAlignment="1">
      <alignment horizontal="center" wrapText="1"/>
    </xf>
    <xf numFmtId="0" fontId="1" fillId="0" borderId="26" xfId="0" applyFont="1" applyBorder="1" applyAlignment="1">
      <alignment horizontal="center"/>
    </xf>
    <xf numFmtId="0" fontId="1" fillId="0" borderId="27" xfId="0" applyFont="1" applyBorder="1" applyAlignment="1">
      <alignment horizontal="center"/>
    </xf>
    <xf numFmtId="3" fontId="0" fillId="0" borderId="0" xfId="0" applyNumberFormat="1" applyBorder="1"/>
    <xf numFmtId="3" fontId="7" fillId="0" borderId="0" xfId="0" applyNumberFormat="1" applyFont="1" applyFill="1"/>
    <xf numFmtId="0" fontId="1" fillId="0" borderId="26" xfId="0" applyFont="1" applyBorder="1"/>
    <xf numFmtId="0" fontId="0" fillId="0" borderId="0" xfId="0" applyFill="1" applyBorder="1" applyAlignment="1"/>
    <xf numFmtId="167" fontId="0" fillId="0" borderId="0" xfId="0" applyNumberFormat="1" applyFill="1" applyBorder="1" applyAlignment="1"/>
    <xf numFmtId="0" fontId="0" fillId="0" borderId="1" xfId="0" applyFill="1" applyBorder="1" applyAlignment="1"/>
    <xf numFmtId="0" fontId="3" fillId="0" borderId="0" xfId="2" applyAlignment="1">
      <alignment horizontal="left" vertical="center" wrapText="1"/>
    </xf>
    <xf numFmtId="168" fontId="0" fillId="0" borderId="0" xfId="5" applyNumberFormat="1" applyFont="1" applyFill="1" applyBorder="1" applyAlignment="1"/>
    <xf numFmtId="0" fontId="0" fillId="0" borderId="0" xfId="0" applyBorder="1"/>
    <xf numFmtId="0" fontId="10" fillId="0" borderId="0" xfId="2" applyFont="1" applyAlignment="1">
      <alignment horizontal="left" vertical="center"/>
    </xf>
    <xf numFmtId="0" fontId="8" fillId="0" borderId="0" xfId="2" applyFont="1" applyAlignment="1">
      <alignment horizontal="left" vertical="center"/>
    </xf>
    <xf numFmtId="0" fontId="3" fillId="0" borderId="0" xfId="2" applyAlignment="1">
      <alignment vertical="center" wrapText="1"/>
    </xf>
    <xf numFmtId="0" fontId="3" fillId="0" borderId="0" xfId="2" applyAlignment="1">
      <alignment vertical="center"/>
    </xf>
    <xf numFmtId="0" fontId="3" fillId="0" borderId="0" xfId="2" applyAlignment="1">
      <alignment horizontal="left" vertical="center" wrapText="1"/>
    </xf>
    <xf numFmtId="0" fontId="9" fillId="0" borderId="0" xfId="2" applyFont="1" applyAlignment="1">
      <alignment horizontal="left"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7" xfId="0" applyFont="1" applyBorder="1" applyAlignment="1">
      <alignment horizontal="center" vertical="top" wrapText="1"/>
    </xf>
    <xf numFmtId="0" fontId="1" fillId="0" borderId="18" xfId="0" applyFont="1" applyBorder="1" applyAlignment="1">
      <alignment horizontal="center" vertical="top" wrapText="1"/>
    </xf>
    <xf numFmtId="0" fontId="1" fillId="0" borderId="19" xfId="0" applyFont="1" applyBorder="1" applyAlignment="1">
      <alignment horizontal="center" vertical="top" wrapText="1"/>
    </xf>
    <xf numFmtId="0" fontId="3" fillId="0" borderId="0" xfId="2" applyAlignment="1">
      <alignment horizontal="left" vertical="center"/>
    </xf>
    <xf numFmtId="0" fontId="0" fillId="0" borderId="0" xfId="0" applyAlignment="1">
      <alignment horizontal="left" vertical="center"/>
    </xf>
    <xf numFmtId="0" fontId="0" fillId="0" borderId="0" xfId="0" applyAlignment="1">
      <alignment vertical="center"/>
    </xf>
  </cellXfs>
  <cellStyles count="6">
    <cellStyle name="Comma" xfId="5" builtinId="3"/>
    <cellStyle name="Comma 2" xfId="1" xr:uid="{00000000-0005-0000-0000-000000000000}"/>
    <cellStyle name="H2" xfId="3" xr:uid="{E0B2D3D8-E3DD-43E9-BA56-0E6CCE9F69AE}"/>
    <cellStyle name="H3" xfId="4" xr:uid="{530BB10E-29A6-4729-965B-29E6B23C3FBF}"/>
    <cellStyle name="Normal" xfId="0" builtinId="0"/>
    <cellStyle name="Normal 2" xfId="2" xr:uid="{CB834AF8-874A-48D8-9FB0-AD17C7D028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64770</xdr:rowOff>
    </xdr:from>
    <xdr:ext cx="1527175" cy="647700"/>
    <xdr:pic>
      <xdr:nvPicPr>
        <xdr:cNvPr id="2" name="Picture 66">
          <a:extLst>
            <a:ext uri="{FF2B5EF4-FFF2-40B4-BE49-F238E27FC236}">
              <a16:creationId xmlns:a16="http://schemas.microsoft.com/office/drawing/2014/main" id="{BFB43100-8E54-43C0-9732-A6C59871263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4770"/>
          <a:ext cx="1527175" cy="647700"/>
        </a:xfrm>
        <a:prstGeom prst="rect">
          <a:avLst/>
        </a:prstGeom>
        <a:noFill/>
        <a:ln w="1">
          <a:noFill/>
          <a:miter lim="800000"/>
          <a:headEnd/>
          <a:tailEnd/>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7059A-4BE7-4C57-9125-DE6B68156EDA}">
  <sheetPr>
    <outlinePr summaryBelow="0"/>
    <pageSetUpPr autoPageBreaks="0"/>
  </sheetPr>
  <dimension ref="A1:J35"/>
  <sheetViews>
    <sheetView showGridLines="0" showRowColHeaders="0" tabSelected="1" defaultGridColor="0" colorId="22" zoomScaleNormal="95" zoomScaleSheetLayoutView="75" workbookViewId="0">
      <pane ySplit="2" topLeftCell="A3" activePane="bottomLeft" state="frozen"/>
      <selection activeCell="F30" sqref="F30"/>
      <selection pane="bottomLeft" activeCell="B4" sqref="B4"/>
    </sheetView>
  </sheetViews>
  <sheetFormatPr defaultColWidth="11" defaultRowHeight="11.4" x14ac:dyDescent="0.55000000000000004"/>
  <cols>
    <col min="1" max="1" width="21.26171875" style="63" customWidth="1"/>
    <col min="2" max="2" width="37.05078125" style="63" customWidth="1"/>
    <col min="3" max="3" width="51.26171875" style="63" customWidth="1"/>
    <col min="4" max="4" width="13" style="63" customWidth="1"/>
    <col min="5" max="16384" width="11" style="63"/>
  </cols>
  <sheetData>
    <row r="1" spans="1:10" ht="12" customHeight="1" x14ac:dyDescent="0.95">
      <c r="C1" s="72"/>
    </row>
    <row r="2" spans="1:10" ht="42" customHeight="1" x14ac:dyDescent="0.8">
      <c r="B2" s="92" t="str">
        <f>Workbook.Title</f>
        <v xml:space="preserve">Review of rules for prominence of public service broadcasters and local TV: Consultation on proposed changes to the linear EPG Code and future of the regime </v>
      </c>
      <c r="C2" s="92"/>
      <c r="D2" s="92"/>
      <c r="E2" s="92"/>
      <c r="F2" s="92"/>
      <c r="G2" s="92"/>
      <c r="H2" s="92"/>
      <c r="I2" s="92"/>
      <c r="J2" s="92"/>
    </row>
    <row r="3" spans="1:10" ht="7.5" customHeight="1" x14ac:dyDescent="0.55000000000000004"/>
    <row r="4" spans="1:10" ht="17.7" x14ac:dyDescent="0.6">
      <c r="A4" s="64" t="s">
        <v>0</v>
      </c>
    </row>
    <row r="5" spans="1:10" ht="6" customHeight="1" x14ac:dyDescent="0.55000000000000004"/>
    <row r="6" spans="1:10" x14ac:dyDescent="0.55000000000000004">
      <c r="A6" s="65" t="s">
        <v>1</v>
      </c>
      <c r="B6" s="87" t="s">
        <v>310</v>
      </c>
    </row>
    <row r="7" spans="1:10" x14ac:dyDescent="0.55000000000000004">
      <c r="A7" s="84"/>
      <c r="B7" s="88" t="s">
        <v>311</v>
      </c>
    </row>
    <row r="8" spans="1:10" x14ac:dyDescent="0.55000000000000004">
      <c r="A8" s="65" t="s">
        <v>2</v>
      </c>
      <c r="B8" s="70" t="s">
        <v>289</v>
      </c>
    </row>
    <row r="9" spans="1:10" x14ac:dyDescent="0.55000000000000004">
      <c r="A9" s="65" t="s">
        <v>3</v>
      </c>
      <c r="B9" s="71">
        <v>1</v>
      </c>
    </row>
    <row r="10" spans="1:10" x14ac:dyDescent="0.55000000000000004">
      <c r="A10" s="65" t="s">
        <v>4</v>
      </c>
      <c r="B10" s="70" t="s">
        <v>5</v>
      </c>
    </row>
    <row r="11" spans="1:10" x14ac:dyDescent="0.55000000000000004">
      <c r="A11" s="69"/>
      <c r="B11" s="68"/>
    </row>
    <row r="12" spans="1:10" ht="17.7" x14ac:dyDescent="0.6">
      <c r="A12" s="64" t="s">
        <v>6</v>
      </c>
    </row>
    <row r="14" spans="1:10" ht="15" x14ac:dyDescent="0.5">
      <c r="A14" s="66" t="s">
        <v>7</v>
      </c>
      <c r="B14" s="66" t="s">
        <v>8</v>
      </c>
      <c r="C14" s="67"/>
      <c r="D14" s="66"/>
    </row>
    <row r="15" spans="1:10" x14ac:dyDescent="0.55000000000000004">
      <c r="A15" s="63" t="s">
        <v>6</v>
      </c>
      <c r="B15" s="91" t="s">
        <v>341</v>
      </c>
      <c r="C15" s="91"/>
    </row>
    <row r="16" spans="1:10" ht="34.450000000000003" customHeight="1" x14ac:dyDescent="0.55000000000000004">
      <c r="A16" s="63" t="s">
        <v>288</v>
      </c>
      <c r="B16" s="91" t="s">
        <v>287</v>
      </c>
      <c r="C16" s="91"/>
    </row>
    <row r="17" spans="1:5" x14ac:dyDescent="0.55000000000000004">
      <c r="A17" s="63" t="s">
        <v>9</v>
      </c>
      <c r="B17" s="91" t="s">
        <v>320</v>
      </c>
      <c r="C17" s="91"/>
    </row>
    <row r="18" spans="1:5" ht="14.4" x14ac:dyDescent="0.55000000000000004">
      <c r="A18" s="63" t="s">
        <v>10</v>
      </c>
      <c r="B18" s="99" t="s">
        <v>321</v>
      </c>
      <c r="C18" s="100"/>
      <c r="D18" s="100"/>
      <c r="E18" s="100"/>
    </row>
    <row r="19" spans="1:5" ht="14.4" x14ac:dyDescent="0.55000000000000004">
      <c r="A19" s="63" t="s">
        <v>11</v>
      </c>
      <c r="B19" s="99" t="s">
        <v>322</v>
      </c>
      <c r="C19" s="101"/>
      <c r="D19" s="101"/>
    </row>
    <row r="20" spans="1:5" ht="14.4" x14ac:dyDescent="0.55000000000000004">
      <c r="A20" s="63" t="s">
        <v>12</v>
      </c>
      <c r="B20" s="99" t="s">
        <v>323</v>
      </c>
      <c r="C20" s="101"/>
      <c r="D20" s="101"/>
    </row>
    <row r="21" spans="1:5" x14ac:dyDescent="0.55000000000000004">
      <c r="A21" s="63" t="s">
        <v>13</v>
      </c>
      <c r="B21" s="91" t="s">
        <v>324</v>
      </c>
      <c r="C21" s="91"/>
    </row>
    <row r="22" spans="1:5" x14ac:dyDescent="0.55000000000000004">
      <c r="A22" s="63" t="s">
        <v>14</v>
      </c>
      <c r="B22" s="91" t="s">
        <v>325</v>
      </c>
      <c r="C22" s="91"/>
    </row>
    <row r="23" spans="1:5" x14ac:dyDescent="0.55000000000000004">
      <c r="A23" s="63" t="s">
        <v>15</v>
      </c>
      <c r="B23" s="63" t="s">
        <v>326</v>
      </c>
    </row>
    <row r="24" spans="1:5" x14ac:dyDescent="0.55000000000000004">
      <c r="A24" s="63" t="s">
        <v>16</v>
      </c>
      <c r="B24" s="63" t="s">
        <v>327</v>
      </c>
    </row>
    <row r="26" spans="1:5" ht="17.7" x14ac:dyDescent="0.6">
      <c r="A26" s="64" t="s">
        <v>17</v>
      </c>
    </row>
    <row r="28" spans="1:5" ht="15" customHeight="1" x14ac:dyDescent="0.55000000000000004">
      <c r="A28" s="63" t="s">
        <v>18</v>
      </c>
    </row>
    <row r="29" spans="1:5" ht="28.9" customHeight="1" x14ac:dyDescent="0.55000000000000004">
      <c r="A29" s="89" t="s">
        <v>19</v>
      </c>
      <c r="B29" s="89"/>
      <c r="C29" s="89"/>
      <c r="D29" s="89"/>
      <c r="E29" s="89"/>
    </row>
    <row r="30" spans="1:5" ht="46.5" customHeight="1" x14ac:dyDescent="0.55000000000000004">
      <c r="A30" s="89" t="s">
        <v>20</v>
      </c>
      <c r="B30" s="89"/>
      <c r="C30" s="89"/>
      <c r="D30" s="89"/>
      <c r="E30" s="89"/>
    </row>
    <row r="31" spans="1:5" ht="38.65" customHeight="1" x14ac:dyDescent="0.55000000000000004">
      <c r="A31" s="89" t="s">
        <v>21</v>
      </c>
      <c r="B31" s="89"/>
      <c r="C31" s="89"/>
      <c r="D31" s="89"/>
      <c r="E31" s="89"/>
    </row>
    <row r="32" spans="1:5" ht="36" customHeight="1" x14ac:dyDescent="0.55000000000000004">
      <c r="A32" s="89" t="s">
        <v>22</v>
      </c>
      <c r="B32" s="89"/>
      <c r="C32" s="89"/>
      <c r="D32" s="89"/>
      <c r="E32" s="89"/>
    </row>
    <row r="33" spans="1:5" ht="32.25" customHeight="1" x14ac:dyDescent="0.55000000000000004">
      <c r="A33" s="89" t="s">
        <v>23</v>
      </c>
      <c r="B33" s="89"/>
      <c r="C33" s="89"/>
      <c r="D33" s="89"/>
      <c r="E33" s="89"/>
    </row>
    <row r="34" spans="1:5" ht="42" customHeight="1" x14ac:dyDescent="0.55000000000000004">
      <c r="A34" s="89"/>
      <c r="B34" s="89"/>
      <c r="C34" s="89"/>
      <c r="D34" s="89"/>
      <c r="E34" s="89"/>
    </row>
    <row r="35" spans="1:5" x14ac:dyDescent="0.55000000000000004">
      <c r="A35" s="90"/>
      <c r="B35" s="90"/>
      <c r="C35" s="90"/>
      <c r="D35" s="90"/>
      <c r="E35" s="90"/>
    </row>
  </sheetData>
  <mergeCells count="16">
    <mergeCell ref="B2:J2"/>
    <mergeCell ref="B21:C21"/>
    <mergeCell ref="B15:C15"/>
    <mergeCell ref="B17:C17"/>
    <mergeCell ref="B16:C16"/>
    <mergeCell ref="B18:E18"/>
    <mergeCell ref="B19:D19"/>
    <mergeCell ref="B20:D20"/>
    <mergeCell ref="A34:E34"/>
    <mergeCell ref="A35:E35"/>
    <mergeCell ref="B22:C22"/>
    <mergeCell ref="A29:E29"/>
    <mergeCell ref="A30:E30"/>
    <mergeCell ref="A31:E31"/>
    <mergeCell ref="A32:E32"/>
    <mergeCell ref="A33:E33"/>
  </mergeCells>
  <pageMargins left="0.70866141732283472" right="0.70866141732283472" top="0.51181102362204722" bottom="0.51181102362204722" header="0.51181102362204722" footer="0.35433070866141736"/>
  <pageSetup paperSize="9" orientation="landscape" horizontalDpi="4294967292" vertic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E13B6-51D8-45A6-9061-034A393868F1}">
  <dimension ref="A1:L67"/>
  <sheetViews>
    <sheetView zoomScale="104" zoomScaleNormal="104" workbookViewId="0">
      <selection activeCell="B1" sqref="B1"/>
    </sheetView>
  </sheetViews>
  <sheetFormatPr defaultRowHeight="14.4" x14ac:dyDescent="0.55000000000000004"/>
  <cols>
    <col min="1" max="1" width="35.47265625" bestFit="1" customWidth="1"/>
    <col min="2" max="2" width="19" bestFit="1" customWidth="1"/>
    <col min="3" max="3" width="12.47265625" customWidth="1"/>
    <col min="4" max="4" width="13.05078125" customWidth="1"/>
    <col min="12" max="12" width="9.26171875" customWidth="1"/>
  </cols>
  <sheetData>
    <row r="1" spans="1:12" x14ac:dyDescent="0.55000000000000004">
      <c r="A1" s="2" t="s">
        <v>24</v>
      </c>
    </row>
    <row r="2" spans="1:12" ht="57.9" thickBot="1" x14ac:dyDescent="0.6">
      <c r="A2" s="2"/>
      <c r="B2" s="2" t="s">
        <v>25</v>
      </c>
      <c r="C2">
        <v>2.5</v>
      </c>
      <c r="E2" s="4" t="s">
        <v>227</v>
      </c>
      <c r="F2">
        <v>36</v>
      </c>
    </row>
    <row r="3" spans="1:12" ht="29.1" thickBot="1" x14ac:dyDescent="0.6">
      <c r="A3" s="93" t="s">
        <v>257</v>
      </c>
      <c r="B3" s="94"/>
      <c r="C3" s="94"/>
      <c r="D3" s="95"/>
      <c r="E3" s="3" t="s">
        <v>29</v>
      </c>
      <c r="F3" s="3" t="s">
        <v>30</v>
      </c>
      <c r="G3" s="3"/>
      <c r="H3" s="2" t="s">
        <v>27</v>
      </c>
    </row>
    <row r="4" spans="1:12" ht="72.3" thickBot="1" x14ac:dyDescent="0.6">
      <c r="A4" s="14" t="s">
        <v>33</v>
      </c>
      <c r="B4" s="19" t="s">
        <v>34</v>
      </c>
      <c r="C4" s="59" t="s">
        <v>35</v>
      </c>
      <c r="D4" s="41" t="s">
        <v>36</v>
      </c>
      <c r="E4" s="1">
        <f>(C2/C5)^(1/3)</f>
        <v>1.0772173450159419</v>
      </c>
      <c r="F4" s="16" t="s">
        <v>37</v>
      </c>
      <c r="H4" s="4" t="s">
        <v>31</v>
      </c>
      <c r="I4" s="4" t="s">
        <v>32</v>
      </c>
      <c r="J4" s="4" t="s">
        <v>283</v>
      </c>
      <c r="K4" s="4" t="s">
        <v>284</v>
      </c>
      <c r="L4" s="4" t="s">
        <v>285</v>
      </c>
    </row>
    <row r="5" spans="1:12" ht="57.6" x14ac:dyDescent="0.55000000000000004">
      <c r="A5" s="33" t="s">
        <v>258</v>
      </c>
      <c r="B5" s="40">
        <v>1</v>
      </c>
      <c r="C5" s="40">
        <v>2</v>
      </c>
      <c r="D5" s="15">
        <v>16</v>
      </c>
      <c r="E5" s="1">
        <f>(C5/C6)^(1/8)</f>
        <v>1.1304362912135053</v>
      </c>
      <c r="F5" s="4" t="s">
        <v>158</v>
      </c>
      <c r="H5">
        <v>1</v>
      </c>
      <c r="I5" s="1">
        <f>SUMIFS($B$13:$B$48,$C$13:$C$48,H5)</f>
        <v>14.918783016535311</v>
      </c>
      <c r="J5" s="1">
        <f>I5/D5</f>
        <v>0.93242393853345695</v>
      </c>
      <c r="K5" s="1">
        <f>MIN(J5:J10)</f>
        <v>0.93242393853345695</v>
      </c>
      <c r="L5" s="1">
        <f>MAX(J5:J10)</f>
        <v>1.0516615378833996</v>
      </c>
    </row>
    <row r="6" spans="1:12" ht="57.6" x14ac:dyDescent="0.55000000000000004">
      <c r="A6" s="11" t="s">
        <v>259</v>
      </c>
      <c r="B6" s="31">
        <v>2</v>
      </c>
      <c r="C6" s="31">
        <v>0.75</v>
      </c>
      <c r="D6" s="15">
        <v>6</v>
      </c>
      <c r="E6" s="1">
        <f>(C6/C7)^(1/8)</f>
        <v>1.1472026904398771</v>
      </c>
      <c r="F6" s="4" t="s">
        <v>160</v>
      </c>
      <c r="H6">
        <v>2</v>
      </c>
      <c r="I6" s="1">
        <f t="shared" ref="I6:I9" si="0">SUMIFS($B$13:$B$48,$C$13:$C$48,H6)</f>
        <v>5.7930755442605468</v>
      </c>
      <c r="J6" s="1">
        <f t="shared" ref="J6:J10" si="1">I6/D6</f>
        <v>0.9655125907100911</v>
      </c>
    </row>
    <row r="7" spans="1:12" ht="57.6" x14ac:dyDescent="0.55000000000000004">
      <c r="A7" s="11" t="s">
        <v>260</v>
      </c>
      <c r="B7" s="31">
        <v>3</v>
      </c>
      <c r="C7" s="31">
        <v>0.25</v>
      </c>
      <c r="D7" s="15">
        <v>2</v>
      </c>
      <c r="E7" s="1">
        <f t="shared" ref="E7:E8" si="2">(C7/C8)^(1/8)</f>
        <v>1.0659359110507063</v>
      </c>
      <c r="F7" s="4" t="s">
        <v>43</v>
      </c>
      <c r="H7">
        <v>3</v>
      </c>
      <c r="I7" s="1">
        <f t="shared" si="0"/>
        <v>2.0979004675535995</v>
      </c>
      <c r="J7" s="1">
        <f t="shared" si="1"/>
        <v>1.0489502337767997</v>
      </c>
    </row>
    <row r="8" spans="1:12" ht="57.6" x14ac:dyDescent="0.55000000000000004">
      <c r="A8" s="11" t="s">
        <v>261</v>
      </c>
      <c r="B8" s="31">
        <v>4</v>
      </c>
      <c r="C8" s="31">
        <v>0.15</v>
      </c>
      <c r="D8" s="15">
        <v>1.2</v>
      </c>
      <c r="E8" s="1">
        <f t="shared" si="2"/>
        <v>1</v>
      </c>
      <c r="F8" s="4" t="s">
        <v>262</v>
      </c>
      <c r="H8">
        <v>4</v>
      </c>
      <c r="I8" s="1">
        <f t="shared" si="0"/>
        <v>1.2619938454600794</v>
      </c>
      <c r="J8" s="1">
        <f t="shared" si="1"/>
        <v>1.0516615378833996</v>
      </c>
    </row>
    <row r="9" spans="1:12" ht="14.7" thickBot="1" x14ac:dyDescent="0.6">
      <c r="A9" s="12" t="s">
        <v>263</v>
      </c>
      <c r="B9" s="32">
        <v>5</v>
      </c>
      <c r="C9" s="32">
        <v>0.15</v>
      </c>
      <c r="D9" s="15">
        <v>0.6</v>
      </c>
      <c r="H9">
        <v>5</v>
      </c>
      <c r="I9" s="1">
        <f t="shared" si="0"/>
        <v>0.6</v>
      </c>
      <c r="J9" s="1">
        <f t="shared" si="1"/>
        <v>1</v>
      </c>
    </row>
    <row r="10" spans="1:12" ht="14.7" thickBot="1" x14ac:dyDescent="0.6">
      <c r="A10" s="38" t="s">
        <v>264</v>
      </c>
      <c r="B10" s="44"/>
      <c r="C10" s="44"/>
      <c r="D10" s="54">
        <v>25.8</v>
      </c>
      <c r="H10" t="s">
        <v>68</v>
      </c>
      <c r="I10" s="1">
        <f>SUM(I5:I9)</f>
        <v>24.671752873809538</v>
      </c>
      <c r="J10" s="1">
        <f t="shared" si="1"/>
        <v>0.95626949123292782</v>
      </c>
    </row>
    <row r="12" spans="1:12" x14ac:dyDescent="0.55000000000000004">
      <c r="A12" s="17" t="s">
        <v>306</v>
      </c>
      <c r="B12" s="2" t="s">
        <v>69</v>
      </c>
      <c r="C12" s="2" t="s">
        <v>277</v>
      </c>
    </row>
    <row r="13" spans="1:12" x14ac:dyDescent="0.55000000000000004">
      <c r="A13" s="60">
        <v>1</v>
      </c>
      <c r="B13" s="1">
        <f>$C$2/($E$4^(A13-1))</f>
        <v>2.5</v>
      </c>
      <c r="C13">
        <f>ROUNDUP(A13/8,0)</f>
        <v>1</v>
      </c>
    </row>
    <row r="14" spans="1:12" x14ac:dyDescent="0.55000000000000004">
      <c r="A14" s="60">
        <v>2</v>
      </c>
      <c r="B14" s="1">
        <f t="shared" ref="B14:B16" si="3">$C$2/($E$4^(A14-1))</f>
        <v>2.3207944168063892</v>
      </c>
      <c r="C14">
        <f t="shared" ref="C14:C48" si="4">ROUNDUP(A14/8,0)</f>
        <v>1</v>
      </c>
    </row>
    <row r="15" spans="1:12" x14ac:dyDescent="0.55000000000000004">
      <c r="A15" s="60">
        <v>3</v>
      </c>
      <c r="B15" s="1">
        <f t="shared" si="3"/>
        <v>2.1544346900318834</v>
      </c>
      <c r="C15">
        <f t="shared" si="4"/>
        <v>1</v>
      </c>
    </row>
    <row r="16" spans="1:12" x14ac:dyDescent="0.55000000000000004">
      <c r="A16" s="60">
        <v>4</v>
      </c>
      <c r="B16" s="1">
        <f t="shared" si="3"/>
        <v>1.9999999999999996</v>
      </c>
      <c r="C16">
        <f t="shared" si="4"/>
        <v>1</v>
      </c>
    </row>
    <row r="17" spans="1:3" x14ac:dyDescent="0.55000000000000004">
      <c r="A17" s="60">
        <v>5</v>
      </c>
      <c r="B17" s="1">
        <f>$C$5/($E$5^(A17-4))</f>
        <v>1.7692284081334932</v>
      </c>
      <c r="C17">
        <f t="shared" si="4"/>
        <v>1</v>
      </c>
    </row>
    <row r="18" spans="1:3" x14ac:dyDescent="0.55000000000000004">
      <c r="A18" s="60">
        <v>6</v>
      </c>
      <c r="B18" s="1">
        <f t="shared" ref="B18:B24" si="5">$C$5/($E$5^(A18-4))</f>
        <v>1.5650845800732871</v>
      </c>
      <c r="C18">
        <f t="shared" si="4"/>
        <v>1</v>
      </c>
    </row>
    <row r="19" spans="1:3" x14ac:dyDescent="0.55000000000000004">
      <c r="A19" s="60">
        <v>7</v>
      </c>
      <c r="B19" s="1">
        <f t="shared" si="5"/>
        <v>1.3844960500986694</v>
      </c>
      <c r="C19">
        <f t="shared" si="4"/>
        <v>1</v>
      </c>
    </row>
    <row r="20" spans="1:3" x14ac:dyDescent="0.55000000000000004">
      <c r="A20" s="60">
        <v>8</v>
      </c>
      <c r="B20" s="1">
        <f t="shared" si="5"/>
        <v>1.2247448713915887</v>
      </c>
      <c r="C20">
        <f t="shared" si="4"/>
        <v>1</v>
      </c>
    </row>
    <row r="21" spans="1:3" x14ac:dyDescent="0.55000000000000004">
      <c r="A21" s="60">
        <v>9</v>
      </c>
      <c r="B21" s="1">
        <f t="shared" si="5"/>
        <v>1.0834267095909003</v>
      </c>
      <c r="C21">
        <f t="shared" si="4"/>
        <v>2</v>
      </c>
    </row>
    <row r="22" spans="1:3" x14ac:dyDescent="0.55000000000000004">
      <c r="A22" s="60">
        <v>10</v>
      </c>
      <c r="B22" s="1">
        <f t="shared" si="5"/>
        <v>0.95841465636940826</v>
      </c>
      <c r="C22">
        <f t="shared" si="4"/>
        <v>2</v>
      </c>
    </row>
    <row r="23" spans="1:3" x14ac:dyDescent="0.55000000000000004">
      <c r="A23" s="60">
        <v>11</v>
      </c>
      <c r="B23" s="1">
        <f t="shared" si="5"/>
        <v>0.84782721841012865</v>
      </c>
      <c r="C23">
        <f t="shared" si="4"/>
        <v>2</v>
      </c>
    </row>
    <row r="24" spans="1:3" x14ac:dyDescent="0.55000000000000004">
      <c r="A24" s="60">
        <v>12</v>
      </c>
      <c r="B24" s="1">
        <f t="shared" si="5"/>
        <v>0.74999999999999956</v>
      </c>
      <c r="C24">
        <f t="shared" si="4"/>
        <v>2</v>
      </c>
    </row>
    <row r="25" spans="1:3" x14ac:dyDescent="0.55000000000000004">
      <c r="A25" s="60">
        <v>13</v>
      </c>
      <c r="B25" s="1">
        <f>$C$6/($E$6^(A25-12))</f>
        <v>0.65376415715380176</v>
      </c>
      <c r="C25">
        <f t="shared" si="4"/>
        <v>2</v>
      </c>
    </row>
    <row r="26" spans="1:3" x14ac:dyDescent="0.55000000000000004">
      <c r="A26" s="60">
        <v>14</v>
      </c>
      <c r="B26" s="1">
        <f>$C$6/($E$6^(A26-12))</f>
        <v>0.56987676423869438</v>
      </c>
      <c r="C26">
        <f t="shared" si="4"/>
        <v>2</v>
      </c>
    </row>
    <row r="27" spans="1:3" x14ac:dyDescent="0.55000000000000004">
      <c r="A27" s="60">
        <v>15</v>
      </c>
      <c r="B27" s="1">
        <f t="shared" ref="B27:B31" si="6">$C$6/($E$6^(A27-12))</f>
        <v>0.49675333660539445</v>
      </c>
      <c r="C27">
        <f t="shared" si="4"/>
        <v>2</v>
      </c>
    </row>
    <row r="28" spans="1:3" x14ac:dyDescent="0.55000000000000004">
      <c r="A28" s="60">
        <v>16</v>
      </c>
      <c r="B28" s="1">
        <f t="shared" si="6"/>
        <v>0.43301270189221924</v>
      </c>
      <c r="C28">
        <f t="shared" si="4"/>
        <v>2</v>
      </c>
    </row>
    <row r="29" spans="1:3" x14ac:dyDescent="0.55000000000000004">
      <c r="A29" s="60">
        <v>17</v>
      </c>
      <c r="B29" s="1">
        <f t="shared" si="6"/>
        <v>0.37745091211927617</v>
      </c>
      <c r="C29">
        <f t="shared" si="4"/>
        <v>3</v>
      </c>
    </row>
    <row r="30" spans="1:3" x14ac:dyDescent="0.55000000000000004">
      <c r="A30" s="60">
        <v>18</v>
      </c>
      <c r="B30" s="1">
        <f t="shared" si="6"/>
        <v>0.32901850323812298</v>
      </c>
      <c r="C30">
        <f t="shared" si="4"/>
        <v>3</v>
      </c>
    </row>
    <row r="31" spans="1:3" x14ac:dyDescent="0.55000000000000004">
      <c r="A31" s="60">
        <v>19</v>
      </c>
      <c r="B31" s="1">
        <f t="shared" si="6"/>
        <v>0.28680067260996917</v>
      </c>
      <c r="C31">
        <f t="shared" si="4"/>
        <v>3</v>
      </c>
    </row>
    <row r="32" spans="1:3" x14ac:dyDescent="0.55000000000000004">
      <c r="A32" s="60">
        <v>20</v>
      </c>
      <c r="B32" s="1">
        <f>$C$6/($E$6^(A32-12))</f>
        <v>0.24999999999999989</v>
      </c>
      <c r="C32">
        <f t="shared" si="4"/>
        <v>3</v>
      </c>
    </row>
    <row r="33" spans="1:3" x14ac:dyDescent="0.55000000000000004">
      <c r="A33" s="60">
        <v>21</v>
      </c>
      <c r="B33" s="1">
        <f>$C$7/($E$7^(A33-20))</f>
        <v>0.23453567649632134</v>
      </c>
      <c r="C33">
        <f t="shared" si="4"/>
        <v>3</v>
      </c>
    </row>
    <row r="34" spans="1:3" x14ac:dyDescent="0.55000000000000004">
      <c r="A34" s="60">
        <v>22</v>
      </c>
      <c r="B34" s="1">
        <f t="shared" ref="B34:B39" si="7">$C$7/($E$7^(A34-20))</f>
        <v>0.22002793419834835</v>
      </c>
      <c r="C34">
        <f t="shared" si="4"/>
        <v>3</v>
      </c>
    </row>
    <row r="35" spans="1:3" x14ac:dyDescent="0.55000000000000004">
      <c r="A35" s="60">
        <v>23</v>
      </c>
      <c r="B35" s="1">
        <f t="shared" si="7"/>
        <v>0.20641760158119082</v>
      </c>
      <c r="C35">
        <f t="shared" si="4"/>
        <v>3</v>
      </c>
    </row>
    <row r="36" spans="1:3" x14ac:dyDescent="0.55000000000000004">
      <c r="A36" s="60">
        <v>24</v>
      </c>
      <c r="B36" s="1">
        <f t="shared" si="7"/>
        <v>0.19364916731037085</v>
      </c>
      <c r="C36">
        <f t="shared" si="4"/>
        <v>3</v>
      </c>
    </row>
    <row r="37" spans="1:3" x14ac:dyDescent="0.55000000000000004">
      <c r="A37" s="60">
        <v>25</v>
      </c>
      <c r="B37" s="1">
        <f t="shared" si="7"/>
        <v>0.18167055383234856</v>
      </c>
      <c r="C37">
        <f t="shared" si="4"/>
        <v>4</v>
      </c>
    </row>
    <row r="38" spans="1:3" x14ac:dyDescent="0.55000000000000004">
      <c r="A38" s="60">
        <v>26</v>
      </c>
      <c r="B38" s="1">
        <f t="shared" si="7"/>
        <v>0.17043290497012492</v>
      </c>
      <c r="C38">
        <f t="shared" si="4"/>
        <v>4</v>
      </c>
    </row>
    <row r="39" spans="1:3" x14ac:dyDescent="0.55000000000000004">
      <c r="A39" s="60">
        <v>27</v>
      </c>
      <c r="B39" s="1">
        <f t="shared" si="7"/>
        <v>0.15989038665760599</v>
      </c>
      <c r="C39">
        <f t="shared" si="4"/>
        <v>4</v>
      </c>
    </row>
    <row r="40" spans="1:3" x14ac:dyDescent="0.55000000000000004">
      <c r="A40" s="60">
        <v>28</v>
      </c>
      <c r="B40" s="1">
        <f>$C$7/($E$7^(A40-20))</f>
        <v>0.15000000000000002</v>
      </c>
      <c r="C40">
        <f t="shared" si="4"/>
        <v>4</v>
      </c>
    </row>
    <row r="41" spans="1:3" x14ac:dyDescent="0.55000000000000004">
      <c r="A41" s="60">
        <v>29</v>
      </c>
      <c r="B41" s="1">
        <f>$C$8/($E$8^(A41-28))</f>
        <v>0.15</v>
      </c>
      <c r="C41">
        <f t="shared" si="4"/>
        <v>4</v>
      </c>
    </row>
    <row r="42" spans="1:3" x14ac:dyDescent="0.55000000000000004">
      <c r="A42" s="60">
        <v>30</v>
      </c>
      <c r="B42" s="1">
        <f t="shared" ref="B42:B48" si="8">$C$8/($E$8^(A42-28))</f>
        <v>0.15</v>
      </c>
      <c r="C42">
        <f t="shared" si="4"/>
        <v>4</v>
      </c>
    </row>
    <row r="43" spans="1:3" ht="15.75" customHeight="1" x14ac:dyDescent="0.55000000000000004">
      <c r="A43" s="60">
        <v>31</v>
      </c>
      <c r="B43" s="1">
        <f t="shared" si="8"/>
        <v>0.15</v>
      </c>
      <c r="C43">
        <f t="shared" si="4"/>
        <v>4</v>
      </c>
    </row>
    <row r="44" spans="1:3" ht="15.75" customHeight="1" x14ac:dyDescent="0.55000000000000004">
      <c r="A44" s="60">
        <v>32</v>
      </c>
      <c r="B44" s="1">
        <f t="shared" si="8"/>
        <v>0.15</v>
      </c>
      <c r="C44">
        <f t="shared" si="4"/>
        <v>4</v>
      </c>
    </row>
    <row r="45" spans="1:3" ht="15.75" customHeight="1" x14ac:dyDescent="0.55000000000000004">
      <c r="A45" s="60">
        <v>33</v>
      </c>
      <c r="B45" s="1">
        <f t="shared" si="8"/>
        <v>0.15</v>
      </c>
      <c r="C45">
        <f t="shared" si="4"/>
        <v>5</v>
      </c>
    </row>
    <row r="46" spans="1:3" ht="15.75" customHeight="1" x14ac:dyDescent="0.55000000000000004">
      <c r="A46" s="60">
        <v>34</v>
      </c>
      <c r="B46" s="1">
        <f t="shared" si="8"/>
        <v>0.15</v>
      </c>
      <c r="C46">
        <f t="shared" si="4"/>
        <v>5</v>
      </c>
    </row>
    <row r="47" spans="1:3" ht="15.75" customHeight="1" x14ac:dyDescent="0.55000000000000004">
      <c r="A47" s="60">
        <v>35</v>
      </c>
      <c r="B47" s="1">
        <f t="shared" si="8"/>
        <v>0.15</v>
      </c>
      <c r="C47">
        <f t="shared" si="4"/>
        <v>5</v>
      </c>
    </row>
    <row r="48" spans="1:3" ht="15.75" customHeight="1" x14ac:dyDescent="0.55000000000000004">
      <c r="A48" s="60">
        <v>36</v>
      </c>
      <c r="B48" s="1">
        <f t="shared" si="8"/>
        <v>0.15</v>
      </c>
      <c r="C48">
        <f t="shared" si="4"/>
        <v>5</v>
      </c>
    </row>
    <row r="49" spans="1:12" ht="15.75" customHeight="1" x14ac:dyDescent="0.55000000000000004">
      <c r="A49" s="60"/>
      <c r="B49" s="1"/>
    </row>
    <row r="50" spans="1:12" ht="15.75" customHeight="1" x14ac:dyDescent="0.55000000000000004"/>
    <row r="51" spans="1:12" x14ac:dyDescent="0.55000000000000004">
      <c r="A51" s="2" t="s">
        <v>251</v>
      </c>
    </row>
    <row r="52" spans="1:12" ht="28.8" x14ac:dyDescent="0.55000000000000004">
      <c r="A52" s="9" t="s">
        <v>71</v>
      </c>
      <c r="B52" s="8" t="s">
        <v>252</v>
      </c>
      <c r="C52" s="9" t="s">
        <v>314</v>
      </c>
    </row>
    <row r="53" spans="1:12" ht="57.6" x14ac:dyDescent="0.55000000000000004">
      <c r="A53" s="4" t="s">
        <v>253</v>
      </c>
      <c r="B53" s="4" t="s">
        <v>254</v>
      </c>
      <c r="C53" s="4" t="s">
        <v>315</v>
      </c>
    </row>
    <row r="55" spans="1:12" ht="72" x14ac:dyDescent="0.55000000000000004">
      <c r="A55" s="9" t="s">
        <v>185</v>
      </c>
      <c r="B55" s="8" t="s">
        <v>74</v>
      </c>
      <c r="C55" s="9"/>
      <c r="D55" s="9" t="s">
        <v>76</v>
      </c>
      <c r="E55" s="9" t="s">
        <v>77</v>
      </c>
      <c r="F55" s="9" t="s">
        <v>328</v>
      </c>
      <c r="G55" s="9" t="s">
        <v>265</v>
      </c>
      <c r="H55" s="9" t="s">
        <v>266</v>
      </c>
      <c r="I55" s="9" t="s">
        <v>267</v>
      </c>
    </row>
    <row r="56" spans="1:12" x14ac:dyDescent="0.55000000000000004">
      <c r="A56" t="s">
        <v>268</v>
      </c>
      <c r="B56" t="s">
        <v>269</v>
      </c>
      <c r="D56">
        <f t="shared" ref="D56:D63" si="9">IF(B56="BBC",0,1)</f>
        <v>1</v>
      </c>
      <c r="E56">
        <v>7</v>
      </c>
      <c r="F56" s="1">
        <f t="shared" ref="F56:F63" si="10">VLOOKUP(E56,$A$13:$B$48,2,FALSE)</f>
        <v>1.3844960500986694</v>
      </c>
      <c r="G56">
        <v>9</v>
      </c>
      <c r="H56" s="1">
        <f t="shared" ref="H56:H63" si="11">VLOOKUP(G56,$A$13:$B$48,2,FALSE)</f>
        <v>1.0834267095909003</v>
      </c>
      <c r="I56" s="1">
        <f t="shared" ref="I56:I63" si="12">H56-$F56</f>
        <v>-0.30106934050776912</v>
      </c>
      <c r="K56" s="1"/>
      <c r="L56" s="6"/>
    </row>
    <row r="57" spans="1:12" x14ac:dyDescent="0.55000000000000004">
      <c r="A57" t="s">
        <v>270</v>
      </c>
      <c r="B57" t="s">
        <v>269</v>
      </c>
      <c r="D57">
        <f t="shared" si="9"/>
        <v>1</v>
      </c>
      <c r="E57">
        <v>8</v>
      </c>
      <c r="F57" s="1">
        <f t="shared" si="10"/>
        <v>1.2247448713915887</v>
      </c>
      <c r="G57">
        <v>10</v>
      </c>
      <c r="H57" s="1">
        <f t="shared" si="11"/>
        <v>0.95841465636940826</v>
      </c>
      <c r="I57" s="1">
        <f t="shared" si="12"/>
        <v>-0.26633021502218046</v>
      </c>
      <c r="K57" s="1"/>
      <c r="L57" s="6"/>
    </row>
    <row r="58" spans="1:12" x14ac:dyDescent="0.55000000000000004">
      <c r="A58" t="s">
        <v>271</v>
      </c>
      <c r="B58" t="s">
        <v>269</v>
      </c>
      <c r="D58">
        <f t="shared" si="9"/>
        <v>1</v>
      </c>
      <c r="E58">
        <v>9</v>
      </c>
      <c r="F58" s="1">
        <f t="shared" si="10"/>
        <v>1.0834267095909003</v>
      </c>
      <c r="G58">
        <v>11</v>
      </c>
      <c r="H58" s="1">
        <f t="shared" si="11"/>
        <v>0.84782721841012865</v>
      </c>
      <c r="I58" s="1">
        <f t="shared" si="12"/>
        <v>-0.23559949118077161</v>
      </c>
      <c r="K58" s="1"/>
      <c r="L58" s="6"/>
    </row>
    <row r="59" spans="1:12" x14ac:dyDescent="0.55000000000000004">
      <c r="A59" t="s">
        <v>272</v>
      </c>
      <c r="B59" t="s">
        <v>269</v>
      </c>
      <c r="D59">
        <f t="shared" si="9"/>
        <v>1</v>
      </c>
      <c r="E59">
        <v>10</v>
      </c>
      <c r="F59" s="1">
        <f t="shared" si="10"/>
        <v>0.95841465636940826</v>
      </c>
      <c r="G59">
        <v>12</v>
      </c>
      <c r="H59" s="1">
        <f t="shared" si="11"/>
        <v>0.74999999999999956</v>
      </c>
      <c r="I59" s="1">
        <f t="shared" si="12"/>
        <v>-0.2084146563694087</v>
      </c>
      <c r="K59" s="1"/>
      <c r="L59" s="6"/>
    </row>
    <row r="60" spans="1:12" x14ac:dyDescent="0.55000000000000004">
      <c r="A60" t="s">
        <v>273</v>
      </c>
      <c r="B60" t="s">
        <v>269</v>
      </c>
      <c r="D60">
        <f t="shared" si="9"/>
        <v>1</v>
      </c>
      <c r="E60">
        <v>11</v>
      </c>
      <c r="F60" s="1">
        <f t="shared" si="10"/>
        <v>0.84782721841012865</v>
      </c>
      <c r="G60">
        <v>13</v>
      </c>
      <c r="H60" s="1">
        <f t="shared" si="11"/>
        <v>0.65376415715380176</v>
      </c>
      <c r="I60" s="1">
        <f t="shared" si="12"/>
        <v>-0.19406306125632689</v>
      </c>
      <c r="K60" s="1"/>
      <c r="L60" s="6"/>
    </row>
    <row r="61" spans="1:12" x14ac:dyDescent="0.55000000000000004">
      <c r="A61" t="s">
        <v>274</v>
      </c>
      <c r="B61" t="s">
        <v>269</v>
      </c>
      <c r="D61">
        <f t="shared" si="9"/>
        <v>1</v>
      </c>
      <c r="E61">
        <v>12</v>
      </c>
      <c r="F61" s="1">
        <f t="shared" si="10"/>
        <v>0.74999999999999956</v>
      </c>
      <c r="G61">
        <v>14</v>
      </c>
      <c r="H61" s="1">
        <f t="shared" si="11"/>
        <v>0.56987676423869438</v>
      </c>
      <c r="I61" s="1">
        <f t="shared" si="12"/>
        <v>-0.18012323576130518</v>
      </c>
      <c r="K61" s="1"/>
      <c r="L61" s="6"/>
    </row>
    <row r="62" spans="1:12" x14ac:dyDescent="0.55000000000000004">
      <c r="A62" t="s">
        <v>275</v>
      </c>
      <c r="B62" t="s">
        <v>85</v>
      </c>
      <c r="D62">
        <f t="shared" si="9"/>
        <v>0</v>
      </c>
      <c r="E62">
        <v>13</v>
      </c>
      <c r="F62" s="1">
        <f t="shared" si="10"/>
        <v>0.65376415715380176</v>
      </c>
      <c r="G62">
        <v>7</v>
      </c>
      <c r="H62" s="1">
        <f t="shared" si="11"/>
        <v>1.3844960500986694</v>
      </c>
      <c r="I62" s="1">
        <f t="shared" si="12"/>
        <v>0.73073189294486762</v>
      </c>
      <c r="K62" s="1"/>
      <c r="L62" s="6"/>
    </row>
    <row r="63" spans="1:12" x14ac:dyDescent="0.55000000000000004">
      <c r="A63" t="s">
        <v>276</v>
      </c>
      <c r="B63" t="s">
        <v>85</v>
      </c>
      <c r="D63">
        <f t="shared" si="9"/>
        <v>0</v>
      </c>
      <c r="E63">
        <v>14</v>
      </c>
      <c r="F63" s="1">
        <f t="shared" si="10"/>
        <v>0.56987676423869438</v>
      </c>
      <c r="G63">
        <v>8</v>
      </c>
      <c r="H63" s="1">
        <f t="shared" si="11"/>
        <v>1.2247448713915887</v>
      </c>
      <c r="I63" s="1">
        <f t="shared" si="12"/>
        <v>0.65486810715289434</v>
      </c>
      <c r="K63" s="1"/>
      <c r="L63" s="6"/>
    </row>
    <row r="64" spans="1:12" x14ac:dyDescent="0.55000000000000004">
      <c r="A64" t="s">
        <v>333</v>
      </c>
      <c r="H64" s="6"/>
      <c r="I64" s="1">
        <f>-(SUMIFS(I56:I63,$D$56:$D$63,1,I56:I63,"&lt;0"))</f>
        <v>1.385600000097762</v>
      </c>
      <c r="K64" s="6"/>
      <c r="L64" s="6"/>
    </row>
    <row r="65" spans="1:12" x14ac:dyDescent="0.55000000000000004">
      <c r="A65" t="s">
        <v>154</v>
      </c>
      <c r="I65" s="62">
        <f>COUNTIFS(I56:I63,"&lt;0",$D$56:$D$63,1)</f>
        <v>6</v>
      </c>
      <c r="L65" s="62"/>
    </row>
    <row r="66" spans="1:12" x14ac:dyDescent="0.55000000000000004">
      <c r="L66" s="6"/>
    </row>
    <row r="67" spans="1:12" x14ac:dyDescent="0.55000000000000004">
      <c r="A67" t="s">
        <v>317</v>
      </c>
      <c r="I67" s="6"/>
    </row>
  </sheetData>
  <mergeCells count="1">
    <mergeCell ref="A3:D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7D79-184D-413E-9D5C-24995687589B}">
  <dimension ref="A1:G12"/>
  <sheetViews>
    <sheetView workbookViewId="0">
      <selection activeCell="B1" sqref="B1"/>
    </sheetView>
  </sheetViews>
  <sheetFormatPr defaultRowHeight="14.4" x14ac:dyDescent="0.55000000000000004"/>
  <cols>
    <col min="1" max="1" width="11.7890625" customWidth="1"/>
    <col min="2" max="3" width="16.05078125" customWidth="1"/>
    <col min="4" max="4" width="13.05078125" customWidth="1"/>
    <col min="5" max="5" width="16.05078125" customWidth="1"/>
    <col min="6" max="6" width="23.7890625" bestFit="1" customWidth="1"/>
    <col min="7" max="7" width="17" bestFit="1" customWidth="1"/>
    <col min="8" max="8" width="24.05078125" bestFit="1" customWidth="1"/>
    <col min="9" max="9" width="26.7890625" bestFit="1" customWidth="1"/>
    <col min="10" max="10" width="13.26171875" bestFit="1" customWidth="1"/>
    <col min="11" max="11" width="13.47265625" bestFit="1" customWidth="1"/>
    <col min="12" max="14" width="12.05078125" bestFit="1" customWidth="1"/>
    <col min="15" max="15" width="13.26171875" bestFit="1" customWidth="1"/>
  </cols>
  <sheetData>
    <row r="1" spans="1:7" x14ac:dyDescent="0.55000000000000004">
      <c r="A1" s="83" t="s">
        <v>295</v>
      </c>
      <c r="B1" s="86"/>
      <c r="C1" s="81"/>
      <c r="D1" s="81"/>
      <c r="E1" s="82"/>
      <c r="F1" s="85"/>
      <c r="G1" s="85"/>
    </row>
    <row r="2" spans="1:7" x14ac:dyDescent="0.55000000000000004">
      <c r="A2" s="81" t="s">
        <v>294</v>
      </c>
      <c r="B2" s="81"/>
      <c r="C2" s="81"/>
      <c r="E2" s="82"/>
      <c r="F2" s="81"/>
      <c r="G2" s="81"/>
    </row>
    <row r="3" spans="1:7" x14ac:dyDescent="0.55000000000000004">
      <c r="A3" s="81" t="s">
        <v>293</v>
      </c>
      <c r="B3" s="81"/>
      <c r="C3" s="81"/>
      <c r="E3" s="82"/>
      <c r="F3" s="81"/>
      <c r="G3" s="81"/>
    </row>
    <row r="4" spans="1:7" x14ac:dyDescent="0.55000000000000004">
      <c r="A4" s="81" t="s">
        <v>292</v>
      </c>
      <c r="B4" s="81"/>
      <c r="C4" s="81"/>
      <c r="E4" s="82"/>
      <c r="F4" s="81"/>
      <c r="G4" s="81"/>
    </row>
    <row r="5" spans="1:7" x14ac:dyDescent="0.55000000000000004">
      <c r="A5" s="81"/>
      <c r="B5" s="81"/>
      <c r="C5" s="81"/>
      <c r="E5" s="82"/>
      <c r="F5" s="81"/>
      <c r="G5" s="81"/>
    </row>
    <row r="6" spans="1:7" x14ac:dyDescent="0.55000000000000004">
      <c r="A6" s="81"/>
      <c r="B6" s="81"/>
      <c r="C6" s="81"/>
      <c r="E6" s="82"/>
      <c r="F6" s="81"/>
      <c r="G6" s="81"/>
    </row>
    <row r="7" spans="1:7" x14ac:dyDescent="0.55000000000000004">
      <c r="A7" s="2" t="s">
        <v>291</v>
      </c>
      <c r="B7" s="2"/>
      <c r="C7" s="2"/>
      <c r="D7" s="2"/>
      <c r="E7" s="2"/>
    </row>
    <row r="8" spans="1:7" x14ac:dyDescent="0.55000000000000004">
      <c r="A8" s="2"/>
      <c r="B8" s="2"/>
      <c r="C8" s="2"/>
      <c r="D8" s="2"/>
      <c r="E8" s="2"/>
    </row>
    <row r="9" spans="1:7" x14ac:dyDescent="0.55000000000000004">
      <c r="A9" s="80"/>
      <c r="B9" s="77" t="s">
        <v>282</v>
      </c>
      <c r="C9" s="76" t="s">
        <v>175</v>
      </c>
      <c r="D9" s="76" t="s">
        <v>281</v>
      </c>
      <c r="E9" s="75" t="s">
        <v>280</v>
      </c>
      <c r="F9" s="74" t="s">
        <v>290</v>
      </c>
      <c r="G9" s="74" t="s">
        <v>176</v>
      </c>
    </row>
    <row r="10" spans="1:7" x14ac:dyDescent="0.55000000000000004">
      <c r="A10" s="2" t="s">
        <v>279</v>
      </c>
      <c r="B10" s="10">
        <v>140133186</v>
      </c>
      <c r="C10" s="7">
        <v>101167938</v>
      </c>
      <c r="D10" s="7">
        <v>44378694</v>
      </c>
      <c r="E10" s="7">
        <v>1202348676</v>
      </c>
      <c r="F10" s="7">
        <f>SUM(D10:E10)</f>
        <v>1246727370</v>
      </c>
      <c r="G10" s="7">
        <v>1488029502</v>
      </c>
    </row>
    <row r="11" spans="1:7" x14ac:dyDescent="0.55000000000000004">
      <c r="A11" s="2" t="s">
        <v>278</v>
      </c>
      <c r="B11" s="10">
        <v>29294328</v>
      </c>
      <c r="C11" s="7">
        <v>22052172</v>
      </c>
      <c r="D11" s="7">
        <v>7834260</v>
      </c>
      <c r="E11" s="7">
        <v>217198356</v>
      </c>
      <c r="F11" s="7">
        <f>SUM(D11:E11)</f>
        <v>225032616</v>
      </c>
      <c r="G11" s="7">
        <v>276378828</v>
      </c>
    </row>
    <row r="12" spans="1:7" x14ac:dyDescent="0.55000000000000004">
      <c r="A12" s="2"/>
      <c r="B12" s="78"/>
      <c r="C12" s="7"/>
      <c r="D12" s="7"/>
      <c r="E12" s="79"/>
      <c r="F12" s="7"/>
      <c r="G12" s="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38C70-B316-4A04-BB7C-634152F7485C}">
  <dimension ref="A1:O274"/>
  <sheetViews>
    <sheetView zoomScaleNormal="100" workbookViewId="0">
      <selection activeCell="B1" sqref="B1"/>
    </sheetView>
  </sheetViews>
  <sheetFormatPr defaultRowHeight="14.4" x14ac:dyDescent="0.55000000000000004"/>
  <cols>
    <col min="1" max="1" width="35.47265625" bestFit="1" customWidth="1"/>
    <col min="2" max="2" width="18.47265625" bestFit="1" customWidth="1"/>
    <col min="3" max="4" width="14.05078125" bestFit="1" customWidth="1"/>
    <col min="5" max="6" width="14.734375" bestFit="1" customWidth="1"/>
  </cols>
  <sheetData>
    <row r="1" spans="1:12" x14ac:dyDescent="0.55000000000000004">
      <c r="A1" s="2" t="s">
        <v>24</v>
      </c>
    </row>
    <row r="2" spans="1:12" ht="29.1" thickBot="1" x14ac:dyDescent="0.6">
      <c r="A2" s="2"/>
      <c r="B2" s="2" t="s">
        <v>25</v>
      </c>
      <c r="C2">
        <v>20</v>
      </c>
      <c r="E2" s="4" t="s">
        <v>26</v>
      </c>
      <c r="F2">
        <v>112</v>
      </c>
      <c r="H2" s="2" t="s">
        <v>27</v>
      </c>
    </row>
    <row r="3" spans="1:12" ht="72.3" thickBot="1" x14ac:dyDescent="0.6">
      <c r="A3" s="93" t="s">
        <v>28</v>
      </c>
      <c r="B3" s="94"/>
      <c r="C3" s="94"/>
      <c r="D3" s="95"/>
      <c r="E3" s="3" t="s">
        <v>29</v>
      </c>
      <c r="F3" s="3" t="s">
        <v>30</v>
      </c>
      <c r="G3" s="3"/>
      <c r="H3" s="4" t="s">
        <v>31</v>
      </c>
      <c r="I3" s="4" t="s">
        <v>32</v>
      </c>
      <c r="J3" s="4" t="s">
        <v>283</v>
      </c>
      <c r="K3" s="4" t="s">
        <v>284</v>
      </c>
      <c r="L3" s="4" t="s">
        <v>285</v>
      </c>
    </row>
    <row r="4" spans="1:12" ht="29.1" thickBot="1" x14ac:dyDescent="0.6">
      <c r="A4" s="58" t="s">
        <v>33</v>
      </c>
      <c r="B4" s="59" t="s">
        <v>34</v>
      </c>
      <c r="C4" s="59" t="s">
        <v>35</v>
      </c>
      <c r="D4" s="41" t="s">
        <v>36</v>
      </c>
      <c r="E4" s="1">
        <f>(C2/C5)^(1/3)</f>
        <v>1.0357441686512863</v>
      </c>
      <c r="F4" s="16" t="s">
        <v>37</v>
      </c>
      <c r="G4" s="1"/>
      <c r="K4" s="1">
        <f>MIN(J5:J19,J21)</f>
        <v>0.95251914470820476</v>
      </c>
      <c r="L4" s="1">
        <f>MAX(J5:J19,J21)</f>
        <v>1.0692372188575543</v>
      </c>
    </row>
    <row r="5" spans="1:12" ht="28.8" x14ac:dyDescent="0.55000000000000004">
      <c r="A5" s="33" t="s">
        <v>38</v>
      </c>
      <c r="B5" s="40">
        <v>1</v>
      </c>
      <c r="C5" s="40">
        <v>18</v>
      </c>
      <c r="D5" s="18">
        <v>126</v>
      </c>
      <c r="E5" s="1">
        <f>(C5/C6)^(1/7)</f>
        <v>1.0728876841709436</v>
      </c>
      <c r="F5" s="4" t="s">
        <v>39</v>
      </c>
      <c r="G5" s="1"/>
      <c r="H5">
        <v>1</v>
      </c>
      <c r="I5" s="1">
        <f>SUMIFS($B$24:$B$135,$C$24:$C$135,H5)</f>
        <v>122.94275376699893</v>
      </c>
      <c r="J5" s="1">
        <f>I5/D5</f>
        <v>0.97573614100792805</v>
      </c>
    </row>
    <row r="6" spans="1:12" ht="28.8" x14ac:dyDescent="0.55000000000000004">
      <c r="A6" s="11" t="s">
        <v>40</v>
      </c>
      <c r="B6" s="31">
        <v>2</v>
      </c>
      <c r="C6" s="31">
        <v>11</v>
      </c>
      <c r="D6" s="18">
        <v>77</v>
      </c>
      <c r="E6" s="1">
        <f t="shared" ref="E6:E18" si="0">(C6/C7)^(1/7)</f>
        <v>1.037519460339249</v>
      </c>
      <c r="F6" s="4" t="s">
        <v>41</v>
      </c>
      <c r="G6" s="1"/>
      <c r="H6">
        <v>2</v>
      </c>
      <c r="I6" s="1">
        <f t="shared" ref="I6:I20" si="1">SUMIFS($B$24:$B$135,$C$24:$C$135,H6)</f>
        <v>79.718886556972933</v>
      </c>
      <c r="J6" s="1">
        <f t="shared" ref="J6:J21" si="2">I6/D6</f>
        <v>1.0353102150256226</v>
      </c>
    </row>
    <row r="7" spans="1:12" ht="28.8" x14ac:dyDescent="0.55000000000000004">
      <c r="A7" s="11" t="s">
        <v>42</v>
      </c>
      <c r="B7" s="31">
        <v>3</v>
      </c>
      <c r="C7" s="31">
        <v>8.5</v>
      </c>
      <c r="D7" s="18">
        <v>59.5</v>
      </c>
      <c r="E7" s="1">
        <f t="shared" si="0"/>
        <v>1.0390672405820229</v>
      </c>
      <c r="F7" s="4" t="s">
        <v>43</v>
      </c>
      <c r="G7" s="1"/>
      <c r="H7">
        <v>3</v>
      </c>
      <c r="I7" s="1">
        <f t="shared" si="1"/>
        <v>59.591898297324676</v>
      </c>
      <c r="J7" s="1">
        <f t="shared" si="2"/>
        <v>1.0015445091987341</v>
      </c>
    </row>
    <row r="8" spans="1:12" ht="28.8" x14ac:dyDescent="0.55000000000000004">
      <c r="A8" s="11" t="s">
        <v>44</v>
      </c>
      <c r="B8" s="31">
        <v>4</v>
      </c>
      <c r="C8" s="31">
        <v>6.5</v>
      </c>
      <c r="D8" s="18">
        <v>45.5</v>
      </c>
      <c r="E8" s="1">
        <f t="shared" si="0"/>
        <v>1.038191865525826</v>
      </c>
      <c r="F8" s="4" t="s">
        <v>45</v>
      </c>
      <c r="G8" s="1"/>
      <c r="H8">
        <v>4</v>
      </c>
      <c r="I8" s="1">
        <f t="shared" si="1"/>
        <v>45.663864737868259</v>
      </c>
      <c r="J8" s="1">
        <f t="shared" si="2"/>
        <v>1.0036014228102914</v>
      </c>
    </row>
    <row r="9" spans="1:12" ht="28.8" x14ac:dyDescent="0.55000000000000004">
      <c r="A9" s="11" t="s">
        <v>46</v>
      </c>
      <c r="B9" s="31">
        <v>5</v>
      </c>
      <c r="C9" s="31">
        <v>5</v>
      </c>
      <c r="D9" s="18">
        <v>35</v>
      </c>
      <c r="E9" s="1">
        <f t="shared" si="0"/>
        <v>1.0757037398427836</v>
      </c>
      <c r="F9" s="4" t="s">
        <v>47</v>
      </c>
      <c r="G9" s="1"/>
      <c r="H9">
        <v>5</v>
      </c>
      <c r="I9" s="1">
        <f t="shared" si="1"/>
        <v>34.161239376482854</v>
      </c>
      <c r="J9" s="1">
        <f t="shared" si="2"/>
        <v>0.97603541075665301</v>
      </c>
    </row>
    <row r="10" spans="1:12" ht="28.8" x14ac:dyDescent="0.55000000000000004">
      <c r="A10" s="11" t="s">
        <v>48</v>
      </c>
      <c r="B10" s="31">
        <v>6</v>
      </c>
      <c r="C10" s="31">
        <v>3</v>
      </c>
      <c r="D10" s="18">
        <v>21</v>
      </c>
      <c r="E10" s="1">
        <f t="shared" si="0"/>
        <v>1.0263880962570395</v>
      </c>
      <c r="F10" s="4" t="s">
        <v>49</v>
      </c>
      <c r="G10" s="1"/>
      <c r="H10">
        <v>6</v>
      </c>
      <c r="I10" s="1">
        <f t="shared" si="1"/>
        <v>21.977848433998382</v>
      </c>
      <c r="J10" s="1">
        <f t="shared" si="2"/>
        <v>1.0465642111427802</v>
      </c>
    </row>
    <row r="11" spans="1:12" ht="28.8" x14ac:dyDescent="0.55000000000000004">
      <c r="A11" s="11" t="s">
        <v>50</v>
      </c>
      <c r="B11" s="31">
        <v>7</v>
      </c>
      <c r="C11" s="31">
        <v>2.5</v>
      </c>
      <c r="D11" s="18">
        <v>17.5</v>
      </c>
      <c r="E11" s="1">
        <f t="shared" si="0"/>
        <v>1.0323911847100018</v>
      </c>
      <c r="F11" s="4" t="s">
        <v>51</v>
      </c>
      <c r="G11" s="1"/>
      <c r="H11">
        <v>7</v>
      </c>
      <c r="I11" s="1">
        <f t="shared" si="1"/>
        <v>17.4419736259917</v>
      </c>
      <c r="J11" s="1">
        <f t="shared" si="2"/>
        <v>0.99668420719952577</v>
      </c>
    </row>
    <row r="12" spans="1:12" ht="28.8" x14ac:dyDescent="0.55000000000000004">
      <c r="A12" s="11" t="s">
        <v>52</v>
      </c>
      <c r="B12" s="31">
        <v>8</v>
      </c>
      <c r="C12" s="31">
        <v>2</v>
      </c>
      <c r="D12" s="18">
        <v>14</v>
      </c>
      <c r="E12" s="1">
        <f t="shared" si="0"/>
        <v>1.0151653465554913</v>
      </c>
      <c r="F12" s="4" t="s">
        <v>53</v>
      </c>
      <c r="G12" s="1"/>
      <c r="H12">
        <v>8</v>
      </c>
      <c r="I12" s="1">
        <f t="shared" si="1"/>
        <v>14.219668834481846</v>
      </c>
      <c r="J12" s="1">
        <f t="shared" si="2"/>
        <v>1.0156906310344176</v>
      </c>
    </row>
    <row r="13" spans="1:12" ht="28.8" x14ac:dyDescent="0.55000000000000004">
      <c r="A13" s="11" t="s">
        <v>54</v>
      </c>
      <c r="B13" s="31">
        <v>9</v>
      </c>
      <c r="C13" s="27">
        <v>1.8</v>
      </c>
      <c r="D13" s="18">
        <v>12.25</v>
      </c>
      <c r="E13" s="1">
        <f t="shared" si="0"/>
        <v>1.0263880962570395</v>
      </c>
      <c r="F13" s="4" t="s">
        <v>55</v>
      </c>
      <c r="G13" s="1"/>
      <c r="H13">
        <v>9</v>
      </c>
      <c r="I13" s="1">
        <f t="shared" si="1"/>
        <v>12.492512045585491</v>
      </c>
      <c r="J13" s="1">
        <f t="shared" si="2"/>
        <v>1.0197969016804482</v>
      </c>
    </row>
    <row r="14" spans="1:12" ht="28.8" x14ac:dyDescent="0.55000000000000004">
      <c r="A14" s="11" t="s">
        <v>56</v>
      </c>
      <c r="B14" s="31">
        <v>10</v>
      </c>
      <c r="C14" s="31">
        <v>1.5</v>
      </c>
      <c r="D14" s="18">
        <v>10.5</v>
      </c>
      <c r="E14" s="1">
        <f t="shared" si="0"/>
        <v>1.0263880962570395</v>
      </c>
      <c r="F14" s="4" t="s">
        <v>57</v>
      </c>
      <c r="G14" s="1"/>
      <c r="H14">
        <v>10</v>
      </c>
      <c r="I14" s="1">
        <f t="shared" si="1"/>
        <v>10.514251845829353</v>
      </c>
      <c r="J14" s="1">
        <f t="shared" si="2"/>
        <v>1.0013573186504146</v>
      </c>
    </row>
    <row r="15" spans="1:12" ht="28.8" x14ac:dyDescent="0.55000000000000004">
      <c r="A15" s="11" t="s">
        <v>58</v>
      </c>
      <c r="B15" s="31">
        <v>11</v>
      </c>
      <c r="C15" s="31">
        <v>1.25</v>
      </c>
      <c r="D15" s="18">
        <v>8.75</v>
      </c>
      <c r="E15" s="1">
        <f t="shared" si="0"/>
        <v>1.0323911847100018</v>
      </c>
      <c r="F15" s="4" t="s">
        <v>59</v>
      </c>
      <c r="G15" s="1"/>
      <c r="H15">
        <v>11</v>
      </c>
      <c r="I15" s="1">
        <f t="shared" si="1"/>
        <v>8.7209868129958501</v>
      </c>
      <c r="J15" s="1">
        <f t="shared" si="2"/>
        <v>0.99668420719952577</v>
      </c>
    </row>
    <row r="16" spans="1:12" ht="28.8" x14ac:dyDescent="0.55000000000000004">
      <c r="A16" s="11" t="s">
        <v>60</v>
      </c>
      <c r="B16" s="31">
        <v>12</v>
      </c>
      <c r="C16" s="27">
        <v>1</v>
      </c>
      <c r="D16" s="15">
        <v>7</v>
      </c>
      <c r="E16" s="1">
        <f t="shared" si="0"/>
        <v>1.1040895136738123</v>
      </c>
      <c r="F16" s="4" t="s">
        <v>61</v>
      </c>
      <c r="G16" s="1"/>
      <c r="H16">
        <v>12</v>
      </c>
      <c r="I16" s="1">
        <f t="shared" si="1"/>
        <v>6.667634012957433</v>
      </c>
      <c r="J16" s="1">
        <f t="shared" si="2"/>
        <v>0.95251914470820476</v>
      </c>
    </row>
    <row r="17" spans="1:10" ht="28.8" x14ac:dyDescent="0.55000000000000004">
      <c r="A17" s="11" t="s">
        <v>62</v>
      </c>
      <c r="B17" s="31">
        <v>13</v>
      </c>
      <c r="C17" s="31">
        <v>0.5</v>
      </c>
      <c r="D17" s="18">
        <v>3.5</v>
      </c>
      <c r="E17" s="1">
        <f t="shared" si="0"/>
        <v>1.0323911847100018</v>
      </c>
      <c r="F17" s="4" t="s">
        <v>63</v>
      </c>
      <c r="G17" s="1"/>
      <c r="H17">
        <v>13</v>
      </c>
      <c r="I17" s="1">
        <f t="shared" si="1"/>
        <v>3.7423302660014404</v>
      </c>
      <c r="J17" s="1">
        <f t="shared" si="2"/>
        <v>1.0692372188575543</v>
      </c>
    </row>
    <row r="18" spans="1:10" ht="28.8" x14ac:dyDescent="0.55000000000000004">
      <c r="A18" s="11" t="s">
        <v>64</v>
      </c>
      <c r="B18" s="31">
        <v>14</v>
      </c>
      <c r="C18" s="31">
        <v>0.4</v>
      </c>
      <c r="D18" s="18">
        <v>2.8000000000000003</v>
      </c>
      <c r="E18" s="1">
        <f t="shared" si="0"/>
        <v>1.0694488000533933</v>
      </c>
      <c r="F18" s="4" t="s">
        <v>65</v>
      </c>
      <c r="G18" s="1"/>
      <c r="H18">
        <v>14</v>
      </c>
      <c r="I18" s="1">
        <f t="shared" si="1"/>
        <v>2.7302155947250046</v>
      </c>
      <c r="J18" s="1">
        <f t="shared" si="2"/>
        <v>0.97507699811607296</v>
      </c>
    </row>
    <row r="19" spans="1:10" x14ac:dyDescent="0.55000000000000004">
      <c r="A19" s="11" t="s">
        <v>66</v>
      </c>
      <c r="B19" s="31">
        <v>15</v>
      </c>
      <c r="C19" s="31">
        <v>0.25</v>
      </c>
      <c r="D19" s="18">
        <v>1.75</v>
      </c>
      <c r="H19">
        <v>15</v>
      </c>
      <c r="I19" s="1">
        <f t="shared" si="1"/>
        <v>1.7658203608316725</v>
      </c>
      <c r="J19" s="1">
        <f t="shared" si="2"/>
        <v>1.0090402061895272</v>
      </c>
    </row>
    <row r="20" spans="1:10" ht="14.7" thickBot="1" x14ac:dyDescent="0.6">
      <c r="A20" s="12" t="s">
        <v>67</v>
      </c>
      <c r="B20" s="32">
        <v>16</v>
      </c>
      <c r="C20" s="32">
        <v>0</v>
      </c>
      <c r="D20" s="18">
        <v>0</v>
      </c>
      <c r="H20">
        <v>16</v>
      </c>
      <c r="I20" s="1">
        <f t="shared" si="1"/>
        <v>1.1036377255197949</v>
      </c>
      <c r="J20" s="1"/>
    </row>
    <row r="21" spans="1:10" ht="14.7" thickBot="1" x14ac:dyDescent="0.6">
      <c r="A21" s="13" t="s">
        <v>68</v>
      </c>
      <c r="B21" s="44"/>
      <c r="C21" s="44"/>
      <c r="D21" s="38">
        <v>442.05</v>
      </c>
      <c r="H21" t="s">
        <v>68</v>
      </c>
      <c r="I21" s="1">
        <f>SUM(I5:I20)</f>
        <v>443.45552229456564</v>
      </c>
      <c r="J21" s="1">
        <f t="shared" si="2"/>
        <v>1.0031795550154183</v>
      </c>
    </row>
    <row r="23" spans="1:10" x14ac:dyDescent="0.55000000000000004">
      <c r="A23" s="17" t="s">
        <v>306</v>
      </c>
      <c r="B23" s="2" t="s">
        <v>69</v>
      </c>
      <c r="C23" s="2" t="s">
        <v>277</v>
      </c>
    </row>
    <row r="24" spans="1:10" x14ac:dyDescent="0.55000000000000004">
      <c r="A24" s="60">
        <v>1</v>
      </c>
      <c r="B24">
        <f>C2</f>
        <v>20</v>
      </c>
      <c r="C24">
        <f>ROUNDUP(A24/7,0)</f>
        <v>1</v>
      </c>
    </row>
    <row r="25" spans="1:10" x14ac:dyDescent="0.55000000000000004">
      <c r="A25" s="60">
        <v>2</v>
      </c>
      <c r="B25" s="1">
        <f>$C$2/($E$4^(A25-1))</f>
        <v>19.309787692112597</v>
      </c>
      <c r="C25">
        <f t="shared" ref="C25:C88" si="3">ROUNDUP(A25/7,0)</f>
        <v>1</v>
      </c>
    </row>
    <row r="26" spans="1:10" x14ac:dyDescent="0.55000000000000004">
      <c r="A26" s="60">
        <v>3</v>
      </c>
      <c r="B26" s="1">
        <f>$C$2/($E$4^(A26-1))</f>
        <v>18.643395035723152</v>
      </c>
      <c r="C26">
        <f t="shared" si="3"/>
        <v>1</v>
      </c>
    </row>
    <row r="27" spans="1:10" x14ac:dyDescent="0.55000000000000004">
      <c r="A27" s="60">
        <v>4</v>
      </c>
      <c r="B27" s="1">
        <f>$C$5/($E$5^(A27-4))</f>
        <v>18</v>
      </c>
      <c r="C27">
        <f t="shared" si="3"/>
        <v>1</v>
      </c>
    </row>
    <row r="28" spans="1:10" x14ac:dyDescent="0.55000000000000004">
      <c r="A28" s="60">
        <v>5</v>
      </c>
      <c r="B28" s="1">
        <f t="shared" ref="B28:B29" si="4">$C$5/($E$5^(A28-4))</f>
        <v>16.777152227177634</v>
      </c>
      <c r="C28">
        <f t="shared" si="3"/>
        <v>1</v>
      </c>
    </row>
    <row r="29" spans="1:10" x14ac:dyDescent="0.55000000000000004">
      <c r="A29" s="60">
        <v>6</v>
      </c>
      <c r="B29" s="1">
        <f t="shared" si="4"/>
        <v>15.637379825216192</v>
      </c>
      <c r="C29">
        <f t="shared" si="3"/>
        <v>1</v>
      </c>
    </row>
    <row r="30" spans="1:10" x14ac:dyDescent="0.55000000000000004">
      <c r="A30" s="60">
        <v>7</v>
      </c>
      <c r="B30" s="1">
        <f>$C$5/($E$5^(A30-4))</f>
        <v>14.575038986769357</v>
      </c>
      <c r="C30">
        <f t="shared" si="3"/>
        <v>1</v>
      </c>
    </row>
    <row r="31" spans="1:10" x14ac:dyDescent="0.55000000000000004">
      <c r="A31" s="60">
        <v>8</v>
      </c>
      <c r="B31" s="1">
        <f>$C$5/($E$5^(A31-4))</f>
        <v>13.584869322115466</v>
      </c>
      <c r="C31">
        <f t="shared" si="3"/>
        <v>2</v>
      </c>
    </row>
    <row r="32" spans="1:10" x14ac:dyDescent="0.55000000000000004">
      <c r="A32" s="60">
        <v>9</v>
      </c>
      <c r="B32" s="1">
        <f t="shared" ref="B32:B34" si="5">$C$5/($E$5^(A32-4))</f>
        <v>12.661967811302588</v>
      </c>
      <c r="C32">
        <f t="shared" si="3"/>
        <v>2</v>
      </c>
    </row>
    <row r="33" spans="1:3" x14ac:dyDescent="0.55000000000000004">
      <c r="A33" s="60">
        <v>10</v>
      </c>
      <c r="B33" s="1">
        <f t="shared" si="5"/>
        <v>11.801764525880374</v>
      </c>
      <c r="C33">
        <f t="shared" si="3"/>
        <v>2</v>
      </c>
    </row>
    <row r="34" spans="1:3" x14ac:dyDescent="0.55000000000000004">
      <c r="A34" s="60">
        <v>11</v>
      </c>
      <c r="B34" s="1">
        <f t="shared" si="5"/>
        <v>10.999999999999995</v>
      </c>
      <c r="C34">
        <f t="shared" si="3"/>
        <v>2</v>
      </c>
    </row>
    <row r="35" spans="1:3" x14ac:dyDescent="0.55000000000000004">
      <c r="A35" s="60">
        <v>12</v>
      </c>
      <c r="B35" s="1">
        <f>$C$6/$E$6^(A35-11)</f>
        <v>10.602210773379817</v>
      </c>
      <c r="C35">
        <f t="shared" si="3"/>
        <v>2</v>
      </c>
    </row>
    <row r="36" spans="1:3" x14ac:dyDescent="0.55000000000000004">
      <c r="A36" s="60">
        <v>13</v>
      </c>
      <c r="B36" s="1">
        <f t="shared" ref="B36:B41" si="6">$C$6/$E$6^(A36-11)</f>
        <v>10.218806662106459</v>
      </c>
      <c r="C36">
        <f t="shared" si="3"/>
        <v>2</v>
      </c>
    </row>
    <row r="37" spans="1:3" x14ac:dyDescent="0.55000000000000004">
      <c r="A37" s="60">
        <v>14</v>
      </c>
      <c r="B37" s="1">
        <f t="shared" si="6"/>
        <v>9.8492674621882337</v>
      </c>
      <c r="C37">
        <f t="shared" si="3"/>
        <v>2</v>
      </c>
    </row>
    <row r="38" spans="1:3" x14ac:dyDescent="0.55000000000000004">
      <c r="A38" s="60">
        <v>15</v>
      </c>
      <c r="B38" s="1">
        <f t="shared" si="6"/>
        <v>9.4930917815919429</v>
      </c>
      <c r="C38">
        <f t="shared" si="3"/>
        <v>3</v>
      </c>
    </row>
    <row r="39" spans="1:3" x14ac:dyDescent="0.55000000000000004">
      <c r="A39" s="60">
        <v>16</v>
      </c>
      <c r="B39" s="1">
        <f t="shared" si="6"/>
        <v>9.1497963599524983</v>
      </c>
      <c r="C39">
        <f t="shared" si="3"/>
        <v>3</v>
      </c>
    </row>
    <row r="40" spans="1:3" x14ac:dyDescent="0.55000000000000004">
      <c r="A40" s="60">
        <v>17</v>
      </c>
      <c r="B40" s="1">
        <f t="shared" si="6"/>
        <v>8.8189154128836211</v>
      </c>
      <c r="C40">
        <f t="shared" si="3"/>
        <v>3</v>
      </c>
    </row>
    <row r="41" spans="1:3" x14ac:dyDescent="0.55000000000000004">
      <c r="A41" s="60">
        <v>18</v>
      </c>
      <c r="B41" s="1">
        <f t="shared" si="6"/>
        <v>8.5000000000000036</v>
      </c>
      <c r="C41">
        <f t="shared" si="3"/>
        <v>3</v>
      </c>
    </row>
    <row r="42" spans="1:3" x14ac:dyDescent="0.55000000000000004">
      <c r="A42" s="60">
        <v>19</v>
      </c>
      <c r="B42" s="1">
        <f>$C$7/($E$7^(A42-18))</f>
        <v>8.1804138057887492</v>
      </c>
      <c r="C42">
        <f t="shared" si="3"/>
        <v>3</v>
      </c>
    </row>
    <row r="43" spans="1:3" x14ac:dyDescent="0.55000000000000004">
      <c r="A43" s="60">
        <v>20</v>
      </c>
      <c r="B43" s="1">
        <f t="shared" ref="B43:B48" si="7">$C$7/($E$7^(A43-18))</f>
        <v>7.8728435334046081</v>
      </c>
      <c r="C43">
        <f t="shared" si="3"/>
        <v>3</v>
      </c>
    </row>
    <row r="44" spans="1:3" x14ac:dyDescent="0.55000000000000004">
      <c r="A44" s="60">
        <v>21</v>
      </c>
      <c r="B44" s="1">
        <f t="shared" si="7"/>
        <v>7.5768374037032622</v>
      </c>
      <c r="C44">
        <f t="shared" si="3"/>
        <v>3</v>
      </c>
    </row>
    <row r="45" spans="1:3" x14ac:dyDescent="0.55000000000000004">
      <c r="A45" s="60">
        <v>22</v>
      </c>
      <c r="B45" s="1">
        <f t="shared" si="7"/>
        <v>7.2919606237024421</v>
      </c>
      <c r="C45">
        <f t="shared" si="3"/>
        <v>4</v>
      </c>
    </row>
    <row r="46" spans="1:3" x14ac:dyDescent="0.55000000000000004">
      <c r="A46" s="60">
        <v>23</v>
      </c>
      <c r="B46" s="1">
        <f t="shared" si="7"/>
        <v>7.0177947479298108</v>
      </c>
      <c r="C46">
        <f t="shared" si="3"/>
        <v>4</v>
      </c>
    </row>
    <row r="47" spans="1:3" x14ac:dyDescent="0.55000000000000004">
      <c r="A47" s="60">
        <v>24</v>
      </c>
      <c r="B47" s="1">
        <f t="shared" si="7"/>
        <v>6.7539370637831526</v>
      </c>
      <c r="C47">
        <f t="shared" si="3"/>
        <v>4</v>
      </c>
    </row>
    <row r="48" spans="1:3" x14ac:dyDescent="0.55000000000000004">
      <c r="A48" s="60">
        <v>25</v>
      </c>
      <c r="B48" s="1">
        <f t="shared" si="7"/>
        <v>6.5000000000000036</v>
      </c>
      <c r="C48">
        <f t="shared" si="3"/>
        <v>4</v>
      </c>
    </row>
    <row r="49" spans="1:3" x14ac:dyDescent="0.55000000000000004">
      <c r="A49" s="60">
        <v>26</v>
      </c>
      <c r="B49" s="1">
        <f>$C$8/($E$8^(A49-25))</f>
        <v>6.2608851175190665</v>
      </c>
      <c r="C49">
        <f t="shared" si="3"/>
        <v>4</v>
      </c>
    </row>
    <row r="50" spans="1:3" x14ac:dyDescent="0.55000000000000004">
      <c r="A50" s="60">
        <v>27</v>
      </c>
      <c r="B50" s="1">
        <f t="shared" ref="B50:B55" si="8">$C$8/($E$8^(A50-25))</f>
        <v>6.0305665315033439</v>
      </c>
      <c r="C50">
        <f t="shared" si="3"/>
        <v>4</v>
      </c>
    </row>
    <row r="51" spans="1:3" x14ac:dyDescent="0.55000000000000004">
      <c r="A51" s="60">
        <v>28</v>
      </c>
      <c r="B51" s="1">
        <f t="shared" si="8"/>
        <v>5.8087206534304405</v>
      </c>
      <c r="C51">
        <f t="shared" si="3"/>
        <v>4</v>
      </c>
    </row>
    <row r="52" spans="1:3" x14ac:dyDescent="0.55000000000000004">
      <c r="A52" s="60">
        <v>29</v>
      </c>
      <c r="B52" s="1">
        <f t="shared" si="8"/>
        <v>5.5950357985981949</v>
      </c>
      <c r="C52">
        <f t="shared" si="3"/>
        <v>5</v>
      </c>
    </row>
    <row r="53" spans="1:3" x14ac:dyDescent="0.55000000000000004">
      <c r="A53" s="60">
        <v>30</v>
      </c>
      <c r="B53" s="1">
        <f t="shared" si="8"/>
        <v>5.3892117482199753</v>
      </c>
      <c r="C53">
        <f t="shared" si="3"/>
        <v>5</v>
      </c>
    </row>
    <row r="54" spans="1:3" x14ac:dyDescent="0.55000000000000004">
      <c r="A54" s="60">
        <v>31</v>
      </c>
      <c r="B54" s="1">
        <f t="shared" si="8"/>
        <v>5.1909593276291321</v>
      </c>
      <c r="C54">
        <f t="shared" si="3"/>
        <v>5</v>
      </c>
    </row>
    <row r="55" spans="1:3" x14ac:dyDescent="0.55000000000000004">
      <c r="A55" s="60">
        <v>32</v>
      </c>
      <c r="B55" s="1">
        <f t="shared" si="8"/>
        <v>5.0000000000000027</v>
      </c>
      <c r="C55">
        <f t="shared" si="3"/>
        <v>5</v>
      </c>
    </row>
    <row r="56" spans="1:3" x14ac:dyDescent="0.55000000000000004">
      <c r="A56" s="60">
        <v>33</v>
      </c>
      <c r="B56" s="1">
        <f>$C$9/($E$9^(A56-32))</f>
        <v>4.648119937493906</v>
      </c>
      <c r="C56">
        <f t="shared" si="3"/>
        <v>5</v>
      </c>
    </row>
    <row r="57" spans="1:3" x14ac:dyDescent="0.55000000000000004">
      <c r="A57" s="60">
        <v>34</v>
      </c>
      <c r="B57" s="1">
        <f t="shared" ref="B57:B62" si="9">$C$9/($E$9^(A57-32))</f>
        <v>4.3210037906656709</v>
      </c>
      <c r="C57">
        <f t="shared" si="3"/>
        <v>5</v>
      </c>
    </row>
    <row r="58" spans="1:3" x14ac:dyDescent="0.55000000000000004">
      <c r="A58" s="60">
        <v>35</v>
      </c>
      <c r="B58" s="1">
        <f t="shared" si="9"/>
        <v>4.0169087738759695</v>
      </c>
      <c r="C58">
        <f t="shared" si="3"/>
        <v>5</v>
      </c>
    </row>
    <row r="59" spans="1:3" x14ac:dyDescent="0.55000000000000004">
      <c r="A59" s="60">
        <v>36</v>
      </c>
      <c r="B59" s="1">
        <f t="shared" si="9"/>
        <v>3.7342147517894189</v>
      </c>
      <c r="C59">
        <f t="shared" si="3"/>
        <v>6</v>
      </c>
    </row>
    <row r="60" spans="1:3" x14ac:dyDescent="0.55000000000000004">
      <c r="A60" s="60">
        <v>37</v>
      </c>
      <c r="B60" s="1">
        <f t="shared" si="9"/>
        <v>3.4714156077352509</v>
      </c>
      <c r="C60">
        <f t="shared" si="3"/>
        <v>6</v>
      </c>
    </row>
    <row r="61" spans="1:3" x14ac:dyDescent="0.55000000000000004">
      <c r="A61" s="60">
        <v>38</v>
      </c>
      <c r="B61" s="1">
        <f t="shared" si="9"/>
        <v>3.2271112195283487</v>
      </c>
      <c r="C61">
        <f t="shared" si="3"/>
        <v>6</v>
      </c>
    </row>
    <row r="62" spans="1:3" x14ac:dyDescent="0.55000000000000004">
      <c r="A62" s="60">
        <v>39</v>
      </c>
      <c r="B62" s="1">
        <f t="shared" si="9"/>
        <v>2.9999999999999982</v>
      </c>
      <c r="C62">
        <f t="shared" si="3"/>
        <v>6</v>
      </c>
    </row>
    <row r="63" spans="1:3" x14ac:dyDescent="0.55000000000000004">
      <c r="A63" s="60">
        <v>40</v>
      </c>
      <c r="B63" s="1">
        <f>$C$10/(($E$10)^(A63-39))</f>
        <v>2.9228709987383823</v>
      </c>
      <c r="C63">
        <f t="shared" si="3"/>
        <v>6</v>
      </c>
    </row>
    <row r="64" spans="1:3" x14ac:dyDescent="0.55000000000000004">
      <c r="A64" s="60">
        <v>41</v>
      </c>
      <c r="B64" s="1">
        <f t="shared" ref="B64:B69" si="10">$C$10/(($E$10)^(A64-39))</f>
        <v>2.8477249584219697</v>
      </c>
      <c r="C64">
        <f t="shared" si="3"/>
        <v>6</v>
      </c>
    </row>
    <row r="65" spans="1:3" x14ac:dyDescent="0.55000000000000004">
      <c r="A65" s="60">
        <v>42</v>
      </c>
      <c r="B65" s="1">
        <f t="shared" si="10"/>
        <v>2.7745108977850137</v>
      </c>
      <c r="C65">
        <f t="shared" si="3"/>
        <v>6</v>
      </c>
    </row>
    <row r="66" spans="1:3" x14ac:dyDescent="0.55000000000000004">
      <c r="A66" s="60">
        <v>43</v>
      </c>
      <c r="B66" s="1">
        <f t="shared" si="10"/>
        <v>2.7031791462731363</v>
      </c>
      <c r="C66">
        <f t="shared" si="3"/>
        <v>7</v>
      </c>
    </row>
    <row r="67" spans="1:3" x14ac:dyDescent="0.55000000000000004">
      <c r="A67" s="60">
        <v>44</v>
      </c>
      <c r="B67" s="1">
        <f t="shared" si="10"/>
        <v>2.6336813103453767</v>
      </c>
      <c r="C67">
        <f t="shared" si="3"/>
        <v>7</v>
      </c>
    </row>
    <row r="68" spans="1:3" x14ac:dyDescent="0.55000000000000004">
      <c r="A68" s="60">
        <v>45</v>
      </c>
      <c r="B68" s="1">
        <f t="shared" si="10"/>
        <v>2.565970240642601</v>
      </c>
      <c r="C68">
        <f t="shared" si="3"/>
        <v>7</v>
      </c>
    </row>
    <row r="69" spans="1:3" x14ac:dyDescent="0.55000000000000004">
      <c r="A69" s="60">
        <v>46</v>
      </c>
      <c r="B69" s="1">
        <f t="shared" si="10"/>
        <v>2.5000000000000018</v>
      </c>
      <c r="C69">
        <f t="shared" si="3"/>
        <v>7</v>
      </c>
    </row>
    <row r="70" spans="1:3" x14ac:dyDescent="0.55000000000000004">
      <c r="A70" s="60">
        <v>47</v>
      </c>
      <c r="B70" s="1">
        <f>$C$11/($E$11^(A70-46))</f>
        <v>2.421562714817493</v>
      </c>
      <c r="C70">
        <f t="shared" si="3"/>
        <v>7</v>
      </c>
    </row>
    <row r="71" spans="1:3" x14ac:dyDescent="0.55000000000000004">
      <c r="A71" s="60">
        <v>48</v>
      </c>
      <c r="B71" s="1">
        <f t="shared" ref="B71:B76" si="11">$C$11/($E$11^(A71-46))</f>
        <v>2.3455863927177072</v>
      </c>
      <c r="C71">
        <f t="shared" si="3"/>
        <v>7</v>
      </c>
    </row>
    <row r="72" spans="1:3" x14ac:dyDescent="0.55000000000000004">
      <c r="A72" s="60">
        <v>49</v>
      </c>
      <c r="B72" s="1">
        <f t="shared" si="11"/>
        <v>2.2719938211953843</v>
      </c>
      <c r="C72">
        <f t="shared" si="3"/>
        <v>7</v>
      </c>
    </row>
    <row r="73" spans="1:3" x14ac:dyDescent="0.55000000000000004">
      <c r="A73" s="60">
        <v>50</v>
      </c>
      <c r="B73" s="1">
        <f t="shared" si="11"/>
        <v>2.2007102102809859</v>
      </c>
      <c r="C73">
        <f t="shared" si="3"/>
        <v>8</v>
      </c>
    </row>
    <row r="74" spans="1:3" x14ac:dyDescent="0.55000000000000004">
      <c r="A74" s="60">
        <v>51</v>
      </c>
      <c r="B74" s="1">
        <f t="shared" si="11"/>
        <v>2.1316631165338404</v>
      </c>
      <c r="C74">
        <f t="shared" si="3"/>
        <v>8</v>
      </c>
    </row>
    <row r="75" spans="1:3" x14ac:dyDescent="0.55000000000000004">
      <c r="A75" s="60">
        <v>52</v>
      </c>
      <c r="B75" s="1">
        <f t="shared" si="11"/>
        <v>2.0647823694200018</v>
      </c>
      <c r="C75">
        <f t="shared" si="3"/>
        <v>8</v>
      </c>
    </row>
    <row r="76" spans="1:3" x14ac:dyDescent="0.55000000000000004">
      <c r="A76" s="60">
        <v>53</v>
      </c>
      <c r="B76" s="1">
        <f t="shared" si="11"/>
        <v>1.9999999999999982</v>
      </c>
      <c r="C76">
        <f t="shared" si="3"/>
        <v>8</v>
      </c>
    </row>
    <row r="77" spans="1:3" x14ac:dyDescent="0.55000000000000004">
      <c r="A77" s="60">
        <v>54</v>
      </c>
      <c r="B77" s="1">
        <f>$C$12/($E$12^(A77-53))</f>
        <v>1.9701224108822311</v>
      </c>
      <c r="C77">
        <f t="shared" si="3"/>
        <v>8</v>
      </c>
    </row>
    <row r="78" spans="1:3" x14ac:dyDescent="0.55000000000000004">
      <c r="A78" s="60">
        <v>55</v>
      </c>
      <c r="B78" s="1">
        <f t="shared" ref="B78:B83" si="12">$C$12/($E$12^(A78-53))</f>
        <v>1.9406911569302068</v>
      </c>
      <c r="C78">
        <f t="shared" si="3"/>
        <v>8</v>
      </c>
    </row>
    <row r="79" spans="1:3" x14ac:dyDescent="0.55000000000000004">
      <c r="A79" s="60">
        <v>56</v>
      </c>
      <c r="B79" s="1">
        <f t="shared" si="12"/>
        <v>1.9116995704345825</v>
      </c>
      <c r="C79">
        <f t="shared" si="3"/>
        <v>8</v>
      </c>
    </row>
    <row r="80" spans="1:3" x14ac:dyDescent="0.55000000000000004">
      <c r="A80" s="60">
        <v>57</v>
      </c>
      <c r="B80" s="1">
        <f t="shared" si="12"/>
        <v>1.8831410832935527</v>
      </c>
      <c r="C80">
        <f t="shared" si="3"/>
        <v>9</v>
      </c>
    </row>
    <row r="81" spans="1:3" x14ac:dyDescent="0.55000000000000004">
      <c r="A81" s="60">
        <v>58</v>
      </c>
      <c r="B81" s="1">
        <f t="shared" si="12"/>
        <v>1.8550092255248352</v>
      </c>
      <c r="C81">
        <f t="shared" si="3"/>
        <v>9</v>
      </c>
    </row>
    <row r="82" spans="1:3" x14ac:dyDescent="0.55000000000000004">
      <c r="A82" s="60">
        <v>59</v>
      </c>
      <c r="B82" s="1">
        <f t="shared" si="12"/>
        <v>1.8272976237998837</v>
      </c>
      <c r="C82">
        <f t="shared" si="3"/>
        <v>9</v>
      </c>
    </row>
    <row r="83" spans="1:3" x14ac:dyDescent="0.55000000000000004">
      <c r="A83" s="60">
        <v>60</v>
      </c>
      <c r="B83" s="1">
        <f t="shared" si="12"/>
        <v>1.7999999999999996</v>
      </c>
      <c r="C83">
        <f t="shared" si="3"/>
        <v>9</v>
      </c>
    </row>
    <row r="84" spans="1:3" x14ac:dyDescent="0.55000000000000004">
      <c r="A84" s="60">
        <v>61</v>
      </c>
      <c r="B84" s="1">
        <f>$C$13/($E$13^(A84-60))</f>
        <v>1.7537225992430294</v>
      </c>
      <c r="C84">
        <f t="shared" si="3"/>
        <v>9</v>
      </c>
    </row>
    <row r="85" spans="1:3" x14ac:dyDescent="0.55000000000000004">
      <c r="A85" s="60">
        <v>62</v>
      </c>
      <c r="B85" s="1">
        <f t="shared" ref="B85:B90" si="13">$C$13/($E$13^(A85-60))</f>
        <v>1.708634975053182</v>
      </c>
      <c r="C85">
        <f t="shared" si="3"/>
        <v>9</v>
      </c>
    </row>
    <row r="86" spans="1:3" x14ac:dyDescent="0.55000000000000004">
      <c r="A86" s="60">
        <v>63</v>
      </c>
      <c r="B86" s="1">
        <f t="shared" si="13"/>
        <v>1.6647065386710083</v>
      </c>
      <c r="C86">
        <f t="shared" si="3"/>
        <v>9</v>
      </c>
    </row>
    <row r="87" spans="1:3" x14ac:dyDescent="0.55000000000000004">
      <c r="A87" s="60">
        <v>64</v>
      </c>
      <c r="B87" s="1">
        <f t="shared" si="13"/>
        <v>1.6219074877638819</v>
      </c>
      <c r="C87">
        <f t="shared" si="3"/>
        <v>10</v>
      </c>
    </row>
    <row r="88" spans="1:3" x14ac:dyDescent="0.55000000000000004">
      <c r="A88" s="60">
        <v>65</v>
      </c>
      <c r="B88" s="1">
        <f t="shared" si="13"/>
        <v>1.580208786207226</v>
      </c>
      <c r="C88">
        <f t="shared" si="3"/>
        <v>10</v>
      </c>
    </row>
    <row r="89" spans="1:3" x14ac:dyDescent="0.55000000000000004">
      <c r="A89" s="60">
        <v>66</v>
      </c>
      <c r="B89" s="1">
        <f t="shared" si="13"/>
        <v>1.5395821443855606</v>
      </c>
      <c r="C89">
        <f t="shared" ref="C89:C135" si="14">ROUNDUP(A89/7,0)</f>
        <v>10</v>
      </c>
    </row>
    <row r="90" spans="1:3" x14ac:dyDescent="0.55000000000000004">
      <c r="A90" s="60">
        <v>67</v>
      </c>
      <c r="B90" s="1">
        <f t="shared" si="13"/>
        <v>1.5000000000000011</v>
      </c>
      <c r="C90">
        <f t="shared" si="14"/>
        <v>10</v>
      </c>
    </row>
    <row r="91" spans="1:3" x14ac:dyDescent="0.55000000000000004">
      <c r="A91" s="60">
        <v>68</v>
      </c>
      <c r="B91" s="1">
        <f>$C$14/($E$14^(A91-67))</f>
        <v>1.4614354993691911</v>
      </c>
      <c r="C91">
        <f t="shared" si="14"/>
        <v>10</v>
      </c>
    </row>
    <row r="92" spans="1:3" x14ac:dyDescent="0.55000000000000004">
      <c r="A92" s="60">
        <v>69</v>
      </c>
      <c r="B92" s="1">
        <f t="shared" ref="B92:B97" si="15">$C$14/($E$14^(A92-67))</f>
        <v>1.4238624792109849</v>
      </c>
      <c r="C92">
        <f t="shared" si="14"/>
        <v>10</v>
      </c>
    </row>
    <row r="93" spans="1:3" x14ac:dyDescent="0.55000000000000004">
      <c r="A93" s="60">
        <v>70</v>
      </c>
      <c r="B93" s="1">
        <f t="shared" si="15"/>
        <v>1.3872554488925068</v>
      </c>
      <c r="C93">
        <f t="shared" si="14"/>
        <v>10</v>
      </c>
    </row>
    <row r="94" spans="1:3" x14ac:dyDescent="0.55000000000000004">
      <c r="A94" s="60">
        <v>71</v>
      </c>
      <c r="B94" s="1">
        <f t="shared" si="15"/>
        <v>1.3515895731365681</v>
      </c>
      <c r="C94">
        <f t="shared" si="14"/>
        <v>11</v>
      </c>
    </row>
    <row r="95" spans="1:3" x14ac:dyDescent="0.55000000000000004">
      <c r="A95" s="60">
        <v>72</v>
      </c>
      <c r="B95" s="1">
        <f t="shared" si="15"/>
        <v>1.3168406551726883</v>
      </c>
      <c r="C95">
        <f t="shared" si="14"/>
        <v>11</v>
      </c>
    </row>
    <row r="96" spans="1:3" x14ac:dyDescent="0.55000000000000004">
      <c r="A96" s="60">
        <v>73</v>
      </c>
      <c r="B96" s="1">
        <f t="shared" si="15"/>
        <v>1.2829851203213005</v>
      </c>
      <c r="C96">
        <f t="shared" si="14"/>
        <v>11</v>
      </c>
    </row>
    <row r="97" spans="1:3" x14ac:dyDescent="0.55000000000000004">
      <c r="A97" s="60">
        <v>74</v>
      </c>
      <c r="B97" s="1">
        <f t="shared" si="15"/>
        <v>1.2500000000000009</v>
      </c>
      <c r="C97">
        <f t="shared" si="14"/>
        <v>11</v>
      </c>
    </row>
    <row r="98" spans="1:3" x14ac:dyDescent="0.55000000000000004">
      <c r="A98" s="60">
        <v>75</v>
      </c>
      <c r="B98" s="1">
        <f>$C$15/($E$15^(A98-74))</f>
        <v>1.2107813574087465</v>
      </c>
      <c r="C98">
        <f t="shared" si="14"/>
        <v>11</v>
      </c>
    </row>
    <row r="99" spans="1:3" x14ac:dyDescent="0.55000000000000004">
      <c r="A99" s="60">
        <v>76</v>
      </c>
      <c r="B99" s="1">
        <f t="shared" ref="B99:B104" si="16">$C$15/($E$15^(A99-74))</f>
        <v>1.1727931963588536</v>
      </c>
      <c r="C99">
        <f t="shared" si="14"/>
        <v>11</v>
      </c>
    </row>
    <row r="100" spans="1:3" x14ac:dyDescent="0.55000000000000004">
      <c r="A100" s="60">
        <v>77</v>
      </c>
      <c r="B100" s="1">
        <f t="shared" si="16"/>
        <v>1.1359969105976921</v>
      </c>
      <c r="C100">
        <f t="shared" si="14"/>
        <v>11</v>
      </c>
    </row>
    <row r="101" spans="1:3" x14ac:dyDescent="0.55000000000000004">
      <c r="A101" s="60">
        <v>78</v>
      </c>
      <c r="B101" s="1">
        <f t="shared" si="16"/>
        <v>1.100355105140493</v>
      </c>
      <c r="C101">
        <f t="shared" si="14"/>
        <v>12</v>
      </c>
    </row>
    <row r="102" spans="1:3" x14ac:dyDescent="0.55000000000000004">
      <c r="A102" s="60">
        <v>79</v>
      </c>
      <c r="B102" s="1">
        <f t="shared" si="16"/>
        <v>1.0658315582669202</v>
      </c>
      <c r="C102">
        <f t="shared" si="14"/>
        <v>12</v>
      </c>
    </row>
    <row r="103" spans="1:3" x14ac:dyDescent="0.55000000000000004">
      <c r="A103" s="60">
        <v>80</v>
      </c>
      <c r="B103" s="1">
        <f t="shared" si="16"/>
        <v>1.0323911847100009</v>
      </c>
      <c r="C103">
        <f t="shared" si="14"/>
        <v>12</v>
      </c>
    </row>
    <row r="104" spans="1:3" x14ac:dyDescent="0.55000000000000004">
      <c r="A104" s="60">
        <v>81</v>
      </c>
      <c r="B104" s="1">
        <f t="shared" si="16"/>
        <v>0.99999999999999911</v>
      </c>
      <c r="C104">
        <f t="shared" si="14"/>
        <v>12</v>
      </c>
    </row>
    <row r="105" spans="1:3" x14ac:dyDescent="0.55000000000000004">
      <c r="A105" s="60">
        <v>82</v>
      </c>
      <c r="B105" s="1">
        <f>$C$16/($E$16^(A105-81))</f>
        <v>0.90572366426390671</v>
      </c>
      <c r="C105">
        <f t="shared" si="14"/>
        <v>12</v>
      </c>
    </row>
    <row r="106" spans="1:3" x14ac:dyDescent="0.55000000000000004">
      <c r="A106" s="60">
        <v>83</v>
      </c>
      <c r="B106" s="1">
        <f t="shared" ref="B106:B111" si="17">$C$16/($E$16^(A106-81))</f>
        <v>0.82033535600763807</v>
      </c>
      <c r="C106">
        <f t="shared" si="14"/>
        <v>12</v>
      </c>
    </row>
    <row r="107" spans="1:3" x14ac:dyDescent="0.55000000000000004">
      <c r="A107" s="60">
        <v>84</v>
      </c>
      <c r="B107" s="1">
        <f t="shared" si="17"/>
        <v>0.74299714456847443</v>
      </c>
      <c r="C107">
        <f t="shared" si="14"/>
        <v>12</v>
      </c>
    </row>
    <row r="108" spans="1:3" x14ac:dyDescent="0.55000000000000004">
      <c r="A108" s="60">
        <v>85</v>
      </c>
      <c r="B108" s="1">
        <f t="shared" si="17"/>
        <v>0.67295009631617841</v>
      </c>
      <c r="C108">
        <f t="shared" si="14"/>
        <v>13</v>
      </c>
    </row>
    <row r="109" spans="1:3" x14ac:dyDescent="0.55000000000000004">
      <c r="A109" s="60">
        <v>86</v>
      </c>
      <c r="B109" s="1">
        <f t="shared" si="17"/>
        <v>0.60950682710223802</v>
      </c>
      <c r="C109">
        <f t="shared" si="14"/>
        <v>13</v>
      </c>
    </row>
    <row r="110" spans="1:3" x14ac:dyDescent="0.55000000000000004">
      <c r="A110" s="60">
        <v>87</v>
      </c>
      <c r="B110" s="1">
        <f t="shared" si="17"/>
        <v>0.55204475683690657</v>
      </c>
      <c r="C110">
        <f t="shared" si="14"/>
        <v>13</v>
      </c>
    </row>
    <row r="111" spans="1:3" x14ac:dyDescent="0.55000000000000004">
      <c r="A111" s="60">
        <v>88</v>
      </c>
      <c r="B111" s="1">
        <f t="shared" si="17"/>
        <v>0.50000000000000044</v>
      </c>
      <c r="C111">
        <f t="shared" si="14"/>
        <v>13</v>
      </c>
    </row>
    <row r="112" spans="1:3" x14ac:dyDescent="0.55000000000000004">
      <c r="A112" s="60">
        <v>89</v>
      </c>
      <c r="B112" s="1">
        <f>$C$17/($E$17^(A112-88))</f>
        <v>0.48431254296349863</v>
      </c>
      <c r="C112">
        <f t="shared" si="14"/>
        <v>13</v>
      </c>
    </row>
    <row r="113" spans="1:3" x14ac:dyDescent="0.55000000000000004">
      <c r="A113" s="60">
        <v>90</v>
      </c>
      <c r="B113" s="1">
        <f t="shared" ref="B113:B118" si="18">$C$17/($E$17^(A113-88))</f>
        <v>0.4691172785435414</v>
      </c>
      <c r="C113">
        <f t="shared" si="14"/>
        <v>13</v>
      </c>
    </row>
    <row r="114" spans="1:3" x14ac:dyDescent="0.55000000000000004">
      <c r="A114" s="60">
        <v>91</v>
      </c>
      <c r="B114" s="1">
        <f t="shared" si="18"/>
        <v>0.45439876423907688</v>
      </c>
      <c r="C114">
        <f t="shared" si="14"/>
        <v>13</v>
      </c>
    </row>
    <row r="115" spans="1:3" x14ac:dyDescent="0.55000000000000004">
      <c r="A115" s="60">
        <v>92</v>
      </c>
      <c r="B115" s="1">
        <f t="shared" si="18"/>
        <v>0.44014204205619722</v>
      </c>
      <c r="C115">
        <f t="shared" si="14"/>
        <v>14</v>
      </c>
    </row>
    <row r="116" spans="1:3" x14ac:dyDescent="0.55000000000000004">
      <c r="A116" s="60">
        <v>93</v>
      </c>
      <c r="B116" s="1">
        <f t="shared" si="18"/>
        <v>0.42633262330676808</v>
      </c>
      <c r="C116">
        <f t="shared" si="14"/>
        <v>14</v>
      </c>
    </row>
    <row r="117" spans="1:3" x14ac:dyDescent="0.55000000000000004">
      <c r="A117" s="60">
        <v>94</v>
      </c>
      <c r="B117" s="1">
        <f t="shared" si="18"/>
        <v>0.41295647388400036</v>
      </c>
      <c r="C117">
        <f t="shared" si="14"/>
        <v>14</v>
      </c>
    </row>
    <row r="118" spans="1:3" x14ac:dyDescent="0.55000000000000004">
      <c r="A118" s="60">
        <v>95</v>
      </c>
      <c r="B118" s="1">
        <f t="shared" si="18"/>
        <v>0.39999999999999963</v>
      </c>
      <c r="C118">
        <f t="shared" si="14"/>
        <v>14</v>
      </c>
    </row>
    <row r="119" spans="1:3" x14ac:dyDescent="0.55000000000000004">
      <c r="A119" s="60">
        <v>96</v>
      </c>
      <c r="B119" s="1">
        <f>$C$18/($E$18^(A119-95))</f>
        <v>0.37402445070771939</v>
      </c>
      <c r="C119">
        <f t="shared" si="14"/>
        <v>14</v>
      </c>
    </row>
    <row r="120" spans="1:3" x14ac:dyDescent="0.55000000000000004">
      <c r="A120" s="60">
        <v>97</v>
      </c>
      <c r="B120" s="1">
        <f t="shared" ref="B120:B135" si="19">$C$18/($E$18^(A120-95))</f>
        <v>0.34973572431802796</v>
      </c>
      <c r="C120">
        <f t="shared" si="14"/>
        <v>14</v>
      </c>
    </row>
    <row r="121" spans="1:3" x14ac:dyDescent="0.55000000000000004">
      <c r="A121" s="60">
        <v>98</v>
      </c>
      <c r="B121" s="1">
        <f t="shared" si="19"/>
        <v>0.32702428045229198</v>
      </c>
      <c r="C121">
        <f t="shared" si="14"/>
        <v>14</v>
      </c>
    </row>
    <row r="122" spans="1:3" x14ac:dyDescent="0.55000000000000004">
      <c r="A122" s="60">
        <v>99</v>
      </c>
      <c r="B122" s="1">
        <f t="shared" si="19"/>
        <v>0.30578769216063917</v>
      </c>
      <c r="C122">
        <f t="shared" si="14"/>
        <v>15</v>
      </c>
    </row>
    <row r="123" spans="1:3" x14ac:dyDescent="0.55000000000000004">
      <c r="A123" s="60">
        <v>100</v>
      </c>
      <c r="B123" s="1">
        <f t="shared" si="19"/>
        <v>0.28593018398391062</v>
      </c>
      <c r="C123">
        <f t="shared" si="14"/>
        <v>15</v>
      </c>
    </row>
    <row r="124" spans="1:3" x14ac:dyDescent="0.55000000000000004">
      <c r="A124" s="60">
        <v>101</v>
      </c>
      <c r="B124" s="1">
        <f t="shared" si="19"/>
        <v>0.26736220001334826</v>
      </c>
      <c r="C124">
        <f t="shared" si="14"/>
        <v>15</v>
      </c>
    </row>
    <row r="125" spans="1:3" x14ac:dyDescent="0.55000000000000004">
      <c r="A125" s="60">
        <v>102</v>
      </c>
      <c r="B125" s="1">
        <f t="shared" si="19"/>
        <v>0.24999999999999997</v>
      </c>
      <c r="C125">
        <f t="shared" si="14"/>
        <v>15</v>
      </c>
    </row>
    <row r="126" spans="1:3" x14ac:dyDescent="0.55000000000000004">
      <c r="A126" s="60">
        <v>103</v>
      </c>
      <c r="B126" s="1">
        <f t="shared" si="19"/>
        <v>0.23376528169232452</v>
      </c>
      <c r="C126">
        <f t="shared" si="14"/>
        <v>15</v>
      </c>
    </row>
    <row r="127" spans="1:3" x14ac:dyDescent="0.55000000000000004">
      <c r="A127" s="60">
        <v>104</v>
      </c>
      <c r="B127" s="1">
        <f t="shared" si="19"/>
        <v>0.21858482769876741</v>
      </c>
      <c r="C127">
        <f t="shared" si="14"/>
        <v>15</v>
      </c>
    </row>
    <row r="128" spans="1:3" x14ac:dyDescent="0.55000000000000004">
      <c r="A128" s="60">
        <v>105</v>
      </c>
      <c r="B128" s="1">
        <f t="shared" si="19"/>
        <v>0.20439017528268241</v>
      </c>
      <c r="C128">
        <f t="shared" si="14"/>
        <v>15</v>
      </c>
    </row>
    <row r="129" spans="1:15" x14ac:dyDescent="0.55000000000000004">
      <c r="A129" s="60">
        <v>106</v>
      </c>
      <c r="B129" s="1">
        <f t="shared" si="19"/>
        <v>0.19111730760039941</v>
      </c>
      <c r="C129">
        <f t="shared" si="14"/>
        <v>16</v>
      </c>
    </row>
    <row r="130" spans="1:15" x14ac:dyDescent="0.55000000000000004">
      <c r="A130" s="60">
        <v>107</v>
      </c>
      <c r="B130" s="1">
        <f t="shared" si="19"/>
        <v>0.17870636498994408</v>
      </c>
      <c r="C130">
        <f t="shared" si="14"/>
        <v>16</v>
      </c>
    </row>
    <row r="131" spans="1:15" x14ac:dyDescent="0.55000000000000004">
      <c r="A131" s="60">
        <v>108</v>
      </c>
      <c r="B131" s="1">
        <f t="shared" si="19"/>
        <v>0.1671013750083426</v>
      </c>
      <c r="C131">
        <f t="shared" si="14"/>
        <v>16</v>
      </c>
    </row>
    <row r="132" spans="1:15" x14ac:dyDescent="0.55000000000000004">
      <c r="A132" s="60">
        <v>109</v>
      </c>
      <c r="B132" s="1">
        <f t="shared" si="19"/>
        <v>0.15624999999999992</v>
      </c>
      <c r="C132">
        <f t="shared" si="14"/>
        <v>16</v>
      </c>
    </row>
    <row r="133" spans="1:15" x14ac:dyDescent="0.55000000000000004">
      <c r="A133" s="60">
        <v>110</v>
      </c>
      <c r="B133" s="1">
        <f t="shared" si="19"/>
        <v>0.14610330105770281</v>
      </c>
      <c r="C133">
        <f t="shared" si="14"/>
        <v>16</v>
      </c>
    </row>
    <row r="134" spans="1:15" x14ac:dyDescent="0.55000000000000004">
      <c r="A134" s="60">
        <v>111</v>
      </c>
      <c r="B134" s="1">
        <f t="shared" si="19"/>
        <v>0.13661551731172958</v>
      </c>
      <c r="C134">
        <f t="shared" si="14"/>
        <v>16</v>
      </c>
    </row>
    <row r="135" spans="1:15" x14ac:dyDescent="0.55000000000000004">
      <c r="A135" s="60">
        <v>112</v>
      </c>
      <c r="B135" s="1">
        <f t="shared" si="19"/>
        <v>0.12774385955167644</v>
      </c>
      <c r="C135">
        <f t="shared" si="14"/>
        <v>16</v>
      </c>
    </row>
    <row r="136" spans="1:15" x14ac:dyDescent="0.55000000000000004">
      <c r="A136" s="60"/>
      <c r="B136" s="1"/>
    </row>
    <row r="137" spans="1:15" x14ac:dyDescent="0.55000000000000004">
      <c r="A137" s="60"/>
    </row>
    <row r="140" spans="1:15" ht="28.8" x14ac:dyDescent="0.55000000000000004">
      <c r="A140" s="3" t="s">
        <v>70</v>
      </c>
    </row>
    <row r="141" spans="1:15" x14ac:dyDescent="0.55000000000000004">
      <c r="A141" s="9" t="s">
        <v>71</v>
      </c>
      <c r="B141" s="8"/>
      <c r="C141" s="8" t="s">
        <v>72</v>
      </c>
      <c r="D141" s="8" t="s">
        <v>73</v>
      </c>
    </row>
    <row r="142" spans="1:15" ht="28.8" x14ac:dyDescent="0.55000000000000004">
      <c r="A142" s="4" t="s">
        <v>299</v>
      </c>
      <c r="B142" s="4"/>
      <c r="C142" s="4" t="s">
        <v>300</v>
      </c>
      <c r="D142" s="4" t="s">
        <v>301</v>
      </c>
    </row>
    <row r="144" spans="1:15" ht="72" x14ac:dyDescent="0.55000000000000004">
      <c r="A144" s="9" t="s">
        <v>316</v>
      </c>
      <c r="B144" s="8" t="s">
        <v>74</v>
      </c>
      <c r="C144" s="9"/>
      <c r="D144" s="9" t="s">
        <v>76</v>
      </c>
      <c r="E144" s="9" t="s">
        <v>334</v>
      </c>
      <c r="F144" s="9" t="s">
        <v>328</v>
      </c>
      <c r="G144" s="9"/>
      <c r="H144" s="9"/>
      <c r="I144" s="9"/>
      <c r="J144" s="9" t="s">
        <v>78</v>
      </c>
      <c r="K144" s="9" t="s">
        <v>79</v>
      </c>
      <c r="L144" s="9" t="s">
        <v>80</v>
      </c>
      <c r="M144" s="9" t="s">
        <v>81</v>
      </c>
      <c r="N144" s="9" t="s">
        <v>82</v>
      </c>
      <c r="O144" s="9" t="s">
        <v>83</v>
      </c>
    </row>
    <row r="145" spans="1:15" x14ac:dyDescent="0.55000000000000004">
      <c r="A145" t="s">
        <v>155</v>
      </c>
      <c r="B145" t="s">
        <v>85</v>
      </c>
      <c r="D145">
        <f t="shared" ref="D145:D203" si="20">IF(B145="BBC",0,1)</f>
        <v>0</v>
      </c>
      <c r="E145">
        <v>7</v>
      </c>
      <c r="F145" s="1">
        <f>VLOOKUP(E145,$A$24:$B$135,2,FALSE)</f>
        <v>14.575038986769357</v>
      </c>
      <c r="H145" s="1"/>
      <c r="I145" s="6"/>
      <c r="J145">
        <v>7</v>
      </c>
      <c r="K145" s="1">
        <f>VLOOKUP(J145,$A$24:$B$135,2,FALSE)</f>
        <v>14.575038986769357</v>
      </c>
      <c r="L145" s="1">
        <f t="shared" ref="L145:L203" si="21">K145-$F145</f>
        <v>0</v>
      </c>
      <c r="M145">
        <v>7</v>
      </c>
      <c r="N145" s="1">
        <f>VLOOKUP(M145,$A$24:$B$135,2,FALSE)</f>
        <v>14.575038986769357</v>
      </c>
      <c r="O145" s="1">
        <f t="shared" ref="O145:O203" si="22">N145-$F145</f>
        <v>0</v>
      </c>
    </row>
    <row r="146" spans="1:15" x14ac:dyDescent="0.55000000000000004">
      <c r="A146" t="s">
        <v>86</v>
      </c>
      <c r="B146" t="s">
        <v>85</v>
      </c>
      <c r="D146">
        <f t="shared" si="20"/>
        <v>0</v>
      </c>
      <c r="E146">
        <v>8</v>
      </c>
      <c r="F146" s="1">
        <f t="shared" ref="F146:F203" si="23">VLOOKUP(E146,$A$24:$B$135,2,FALSE)</f>
        <v>13.584869322115466</v>
      </c>
      <c r="H146" s="1"/>
      <c r="I146" s="6"/>
      <c r="J146">
        <v>8</v>
      </c>
      <c r="K146" s="1">
        <f t="shared" ref="K146:K203" si="24">VLOOKUP(J146,$A$24:$B$135,2,FALSE)</f>
        <v>13.584869322115466</v>
      </c>
      <c r="L146" s="1">
        <f t="shared" si="21"/>
        <v>0</v>
      </c>
      <c r="M146">
        <v>8</v>
      </c>
      <c r="N146" s="1">
        <f t="shared" ref="N146:N203" si="25">VLOOKUP(M146,$A$24:$B$135,2,FALSE)</f>
        <v>13.584869322115466</v>
      </c>
      <c r="O146" s="1">
        <f t="shared" si="22"/>
        <v>0</v>
      </c>
    </row>
    <row r="147" spans="1:15" x14ac:dyDescent="0.55000000000000004">
      <c r="A147" t="s">
        <v>87</v>
      </c>
      <c r="B147" t="s">
        <v>88</v>
      </c>
      <c r="D147">
        <f t="shared" si="20"/>
        <v>1</v>
      </c>
      <c r="E147">
        <v>9</v>
      </c>
      <c r="F147" s="1">
        <f t="shared" si="23"/>
        <v>12.661967811302588</v>
      </c>
      <c r="H147" s="1"/>
      <c r="I147" s="6"/>
      <c r="J147">
        <v>9</v>
      </c>
      <c r="K147" s="1">
        <f t="shared" si="24"/>
        <v>12.661967811302588</v>
      </c>
      <c r="L147" s="1">
        <f t="shared" si="21"/>
        <v>0</v>
      </c>
      <c r="M147">
        <v>9</v>
      </c>
      <c r="N147" s="1">
        <f t="shared" si="25"/>
        <v>12.661967811302588</v>
      </c>
      <c r="O147" s="1">
        <f t="shared" si="22"/>
        <v>0</v>
      </c>
    </row>
    <row r="148" spans="1:15" x14ac:dyDescent="0.55000000000000004">
      <c r="A148" t="s">
        <v>89</v>
      </c>
      <c r="B148" t="s">
        <v>88</v>
      </c>
      <c r="D148">
        <f t="shared" si="20"/>
        <v>1</v>
      </c>
      <c r="E148">
        <v>10</v>
      </c>
      <c r="F148" s="1">
        <f t="shared" si="23"/>
        <v>11.801764525880374</v>
      </c>
      <c r="H148" s="1"/>
      <c r="I148" s="6"/>
      <c r="J148">
        <v>10</v>
      </c>
      <c r="K148" s="1">
        <f t="shared" si="24"/>
        <v>11.801764525880374</v>
      </c>
      <c r="L148" s="1">
        <f t="shared" si="21"/>
        <v>0</v>
      </c>
      <c r="M148">
        <v>10</v>
      </c>
      <c r="N148" s="1">
        <f t="shared" si="25"/>
        <v>11.801764525880374</v>
      </c>
      <c r="O148" s="1">
        <f t="shared" si="22"/>
        <v>0</v>
      </c>
    </row>
    <row r="149" spans="1:15" x14ac:dyDescent="0.55000000000000004">
      <c r="A149" t="s">
        <v>90</v>
      </c>
      <c r="B149" t="s">
        <v>88</v>
      </c>
      <c r="D149">
        <f t="shared" si="20"/>
        <v>1</v>
      </c>
      <c r="E149">
        <v>11</v>
      </c>
      <c r="F149" s="1">
        <f t="shared" si="23"/>
        <v>10.999999999999995</v>
      </c>
      <c r="H149" s="1"/>
      <c r="I149" s="6"/>
      <c r="J149">
        <v>11</v>
      </c>
      <c r="K149" s="1">
        <f t="shared" si="24"/>
        <v>10.999999999999995</v>
      </c>
      <c r="L149" s="1">
        <f t="shared" si="21"/>
        <v>0</v>
      </c>
      <c r="M149">
        <v>11</v>
      </c>
      <c r="N149" s="1">
        <f t="shared" si="25"/>
        <v>10.999999999999995</v>
      </c>
      <c r="O149" s="1">
        <f t="shared" si="22"/>
        <v>0</v>
      </c>
    </row>
    <row r="150" spans="1:15" x14ac:dyDescent="0.55000000000000004">
      <c r="A150" t="s">
        <v>91</v>
      </c>
      <c r="B150" t="s">
        <v>88</v>
      </c>
      <c r="D150">
        <f t="shared" si="20"/>
        <v>1</v>
      </c>
      <c r="E150">
        <v>12</v>
      </c>
      <c r="F150" s="1">
        <f t="shared" si="23"/>
        <v>10.602210773379817</v>
      </c>
      <c r="H150" s="1"/>
      <c r="I150" s="6"/>
      <c r="J150">
        <v>12</v>
      </c>
      <c r="K150" s="1">
        <f t="shared" si="24"/>
        <v>10.602210773379817</v>
      </c>
      <c r="L150" s="1">
        <f t="shared" si="21"/>
        <v>0</v>
      </c>
      <c r="M150">
        <v>12</v>
      </c>
      <c r="N150" s="1">
        <f t="shared" si="25"/>
        <v>10.602210773379817</v>
      </c>
      <c r="O150" s="1">
        <f t="shared" si="22"/>
        <v>0</v>
      </c>
    </row>
    <row r="151" spans="1:15" x14ac:dyDescent="0.55000000000000004">
      <c r="A151" t="s">
        <v>92</v>
      </c>
      <c r="B151" t="s">
        <v>93</v>
      </c>
      <c r="D151">
        <f t="shared" si="20"/>
        <v>1</v>
      </c>
      <c r="E151">
        <v>13</v>
      </c>
      <c r="F151" s="1">
        <f t="shared" si="23"/>
        <v>10.218806662106459</v>
      </c>
      <c r="H151" s="1"/>
      <c r="I151" s="6"/>
      <c r="J151">
        <v>13</v>
      </c>
      <c r="K151" s="1">
        <f t="shared" si="24"/>
        <v>10.218806662106459</v>
      </c>
      <c r="L151" s="1">
        <f t="shared" si="21"/>
        <v>0</v>
      </c>
      <c r="M151">
        <v>13</v>
      </c>
      <c r="N151" s="1">
        <f t="shared" si="25"/>
        <v>10.218806662106459</v>
      </c>
      <c r="O151" s="1">
        <f t="shared" si="22"/>
        <v>0</v>
      </c>
    </row>
    <row r="152" spans="1:15" x14ac:dyDescent="0.55000000000000004">
      <c r="A152" t="s">
        <v>94</v>
      </c>
      <c r="B152" t="s">
        <v>93</v>
      </c>
      <c r="D152">
        <f t="shared" si="20"/>
        <v>1</v>
      </c>
      <c r="E152">
        <v>14</v>
      </c>
      <c r="F152" s="1">
        <f t="shared" si="23"/>
        <v>9.8492674621882337</v>
      </c>
      <c r="H152" s="1"/>
      <c r="I152" s="6"/>
      <c r="J152">
        <v>14</v>
      </c>
      <c r="K152" s="1">
        <f t="shared" si="24"/>
        <v>9.8492674621882337</v>
      </c>
      <c r="L152" s="1">
        <f t="shared" si="21"/>
        <v>0</v>
      </c>
      <c r="M152">
        <v>14</v>
      </c>
      <c r="N152" s="1">
        <f t="shared" si="25"/>
        <v>9.8492674621882337</v>
      </c>
      <c r="O152" s="1">
        <f t="shared" si="22"/>
        <v>0</v>
      </c>
    </row>
    <row r="153" spans="1:15" x14ac:dyDescent="0.55000000000000004">
      <c r="A153" t="s">
        <v>95</v>
      </c>
      <c r="B153" t="s">
        <v>93</v>
      </c>
      <c r="D153">
        <f t="shared" si="20"/>
        <v>1</v>
      </c>
      <c r="E153">
        <v>15</v>
      </c>
      <c r="F153" s="1">
        <f t="shared" si="23"/>
        <v>9.4930917815919429</v>
      </c>
      <c r="H153" s="1"/>
      <c r="I153" s="6"/>
      <c r="J153">
        <v>15</v>
      </c>
      <c r="K153" s="1">
        <f t="shared" si="24"/>
        <v>9.4930917815919429</v>
      </c>
      <c r="L153" s="1">
        <f t="shared" si="21"/>
        <v>0</v>
      </c>
      <c r="M153">
        <v>15</v>
      </c>
      <c r="N153" s="1">
        <f t="shared" si="25"/>
        <v>9.4930917815919429</v>
      </c>
      <c r="O153" s="1">
        <f t="shared" si="22"/>
        <v>0</v>
      </c>
    </row>
    <row r="154" spans="1:15" x14ac:dyDescent="0.55000000000000004">
      <c r="A154" t="s">
        <v>96</v>
      </c>
      <c r="B154" t="s">
        <v>93</v>
      </c>
      <c r="D154">
        <f t="shared" si="20"/>
        <v>1</v>
      </c>
      <c r="E154">
        <v>16</v>
      </c>
      <c r="F154" s="1">
        <f t="shared" si="23"/>
        <v>9.1497963599524983</v>
      </c>
      <c r="H154" s="1"/>
      <c r="I154" s="6"/>
      <c r="J154">
        <v>16</v>
      </c>
      <c r="K154" s="1">
        <f t="shared" si="24"/>
        <v>9.1497963599524983</v>
      </c>
      <c r="L154" s="1">
        <f t="shared" si="21"/>
        <v>0</v>
      </c>
      <c r="M154">
        <v>16</v>
      </c>
      <c r="N154" s="1">
        <f t="shared" si="25"/>
        <v>9.1497963599524983</v>
      </c>
      <c r="O154" s="1">
        <f t="shared" si="22"/>
        <v>0</v>
      </c>
    </row>
    <row r="155" spans="1:15" x14ac:dyDescent="0.55000000000000004">
      <c r="A155" t="s">
        <v>97</v>
      </c>
      <c r="B155" t="s">
        <v>93</v>
      </c>
      <c r="D155">
        <f t="shared" si="20"/>
        <v>1</v>
      </c>
      <c r="E155">
        <v>17</v>
      </c>
      <c r="F155" s="1">
        <f t="shared" si="23"/>
        <v>8.8189154128836211</v>
      </c>
      <c r="H155" s="1"/>
      <c r="I155" s="6"/>
      <c r="J155">
        <v>17</v>
      </c>
      <c r="K155" s="1">
        <f t="shared" si="24"/>
        <v>8.8189154128836211</v>
      </c>
      <c r="L155" s="1">
        <f t="shared" si="21"/>
        <v>0</v>
      </c>
      <c r="M155">
        <v>17</v>
      </c>
      <c r="N155" s="1">
        <f t="shared" si="25"/>
        <v>8.8189154128836211</v>
      </c>
      <c r="O155" s="1">
        <f t="shared" si="22"/>
        <v>0</v>
      </c>
    </row>
    <row r="156" spans="1:15" x14ac:dyDescent="0.55000000000000004">
      <c r="A156" t="s">
        <v>98</v>
      </c>
      <c r="B156" t="s">
        <v>93</v>
      </c>
      <c r="D156">
        <f t="shared" si="20"/>
        <v>1</v>
      </c>
      <c r="E156">
        <v>18</v>
      </c>
      <c r="F156" s="1">
        <f t="shared" si="23"/>
        <v>8.5000000000000036</v>
      </c>
      <c r="H156" s="1"/>
      <c r="I156" s="6"/>
      <c r="J156">
        <v>18</v>
      </c>
      <c r="K156" s="1">
        <f t="shared" si="24"/>
        <v>8.5000000000000036</v>
      </c>
      <c r="L156" s="1">
        <f t="shared" si="21"/>
        <v>0</v>
      </c>
      <c r="M156">
        <v>18</v>
      </c>
      <c r="N156" s="1">
        <f t="shared" si="25"/>
        <v>8.5000000000000036</v>
      </c>
      <c r="O156" s="1">
        <f t="shared" si="22"/>
        <v>0</v>
      </c>
    </row>
    <row r="157" spans="1:15" x14ac:dyDescent="0.55000000000000004">
      <c r="A157" t="s">
        <v>99</v>
      </c>
      <c r="B157" t="s">
        <v>93</v>
      </c>
      <c r="D157">
        <f t="shared" si="20"/>
        <v>1</v>
      </c>
      <c r="E157">
        <v>19</v>
      </c>
      <c r="F157" s="1">
        <f t="shared" si="23"/>
        <v>8.1804138057887492</v>
      </c>
      <c r="H157" s="1"/>
      <c r="I157" s="6"/>
      <c r="J157">
        <v>19</v>
      </c>
      <c r="K157" s="1">
        <f t="shared" si="24"/>
        <v>8.1804138057887492</v>
      </c>
      <c r="L157" s="1">
        <f t="shared" si="21"/>
        <v>0</v>
      </c>
      <c r="M157">
        <v>19</v>
      </c>
      <c r="N157" s="1">
        <f t="shared" si="25"/>
        <v>8.1804138057887492</v>
      </c>
      <c r="O157" s="1">
        <f t="shared" si="22"/>
        <v>0</v>
      </c>
    </row>
    <row r="158" spans="1:15" x14ac:dyDescent="0.55000000000000004">
      <c r="A158" t="s">
        <v>100</v>
      </c>
      <c r="B158" t="s">
        <v>93</v>
      </c>
      <c r="D158">
        <f t="shared" si="20"/>
        <v>1</v>
      </c>
      <c r="E158">
        <v>20</v>
      </c>
      <c r="F158" s="1">
        <f t="shared" si="23"/>
        <v>7.8728435334046081</v>
      </c>
      <c r="H158" s="1"/>
      <c r="I158" s="6"/>
      <c r="J158">
        <v>20</v>
      </c>
      <c r="K158" s="1">
        <f t="shared" si="24"/>
        <v>7.8728435334046081</v>
      </c>
      <c r="L158" s="1">
        <f t="shared" si="21"/>
        <v>0</v>
      </c>
      <c r="M158">
        <v>20</v>
      </c>
      <c r="N158" s="1">
        <f t="shared" si="25"/>
        <v>7.8728435334046081</v>
      </c>
      <c r="O158" s="1">
        <f t="shared" si="22"/>
        <v>0</v>
      </c>
    </row>
    <row r="159" spans="1:15" x14ac:dyDescent="0.55000000000000004">
      <c r="A159" t="s">
        <v>101</v>
      </c>
      <c r="B159" t="s">
        <v>88</v>
      </c>
      <c r="D159">
        <f t="shared" si="20"/>
        <v>1</v>
      </c>
      <c r="E159">
        <v>21</v>
      </c>
      <c r="F159" s="1">
        <f t="shared" si="23"/>
        <v>7.5768374037032622</v>
      </c>
      <c r="H159" s="1"/>
      <c r="I159" s="6"/>
      <c r="J159">
        <v>22</v>
      </c>
      <c r="K159" s="1">
        <f t="shared" si="24"/>
        <v>7.2919606237024421</v>
      </c>
      <c r="L159" s="1">
        <f t="shared" si="21"/>
        <v>-0.28487678000082006</v>
      </c>
      <c r="M159">
        <v>21</v>
      </c>
      <c r="N159" s="1">
        <f t="shared" si="25"/>
        <v>7.5768374037032622</v>
      </c>
      <c r="O159" s="1">
        <f t="shared" si="22"/>
        <v>0</v>
      </c>
    </row>
    <row r="160" spans="1:15" x14ac:dyDescent="0.55000000000000004">
      <c r="A160" t="s">
        <v>102</v>
      </c>
      <c r="B160" t="s">
        <v>88</v>
      </c>
      <c r="D160">
        <f t="shared" si="20"/>
        <v>1</v>
      </c>
      <c r="E160">
        <v>22</v>
      </c>
      <c r="F160" s="1">
        <f t="shared" si="23"/>
        <v>7.2919606237024421</v>
      </c>
      <c r="H160" s="1"/>
      <c r="I160" s="6"/>
      <c r="J160">
        <v>23</v>
      </c>
      <c r="K160" s="1">
        <f t="shared" si="24"/>
        <v>7.0177947479298108</v>
      </c>
      <c r="L160" s="1">
        <f t="shared" si="21"/>
        <v>-0.2741658757726313</v>
      </c>
      <c r="M160">
        <v>22</v>
      </c>
      <c r="N160" s="1">
        <f t="shared" si="25"/>
        <v>7.2919606237024421</v>
      </c>
      <c r="O160" s="1">
        <f t="shared" si="22"/>
        <v>0</v>
      </c>
    </row>
    <row r="161" spans="1:15" x14ac:dyDescent="0.55000000000000004">
      <c r="A161" t="s">
        <v>103</v>
      </c>
      <c r="B161" t="s">
        <v>88</v>
      </c>
      <c r="D161">
        <f t="shared" si="20"/>
        <v>1</v>
      </c>
      <c r="E161">
        <v>23</v>
      </c>
      <c r="F161" s="1">
        <f t="shared" si="23"/>
        <v>7.0177947479298108</v>
      </c>
      <c r="H161" s="1"/>
      <c r="I161" s="6"/>
      <c r="J161">
        <v>24</v>
      </c>
      <c r="K161" s="1">
        <f t="shared" si="24"/>
        <v>6.7539370637831526</v>
      </c>
      <c r="L161" s="1">
        <f t="shared" si="21"/>
        <v>-0.26385768414665822</v>
      </c>
      <c r="M161">
        <v>23</v>
      </c>
      <c r="N161" s="1">
        <f t="shared" si="25"/>
        <v>7.0177947479298108</v>
      </c>
      <c r="O161" s="1">
        <f t="shared" si="22"/>
        <v>0</v>
      </c>
    </row>
    <row r="162" spans="1:15" x14ac:dyDescent="0.55000000000000004">
      <c r="A162" t="s">
        <v>104</v>
      </c>
      <c r="B162" t="s">
        <v>105</v>
      </c>
      <c r="D162">
        <f t="shared" si="20"/>
        <v>1</v>
      </c>
      <c r="E162">
        <v>24</v>
      </c>
      <c r="F162" s="1">
        <f t="shared" si="23"/>
        <v>6.7539370637831526</v>
      </c>
      <c r="H162" s="1"/>
      <c r="I162" s="6"/>
      <c r="J162">
        <v>25</v>
      </c>
      <c r="K162" s="1">
        <f t="shared" si="24"/>
        <v>6.5000000000000036</v>
      </c>
      <c r="L162" s="1">
        <f t="shared" si="21"/>
        <v>-0.25393706378314906</v>
      </c>
      <c r="M162">
        <v>24</v>
      </c>
      <c r="N162" s="1">
        <f t="shared" si="25"/>
        <v>6.7539370637831526</v>
      </c>
      <c r="O162" s="1">
        <f t="shared" si="22"/>
        <v>0</v>
      </c>
    </row>
    <row r="163" spans="1:15" x14ac:dyDescent="0.55000000000000004">
      <c r="A163" t="s">
        <v>106</v>
      </c>
      <c r="B163" t="s">
        <v>105</v>
      </c>
      <c r="D163">
        <f t="shared" si="20"/>
        <v>1</v>
      </c>
      <c r="E163">
        <v>25</v>
      </c>
      <c r="F163" s="1">
        <f t="shared" si="23"/>
        <v>6.5000000000000036</v>
      </c>
      <c r="H163" s="1"/>
      <c r="I163" s="6"/>
      <c r="J163">
        <v>26</v>
      </c>
      <c r="K163" s="1">
        <f t="shared" si="24"/>
        <v>6.2608851175190665</v>
      </c>
      <c r="L163" s="1">
        <f t="shared" si="21"/>
        <v>-0.23911488248093704</v>
      </c>
      <c r="M163">
        <v>25</v>
      </c>
      <c r="N163" s="1">
        <f t="shared" si="25"/>
        <v>6.5000000000000036</v>
      </c>
      <c r="O163" s="1">
        <f t="shared" si="22"/>
        <v>0</v>
      </c>
    </row>
    <row r="164" spans="1:15" x14ac:dyDescent="0.55000000000000004">
      <c r="A164" t="s">
        <v>107</v>
      </c>
      <c r="B164" t="s">
        <v>105</v>
      </c>
      <c r="D164">
        <f t="shared" si="20"/>
        <v>1</v>
      </c>
      <c r="E164">
        <v>26</v>
      </c>
      <c r="F164" s="1">
        <f t="shared" si="23"/>
        <v>6.2608851175190665</v>
      </c>
      <c r="H164" s="1"/>
      <c r="I164" s="6"/>
      <c r="J164">
        <v>27</v>
      </c>
      <c r="K164" s="1">
        <f t="shared" si="24"/>
        <v>6.0305665315033439</v>
      </c>
      <c r="L164" s="1">
        <f t="shared" si="21"/>
        <v>-0.23031858601572264</v>
      </c>
      <c r="M164">
        <v>26</v>
      </c>
      <c r="N164" s="1">
        <f t="shared" si="25"/>
        <v>6.2608851175190665</v>
      </c>
      <c r="O164" s="1">
        <f t="shared" si="22"/>
        <v>0</v>
      </c>
    </row>
    <row r="165" spans="1:15" x14ac:dyDescent="0.55000000000000004">
      <c r="A165" t="s">
        <v>108</v>
      </c>
      <c r="B165" t="s">
        <v>105</v>
      </c>
      <c r="D165">
        <f t="shared" si="20"/>
        <v>1</v>
      </c>
      <c r="E165">
        <v>27</v>
      </c>
      <c r="F165" s="1">
        <f t="shared" si="23"/>
        <v>6.0305665315033439</v>
      </c>
      <c r="H165" s="1"/>
      <c r="I165" s="6"/>
      <c r="J165">
        <v>28</v>
      </c>
      <c r="K165" s="1">
        <f t="shared" si="24"/>
        <v>5.8087206534304405</v>
      </c>
      <c r="L165" s="1">
        <f t="shared" si="21"/>
        <v>-0.22184587807290335</v>
      </c>
      <c r="M165">
        <v>27</v>
      </c>
      <c r="N165" s="1">
        <f t="shared" si="25"/>
        <v>6.0305665315033439</v>
      </c>
      <c r="O165" s="1">
        <f t="shared" si="22"/>
        <v>0</v>
      </c>
    </row>
    <row r="166" spans="1:15" x14ac:dyDescent="0.55000000000000004">
      <c r="A166" t="s">
        <v>109</v>
      </c>
      <c r="B166" t="s">
        <v>105</v>
      </c>
      <c r="D166">
        <f t="shared" si="20"/>
        <v>1</v>
      </c>
      <c r="E166">
        <v>28</v>
      </c>
      <c r="F166" s="1">
        <f t="shared" si="23"/>
        <v>5.8087206534304405</v>
      </c>
      <c r="H166" s="1"/>
      <c r="I166" s="6"/>
      <c r="J166">
        <v>29</v>
      </c>
      <c r="K166" s="1">
        <f t="shared" si="24"/>
        <v>5.5950357985981949</v>
      </c>
      <c r="L166" s="1">
        <f t="shared" si="21"/>
        <v>-0.21368485483224564</v>
      </c>
      <c r="M166">
        <v>29</v>
      </c>
      <c r="N166" s="1">
        <f t="shared" si="25"/>
        <v>5.5950357985981949</v>
      </c>
      <c r="O166" s="1">
        <f t="shared" si="22"/>
        <v>-0.21368485483224564</v>
      </c>
    </row>
    <row r="167" spans="1:15" x14ac:dyDescent="0.55000000000000004">
      <c r="A167" t="s">
        <v>110</v>
      </c>
      <c r="B167" t="s">
        <v>105</v>
      </c>
      <c r="D167">
        <f t="shared" si="20"/>
        <v>1</v>
      </c>
      <c r="E167">
        <v>29</v>
      </c>
      <c r="F167" s="1">
        <f t="shared" si="23"/>
        <v>5.5950357985981949</v>
      </c>
      <c r="H167" s="1"/>
      <c r="I167" s="6"/>
      <c r="J167">
        <v>30</v>
      </c>
      <c r="K167" s="1">
        <f t="shared" si="24"/>
        <v>5.3892117482199753</v>
      </c>
      <c r="L167" s="1">
        <f t="shared" si="21"/>
        <v>-0.2058240503782196</v>
      </c>
      <c r="M167">
        <v>30</v>
      </c>
      <c r="N167" s="1">
        <f t="shared" si="25"/>
        <v>5.3892117482199753</v>
      </c>
      <c r="O167" s="1">
        <f t="shared" si="22"/>
        <v>-0.2058240503782196</v>
      </c>
    </row>
    <row r="168" spans="1:15" x14ac:dyDescent="0.55000000000000004">
      <c r="A168" t="s">
        <v>111</v>
      </c>
      <c r="B168" t="s">
        <v>105</v>
      </c>
      <c r="D168">
        <f t="shared" si="20"/>
        <v>1</v>
      </c>
      <c r="E168">
        <v>30</v>
      </c>
      <c r="F168" s="1">
        <f t="shared" si="23"/>
        <v>5.3892117482199753</v>
      </c>
      <c r="H168" s="1"/>
      <c r="I168" s="6"/>
      <c r="J168">
        <v>31</v>
      </c>
      <c r="K168" s="1">
        <f t="shared" si="24"/>
        <v>5.1909593276291321</v>
      </c>
      <c r="L168" s="1">
        <f t="shared" si="21"/>
        <v>-0.19825242059084314</v>
      </c>
      <c r="M168">
        <v>31</v>
      </c>
      <c r="N168" s="1">
        <f t="shared" si="25"/>
        <v>5.1909593276291321</v>
      </c>
      <c r="O168" s="1">
        <f t="shared" si="22"/>
        <v>-0.19825242059084314</v>
      </c>
    </row>
    <row r="169" spans="1:15" x14ac:dyDescent="0.55000000000000004">
      <c r="A169" t="s">
        <v>112</v>
      </c>
      <c r="B169" t="s">
        <v>105</v>
      </c>
      <c r="D169">
        <f t="shared" si="20"/>
        <v>1</v>
      </c>
      <c r="E169">
        <v>31</v>
      </c>
      <c r="F169" s="1">
        <f t="shared" si="23"/>
        <v>5.1909593276291321</v>
      </c>
      <c r="H169" s="1"/>
      <c r="I169" s="6"/>
      <c r="J169">
        <v>32</v>
      </c>
      <c r="K169" s="1">
        <f t="shared" si="24"/>
        <v>5.0000000000000027</v>
      </c>
      <c r="L169" s="1">
        <f t="shared" si="21"/>
        <v>-0.19095932762912948</v>
      </c>
      <c r="M169">
        <v>32</v>
      </c>
      <c r="N169" s="1">
        <f t="shared" si="25"/>
        <v>5.0000000000000027</v>
      </c>
      <c r="O169" s="1">
        <f t="shared" si="22"/>
        <v>-0.19095932762912948</v>
      </c>
    </row>
    <row r="170" spans="1:15" x14ac:dyDescent="0.55000000000000004">
      <c r="A170" t="s">
        <v>113</v>
      </c>
      <c r="B170" t="s">
        <v>116</v>
      </c>
      <c r="D170">
        <f t="shared" si="20"/>
        <v>1</v>
      </c>
      <c r="E170">
        <v>32</v>
      </c>
      <c r="F170" s="1">
        <f t="shared" si="23"/>
        <v>5.0000000000000027</v>
      </c>
      <c r="H170" s="1"/>
      <c r="I170" s="6"/>
      <c r="J170">
        <v>33</v>
      </c>
      <c r="K170" s="1">
        <f t="shared" si="24"/>
        <v>4.648119937493906</v>
      </c>
      <c r="L170" s="1">
        <f t="shared" si="21"/>
        <v>-0.35188006250609671</v>
      </c>
      <c r="M170">
        <v>33</v>
      </c>
      <c r="N170" s="1">
        <f t="shared" si="25"/>
        <v>4.648119937493906</v>
      </c>
      <c r="O170" s="1">
        <f t="shared" si="22"/>
        <v>-0.35188006250609671</v>
      </c>
    </row>
    <row r="171" spans="1:15" x14ac:dyDescent="0.55000000000000004">
      <c r="A171" t="s">
        <v>114</v>
      </c>
      <c r="B171" t="s">
        <v>116</v>
      </c>
      <c r="D171">
        <f t="shared" si="20"/>
        <v>1</v>
      </c>
      <c r="E171">
        <v>33</v>
      </c>
      <c r="F171" s="1">
        <f t="shared" si="23"/>
        <v>4.648119937493906</v>
      </c>
      <c r="H171" s="1"/>
      <c r="I171" s="6"/>
      <c r="J171">
        <v>34</v>
      </c>
      <c r="K171" s="1">
        <f t="shared" si="24"/>
        <v>4.3210037906656709</v>
      </c>
      <c r="L171" s="1">
        <f t="shared" si="21"/>
        <v>-0.32711614682823509</v>
      </c>
      <c r="M171">
        <v>34</v>
      </c>
      <c r="N171" s="1">
        <f t="shared" si="25"/>
        <v>4.3210037906656709</v>
      </c>
      <c r="O171" s="1">
        <f t="shared" si="22"/>
        <v>-0.32711614682823509</v>
      </c>
    </row>
    <row r="172" spans="1:15" x14ac:dyDescent="0.55000000000000004">
      <c r="A172" t="s">
        <v>115</v>
      </c>
      <c r="B172" t="s">
        <v>116</v>
      </c>
      <c r="D172">
        <f t="shared" si="20"/>
        <v>1</v>
      </c>
      <c r="E172">
        <v>34</v>
      </c>
      <c r="F172" s="1">
        <f t="shared" si="23"/>
        <v>4.3210037906656709</v>
      </c>
      <c r="H172" s="1"/>
      <c r="I172" s="6"/>
      <c r="J172">
        <v>35</v>
      </c>
      <c r="K172" s="1">
        <f t="shared" si="24"/>
        <v>4.0169087738759695</v>
      </c>
      <c r="L172" s="1">
        <f t="shared" si="21"/>
        <v>-0.30409501678970141</v>
      </c>
      <c r="M172">
        <v>35</v>
      </c>
      <c r="N172" s="1">
        <f t="shared" si="25"/>
        <v>4.0169087738759695</v>
      </c>
      <c r="O172" s="1">
        <f t="shared" si="22"/>
        <v>-0.30409501678970141</v>
      </c>
    </row>
    <row r="173" spans="1:15" x14ac:dyDescent="0.55000000000000004">
      <c r="A173" t="s">
        <v>117</v>
      </c>
      <c r="B173" t="s">
        <v>118</v>
      </c>
      <c r="D173">
        <f t="shared" si="20"/>
        <v>1</v>
      </c>
      <c r="E173">
        <v>35</v>
      </c>
      <c r="F173" s="1">
        <f t="shared" si="23"/>
        <v>4.0169087738759695</v>
      </c>
      <c r="H173" s="1"/>
      <c r="I173" s="6"/>
      <c r="J173">
        <v>36</v>
      </c>
      <c r="K173" s="1">
        <f t="shared" si="24"/>
        <v>3.7342147517894189</v>
      </c>
      <c r="L173" s="1">
        <f t="shared" si="21"/>
        <v>-0.28269402208655059</v>
      </c>
      <c r="M173">
        <v>36</v>
      </c>
      <c r="N173" s="1">
        <f t="shared" si="25"/>
        <v>3.7342147517894189</v>
      </c>
      <c r="O173" s="1">
        <f t="shared" si="22"/>
        <v>-0.28269402208655059</v>
      </c>
    </row>
    <row r="174" spans="1:15" x14ac:dyDescent="0.55000000000000004">
      <c r="A174" t="s">
        <v>119</v>
      </c>
      <c r="B174" t="s">
        <v>118</v>
      </c>
      <c r="D174">
        <f t="shared" si="20"/>
        <v>1</v>
      </c>
      <c r="E174">
        <v>36</v>
      </c>
      <c r="F174" s="1">
        <f t="shared" si="23"/>
        <v>3.7342147517894189</v>
      </c>
      <c r="H174" s="1"/>
      <c r="I174" s="6"/>
      <c r="J174">
        <v>37</v>
      </c>
      <c r="K174" s="1">
        <f t="shared" si="24"/>
        <v>3.4714156077352509</v>
      </c>
      <c r="L174" s="1">
        <f t="shared" si="21"/>
        <v>-0.26279914405416793</v>
      </c>
      <c r="M174">
        <v>37</v>
      </c>
      <c r="N174" s="1">
        <f t="shared" si="25"/>
        <v>3.4714156077352509</v>
      </c>
      <c r="O174" s="1">
        <f t="shared" si="22"/>
        <v>-0.26279914405416793</v>
      </c>
    </row>
    <row r="175" spans="1:15" x14ac:dyDescent="0.55000000000000004">
      <c r="A175" t="s">
        <v>120</v>
      </c>
      <c r="B175" t="s">
        <v>118</v>
      </c>
      <c r="D175">
        <f t="shared" si="20"/>
        <v>1</v>
      </c>
      <c r="E175">
        <v>37</v>
      </c>
      <c r="F175" s="1">
        <f t="shared" si="23"/>
        <v>3.4714156077352509</v>
      </c>
      <c r="H175" s="1"/>
      <c r="I175" s="6"/>
      <c r="J175">
        <v>38</v>
      </c>
      <c r="K175" s="1">
        <f t="shared" si="24"/>
        <v>3.2271112195283487</v>
      </c>
      <c r="L175" s="1">
        <f t="shared" si="21"/>
        <v>-0.24430438820690226</v>
      </c>
      <c r="M175">
        <v>38</v>
      </c>
      <c r="N175" s="1">
        <f t="shared" si="25"/>
        <v>3.2271112195283487</v>
      </c>
      <c r="O175" s="1">
        <f t="shared" si="22"/>
        <v>-0.24430438820690226</v>
      </c>
    </row>
    <row r="176" spans="1:15" x14ac:dyDescent="0.55000000000000004">
      <c r="A176" t="s">
        <v>121</v>
      </c>
      <c r="B176" t="s">
        <v>118</v>
      </c>
      <c r="D176">
        <f t="shared" si="20"/>
        <v>1</v>
      </c>
      <c r="E176">
        <v>38</v>
      </c>
      <c r="F176" s="1">
        <f t="shared" si="23"/>
        <v>3.2271112195283487</v>
      </c>
      <c r="H176" s="1"/>
      <c r="I176" s="6"/>
      <c r="J176">
        <v>39</v>
      </c>
      <c r="K176" s="1">
        <f t="shared" si="24"/>
        <v>2.9999999999999982</v>
      </c>
      <c r="L176" s="1">
        <f t="shared" si="21"/>
        <v>-0.22711121952835045</v>
      </c>
      <c r="M176">
        <v>39</v>
      </c>
      <c r="N176" s="1">
        <f t="shared" si="25"/>
        <v>2.9999999999999982</v>
      </c>
      <c r="O176" s="1">
        <f t="shared" si="22"/>
        <v>-0.22711121952835045</v>
      </c>
    </row>
    <row r="177" spans="1:15" x14ac:dyDescent="0.55000000000000004">
      <c r="A177" t="s">
        <v>122</v>
      </c>
      <c r="B177" t="s">
        <v>88</v>
      </c>
      <c r="D177">
        <f t="shared" si="20"/>
        <v>1</v>
      </c>
      <c r="E177">
        <v>39</v>
      </c>
      <c r="F177" s="1">
        <f t="shared" si="23"/>
        <v>2.9999999999999982</v>
      </c>
      <c r="H177" s="1"/>
      <c r="I177" s="6"/>
      <c r="J177">
        <v>40</v>
      </c>
      <c r="K177" s="1">
        <f t="shared" si="24"/>
        <v>2.9228709987383823</v>
      </c>
      <c r="L177" s="1">
        <f t="shared" si="21"/>
        <v>-7.7129001261615926E-2</v>
      </c>
      <c r="M177">
        <v>40</v>
      </c>
      <c r="N177" s="1">
        <f t="shared" si="25"/>
        <v>2.9228709987383823</v>
      </c>
      <c r="O177" s="1">
        <f t="shared" si="22"/>
        <v>-7.7129001261615926E-2</v>
      </c>
    </row>
    <row r="178" spans="1:15" x14ac:dyDescent="0.55000000000000004">
      <c r="A178" t="s">
        <v>123</v>
      </c>
      <c r="B178" t="s">
        <v>88</v>
      </c>
      <c r="D178">
        <f t="shared" si="20"/>
        <v>1</v>
      </c>
      <c r="E178">
        <v>40</v>
      </c>
      <c r="F178" s="1">
        <f t="shared" si="23"/>
        <v>2.9228709987383823</v>
      </c>
      <c r="H178" s="1"/>
      <c r="I178" s="6"/>
      <c r="J178">
        <v>41</v>
      </c>
      <c r="K178" s="1">
        <f t="shared" si="24"/>
        <v>2.8477249584219697</v>
      </c>
      <c r="L178" s="1">
        <f t="shared" si="21"/>
        <v>-7.5146040316412588E-2</v>
      </c>
      <c r="M178">
        <v>41</v>
      </c>
      <c r="N178" s="1">
        <f t="shared" si="25"/>
        <v>2.8477249584219697</v>
      </c>
      <c r="O178" s="1">
        <f t="shared" si="22"/>
        <v>-7.5146040316412588E-2</v>
      </c>
    </row>
    <row r="179" spans="1:15" x14ac:dyDescent="0.55000000000000004">
      <c r="A179" t="s">
        <v>124</v>
      </c>
      <c r="B179" t="s">
        <v>125</v>
      </c>
      <c r="D179">
        <f t="shared" si="20"/>
        <v>1</v>
      </c>
      <c r="E179">
        <v>41</v>
      </c>
      <c r="F179" s="1">
        <f t="shared" si="23"/>
        <v>2.8477249584219697</v>
      </c>
      <c r="H179" s="1"/>
      <c r="I179" s="6"/>
      <c r="J179">
        <v>42</v>
      </c>
      <c r="K179" s="1">
        <f t="shared" si="24"/>
        <v>2.7745108977850137</v>
      </c>
      <c r="L179" s="1">
        <f t="shared" si="21"/>
        <v>-7.3214060636956013E-2</v>
      </c>
      <c r="M179">
        <v>42</v>
      </c>
      <c r="N179" s="1">
        <f t="shared" si="25"/>
        <v>2.7745108977850137</v>
      </c>
      <c r="O179" s="1">
        <f t="shared" si="22"/>
        <v>-7.3214060636956013E-2</v>
      </c>
    </row>
    <row r="180" spans="1:15" x14ac:dyDescent="0.55000000000000004">
      <c r="A180" t="s">
        <v>126</v>
      </c>
      <c r="B180" t="s">
        <v>125</v>
      </c>
      <c r="D180">
        <f t="shared" si="20"/>
        <v>1</v>
      </c>
      <c r="E180">
        <v>42</v>
      </c>
      <c r="F180" s="1">
        <f t="shared" si="23"/>
        <v>2.7745108977850137</v>
      </c>
      <c r="H180" s="1"/>
      <c r="I180" s="6"/>
      <c r="J180">
        <v>43</v>
      </c>
      <c r="K180" s="1">
        <f t="shared" si="24"/>
        <v>2.7031791462731363</v>
      </c>
      <c r="L180" s="1">
        <f t="shared" si="21"/>
        <v>-7.1331751511877428E-2</v>
      </c>
      <c r="M180">
        <v>43</v>
      </c>
      <c r="N180" s="1">
        <f t="shared" si="25"/>
        <v>2.7031791462731363</v>
      </c>
      <c r="O180" s="1">
        <f t="shared" si="22"/>
        <v>-7.1331751511877428E-2</v>
      </c>
    </row>
    <row r="181" spans="1:15" x14ac:dyDescent="0.55000000000000004">
      <c r="A181" t="s">
        <v>127</v>
      </c>
      <c r="B181" t="s">
        <v>125</v>
      </c>
      <c r="D181">
        <f t="shared" si="20"/>
        <v>1</v>
      </c>
      <c r="E181">
        <v>43</v>
      </c>
      <c r="F181" s="1">
        <f t="shared" si="23"/>
        <v>2.7031791462731363</v>
      </c>
      <c r="H181" s="1"/>
      <c r="I181" s="6"/>
      <c r="J181">
        <v>44</v>
      </c>
      <c r="K181" s="1">
        <f t="shared" si="24"/>
        <v>2.6336813103453767</v>
      </c>
      <c r="L181" s="1">
        <f t="shared" si="21"/>
        <v>-6.9497835927759599E-2</v>
      </c>
      <c r="M181">
        <v>44</v>
      </c>
      <c r="N181" s="1">
        <f t="shared" si="25"/>
        <v>2.6336813103453767</v>
      </c>
      <c r="O181" s="1">
        <f t="shared" si="22"/>
        <v>-6.9497835927759599E-2</v>
      </c>
    </row>
    <row r="182" spans="1:15" x14ac:dyDescent="0.55000000000000004">
      <c r="A182" t="s">
        <v>128</v>
      </c>
      <c r="B182" t="s">
        <v>125</v>
      </c>
      <c r="D182">
        <f t="shared" si="20"/>
        <v>1</v>
      </c>
      <c r="E182">
        <v>44</v>
      </c>
      <c r="F182" s="1">
        <f t="shared" si="23"/>
        <v>2.6336813103453767</v>
      </c>
      <c r="H182" s="1"/>
      <c r="I182" s="6"/>
      <c r="J182">
        <v>45</v>
      </c>
      <c r="K182" s="1">
        <f t="shared" si="24"/>
        <v>2.565970240642601</v>
      </c>
      <c r="L182" s="1">
        <f t="shared" si="21"/>
        <v>-6.7711069702775628E-2</v>
      </c>
      <c r="M182">
        <v>45</v>
      </c>
      <c r="N182" s="1">
        <f t="shared" si="25"/>
        <v>2.565970240642601</v>
      </c>
      <c r="O182" s="1">
        <f t="shared" si="22"/>
        <v>-6.7711069702775628E-2</v>
      </c>
    </row>
    <row r="183" spans="1:15" x14ac:dyDescent="0.55000000000000004">
      <c r="A183" t="s">
        <v>129</v>
      </c>
      <c r="B183" t="s">
        <v>125</v>
      </c>
      <c r="D183">
        <f t="shared" si="20"/>
        <v>1</v>
      </c>
      <c r="E183">
        <v>45</v>
      </c>
      <c r="F183" s="1">
        <f t="shared" si="23"/>
        <v>2.565970240642601</v>
      </c>
      <c r="H183" s="1"/>
      <c r="I183" s="6"/>
      <c r="J183">
        <v>46</v>
      </c>
      <c r="K183" s="1">
        <f t="shared" si="24"/>
        <v>2.5000000000000018</v>
      </c>
      <c r="L183" s="1">
        <f t="shared" si="21"/>
        <v>-6.5970240642599265E-2</v>
      </c>
      <c r="M183">
        <v>46</v>
      </c>
      <c r="N183" s="1">
        <f t="shared" si="25"/>
        <v>2.5000000000000018</v>
      </c>
      <c r="O183" s="1">
        <f t="shared" si="22"/>
        <v>-6.5970240642599265E-2</v>
      </c>
    </row>
    <row r="184" spans="1:15" x14ac:dyDescent="0.55000000000000004">
      <c r="A184" t="s">
        <v>130</v>
      </c>
      <c r="B184" t="s">
        <v>125</v>
      </c>
      <c r="D184">
        <f t="shared" si="20"/>
        <v>1</v>
      </c>
      <c r="E184">
        <v>46</v>
      </c>
      <c r="F184" s="1">
        <f t="shared" si="23"/>
        <v>2.5000000000000018</v>
      </c>
      <c r="H184" s="1"/>
      <c r="I184" s="6"/>
      <c r="J184">
        <v>47</v>
      </c>
      <c r="K184" s="1">
        <f t="shared" si="24"/>
        <v>2.421562714817493</v>
      </c>
      <c r="L184" s="1">
        <f t="shared" si="21"/>
        <v>-7.8437285182508809E-2</v>
      </c>
      <c r="M184">
        <v>47</v>
      </c>
      <c r="N184" s="1">
        <f t="shared" si="25"/>
        <v>2.421562714817493</v>
      </c>
      <c r="O184" s="1">
        <f t="shared" si="22"/>
        <v>-7.8437285182508809E-2</v>
      </c>
    </row>
    <row r="185" spans="1:15" x14ac:dyDescent="0.55000000000000004">
      <c r="A185" t="s">
        <v>131</v>
      </c>
      <c r="B185" t="s">
        <v>132</v>
      </c>
      <c r="D185">
        <f t="shared" si="20"/>
        <v>1</v>
      </c>
      <c r="E185">
        <v>47</v>
      </c>
      <c r="F185" s="1">
        <f t="shared" si="23"/>
        <v>2.421562714817493</v>
      </c>
      <c r="H185" s="1"/>
      <c r="I185" s="6"/>
      <c r="J185">
        <v>48</v>
      </c>
      <c r="K185" s="1">
        <f t="shared" si="24"/>
        <v>2.3455863927177072</v>
      </c>
      <c r="L185" s="1">
        <f t="shared" si="21"/>
        <v>-7.5976322099785776E-2</v>
      </c>
      <c r="M185">
        <v>48</v>
      </c>
      <c r="N185" s="1">
        <f t="shared" si="25"/>
        <v>2.3455863927177072</v>
      </c>
      <c r="O185" s="1">
        <f t="shared" si="22"/>
        <v>-7.5976322099785776E-2</v>
      </c>
    </row>
    <row r="186" spans="1:15" x14ac:dyDescent="0.55000000000000004">
      <c r="A186" t="s">
        <v>133</v>
      </c>
      <c r="B186" t="s">
        <v>132</v>
      </c>
      <c r="D186">
        <f t="shared" si="20"/>
        <v>1</v>
      </c>
      <c r="E186">
        <v>48</v>
      </c>
      <c r="F186" s="1">
        <f t="shared" si="23"/>
        <v>2.3455863927177072</v>
      </c>
      <c r="H186" s="1"/>
      <c r="I186" s="6"/>
      <c r="J186">
        <v>49</v>
      </c>
      <c r="K186" s="1">
        <f t="shared" si="24"/>
        <v>2.2719938211953843</v>
      </c>
      <c r="L186" s="1">
        <f t="shared" si="21"/>
        <v>-7.3592571522322903E-2</v>
      </c>
      <c r="M186">
        <v>49</v>
      </c>
      <c r="N186" s="1">
        <f t="shared" si="25"/>
        <v>2.2719938211953843</v>
      </c>
      <c r="O186" s="1">
        <f t="shared" si="22"/>
        <v>-7.3592571522322903E-2</v>
      </c>
    </row>
    <row r="187" spans="1:15" x14ac:dyDescent="0.55000000000000004">
      <c r="A187" t="s">
        <v>134</v>
      </c>
      <c r="B187" t="s">
        <v>135</v>
      </c>
      <c r="D187">
        <f t="shared" si="20"/>
        <v>1</v>
      </c>
      <c r="E187">
        <v>49</v>
      </c>
      <c r="F187" s="1">
        <f t="shared" si="23"/>
        <v>2.2719938211953843</v>
      </c>
      <c r="H187" s="1"/>
      <c r="I187" s="6"/>
      <c r="J187">
        <v>50</v>
      </c>
      <c r="K187" s="1">
        <f t="shared" si="24"/>
        <v>2.2007102102809859</v>
      </c>
      <c r="L187" s="1">
        <f t="shared" si="21"/>
        <v>-7.1283610914398388E-2</v>
      </c>
      <c r="M187">
        <v>50</v>
      </c>
      <c r="N187" s="1">
        <f t="shared" si="25"/>
        <v>2.2007102102809859</v>
      </c>
      <c r="O187" s="1">
        <f t="shared" si="22"/>
        <v>-7.1283610914398388E-2</v>
      </c>
    </row>
    <row r="188" spans="1:15" x14ac:dyDescent="0.55000000000000004">
      <c r="A188" t="s">
        <v>136</v>
      </c>
      <c r="B188" t="s">
        <v>116</v>
      </c>
      <c r="D188">
        <f t="shared" si="20"/>
        <v>1</v>
      </c>
      <c r="E188">
        <v>50</v>
      </c>
      <c r="F188" s="1">
        <f t="shared" si="23"/>
        <v>2.2007102102809859</v>
      </c>
      <c r="H188" s="1"/>
      <c r="I188" s="6"/>
      <c r="J188">
        <v>51</v>
      </c>
      <c r="K188" s="1">
        <f t="shared" si="24"/>
        <v>2.1316631165338404</v>
      </c>
      <c r="L188" s="1">
        <f t="shared" si="21"/>
        <v>-6.904709374714546E-2</v>
      </c>
      <c r="M188">
        <v>51</v>
      </c>
      <c r="N188" s="1">
        <f t="shared" si="25"/>
        <v>2.1316631165338404</v>
      </c>
      <c r="O188" s="1">
        <f t="shared" si="22"/>
        <v>-6.904709374714546E-2</v>
      </c>
    </row>
    <row r="189" spans="1:15" x14ac:dyDescent="0.55000000000000004">
      <c r="A189" t="s">
        <v>137</v>
      </c>
      <c r="B189" t="s">
        <v>116</v>
      </c>
      <c r="D189">
        <f t="shared" si="20"/>
        <v>1</v>
      </c>
      <c r="E189">
        <v>51</v>
      </c>
      <c r="F189" s="1">
        <f t="shared" si="23"/>
        <v>2.1316631165338404</v>
      </c>
      <c r="H189" s="1"/>
      <c r="I189" s="6"/>
      <c r="J189">
        <v>52</v>
      </c>
      <c r="K189" s="1">
        <f t="shared" si="24"/>
        <v>2.0647823694200018</v>
      </c>
      <c r="L189" s="1">
        <f t="shared" si="21"/>
        <v>-6.6880747113838623E-2</v>
      </c>
      <c r="M189">
        <v>52</v>
      </c>
      <c r="N189" s="1">
        <f t="shared" si="25"/>
        <v>2.0647823694200018</v>
      </c>
      <c r="O189" s="1">
        <f t="shared" si="22"/>
        <v>-6.6880747113838623E-2</v>
      </c>
    </row>
    <row r="190" spans="1:15" x14ac:dyDescent="0.55000000000000004">
      <c r="A190" t="s">
        <v>138</v>
      </c>
      <c r="B190" t="s">
        <v>116</v>
      </c>
      <c r="D190">
        <f t="shared" si="20"/>
        <v>1</v>
      </c>
      <c r="E190">
        <v>52</v>
      </c>
      <c r="F190" s="1">
        <f t="shared" si="23"/>
        <v>2.0647823694200018</v>
      </c>
      <c r="H190" s="1"/>
      <c r="I190" s="6"/>
      <c r="J190">
        <v>53</v>
      </c>
      <c r="K190" s="1">
        <f t="shared" si="24"/>
        <v>1.9999999999999982</v>
      </c>
      <c r="L190" s="1">
        <f t="shared" si="21"/>
        <v>-6.4782369420003594E-2</v>
      </c>
      <c r="M190">
        <v>53</v>
      </c>
      <c r="N190" s="1">
        <f t="shared" si="25"/>
        <v>1.9999999999999982</v>
      </c>
      <c r="O190" s="1">
        <f t="shared" si="22"/>
        <v>-6.4782369420003594E-2</v>
      </c>
    </row>
    <row r="191" spans="1:15" x14ac:dyDescent="0.55000000000000004">
      <c r="A191" t="s">
        <v>139</v>
      </c>
      <c r="B191" t="s">
        <v>116</v>
      </c>
      <c r="D191">
        <f t="shared" si="20"/>
        <v>1</v>
      </c>
      <c r="E191">
        <v>53</v>
      </c>
      <c r="F191" s="1">
        <f t="shared" si="23"/>
        <v>1.9999999999999982</v>
      </c>
      <c r="H191" s="1"/>
      <c r="I191" s="6"/>
      <c r="J191">
        <v>54</v>
      </c>
      <c r="K191" s="1">
        <f t="shared" si="24"/>
        <v>1.9701224108822311</v>
      </c>
      <c r="L191" s="1">
        <f t="shared" si="21"/>
        <v>-2.9877589117767167E-2</v>
      </c>
      <c r="M191">
        <v>54</v>
      </c>
      <c r="N191" s="1">
        <f t="shared" si="25"/>
        <v>1.9701224108822311</v>
      </c>
      <c r="O191" s="1">
        <f t="shared" si="22"/>
        <v>-2.9877589117767167E-2</v>
      </c>
    </row>
    <row r="192" spans="1:15" x14ac:dyDescent="0.55000000000000004">
      <c r="A192" t="s">
        <v>140</v>
      </c>
      <c r="B192" t="s">
        <v>116</v>
      </c>
      <c r="D192">
        <f t="shared" si="20"/>
        <v>1</v>
      </c>
      <c r="E192">
        <v>54</v>
      </c>
      <c r="F192" s="1">
        <f t="shared" si="23"/>
        <v>1.9701224108822311</v>
      </c>
      <c r="H192" s="1"/>
      <c r="I192" s="6"/>
      <c r="J192">
        <v>55</v>
      </c>
      <c r="K192" s="1">
        <f t="shared" si="24"/>
        <v>1.9406911569302068</v>
      </c>
      <c r="L192" s="1">
        <f t="shared" si="21"/>
        <v>-2.9431253952024283E-2</v>
      </c>
      <c r="M192">
        <v>55</v>
      </c>
      <c r="N192" s="1">
        <f t="shared" si="25"/>
        <v>1.9406911569302068</v>
      </c>
      <c r="O192" s="1">
        <f t="shared" si="22"/>
        <v>-2.9431253952024283E-2</v>
      </c>
    </row>
    <row r="193" spans="1:15" x14ac:dyDescent="0.55000000000000004">
      <c r="A193" t="s">
        <v>141</v>
      </c>
      <c r="B193" t="s">
        <v>118</v>
      </c>
      <c r="D193">
        <f t="shared" si="20"/>
        <v>1</v>
      </c>
      <c r="E193">
        <v>55</v>
      </c>
      <c r="F193" s="1">
        <f t="shared" si="23"/>
        <v>1.9406911569302068</v>
      </c>
      <c r="H193" s="1"/>
      <c r="I193" s="6"/>
      <c r="J193">
        <v>56</v>
      </c>
      <c r="K193" s="1">
        <f t="shared" si="24"/>
        <v>1.9116995704345825</v>
      </c>
      <c r="L193" s="1">
        <f t="shared" si="21"/>
        <v>-2.8991586495624277E-2</v>
      </c>
      <c r="M193">
        <v>56</v>
      </c>
      <c r="N193" s="1">
        <f t="shared" si="25"/>
        <v>1.9116995704345825</v>
      </c>
      <c r="O193" s="1">
        <f t="shared" si="22"/>
        <v>-2.8991586495624277E-2</v>
      </c>
    </row>
    <row r="194" spans="1:15" x14ac:dyDescent="0.55000000000000004">
      <c r="A194" t="s">
        <v>142</v>
      </c>
      <c r="B194" t="s">
        <v>143</v>
      </c>
      <c r="D194">
        <f t="shared" si="20"/>
        <v>1</v>
      </c>
      <c r="E194">
        <v>56</v>
      </c>
      <c r="F194" s="1">
        <f t="shared" si="23"/>
        <v>1.9116995704345825</v>
      </c>
      <c r="H194" s="1"/>
      <c r="I194" s="6"/>
      <c r="J194">
        <v>57</v>
      </c>
      <c r="K194" s="1">
        <f t="shared" si="24"/>
        <v>1.8831410832935527</v>
      </c>
      <c r="L194" s="1">
        <f t="shared" si="21"/>
        <v>-2.855848714102982E-2</v>
      </c>
      <c r="M194">
        <v>57</v>
      </c>
      <c r="N194" s="1">
        <f t="shared" si="25"/>
        <v>1.8831410832935527</v>
      </c>
      <c r="O194" s="1">
        <f t="shared" si="22"/>
        <v>-2.855848714102982E-2</v>
      </c>
    </row>
    <row r="195" spans="1:15" x14ac:dyDescent="0.55000000000000004">
      <c r="A195" t="s">
        <v>144</v>
      </c>
      <c r="B195" t="s">
        <v>143</v>
      </c>
      <c r="D195">
        <f t="shared" si="20"/>
        <v>1</v>
      </c>
      <c r="E195">
        <v>57</v>
      </c>
      <c r="F195" s="1">
        <f t="shared" si="23"/>
        <v>1.8831410832935527</v>
      </c>
      <c r="H195" s="1"/>
      <c r="I195" s="6"/>
      <c r="J195">
        <v>59</v>
      </c>
      <c r="K195" s="1">
        <f t="shared" si="24"/>
        <v>1.8272976237998837</v>
      </c>
      <c r="L195" s="1">
        <f t="shared" si="21"/>
        <v>-5.5843459493668979E-2</v>
      </c>
      <c r="M195">
        <v>59</v>
      </c>
      <c r="N195" s="1">
        <f t="shared" si="25"/>
        <v>1.8272976237998837</v>
      </c>
      <c r="O195" s="1">
        <f t="shared" si="22"/>
        <v>-5.5843459493668979E-2</v>
      </c>
    </row>
    <row r="196" spans="1:15" x14ac:dyDescent="0.55000000000000004">
      <c r="A196" t="s">
        <v>145</v>
      </c>
      <c r="B196" t="s">
        <v>146</v>
      </c>
      <c r="D196">
        <f t="shared" si="20"/>
        <v>1</v>
      </c>
      <c r="E196">
        <v>58</v>
      </c>
      <c r="F196" s="1">
        <f t="shared" si="23"/>
        <v>1.8550092255248352</v>
      </c>
      <c r="H196" s="1"/>
      <c r="I196" s="6"/>
      <c r="J196">
        <v>58</v>
      </c>
      <c r="K196" s="1">
        <f t="shared" si="24"/>
        <v>1.8550092255248352</v>
      </c>
      <c r="L196" s="1">
        <f t="shared" si="21"/>
        <v>0</v>
      </c>
      <c r="M196">
        <v>58</v>
      </c>
      <c r="N196" s="1">
        <f t="shared" si="25"/>
        <v>1.8550092255248352</v>
      </c>
      <c r="O196" s="1">
        <f t="shared" si="22"/>
        <v>0</v>
      </c>
    </row>
    <row r="197" spans="1:15" x14ac:dyDescent="0.55000000000000004">
      <c r="A197" t="s">
        <v>147</v>
      </c>
      <c r="B197" t="s">
        <v>88</v>
      </c>
      <c r="D197">
        <f t="shared" si="20"/>
        <v>1</v>
      </c>
      <c r="E197">
        <v>59</v>
      </c>
      <c r="F197" s="1">
        <f t="shared" si="23"/>
        <v>1.8272976237998837</v>
      </c>
      <c r="H197" s="1"/>
      <c r="I197" s="6"/>
      <c r="J197">
        <v>60</v>
      </c>
      <c r="K197" s="1">
        <f t="shared" si="24"/>
        <v>1.7999999999999996</v>
      </c>
      <c r="L197" s="1">
        <f t="shared" si="21"/>
        <v>-2.7297623799884096E-2</v>
      </c>
      <c r="M197">
        <v>60</v>
      </c>
      <c r="N197" s="1">
        <f t="shared" si="25"/>
        <v>1.7999999999999996</v>
      </c>
      <c r="O197" s="1">
        <f t="shared" si="22"/>
        <v>-2.7297623799884096E-2</v>
      </c>
    </row>
    <row r="198" spans="1:15" x14ac:dyDescent="0.55000000000000004">
      <c r="A198" t="s">
        <v>148</v>
      </c>
      <c r="B198" t="s">
        <v>85</v>
      </c>
      <c r="D198">
        <f t="shared" si="20"/>
        <v>0</v>
      </c>
      <c r="E198">
        <v>60</v>
      </c>
      <c r="F198" s="1">
        <f t="shared" si="23"/>
        <v>1.7999999999999996</v>
      </c>
      <c r="H198" s="1"/>
      <c r="I198" s="6"/>
      <c r="J198">
        <v>61</v>
      </c>
      <c r="K198" s="1">
        <f t="shared" si="24"/>
        <v>1.7537225992430294</v>
      </c>
      <c r="L198" s="1">
        <f t="shared" si="21"/>
        <v>-4.6277400756970177E-2</v>
      </c>
      <c r="M198">
        <v>61</v>
      </c>
      <c r="N198" s="1">
        <f t="shared" si="25"/>
        <v>1.7537225992430294</v>
      </c>
      <c r="O198" s="1">
        <f t="shared" si="22"/>
        <v>-4.6277400756970177E-2</v>
      </c>
    </row>
    <row r="199" spans="1:15" x14ac:dyDescent="0.55000000000000004">
      <c r="A199" t="s">
        <v>149</v>
      </c>
      <c r="B199" t="s">
        <v>85</v>
      </c>
      <c r="D199">
        <f t="shared" si="20"/>
        <v>0</v>
      </c>
      <c r="E199">
        <v>61</v>
      </c>
      <c r="F199" s="1">
        <f t="shared" si="23"/>
        <v>1.7537225992430294</v>
      </c>
      <c r="H199" s="1"/>
      <c r="I199" s="6"/>
      <c r="J199">
        <v>62</v>
      </c>
      <c r="K199" s="1">
        <f t="shared" si="24"/>
        <v>1.708634975053182</v>
      </c>
      <c r="L199" s="1">
        <f t="shared" si="21"/>
        <v>-4.5087624189847464E-2</v>
      </c>
      <c r="M199">
        <v>62</v>
      </c>
      <c r="N199" s="1">
        <f t="shared" si="25"/>
        <v>1.708634975053182</v>
      </c>
      <c r="O199" s="1">
        <f t="shared" si="22"/>
        <v>-4.5087624189847464E-2</v>
      </c>
    </row>
    <row r="200" spans="1:15" x14ac:dyDescent="0.55000000000000004">
      <c r="A200" t="s">
        <v>150</v>
      </c>
      <c r="B200" t="s">
        <v>85</v>
      </c>
      <c r="D200">
        <f t="shared" si="20"/>
        <v>0</v>
      </c>
      <c r="E200">
        <v>62</v>
      </c>
      <c r="F200" s="1">
        <f t="shared" si="23"/>
        <v>1.708634975053182</v>
      </c>
      <c r="H200" s="1"/>
      <c r="I200" s="6"/>
      <c r="J200">
        <v>21</v>
      </c>
      <c r="K200" s="1">
        <f t="shared" si="24"/>
        <v>7.5768374037032622</v>
      </c>
      <c r="L200" s="1">
        <f t="shared" si="21"/>
        <v>5.86820242865008</v>
      </c>
      <c r="M200">
        <v>28</v>
      </c>
      <c r="N200" s="1">
        <f t="shared" si="25"/>
        <v>5.8087206534304405</v>
      </c>
      <c r="O200" s="1">
        <f t="shared" si="22"/>
        <v>4.1000856783772583</v>
      </c>
    </row>
    <row r="201" spans="1:15" x14ac:dyDescent="0.55000000000000004">
      <c r="A201" t="s">
        <v>151</v>
      </c>
      <c r="B201" t="s">
        <v>118</v>
      </c>
      <c r="D201">
        <f t="shared" si="20"/>
        <v>1</v>
      </c>
      <c r="E201">
        <v>63</v>
      </c>
      <c r="F201" s="1">
        <f t="shared" si="23"/>
        <v>1.6647065386710083</v>
      </c>
      <c r="H201" s="1"/>
      <c r="I201" s="6"/>
      <c r="J201">
        <v>63</v>
      </c>
      <c r="K201" s="1">
        <f t="shared" si="24"/>
        <v>1.6647065386710083</v>
      </c>
      <c r="L201" s="1">
        <f t="shared" si="21"/>
        <v>0</v>
      </c>
      <c r="M201">
        <v>63</v>
      </c>
      <c r="N201" s="1">
        <f t="shared" si="25"/>
        <v>1.6647065386710083</v>
      </c>
      <c r="O201" s="1">
        <f t="shared" si="22"/>
        <v>0</v>
      </c>
    </row>
    <row r="202" spans="1:15" x14ac:dyDescent="0.55000000000000004">
      <c r="A202" t="s">
        <v>152</v>
      </c>
      <c r="B202" t="s">
        <v>118</v>
      </c>
      <c r="D202">
        <f t="shared" si="20"/>
        <v>1</v>
      </c>
      <c r="E202">
        <v>64</v>
      </c>
      <c r="F202" s="1">
        <f t="shared" si="23"/>
        <v>1.6219074877638819</v>
      </c>
      <c r="H202" s="1"/>
      <c r="I202" s="6"/>
      <c r="J202">
        <v>64</v>
      </c>
      <c r="K202" s="1">
        <f t="shared" si="24"/>
        <v>1.6219074877638819</v>
      </c>
      <c r="L202" s="1">
        <f t="shared" si="21"/>
        <v>0</v>
      </c>
      <c r="M202">
        <v>64</v>
      </c>
      <c r="N202" s="1">
        <f t="shared" si="25"/>
        <v>1.6219074877638819</v>
      </c>
      <c r="O202" s="1">
        <f t="shared" si="22"/>
        <v>0</v>
      </c>
    </row>
    <row r="203" spans="1:15" x14ac:dyDescent="0.55000000000000004">
      <c r="A203" t="s">
        <v>153</v>
      </c>
      <c r="B203" t="s">
        <v>153</v>
      </c>
      <c r="D203">
        <f t="shared" si="20"/>
        <v>1</v>
      </c>
      <c r="E203">
        <v>65</v>
      </c>
      <c r="F203" s="1">
        <f t="shared" si="23"/>
        <v>1.580208786207226</v>
      </c>
      <c r="H203" s="1"/>
      <c r="I203" s="6"/>
      <c r="J203">
        <v>65</v>
      </c>
      <c r="K203" s="1">
        <f t="shared" si="24"/>
        <v>1.580208786207226</v>
      </c>
      <c r="L203" s="1">
        <f t="shared" si="21"/>
        <v>0</v>
      </c>
      <c r="M203">
        <v>65</v>
      </c>
      <c r="N203" s="1">
        <f t="shared" si="25"/>
        <v>1.580208786207226</v>
      </c>
      <c r="O203" s="1">
        <f t="shared" si="22"/>
        <v>0</v>
      </c>
    </row>
    <row r="204" spans="1:15" x14ac:dyDescent="0.55000000000000004">
      <c r="A204" t="s">
        <v>329</v>
      </c>
      <c r="I204" s="6"/>
      <c r="L204" s="1">
        <f>-(SUMIFS(L145:L203,$D$145:$D$203,1,L145:L203,"&lt;0"))</f>
        <v>5.7768374037032633</v>
      </c>
      <c r="O204" s="1">
        <f>-(SUMIFS(O145:O203,$D$145:$D$203,1,O145:O203,"&lt;0"))</f>
        <v>4.0087206534304407</v>
      </c>
    </row>
    <row r="205" spans="1:15" x14ac:dyDescent="0.55000000000000004">
      <c r="A205" t="s">
        <v>154</v>
      </c>
      <c r="L205">
        <f>COUNTIFS(L145:L203,"&lt;0", $D$145:$D$203,1)</f>
        <v>38</v>
      </c>
      <c r="O205">
        <f>COUNTIFS(O145:O203,"&lt;0", $D$145:$D$203,1)</f>
        <v>31</v>
      </c>
    </row>
    <row r="206" spans="1:15" x14ac:dyDescent="0.55000000000000004">
      <c r="A206" t="s">
        <v>335</v>
      </c>
    </row>
    <row r="208" spans="1:15" ht="28.8" x14ac:dyDescent="0.55000000000000004">
      <c r="A208" s="3" t="s">
        <v>70</v>
      </c>
    </row>
    <row r="209" spans="1:15" x14ac:dyDescent="0.55000000000000004">
      <c r="A209" s="9" t="s">
        <v>71</v>
      </c>
      <c r="B209" s="8"/>
      <c r="C209" s="8" t="s">
        <v>72</v>
      </c>
      <c r="D209" s="8" t="s">
        <v>73</v>
      </c>
    </row>
    <row r="210" spans="1:15" ht="57.6" x14ac:dyDescent="0.55000000000000004">
      <c r="A210" s="4" t="s">
        <v>305</v>
      </c>
      <c r="B210" s="4"/>
      <c r="C210" s="4" t="s">
        <v>302</v>
      </c>
      <c r="D210" s="4" t="s">
        <v>303</v>
      </c>
    </row>
    <row r="211" spans="1:15" x14ac:dyDescent="0.55000000000000004">
      <c r="A211" t="s">
        <v>309</v>
      </c>
    </row>
    <row r="212" spans="1:15" ht="72" x14ac:dyDescent="0.55000000000000004">
      <c r="A212" s="9" t="s">
        <v>316</v>
      </c>
      <c r="B212" s="8" t="s">
        <v>74</v>
      </c>
      <c r="C212" s="9"/>
      <c r="D212" s="9" t="s">
        <v>76</v>
      </c>
      <c r="E212" s="9" t="s">
        <v>334</v>
      </c>
      <c r="F212" s="9" t="s">
        <v>328</v>
      </c>
      <c r="G212" s="9"/>
      <c r="H212" s="9"/>
      <c r="I212" s="9"/>
      <c r="J212" s="9" t="s">
        <v>78</v>
      </c>
      <c r="K212" s="9" t="s">
        <v>79</v>
      </c>
      <c r="L212" s="9" t="s">
        <v>80</v>
      </c>
      <c r="M212" s="9" t="s">
        <v>81</v>
      </c>
      <c r="N212" s="9" t="s">
        <v>82</v>
      </c>
      <c r="O212" s="9" t="s">
        <v>83</v>
      </c>
    </row>
    <row r="213" spans="1:15" x14ac:dyDescent="0.55000000000000004">
      <c r="A213" t="s">
        <v>155</v>
      </c>
      <c r="B213" t="s">
        <v>85</v>
      </c>
      <c r="D213">
        <f t="shared" ref="D213:D271" si="26">IF(B213="BBC",0,1)</f>
        <v>0</v>
      </c>
      <c r="E213">
        <v>7</v>
      </c>
      <c r="F213" s="1">
        <f t="shared" ref="F213:F271" si="27">VLOOKUP(E213,$A$24:$B$135,2,FALSE)</f>
        <v>14.575038986769357</v>
      </c>
      <c r="H213" s="1"/>
      <c r="I213" s="6"/>
      <c r="J213">
        <v>7</v>
      </c>
      <c r="K213" s="1">
        <f t="shared" ref="K213:K271" si="28">VLOOKUP(J213,$A$24:$B$135,2,FALSE)</f>
        <v>14.575038986769357</v>
      </c>
      <c r="L213" s="1">
        <f t="shared" ref="L213:L271" si="29">K213-$F213</f>
        <v>0</v>
      </c>
      <c r="M213">
        <v>7</v>
      </c>
      <c r="N213" s="1">
        <f t="shared" ref="N213:N271" si="30">VLOOKUP(M213,$A$24:$B$135,2,FALSE)</f>
        <v>14.575038986769357</v>
      </c>
      <c r="O213" s="1">
        <f t="shared" ref="O213:O271" si="31">N213-$F213</f>
        <v>0</v>
      </c>
    </row>
    <row r="214" spans="1:15" x14ac:dyDescent="0.55000000000000004">
      <c r="A214" t="s">
        <v>86</v>
      </c>
      <c r="B214" t="s">
        <v>85</v>
      </c>
      <c r="D214">
        <f t="shared" si="26"/>
        <v>0</v>
      </c>
      <c r="E214">
        <v>8</v>
      </c>
      <c r="F214" s="1">
        <f t="shared" si="27"/>
        <v>13.584869322115466</v>
      </c>
      <c r="H214" s="1"/>
      <c r="I214" s="6"/>
      <c r="J214">
        <v>8</v>
      </c>
      <c r="K214" s="1">
        <f t="shared" si="28"/>
        <v>13.584869322115466</v>
      </c>
      <c r="L214" s="1">
        <f t="shared" si="29"/>
        <v>0</v>
      </c>
      <c r="M214">
        <v>8</v>
      </c>
      <c r="N214" s="1">
        <f t="shared" si="30"/>
        <v>13.584869322115466</v>
      </c>
      <c r="O214" s="1">
        <f t="shared" si="31"/>
        <v>0</v>
      </c>
    </row>
    <row r="215" spans="1:15" x14ac:dyDescent="0.55000000000000004">
      <c r="A215" t="s">
        <v>87</v>
      </c>
      <c r="B215" t="s">
        <v>88</v>
      </c>
      <c r="D215">
        <f t="shared" si="26"/>
        <v>1</v>
      </c>
      <c r="E215">
        <v>9</v>
      </c>
      <c r="F215" s="1">
        <f t="shared" si="27"/>
        <v>12.661967811302588</v>
      </c>
      <c r="H215" s="1"/>
      <c r="I215" s="6"/>
      <c r="J215">
        <v>9</v>
      </c>
      <c r="K215" s="1">
        <f t="shared" si="28"/>
        <v>12.661967811302588</v>
      </c>
      <c r="L215" s="1">
        <f t="shared" si="29"/>
        <v>0</v>
      </c>
      <c r="M215">
        <v>9</v>
      </c>
      <c r="N215" s="1">
        <f t="shared" si="30"/>
        <v>12.661967811302588</v>
      </c>
      <c r="O215" s="1">
        <f t="shared" si="31"/>
        <v>0</v>
      </c>
    </row>
    <row r="216" spans="1:15" x14ac:dyDescent="0.55000000000000004">
      <c r="A216" t="s">
        <v>89</v>
      </c>
      <c r="B216" t="s">
        <v>88</v>
      </c>
      <c r="D216">
        <f t="shared" si="26"/>
        <v>1</v>
      </c>
      <c r="E216">
        <v>10</v>
      </c>
      <c r="F216" s="1">
        <f t="shared" si="27"/>
        <v>11.801764525880374</v>
      </c>
      <c r="H216" s="1"/>
      <c r="I216" s="6"/>
      <c r="J216">
        <v>10</v>
      </c>
      <c r="K216" s="1">
        <f t="shared" si="28"/>
        <v>11.801764525880374</v>
      </c>
      <c r="L216" s="1">
        <f t="shared" si="29"/>
        <v>0</v>
      </c>
      <c r="M216">
        <v>10</v>
      </c>
      <c r="N216" s="1">
        <f t="shared" si="30"/>
        <v>11.801764525880374</v>
      </c>
      <c r="O216" s="1">
        <f t="shared" si="31"/>
        <v>0</v>
      </c>
    </row>
    <row r="217" spans="1:15" x14ac:dyDescent="0.55000000000000004">
      <c r="A217" t="s">
        <v>90</v>
      </c>
      <c r="B217" t="s">
        <v>88</v>
      </c>
      <c r="D217">
        <f t="shared" si="26"/>
        <v>1</v>
      </c>
      <c r="E217">
        <v>11</v>
      </c>
      <c r="F217" s="1">
        <f t="shared" si="27"/>
        <v>10.999999999999995</v>
      </c>
      <c r="H217" s="1"/>
      <c r="I217" s="6"/>
      <c r="J217">
        <v>11</v>
      </c>
      <c r="K217" s="1">
        <f t="shared" si="28"/>
        <v>10.999999999999995</v>
      </c>
      <c r="L217" s="1">
        <f t="shared" si="29"/>
        <v>0</v>
      </c>
      <c r="M217">
        <v>11</v>
      </c>
      <c r="N217" s="1">
        <f t="shared" si="30"/>
        <v>10.999999999999995</v>
      </c>
      <c r="O217" s="1">
        <f t="shared" si="31"/>
        <v>0</v>
      </c>
    </row>
    <row r="218" spans="1:15" x14ac:dyDescent="0.55000000000000004">
      <c r="A218" t="s">
        <v>91</v>
      </c>
      <c r="B218" t="s">
        <v>88</v>
      </c>
      <c r="D218">
        <f t="shared" si="26"/>
        <v>1</v>
      </c>
      <c r="E218">
        <v>12</v>
      </c>
      <c r="F218" s="1">
        <f t="shared" si="27"/>
        <v>10.602210773379817</v>
      </c>
      <c r="H218" s="1"/>
      <c r="I218" s="6"/>
      <c r="J218">
        <v>12</v>
      </c>
      <c r="K218" s="1">
        <f t="shared" si="28"/>
        <v>10.602210773379817</v>
      </c>
      <c r="L218" s="1">
        <f t="shared" si="29"/>
        <v>0</v>
      </c>
      <c r="M218">
        <v>12</v>
      </c>
      <c r="N218" s="1">
        <f t="shared" si="30"/>
        <v>10.602210773379817</v>
      </c>
      <c r="O218" s="1">
        <f t="shared" si="31"/>
        <v>0</v>
      </c>
    </row>
    <row r="219" spans="1:15" x14ac:dyDescent="0.55000000000000004">
      <c r="A219" t="s">
        <v>92</v>
      </c>
      <c r="B219" t="s">
        <v>93</v>
      </c>
      <c r="D219">
        <f t="shared" si="26"/>
        <v>1</v>
      </c>
      <c r="E219">
        <v>13</v>
      </c>
      <c r="F219" s="1">
        <f t="shared" si="27"/>
        <v>10.218806662106459</v>
      </c>
      <c r="H219" s="1"/>
      <c r="I219" s="6"/>
      <c r="J219">
        <v>13</v>
      </c>
      <c r="K219" s="1">
        <f t="shared" si="28"/>
        <v>10.218806662106459</v>
      </c>
      <c r="L219" s="1">
        <f t="shared" si="29"/>
        <v>0</v>
      </c>
      <c r="M219">
        <v>13</v>
      </c>
      <c r="N219" s="1">
        <f t="shared" si="30"/>
        <v>10.218806662106459</v>
      </c>
      <c r="O219" s="1">
        <f t="shared" si="31"/>
        <v>0</v>
      </c>
    </row>
    <row r="220" spans="1:15" x14ac:dyDescent="0.55000000000000004">
      <c r="A220" t="s">
        <v>94</v>
      </c>
      <c r="B220" t="s">
        <v>93</v>
      </c>
      <c r="D220">
        <f t="shared" si="26"/>
        <v>1</v>
      </c>
      <c r="E220">
        <v>14</v>
      </c>
      <c r="F220" s="1">
        <f t="shared" si="27"/>
        <v>9.8492674621882337</v>
      </c>
      <c r="H220" s="1"/>
      <c r="I220" s="6"/>
      <c r="J220">
        <v>14</v>
      </c>
      <c r="K220" s="1">
        <f t="shared" si="28"/>
        <v>9.8492674621882337</v>
      </c>
      <c r="L220" s="1">
        <f t="shared" si="29"/>
        <v>0</v>
      </c>
      <c r="M220">
        <v>14</v>
      </c>
      <c r="N220" s="1">
        <f t="shared" si="30"/>
        <v>9.8492674621882337</v>
      </c>
      <c r="O220" s="1">
        <f t="shared" si="31"/>
        <v>0</v>
      </c>
    </row>
    <row r="221" spans="1:15" x14ac:dyDescent="0.55000000000000004">
      <c r="A221" t="s">
        <v>95</v>
      </c>
      <c r="B221" t="s">
        <v>93</v>
      </c>
      <c r="D221">
        <f t="shared" si="26"/>
        <v>1</v>
      </c>
      <c r="E221">
        <v>15</v>
      </c>
      <c r="F221" s="1">
        <f t="shared" si="27"/>
        <v>9.4930917815919429</v>
      </c>
      <c r="H221" s="1"/>
      <c r="I221" s="6"/>
      <c r="J221">
        <v>15</v>
      </c>
      <c r="K221" s="1">
        <f t="shared" si="28"/>
        <v>9.4930917815919429</v>
      </c>
      <c r="L221" s="1">
        <f t="shared" si="29"/>
        <v>0</v>
      </c>
      <c r="M221">
        <v>15</v>
      </c>
      <c r="N221" s="1">
        <f t="shared" si="30"/>
        <v>9.4930917815919429</v>
      </c>
      <c r="O221" s="1">
        <f t="shared" si="31"/>
        <v>0</v>
      </c>
    </row>
    <row r="222" spans="1:15" x14ac:dyDescent="0.55000000000000004">
      <c r="A222" t="s">
        <v>96</v>
      </c>
      <c r="B222" t="s">
        <v>93</v>
      </c>
      <c r="D222">
        <f t="shared" si="26"/>
        <v>1</v>
      </c>
      <c r="E222">
        <v>16</v>
      </c>
      <c r="F222" s="1">
        <f t="shared" si="27"/>
        <v>9.1497963599524983</v>
      </c>
      <c r="H222" s="1"/>
      <c r="I222" s="6"/>
      <c r="J222">
        <v>16</v>
      </c>
      <c r="K222" s="1">
        <f t="shared" si="28"/>
        <v>9.1497963599524983</v>
      </c>
      <c r="L222" s="1">
        <f t="shared" si="29"/>
        <v>0</v>
      </c>
      <c r="M222">
        <v>16</v>
      </c>
      <c r="N222" s="1">
        <f t="shared" si="30"/>
        <v>9.1497963599524983</v>
      </c>
      <c r="O222" s="1">
        <f t="shared" si="31"/>
        <v>0</v>
      </c>
    </row>
    <row r="223" spans="1:15" x14ac:dyDescent="0.55000000000000004">
      <c r="A223" t="s">
        <v>97</v>
      </c>
      <c r="B223" t="s">
        <v>93</v>
      </c>
      <c r="D223">
        <f t="shared" si="26"/>
        <v>1</v>
      </c>
      <c r="E223">
        <v>17</v>
      </c>
      <c r="F223" s="1">
        <f t="shared" si="27"/>
        <v>8.8189154128836211</v>
      </c>
      <c r="H223" s="1"/>
      <c r="I223" s="6"/>
      <c r="J223">
        <v>17</v>
      </c>
      <c r="K223" s="1">
        <f t="shared" si="28"/>
        <v>8.8189154128836211</v>
      </c>
      <c r="L223" s="1">
        <f t="shared" si="29"/>
        <v>0</v>
      </c>
      <c r="M223">
        <v>17</v>
      </c>
      <c r="N223" s="1">
        <f t="shared" si="30"/>
        <v>8.8189154128836211</v>
      </c>
      <c r="O223" s="1">
        <f t="shared" si="31"/>
        <v>0</v>
      </c>
    </row>
    <row r="224" spans="1:15" x14ac:dyDescent="0.55000000000000004">
      <c r="A224" t="s">
        <v>98</v>
      </c>
      <c r="B224" t="s">
        <v>93</v>
      </c>
      <c r="D224">
        <f t="shared" si="26"/>
        <v>1</v>
      </c>
      <c r="E224">
        <v>18</v>
      </c>
      <c r="F224" s="1">
        <f t="shared" si="27"/>
        <v>8.5000000000000036</v>
      </c>
      <c r="H224" s="1"/>
      <c r="I224" s="6"/>
      <c r="J224">
        <v>22</v>
      </c>
      <c r="K224" s="1">
        <f t="shared" si="28"/>
        <v>7.2919606237024421</v>
      </c>
      <c r="L224" s="1">
        <f t="shared" si="29"/>
        <v>-1.2080393762975614</v>
      </c>
      <c r="M224">
        <v>18</v>
      </c>
      <c r="N224" s="1">
        <f t="shared" si="30"/>
        <v>8.5000000000000036</v>
      </c>
      <c r="O224" s="1">
        <f t="shared" si="31"/>
        <v>0</v>
      </c>
    </row>
    <row r="225" spans="1:15" x14ac:dyDescent="0.55000000000000004">
      <c r="A225" t="s">
        <v>99</v>
      </c>
      <c r="B225" t="s">
        <v>93</v>
      </c>
      <c r="D225">
        <f t="shared" si="26"/>
        <v>1</v>
      </c>
      <c r="E225">
        <v>19</v>
      </c>
      <c r="F225" s="1">
        <f t="shared" si="27"/>
        <v>8.1804138057887492</v>
      </c>
      <c r="H225" s="1"/>
      <c r="I225" s="6"/>
      <c r="J225">
        <v>23</v>
      </c>
      <c r="K225" s="1">
        <f t="shared" si="28"/>
        <v>7.0177947479298108</v>
      </c>
      <c r="L225" s="1">
        <f t="shared" si="29"/>
        <v>-1.1626190578589384</v>
      </c>
      <c r="M225">
        <v>19</v>
      </c>
      <c r="N225" s="1">
        <f t="shared" si="30"/>
        <v>8.1804138057887492</v>
      </c>
      <c r="O225" s="1">
        <f t="shared" si="31"/>
        <v>0</v>
      </c>
    </row>
    <row r="226" spans="1:15" x14ac:dyDescent="0.55000000000000004">
      <c r="A226" t="s">
        <v>100</v>
      </c>
      <c r="B226" t="s">
        <v>93</v>
      </c>
      <c r="D226">
        <f t="shared" si="26"/>
        <v>1</v>
      </c>
      <c r="E226">
        <v>20</v>
      </c>
      <c r="F226" s="1">
        <f t="shared" si="27"/>
        <v>7.8728435334046081</v>
      </c>
      <c r="H226" s="1"/>
      <c r="I226" s="6"/>
      <c r="J226">
        <v>24</v>
      </c>
      <c r="K226" s="1">
        <f t="shared" si="28"/>
        <v>6.7539370637831526</v>
      </c>
      <c r="L226" s="1">
        <f t="shared" si="29"/>
        <v>-1.1189064696214555</v>
      </c>
      <c r="M226">
        <v>20</v>
      </c>
      <c r="N226" s="1">
        <f t="shared" si="30"/>
        <v>7.8728435334046081</v>
      </c>
      <c r="O226" s="1">
        <f t="shared" si="31"/>
        <v>0</v>
      </c>
    </row>
    <row r="227" spans="1:15" x14ac:dyDescent="0.55000000000000004">
      <c r="A227" t="s">
        <v>101</v>
      </c>
      <c r="B227" t="s">
        <v>88</v>
      </c>
      <c r="D227">
        <f t="shared" si="26"/>
        <v>1</v>
      </c>
      <c r="E227">
        <v>22</v>
      </c>
      <c r="F227" s="1">
        <f t="shared" si="27"/>
        <v>7.2919606237024421</v>
      </c>
      <c r="H227" s="1"/>
      <c r="I227" s="6"/>
      <c r="J227">
        <v>25</v>
      </c>
      <c r="K227" s="1">
        <f t="shared" si="28"/>
        <v>6.5000000000000036</v>
      </c>
      <c r="L227" s="1">
        <f t="shared" si="29"/>
        <v>-0.79196062370243858</v>
      </c>
      <c r="M227">
        <v>22</v>
      </c>
      <c r="N227" s="1">
        <f t="shared" si="30"/>
        <v>7.2919606237024421</v>
      </c>
      <c r="O227" s="1">
        <f t="shared" si="31"/>
        <v>0</v>
      </c>
    </row>
    <row r="228" spans="1:15" x14ac:dyDescent="0.55000000000000004">
      <c r="A228" t="s">
        <v>102</v>
      </c>
      <c r="B228" t="s">
        <v>88</v>
      </c>
      <c r="D228">
        <f t="shared" si="26"/>
        <v>1</v>
      </c>
      <c r="E228">
        <v>23</v>
      </c>
      <c r="F228" s="1">
        <f t="shared" si="27"/>
        <v>7.0177947479298108</v>
      </c>
      <c r="H228" s="1"/>
      <c r="I228" s="6"/>
      <c r="J228">
        <v>26</v>
      </c>
      <c r="K228" s="1">
        <f t="shared" si="28"/>
        <v>6.2608851175190665</v>
      </c>
      <c r="L228" s="1">
        <f t="shared" si="29"/>
        <v>-0.75690963041074433</v>
      </c>
      <c r="M228">
        <v>23</v>
      </c>
      <c r="N228" s="1">
        <f t="shared" si="30"/>
        <v>7.0177947479298108</v>
      </c>
      <c r="O228" s="1">
        <f t="shared" si="31"/>
        <v>0</v>
      </c>
    </row>
    <row r="229" spans="1:15" x14ac:dyDescent="0.55000000000000004">
      <c r="A229" t="s">
        <v>103</v>
      </c>
      <c r="B229" t="s">
        <v>88</v>
      </c>
      <c r="D229">
        <f t="shared" si="26"/>
        <v>1</v>
      </c>
      <c r="E229">
        <v>24</v>
      </c>
      <c r="F229" s="1">
        <f t="shared" si="27"/>
        <v>6.7539370637831526</v>
      </c>
      <c r="H229" s="1"/>
      <c r="I229" s="6"/>
      <c r="J229">
        <v>27</v>
      </c>
      <c r="K229" s="1">
        <f t="shared" si="28"/>
        <v>6.0305665315033439</v>
      </c>
      <c r="L229" s="1">
        <f t="shared" si="29"/>
        <v>-0.72337053227980874</v>
      </c>
      <c r="M229">
        <v>24</v>
      </c>
      <c r="N229" s="1">
        <f t="shared" si="30"/>
        <v>6.7539370637831526</v>
      </c>
      <c r="O229" s="1">
        <f t="shared" si="31"/>
        <v>0</v>
      </c>
    </row>
    <row r="230" spans="1:15" x14ac:dyDescent="0.55000000000000004">
      <c r="A230" t="s">
        <v>104</v>
      </c>
      <c r="B230" t="s">
        <v>105</v>
      </c>
      <c r="D230">
        <f t="shared" si="26"/>
        <v>1</v>
      </c>
      <c r="E230">
        <v>25</v>
      </c>
      <c r="F230" s="1">
        <f t="shared" si="27"/>
        <v>6.5000000000000036</v>
      </c>
      <c r="H230" s="1"/>
      <c r="I230" s="6"/>
      <c r="J230">
        <v>28</v>
      </c>
      <c r="K230" s="1">
        <f t="shared" si="28"/>
        <v>5.8087206534304405</v>
      </c>
      <c r="L230" s="1">
        <f t="shared" si="29"/>
        <v>-0.69127934656956302</v>
      </c>
      <c r="M230">
        <v>25</v>
      </c>
      <c r="N230" s="1">
        <f t="shared" si="30"/>
        <v>6.5000000000000036</v>
      </c>
      <c r="O230" s="1">
        <f t="shared" si="31"/>
        <v>0</v>
      </c>
    </row>
    <row r="231" spans="1:15" x14ac:dyDescent="0.55000000000000004">
      <c r="A231" t="s">
        <v>106</v>
      </c>
      <c r="B231" t="s">
        <v>105</v>
      </c>
      <c r="D231">
        <f t="shared" si="26"/>
        <v>1</v>
      </c>
      <c r="E231">
        <v>26</v>
      </c>
      <c r="F231" s="1">
        <f t="shared" si="27"/>
        <v>6.2608851175190665</v>
      </c>
      <c r="H231" s="1"/>
      <c r="I231" s="6"/>
      <c r="J231">
        <v>29</v>
      </c>
      <c r="K231" s="1">
        <f t="shared" si="28"/>
        <v>5.5950357985981949</v>
      </c>
      <c r="L231" s="1">
        <f t="shared" si="29"/>
        <v>-0.66584931892087162</v>
      </c>
      <c r="M231">
        <v>29</v>
      </c>
      <c r="N231" s="1">
        <f t="shared" si="30"/>
        <v>5.5950357985981949</v>
      </c>
      <c r="O231" s="1">
        <f t="shared" si="31"/>
        <v>-0.66584931892087162</v>
      </c>
    </row>
    <row r="232" spans="1:15" x14ac:dyDescent="0.55000000000000004">
      <c r="A232" t="s">
        <v>107</v>
      </c>
      <c r="B232" t="s">
        <v>105</v>
      </c>
      <c r="D232">
        <f t="shared" si="26"/>
        <v>1</v>
      </c>
      <c r="E232">
        <v>27</v>
      </c>
      <c r="F232" s="1">
        <f t="shared" si="27"/>
        <v>6.0305665315033439</v>
      </c>
      <c r="H232" s="1"/>
      <c r="I232" s="6"/>
      <c r="J232">
        <v>30</v>
      </c>
      <c r="K232" s="1">
        <f t="shared" si="28"/>
        <v>5.3892117482199753</v>
      </c>
      <c r="L232" s="1">
        <f t="shared" si="29"/>
        <v>-0.64135478328336859</v>
      </c>
      <c r="M232">
        <v>30</v>
      </c>
      <c r="N232" s="1">
        <f t="shared" si="30"/>
        <v>5.3892117482199753</v>
      </c>
      <c r="O232" s="1">
        <f t="shared" si="31"/>
        <v>-0.64135478328336859</v>
      </c>
    </row>
    <row r="233" spans="1:15" x14ac:dyDescent="0.55000000000000004">
      <c r="A233" t="s">
        <v>108</v>
      </c>
      <c r="B233" t="s">
        <v>105</v>
      </c>
      <c r="D233">
        <f t="shared" si="26"/>
        <v>1</v>
      </c>
      <c r="E233">
        <v>28</v>
      </c>
      <c r="F233" s="1">
        <f t="shared" si="27"/>
        <v>5.8087206534304405</v>
      </c>
      <c r="H233" s="1"/>
      <c r="I233" s="6"/>
      <c r="J233">
        <v>31</v>
      </c>
      <c r="K233" s="1">
        <f t="shared" si="28"/>
        <v>5.1909593276291321</v>
      </c>
      <c r="L233" s="1">
        <f t="shared" si="29"/>
        <v>-0.61776132580130838</v>
      </c>
      <c r="M233">
        <v>31</v>
      </c>
      <c r="N233" s="1">
        <f t="shared" si="30"/>
        <v>5.1909593276291321</v>
      </c>
      <c r="O233" s="1">
        <f t="shared" si="31"/>
        <v>-0.61776132580130838</v>
      </c>
    </row>
    <row r="234" spans="1:15" x14ac:dyDescent="0.55000000000000004">
      <c r="A234" t="s">
        <v>109</v>
      </c>
      <c r="B234" t="s">
        <v>105</v>
      </c>
      <c r="D234">
        <f t="shared" si="26"/>
        <v>1</v>
      </c>
      <c r="E234">
        <v>29</v>
      </c>
      <c r="F234" s="1">
        <f t="shared" si="27"/>
        <v>5.5950357985981949</v>
      </c>
      <c r="H234" s="1"/>
      <c r="I234" s="6"/>
      <c r="J234">
        <v>32</v>
      </c>
      <c r="K234" s="1">
        <f t="shared" si="28"/>
        <v>5.0000000000000027</v>
      </c>
      <c r="L234" s="1">
        <f t="shared" si="29"/>
        <v>-0.59503579859819222</v>
      </c>
      <c r="M234">
        <v>32</v>
      </c>
      <c r="N234" s="1">
        <f t="shared" si="30"/>
        <v>5.0000000000000027</v>
      </c>
      <c r="O234" s="1">
        <f t="shared" si="31"/>
        <v>-0.59503579859819222</v>
      </c>
    </row>
    <row r="235" spans="1:15" x14ac:dyDescent="0.55000000000000004">
      <c r="A235" t="s">
        <v>110</v>
      </c>
      <c r="B235" t="s">
        <v>105</v>
      </c>
      <c r="D235">
        <f t="shared" si="26"/>
        <v>1</v>
      </c>
      <c r="E235">
        <v>30</v>
      </c>
      <c r="F235" s="1">
        <f t="shared" si="27"/>
        <v>5.3892117482199753</v>
      </c>
      <c r="H235" s="1"/>
      <c r="I235" s="6"/>
      <c r="J235">
        <v>33</v>
      </c>
      <c r="K235" s="1">
        <f t="shared" si="28"/>
        <v>4.648119937493906</v>
      </c>
      <c r="L235" s="1">
        <f t="shared" si="29"/>
        <v>-0.74109181072606933</v>
      </c>
      <c r="M235">
        <v>33</v>
      </c>
      <c r="N235" s="1">
        <f t="shared" si="30"/>
        <v>4.648119937493906</v>
      </c>
      <c r="O235" s="1">
        <f t="shared" si="31"/>
        <v>-0.74109181072606933</v>
      </c>
    </row>
    <row r="236" spans="1:15" x14ac:dyDescent="0.55000000000000004">
      <c r="A236" t="s">
        <v>111</v>
      </c>
      <c r="B236" t="s">
        <v>105</v>
      </c>
      <c r="D236">
        <f t="shared" si="26"/>
        <v>1</v>
      </c>
      <c r="E236">
        <v>31</v>
      </c>
      <c r="F236" s="1">
        <f t="shared" si="27"/>
        <v>5.1909593276291321</v>
      </c>
      <c r="H236" s="1"/>
      <c r="I236" s="6"/>
      <c r="J236">
        <v>34</v>
      </c>
      <c r="K236" s="1">
        <f t="shared" si="28"/>
        <v>4.3210037906656709</v>
      </c>
      <c r="L236" s="1">
        <f t="shared" si="29"/>
        <v>-0.86995553696346128</v>
      </c>
      <c r="M236">
        <v>34</v>
      </c>
      <c r="N236" s="1">
        <f t="shared" si="30"/>
        <v>4.3210037906656709</v>
      </c>
      <c r="O236" s="1">
        <f t="shared" si="31"/>
        <v>-0.86995553696346128</v>
      </c>
    </row>
    <row r="237" spans="1:15" x14ac:dyDescent="0.55000000000000004">
      <c r="A237" t="s">
        <v>112</v>
      </c>
      <c r="B237" t="s">
        <v>105</v>
      </c>
      <c r="D237">
        <f t="shared" si="26"/>
        <v>1</v>
      </c>
      <c r="E237">
        <v>32</v>
      </c>
      <c r="F237" s="1">
        <f t="shared" si="27"/>
        <v>5.0000000000000027</v>
      </c>
      <c r="H237" s="1"/>
      <c r="I237" s="6"/>
      <c r="J237">
        <v>35</v>
      </c>
      <c r="K237" s="1">
        <f t="shared" si="28"/>
        <v>4.0169087738759695</v>
      </c>
      <c r="L237" s="1">
        <f t="shared" si="29"/>
        <v>-0.98309122612403321</v>
      </c>
      <c r="M237">
        <v>35</v>
      </c>
      <c r="N237" s="1">
        <f t="shared" si="30"/>
        <v>4.0169087738759695</v>
      </c>
      <c r="O237" s="1">
        <f t="shared" si="31"/>
        <v>-0.98309122612403321</v>
      </c>
    </row>
    <row r="238" spans="1:15" x14ac:dyDescent="0.55000000000000004">
      <c r="A238" t="s">
        <v>113</v>
      </c>
      <c r="B238" t="s">
        <v>116</v>
      </c>
      <c r="D238">
        <f t="shared" si="26"/>
        <v>1</v>
      </c>
      <c r="E238">
        <v>33</v>
      </c>
      <c r="F238" s="1">
        <f t="shared" si="27"/>
        <v>4.648119937493906</v>
      </c>
      <c r="H238" s="1"/>
      <c r="I238" s="6"/>
      <c r="J238">
        <v>36</v>
      </c>
      <c r="K238" s="1">
        <f t="shared" si="28"/>
        <v>3.7342147517894189</v>
      </c>
      <c r="L238" s="1">
        <f t="shared" si="29"/>
        <v>-0.91390518570448709</v>
      </c>
      <c r="M238">
        <v>36</v>
      </c>
      <c r="N238" s="1">
        <f t="shared" si="30"/>
        <v>3.7342147517894189</v>
      </c>
      <c r="O238" s="1">
        <f t="shared" si="31"/>
        <v>-0.91390518570448709</v>
      </c>
    </row>
    <row r="239" spans="1:15" x14ac:dyDescent="0.55000000000000004">
      <c r="A239" t="s">
        <v>114</v>
      </c>
      <c r="B239" t="s">
        <v>116</v>
      </c>
      <c r="D239">
        <f t="shared" si="26"/>
        <v>1</v>
      </c>
      <c r="E239">
        <v>34</v>
      </c>
      <c r="F239" s="1">
        <f t="shared" si="27"/>
        <v>4.3210037906656709</v>
      </c>
      <c r="H239" s="1"/>
      <c r="I239" s="6"/>
      <c r="J239">
        <v>37</v>
      </c>
      <c r="K239" s="1">
        <f t="shared" si="28"/>
        <v>3.4714156077352509</v>
      </c>
      <c r="L239" s="1">
        <f t="shared" si="29"/>
        <v>-0.84958818293041993</v>
      </c>
      <c r="M239">
        <v>37</v>
      </c>
      <c r="N239" s="1">
        <f t="shared" si="30"/>
        <v>3.4714156077352509</v>
      </c>
      <c r="O239" s="1">
        <f t="shared" si="31"/>
        <v>-0.84958818293041993</v>
      </c>
    </row>
    <row r="240" spans="1:15" x14ac:dyDescent="0.55000000000000004">
      <c r="A240" t="s">
        <v>115</v>
      </c>
      <c r="B240" t="s">
        <v>116</v>
      </c>
      <c r="D240">
        <f t="shared" si="26"/>
        <v>1</v>
      </c>
      <c r="E240">
        <v>35</v>
      </c>
      <c r="F240" s="1">
        <f t="shared" si="27"/>
        <v>4.0169087738759695</v>
      </c>
      <c r="H240" s="1"/>
      <c r="I240" s="6"/>
      <c r="J240">
        <v>38</v>
      </c>
      <c r="K240" s="1">
        <f t="shared" si="28"/>
        <v>3.2271112195283487</v>
      </c>
      <c r="L240" s="1">
        <f t="shared" si="29"/>
        <v>-0.78979755434762078</v>
      </c>
      <c r="M240">
        <v>38</v>
      </c>
      <c r="N240" s="1">
        <f t="shared" si="30"/>
        <v>3.2271112195283487</v>
      </c>
      <c r="O240" s="1">
        <f t="shared" si="31"/>
        <v>-0.78979755434762078</v>
      </c>
    </row>
    <row r="241" spans="1:15" x14ac:dyDescent="0.55000000000000004">
      <c r="A241" t="s">
        <v>117</v>
      </c>
      <c r="B241" t="s">
        <v>118</v>
      </c>
      <c r="D241">
        <f t="shared" si="26"/>
        <v>1</v>
      </c>
      <c r="E241">
        <v>36</v>
      </c>
      <c r="F241" s="1">
        <f t="shared" si="27"/>
        <v>3.7342147517894189</v>
      </c>
      <c r="H241" s="1"/>
      <c r="I241" s="6"/>
      <c r="J241">
        <v>39</v>
      </c>
      <c r="K241" s="1">
        <f t="shared" si="28"/>
        <v>2.9999999999999982</v>
      </c>
      <c r="L241" s="1">
        <f t="shared" si="29"/>
        <v>-0.73421475178942064</v>
      </c>
      <c r="M241">
        <v>39</v>
      </c>
      <c r="N241" s="1">
        <f t="shared" si="30"/>
        <v>2.9999999999999982</v>
      </c>
      <c r="O241" s="1">
        <f t="shared" si="31"/>
        <v>-0.73421475178942064</v>
      </c>
    </row>
    <row r="242" spans="1:15" x14ac:dyDescent="0.55000000000000004">
      <c r="A242" t="s">
        <v>119</v>
      </c>
      <c r="B242" t="s">
        <v>118</v>
      </c>
      <c r="D242">
        <f t="shared" si="26"/>
        <v>1</v>
      </c>
      <c r="E242">
        <v>37</v>
      </c>
      <c r="F242" s="1">
        <f t="shared" si="27"/>
        <v>3.4714156077352509</v>
      </c>
      <c r="H242" s="1"/>
      <c r="I242" s="6"/>
      <c r="J242">
        <v>40</v>
      </c>
      <c r="K242" s="1">
        <f t="shared" si="28"/>
        <v>2.9228709987383823</v>
      </c>
      <c r="L242" s="1">
        <f t="shared" si="29"/>
        <v>-0.54854460899686863</v>
      </c>
      <c r="M242">
        <v>40</v>
      </c>
      <c r="N242" s="1">
        <f t="shared" si="30"/>
        <v>2.9228709987383823</v>
      </c>
      <c r="O242" s="1">
        <f t="shared" si="31"/>
        <v>-0.54854460899686863</v>
      </c>
    </row>
    <row r="243" spans="1:15" x14ac:dyDescent="0.55000000000000004">
      <c r="A243" t="s">
        <v>120</v>
      </c>
      <c r="B243" t="s">
        <v>118</v>
      </c>
      <c r="D243">
        <f t="shared" si="26"/>
        <v>1</v>
      </c>
      <c r="E243">
        <v>38</v>
      </c>
      <c r="F243" s="1">
        <f t="shared" si="27"/>
        <v>3.2271112195283487</v>
      </c>
      <c r="H243" s="1"/>
      <c r="I243" s="6"/>
      <c r="J243">
        <v>41</v>
      </c>
      <c r="K243" s="1">
        <f t="shared" si="28"/>
        <v>2.8477249584219697</v>
      </c>
      <c r="L243" s="1">
        <f t="shared" si="29"/>
        <v>-0.37938626110637896</v>
      </c>
      <c r="M243">
        <v>41</v>
      </c>
      <c r="N243" s="1">
        <f t="shared" si="30"/>
        <v>2.8477249584219697</v>
      </c>
      <c r="O243" s="1">
        <f t="shared" si="31"/>
        <v>-0.37938626110637896</v>
      </c>
    </row>
    <row r="244" spans="1:15" x14ac:dyDescent="0.55000000000000004">
      <c r="A244" t="s">
        <v>121</v>
      </c>
      <c r="B244" t="s">
        <v>118</v>
      </c>
      <c r="D244">
        <f t="shared" si="26"/>
        <v>1</v>
      </c>
      <c r="E244">
        <v>39</v>
      </c>
      <c r="F244" s="1">
        <f t="shared" si="27"/>
        <v>2.9999999999999982</v>
      </c>
      <c r="H244" s="1"/>
      <c r="I244" s="6"/>
      <c r="J244">
        <v>42</v>
      </c>
      <c r="K244" s="1">
        <f t="shared" si="28"/>
        <v>2.7745108977850137</v>
      </c>
      <c r="L244" s="1">
        <f t="shared" si="29"/>
        <v>-0.22548910221498453</v>
      </c>
      <c r="M244">
        <v>42</v>
      </c>
      <c r="N244" s="1">
        <f t="shared" si="30"/>
        <v>2.7745108977850137</v>
      </c>
      <c r="O244" s="1">
        <f t="shared" si="31"/>
        <v>-0.22548910221498453</v>
      </c>
    </row>
    <row r="245" spans="1:15" x14ac:dyDescent="0.55000000000000004">
      <c r="A245" t="s">
        <v>122</v>
      </c>
      <c r="B245" t="s">
        <v>88</v>
      </c>
      <c r="D245">
        <f t="shared" si="26"/>
        <v>1</v>
      </c>
      <c r="E245">
        <v>40</v>
      </c>
      <c r="F245" s="1">
        <f t="shared" si="27"/>
        <v>2.9228709987383823</v>
      </c>
      <c r="H245" s="1"/>
      <c r="I245" s="6"/>
      <c r="J245">
        <v>43</v>
      </c>
      <c r="K245" s="1">
        <f t="shared" si="28"/>
        <v>2.7031791462731363</v>
      </c>
      <c r="L245" s="1">
        <f t="shared" si="29"/>
        <v>-0.21969185246524603</v>
      </c>
      <c r="M245">
        <v>43</v>
      </c>
      <c r="N245" s="1">
        <f t="shared" si="30"/>
        <v>2.7031791462731363</v>
      </c>
      <c r="O245" s="1">
        <f t="shared" si="31"/>
        <v>-0.21969185246524603</v>
      </c>
    </row>
    <row r="246" spans="1:15" x14ac:dyDescent="0.55000000000000004">
      <c r="A246" t="s">
        <v>123</v>
      </c>
      <c r="B246" t="s">
        <v>88</v>
      </c>
      <c r="D246">
        <f t="shared" si="26"/>
        <v>1</v>
      </c>
      <c r="E246">
        <v>41</v>
      </c>
      <c r="F246" s="1">
        <f t="shared" si="27"/>
        <v>2.8477249584219697</v>
      </c>
      <c r="H246" s="1"/>
      <c r="I246" s="6"/>
      <c r="J246">
        <v>44</v>
      </c>
      <c r="K246" s="1">
        <f t="shared" si="28"/>
        <v>2.6336813103453767</v>
      </c>
      <c r="L246" s="1">
        <f t="shared" si="29"/>
        <v>-0.21404364807659304</v>
      </c>
      <c r="M246">
        <v>44</v>
      </c>
      <c r="N246" s="1">
        <f t="shared" si="30"/>
        <v>2.6336813103453767</v>
      </c>
      <c r="O246" s="1">
        <f t="shared" si="31"/>
        <v>-0.21404364807659304</v>
      </c>
    </row>
    <row r="247" spans="1:15" x14ac:dyDescent="0.55000000000000004">
      <c r="A247" t="s">
        <v>124</v>
      </c>
      <c r="B247" t="s">
        <v>125</v>
      </c>
      <c r="D247">
        <f t="shared" si="26"/>
        <v>1</v>
      </c>
      <c r="E247">
        <v>42</v>
      </c>
      <c r="F247" s="1">
        <f t="shared" si="27"/>
        <v>2.7745108977850137</v>
      </c>
      <c r="H247" s="1"/>
      <c r="I247" s="6"/>
      <c r="J247">
        <v>45</v>
      </c>
      <c r="K247" s="1">
        <f t="shared" si="28"/>
        <v>2.565970240642601</v>
      </c>
      <c r="L247" s="1">
        <f t="shared" si="29"/>
        <v>-0.20854065714241266</v>
      </c>
      <c r="M247">
        <v>45</v>
      </c>
      <c r="N247" s="1">
        <f t="shared" si="30"/>
        <v>2.565970240642601</v>
      </c>
      <c r="O247" s="1">
        <f t="shared" si="31"/>
        <v>-0.20854065714241266</v>
      </c>
    </row>
    <row r="248" spans="1:15" x14ac:dyDescent="0.55000000000000004">
      <c r="A248" t="s">
        <v>126</v>
      </c>
      <c r="B248" t="s">
        <v>125</v>
      </c>
      <c r="D248">
        <f t="shared" si="26"/>
        <v>1</v>
      </c>
      <c r="E248">
        <v>43</v>
      </c>
      <c r="F248" s="1">
        <f t="shared" si="27"/>
        <v>2.7031791462731363</v>
      </c>
      <c r="H248" s="1"/>
      <c r="I248" s="6"/>
      <c r="J248">
        <v>46</v>
      </c>
      <c r="K248" s="1">
        <f t="shared" si="28"/>
        <v>2.5000000000000018</v>
      </c>
      <c r="L248" s="1">
        <f t="shared" si="29"/>
        <v>-0.20317914627313449</v>
      </c>
      <c r="M248">
        <v>46</v>
      </c>
      <c r="N248" s="1">
        <f t="shared" si="30"/>
        <v>2.5000000000000018</v>
      </c>
      <c r="O248" s="1">
        <f t="shared" si="31"/>
        <v>-0.20317914627313449</v>
      </c>
    </row>
    <row r="249" spans="1:15" x14ac:dyDescent="0.55000000000000004">
      <c r="A249" t="s">
        <v>127</v>
      </c>
      <c r="B249" t="s">
        <v>125</v>
      </c>
      <c r="D249">
        <f t="shared" si="26"/>
        <v>1</v>
      </c>
      <c r="E249">
        <v>44</v>
      </c>
      <c r="F249" s="1">
        <f t="shared" si="27"/>
        <v>2.6336813103453767</v>
      </c>
      <c r="H249" s="1"/>
      <c r="I249" s="6"/>
      <c r="J249">
        <v>47</v>
      </c>
      <c r="K249" s="1">
        <f t="shared" si="28"/>
        <v>2.421562714817493</v>
      </c>
      <c r="L249" s="1">
        <f t="shared" si="29"/>
        <v>-0.2121185955278837</v>
      </c>
      <c r="M249">
        <v>47</v>
      </c>
      <c r="N249" s="1">
        <f t="shared" si="30"/>
        <v>2.421562714817493</v>
      </c>
      <c r="O249" s="1">
        <f t="shared" si="31"/>
        <v>-0.2121185955278837</v>
      </c>
    </row>
    <row r="250" spans="1:15" x14ac:dyDescent="0.55000000000000004">
      <c r="A250" t="s">
        <v>128</v>
      </c>
      <c r="B250" t="s">
        <v>125</v>
      </c>
      <c r="D250">
        <f t="shared" si="26"/>
        <v>1</v>
      </c>
      <c r="E250">
        <v>45</v>
      </c>
      <c r="F250" s="1">
        <f t="shared" si="27"/>
        <v>2.565970240642601</v>
      </c>
      <c r="H250" s="1"/>
      <c r="I250" s="6"/>
      <c r="J250">
        <v>48</v>
      </c>
      <c r="K250" s="1">
        <f t="shared" si="28"/>
        <v>2.3455863927177072</v>
      </c>
      <c r="L250" s="1">
        <f t="shared" si="29"/>
        <v>-0.22038384792489385</v>
      </c>
      <c r="M250">
        <v>48</v>
      </c>
      <c r="N250" s="1">
        <f t="shared" si="30"/>
        <v>2.3455863927177072</v>
      </c>
      <c r="O250" s="1">
        <f t="shared" si="31"/>
        <v>-0.22038384792489385</v>
      </c>
    </row>
    <row r="251" spans="1:15" x14ac:dyDescent="0.55000000000000004">
      <c r="A251" t="s">
        <v>129</v>
      </c>
      <c r="B251" t="s">
        <v>125</v>
      </c>
      <c r="D251">
        <f t="shared" si="26"/>
        <v>1</v>
      </c>
      <c r="E251">
        <v>46</v>
      </c>
      <c r="F251" s="1">
        <f t="shared" si="27"/>
        <v>2.5000000000000018</v>
      </c>
      <c r="H251" s="1"/>
      <c r="I251" s="6"/>
      <c r="J251">
        <v>49</v>
      </c>
      <c r="K251" s="1">
        <f t="shared" si="28"/>
        <v>2.2719938211953843</v>
      </c>
      <c r="L251" s="1">
        <f t="shared" si="29"/>
        <v>-0.22800617880461749</v>
      </c>
      <c r="M251">
        <v>49</v>
      </c>
      <c r="N251" s="1">
        <f t="shared" si="30"/>
        <v>2.2719938211953843</v>
      </c>
      <c r="O251" s="1">
        <f t="shared" si="31"/>
        <v>-0.22800617880461749</v>
      </c>
    </row>
    <row r="252" spans="1:15" x14ac:dyDescent="0.55000000000000004">
      <c r="A252" t="s">
        <v>130</v>
      </c>
      <c r="B252" t="s">
        <v>125</v>
      </c>
      <c r="D252">
        <f t="shared" si="26"/>
        <v>1</v>
      </c>
      <c r="E252">
        <v>47</v>
      </c>
      <c r="F252" s="1">
        <f t="shared" si="27"/>
        <v>2.421562714817493</v>
      </c>
      <c r="H252" s="1"/>
      <c r="I252" s="6"/>
      <c r="J252">
        <v>50</v>
      </c>
      <c r="K252" s="1">
        <f t="shared" si="28"/>
        <v>2.2007102102809859</v>
      </c>
      <c r="L252" s="1">
        <f t="shared" si="29"/>
        <v>-0.22085250453650707</v>
      </c>
      <c r="M252">
        <v>50</v>
      </c>
      <c r="N252" s="1">
        <f t="shared" si="30"/>
        <v>2.2007102102809859</v>
      </c>
      <c r="O252" s="1">
        <f t="shared" si="31"/>
        <v>-0.22085250453650707</v>
      </c>
    </row>
    <row r="253" spans="1:15" x14ac:dyDescent="0.55000000000000004">
      <c r="A253" t="s">
        <v>131</v>
      </c>
      <c r="B253" t="s">
        <v>132</v>
      </c>
      <c r="D253">
        <f t="shared" si="26"/>
        <v>1</v>
      </c>
      <c r="E253">
        <v>48</v>
      </c>
      <c r="F253" s="1">
        <f t="shared" si="27"/>
        <v>2.3455863927177072</v>
      </c>
      <c r="H253" s="1"/>
      <c r="I253" s="6"/>
      <c r="J253">
        <v>51</v>
      </c>
      <c r="K253" s="1">
        <f t="shared" si="28"/>
        <v>2.1316631165338404</v>
      </c>
      <c r="L253" s="1">
        <f t="shared" si="29"/>
        <v>-0.21392327618386675</v>
      </c>
      <c r="M253">
        <v>51</v>
      </c>
      <c r="N253" s="1">
        <f t="shared" si="30"/>
        <v>2.1316631165338404</v>
      </c>
      <c r="O253" s="1">
        <f t="shared" si="31"/>
        <v>-0.21392327618386675</v>
      </c>
    </row>
    <row r="254" spans="1:15" x14ac:dyDescent="0.55000000000000004">
      <c r="A254" t="s">
        <v>133</v>
      </c>
      <c r="B254" t="s">
        <v>132</v>
      </c>
      <c r="D254">
        <f t="shared" si="26"/>
        <v>1</v>
      </c>
      <c r="E254">
        <v>49</v>
      </c>
      <c r="F254" s="1">
        <f t="shared" si="27"/>
        <v>2.2719938211953843</v>
      </c>
      <c r="H254" s="1"/>
      <c r="I254" s="6"/>
      <c r="J254">
        <v>52</v>
      </c>
      <c r="K254" s="1">
        <f t="shared" si="28"/>
        <v>2.0647823694200018</v>
      </c>
      <c r="L254" s="1">
        <f t="shared" si="29"/>
        <v>-0.20721145177538247</v>
      </c>
      <c r="M254">
        <v>52</v>
      </c>
      <c r="N254" s="1">
        <f t="shared" si="30"/>
        <v>2.0647823694200018</v>
      </c>
      <c r="O254" s="1">
        <f t="shared" si="31"/>
        <v>-0.20721145177538247</v>
      </c>
    </row>
    <row r="255" spans="1:15" x14ac:dyDescent="0.55000000000000004">
      <c r="A255" t="s">
        <v>134</v>
      </c>
      <c r="B255" t="s">
        <v>135</v>
      </c>
      <c r="D255">
        <f t="shared" si="26"/>
        <v>1</v>
      </c>
      <c r="E255">
        <v>50</v>
      </c>
      <c r="F255" s="1">
        <f t="shared" si="27"/>
        <v>2.2007102102809859</v>
      </c>
      <c r="H255" s="1"/>
      <c r="I255" s="6"/>
      <c r="J255">
        <v>53</v>
      </c>
      <c r="K255" s="1">
        <f t="shared" si="28"/>
        <v>1.9999999999999982</v>
      </c>
      <c r="L255" s="1">
        <f t="shared" si="29"/>
        <v>-0.20071021028098768</v>
      </c>
      <c r="M255">
        <v>53</v>
      </c>
      <c r="N255" s="1">
        <f t="shared" si="30"/>
        <v>1.9999999999999982</v>
      </c>
      <c r="O255" s="1">
        <f t="shared" si="31"/>
        <v>-0.20071021028098768</v>
      </c>
    </row>
    <row r="256" spans="1:15" x14ac:dyDescent="0.55000000000000004">
      <c r="A256" t="s">
        <v>136</v>
      </c>
      <c r="B256" t="s">
        <v>116</v>
      </c>
      <c r="D256">
        <f t="shared" si="26"/>
        <v>1</v>
      </c>
      <c r="E256">
        <v>51</v>
      </c>
      <c r="F256" s="1">
        <f t="shared" si="27"/>
        <v>2.1316631165338404</v>
      </c>
      <c r="H256" s="1"/>
      <c r="I256" s="6"/>
      <c r="J256">
        <v>54</v>
      </c>
      <c r="K256" s="1">
        <f t="shared" si="28"/>
        <v>1.9701224108822311</v>
      </c>
      <c r="L256" s="1">
        <f t="shared" si="29"/>
        <v>-0.16154070565160938</v>
      </c>
      <c r="M256">
        <v>54</v>
      </c>
      <c r="N256" s="1">
        <f t="shared" si="30"/>
        <v>1.9701224108822311</v>
      </c>
      <c r="O256" s="1">
        <f t="shared" si="31"/>
        <v>-0.16154070565160938</v>
      </c>
    </row>
    <row r="257" spans="1:15" x14ac:dyDescent="0.55000000000000004">
      <c r="A257" t="s">
        <v>137</v>
      </c>
      <c r="B257" t="s">
        <v>116</v>
      </c>
      <c r="D257">
        <f t="shared" si="26"/>
        <v>1</v>
      </c>
      <c r="E257">
        <v>52</v>
      </c>
      <c r="F257" s="1">
        <f t="shared" si="27"/>
        <v>2.0647823694200018</v>
      </c>
      <c r="H257" s="1"/>
      <c r="I257" s="6"/>
      <c r="J257">
        <v>55</v>
      </c>
      <c r="K257" s="1">
        <f t="shared" si="28"/>
        <v>1.9406911569302068</v>
      </c>
      <c r="L257" s="1">
        <f t="shared" si="29"/>
        <v>-0.12409121248979504</v>
      </c>
      <c r="M257">
        <v>55</v>
      </c>
      <c r="N257" s="1">
        <f t="shared" si="30"/>
        <v>1.9406911569302068</v>
      </c>
      <c r="O257" s="1">
        <f t="shared" si="31"/>
        <v>-0.12409121248979504</v>
      </c>
    </row>
    <row r="258" spans="1:15" x14ac:dyDescent="0.55000000000000004">
      <c r="A258" t="s">
        <v>138</v>
      </c>
      <c r="B258" t="s">
        <v>116</v>
      </c>
      <c r="D258">
        <f t="shared" si="26"/>
        <v>1</v>
      </c>
      <c r="E258">
        <v>53</v>
      </c>
      <c r="F258" s="1">
        <f t="shared" si="27"/>
        <v>1.9999999999999982</v>
      </c>
      <c r="H258" s="1"/>
      <c r="I258" s="6"/>
      <c r="J258">
        <v>56</v>
      </c>
      <c r="K258" s="1">
        <f t="shared" si="28"/>
        <v>1.9116995704345825</v>
      </c>
      <c r="L258" s="1">
        <f t="shared" si="29"/>
        <v>-8.8300429565415728E-2</v>
      </c>
      <c r="M258">
        <v>56</v>
      </c>
      <c r="N258" s="1">
        <f t="shared" si="30"/>
        <v>1.9116995704345825</v>
      </c>
      <c r="O258" s="1">
        <f t="shared" si="31"/>
        <v>-8.8300429565415728E-2</v>
      </c>
    </row>
    <row r="259" spans="1:15" x14ac:dyDescent="0.55000000000000004">
      <c r="A259" t="s">
        <v>139</v>
      </c>
      <c r="B259" t="s">
        <v>116</v>
      </c>
      <c r="D259">
        <f t="shared" si="26"/>
        <v>1</v>
      </c>
      <c r="E259">
        <v>54</v>
      </c>
      <c r="F259" s="1">
        <f t="shared" si="27"/>
        <v>1.9701224108822311</v>
      </c>
      <c r="H259" s="1"/>
      <c r="I259" s="6"/>
      <c r="J259">
        <v>57</v>
      </c>
      <c r="K259" s="1">
        <f t="shared" si="28"/>
        <v>1.8831410832935527</v>
      </c>
      <c r="L259" s="1">
        <f t="shared" si="29"/>
        <v>-8.6981327588678381E-2</v>
      </c>
      <c r="M259">
        <v>57</v>
      </c>
      <c r="N259" s="1">
        <f t="shared" si="30"/>
        <v>1.8831410832935527</v>
      </c>
      <c r="O259" s="1">
        <f t="shared" si="31"/>
        <v>-8.6981327588678381E-2</v>
      </c>
    </row>
    <row r="260" spans="1:15" x14ac:dyDescent="0.55000000000000004">
      <c r="A260" t="s">
        <v>140</v>
      </c>
      <c r="B260" t="s">
        <v>116</v>
      </c>
      <c r="D260">
        <f t="shared" si="26"/>
        <v>1</v>
      </c>
      <c r="E260">
        <v>55</v>
      </c>
      <c r="F260" s="1">
        <f t="shared" si="27"/>
        <v>1.9406911569302068</v>
      </c>
      <c r="H260" s="1"/>
      <c r="I260" s="6"/>
      <c r="J260">
        <v>58</v>
      </c>
      <c r="K260" s="1">
        <f t="shared" si="28"/>
        <v>1.8550092255248352</v>
      </c>
      <c r="L260" s="1">
        <f t="shared" si="29"/>
        <v>-8.5681931405371614E-2</v>
      </c>
      <c r="M260">
        <v>58</v>
      </c>
      <c r="N260" s="1">
        <f t="shared" si="30"/>
        <v>1.8550092255248352</v>
      </c>
      <c r="O260" s="1">
        <f t="shared" si="31"/>
        <v>-8.5681931405371614E-2</v>
      </c>
    </row>
    <row r="261" spans="1:15" x14ac:dyDescent="0.55000000000000004">
      <c r="A261" t="s">
        <v>141</v>
      </c>
      <c r="B261" t="s">
        <v>118</v>
      </c>
      <c r="D261">
        <f t="shared" si="26"/>
        <v>1</v>
      </c>
      <c r="E261">
        <v>56</v>
      </c>
      <c r="F261" s="1">
        <f t="shared" si="27"/>
        <v>1.9116995704345825</v>
      </c>
      <c r="H261" s="1"/>
      <c r="I261" s="6"/>
      <c r="J261">
        <v>59</v>
      </c>
      <c r="K261" s="1">
        <f t="shared" si="28"/>
        <v>1.8272976237998837</v>
      </c>
      <c r="L261" s="1">
        <f t="shared" si="29"/>
        <v>-8.4401946634698799E-2</v>
      </c>
      <c r="M261">
        <v>59</v>
      </c>
      <c r="N261" s="1">
        <f t="shared" si="30"/>
        <v>1.8272976237998837</v>
      </c>
      <c r="O261" s="1">
        <f t="shared" si="31"/>
        <v>-8.4401946634698799E-2</v>
      </c>
    </row>
    <row r="262" spans="1:15" x14ac:dyDescent="0.55000000000000004">
      <c r="A262" t="s">
        <v>142</v>
      </c>
      <c r="B262" t="s">
        <v>143</v>
      </c>
      <c r="D262">
        <f t="shared" si="26"/>
        <v>1</v>
      </c>
      <c r="E262">
        <v>57</v>
      </c>
      <c r="F262" s="1">
        <f t="shared" si="27"/>
        <v>1.8831410832935527</v>
      </c>
      <c r="H262" s="1"/>
      <c r="I262" s="6"/>
      <c r="J262">
        <v>60</v>
      </c>
      <c r="K262" s="1">
        <f t="shared" si="28"/>
        <v>1.7999999999999996</v>
      </c>
      <c r="L262" s="1">
        <f t="shared" si="29"/>
        <v>-8.3141083293553075E-2</v>
      </c>
      <c r="M262">
        <v>60</v>
      </c>
      <c r="N262" s="1">
        <f t="shared" si="30"/>
        <v>1.7999999999999996</v>
      </c>
      <c r="O262" s="1">
        <f t="shared" si="31"/>
        <v>-8.3141083293553075E-2</v>
      </c>
    </row>
    <row r="263" spans="1:15" x14ac:dyDescent="0.55000000000000004">
      <c r="A263" t="s">
        <v>144</v>
      </c>
      <c r="B263" t="s">
        <v>143</v>
      </c>
      <c r="D263">
        <f t="shared" si="26"/>
        <v>1</v>
      </c>
      <c r="E263">
        <v>59</v>
      </c>
      <c r="F263" s="1">
        <f t="shared" si="27"/>
        <v>1.8272976237998837</v>
      </c>
      <c r="H263" s="1"/>
      <c r="I263" s="6"/>
      <c r="J263">
        <v>61</v>
      </c>
      <c r="K263" s="1">
        <f t="shared" si="28"/>
        <v>1.7537225992430294</v>
      </c>
      <c r="L263" s="1">
        <f t="shared" si="29"/>
        <v>-7.3575024556854274E-2</v>
      </c>
      <c r="M263">
        <v>61</v>
      </c>
      <c r="N263" s="1">
        <f t="shared" si="30"/>
        <v>1.7537225992430294</v>
      </c>
      <c r="O263" s="1">
        <f t="shared" si="31"/>
        <v>-7.3575024556854274E-2</v>
      </c>
    </row>
    <row r="264" spans="1:15" x14ac:dyDescent="0.55000000000000004">
      <c r="A264" t="s">
        <v>145</v>
      </c>
      <c r="B264" t="s">
        <v>146</v>
      </c>
      <c r="D264">
        <f t="shared" si="26"/>
        <v>1</v>
      </c>
      <c r="E264">
        <v>58</v>
      </c>
      <c r="F264" s="1">
        <f t="shared" si="27"/>
        <v>1.8550092255248352</v>
      </c>
      <c r="H264" s="1"/>
      <c r="I264" s="6"/>
      <c r="J264">
        <v>18</v>
      </c>
      <c r="K264" s="1">
        <f t="shared" si="28"/>
        <v>8.5000000000000036</v>
      </c>
      <c r="L264" s="1">
        <f t="shared" si="29"/>
        <v>6.6449907744751684</v>
      </c>
      <c r="M264">
        <v>26</v>
      </c>
      <c r="N264" s="1">
        <f t="shared" si="30"/>
        <v>6.2608851175190665</v>
      </c>
      <c r="O264" s="1">
        <f t="shared" si="31"/>
        <v>4.4058758919942314</v>
      </c>
    </row>
    <row r="265" spans="1:15" x14ac:dyDescent="0.55000000000000004">
      <c r="A265" t="s">
        <v>147</v>
      </c>
      <c r="B265" t="s">
        <v>88</v>
      </c>
      <c r="D265">
        <f t="shared" si="26"/>
        <v>1</v>
      </c>
      <c r="E265">
        <v>60</v>
      </c>
      <c r="F265" s="1">
        <f t="shared" si="27"/>
        <v>1.7999999999999996</v>
      </c>
      <c r="H265" s="1"/>
      <c r="I265" s="6"/>
      <c r="J265">
        <v>62</v>
      </c>
      <c r="K265" s="1">
        <f t="shared" si="28"/>
        <v>1.708634975053182</v>
      </c>
      <c r="L265" s="1">
        <f t="shared" si="29"/>
        <v>-9.1365024946817641E-2</v>
      </c>
      <c r="M265">
        <v>62</v>
      </c>
      <c r="N265" s="1">
        <f t="shared" si="30"/>
        <v>1.708634975053182</v>
      </c>
      <c r="O265" s="1">
        <f t="shared" si="31"/>
        <v>-9.1365024946817641E-2</v>
      </c>
    </row>
    <row r="266" spans="1:15" x14ac:dyDescent="0.55000000000000004">
      <c r="A266" t="s">
        <v>148</v>
      </c>
      <c r="B266" t="s">
        <v>85</v>
      </c>
      <c r="D266">
        <f t="shared" si="26"/>
        <v>0</v>
      </c>
      <c r="E266">
        <v>61</v>
      </c>
      <c r="F266" s="1">
        <f t="shared" si="27"/>
        <v>1.7537225992430294</v>
      </c>
      <c r="H266" s="1"/>
      <c r="I266" s="6"/>
      <c r="J266">
        <v>19</v>
      </c>
      <c r="K266" s="1">
        <f t="shared" si="28"/>
        <v>8.1804138057887492</v>
      </c>
      <c r="L266" s="1">
        <f t="shared" si="29"/>
        <v>6.42669120654572</v>
      </c>
      <c r="M266">
        <v>27</v>
      </c>
      <c r="N266" s="1">
        <f t="shared" si="30"/>
        <v>6.0305665315033439</v>
      </c>
      <c r="O266" s="1">
        <f t="shared" si="31"/>
        <v>4.2768439322603147</v>
      </c>
    </row>
    <row r="267" spans="1:15" x14ac:dyDescent="0.55000000000000004">
      <c r="A267" t="s">
        <v>149</v>
      </c>
      <c r="B267" t="s">
        <v>85</v>
      </c>
      <c r="D267">
        <f t="shared" si="26"/>
        <v>0</v>
      </c>
      <c r="E267">
        <v>62</v>
      </c>
      <c r="F267" s="1">
        <f t="shared" si="27"/>
        <v>1.708634975053182</v>
      </c>
      <c r="H267" s="1"/>
      <c r="I267" s="6"/>
      <c r="J267">
        <v>63</v>
      </c>
      <c r="K267" s="1">
        <f t="shared" si="28"/>
        <v>1.6647065386710083</v>
      </c>
      <c r="L267" s="1">
        <f t="shared" si="29"/>
        <v>-4.3928436382173697E-2</v>
      </c>
      <c r="M267">
        <v>63</v>
      </c>
      <c r="N267" s="1">
        <f t="shared" si="30"/>
        <v>1.6647065386710083</v>
      </c>
      <c r="O267" s="1">
        <f t="shared" si="31"/>
        <v>-4.3928436382173697E-2</v>
      </c>
    </row>
    <row r="268" spans="1:15" x14ac:dyDescent="0.55000000000000004">
      <c r="A268" t="s">
        <v>150</v>
      </c>
      <c r="B268" t="s">
        <v>85</v>
      </c>
      <c r="D268">
        <f t="shared" si="26"/>
        <v>0</v>
      </c>
      <c r="E268">
        <v>21</v>
      </c>
      <c r="F268" s="1">
        <f t="shared" si="27"/>
        <v>7.5768374037032622</v>
      </c>
      <c r="H268" s="1"/>
      <c r="I268" s="6"/>
      <c r="J268">
        <v>21</v>
      </c>
      <c r="K268" s="1">
        <f t="shared" si="28"/>
        <v>7.5768374037032622</v>
      </c>
      <c r="L268" s="1">
        <f t="shared" si="29"/>
        <v>0</v>
      </c>
      <c r="M268">
        <v>21</v>
      </c>
      <c r="N268" s="1">
        <f t="shared" si="30"/>
        <v>7.5768374037032622</v>
      </c>
      <c r="O268" s="1">
        <f t="shared" si="31"/>
        <v>0</v>
      </c>
    </row>
    <row r="269" spans="1:15" x14ac:dyDescent="0.55000000000000004">
      <c r="A269" t="s">
        <v>151</v>
      </c>
      <c r="B269" t="s">
        <v>118</v>
      </c>
      <c r="D269">
        <f t="shared" si="26"/>
        <v>1</v>
      </c>
      <c r="E269">
        <v>63</v>
      </c>
      <c r="F269" s="1">
        <f t="shared" si="27"/>
        <v>1.6647065386710083</v>
      </c>
      <c r="H269" s="1"/>
      <c r="I269" s="6"/>
      <c r="J269">
        <v>64</v>
      </c>
      <c r="K269" s="1">
        <f t="shared" si="28"/>
        <v>1.6219074877638819</v>
      </c>
      <c r="L269" s="1">
        <f t="shared" si="29"/>
        <v>-4.2799050907126324E-2</v>
      </c>
      <c r="M269">
        <v>64</v>
      </c>
      <c r="N269" s="1">
        <f t="shared" si="30"/>
        <v>1.6219074877638819</v>
      </c>
      <c r="O269" s="1">
        <f t="shared" si="31"/>
        <v>-4.2799050907126324E-2</v>
      </c>
    </row>
    <row r="270" spans="1:15" x14ac:dyDescent="0.55000000000000004">
      <c r="A270" t="s">
        <v>152</v>
      </c>
      <c r="B270" t="s">
        <v>118</v>
      </c>
      <c r="D270">
        <f t="shared" si="26"/>
        <v>1</v>
      </c>
      <c r="E270">
        <v>64</v>
      </c>
      <c r="F270" s="1">
        <f t="shared" si="27"/>
        <v>1.6219074877638819</v>
      </c>
      <c r="H270" s="1"/>
      <c r="I270" s="6"/>
      <c r="J270">
        <v>65</v>
      </c>
      <c r="K270" s="1">
        <f t="shared" si="28"/>
        <v>1.580208786207226</v>
      </c>
      <c r="L270" s="1">
        <f t="shared" si="29"/>
        <v>-4.1698701556655893E-2</v>
      </c>
      <c r="M270">
        <v>65</v>
      </c>
      <c r="N270" s="1">
        <f t="shared" si="30"/>
        <v>1.580208786207226</v>
      </c>
      <c r="O270" s="1">
        <f t="shared" si="31"/>
        <v>-4.1698701556655893E-2</v>
      </c>
    </row>
    <row r="271" spans="1:15" x14ac:dyDescent="0.55000000000000004">
      <c r="A271" t="s">
        <v>153</v>
      </c>
      <c r="B271" t="s">
        <v>153</v>
      </c>
      <c r="D271">
        <f t="shared" si="26"/>
        <v>1</v>
      </c>
      <c r="E271">
        <v>65</v>
      </c>
      <c r="F271" s="1">
        <f t="shared" si="27"/>
        <v>1.580208786207226</v>
      </c>
      <c r="H271" s="1"/>
      <c r="I271" s="6"/>
      <c r="J271">
        <v>20</v>
      </c>
      <c r="K271" s="1">
        <f t="shared" si="28"/>
        <v>7.8728435334046081</v>
      </c>
      <c r="L271" s="1">
        <f t="shared" si="29"/>
        <v>6.2926347471973818</v>
      </c>
      <c r="M271">
        <v>28</v>
      </c>
      <c r="N271" s="1">
        <f t="shared" si="30"/>
        <v>5.8087206534304405</v>
      </c>
      <c r="O271" s="1">
        <f t="shared" si="31"/>
        <v>4.2285118672232143</v>
      </c>
    </row>
    <row r="272" spans="1:15" x14ac:dyDescent="0.55000000000000004">
      <c r="A272" t="s">
        <v>329</v>
      </c>
      <c r="I272" s="6"/>
      <c r="K272" s="1"/>
      <c r="L272" s="1">
        <f>-(SUMIFS(L213:L271,$D$213:$D$271,1,L213:L271,"&lt;0"))</f>
        <v>19.320388291836089</v>
      </c>
      <c r="O272" s="1">
        <f>-(SUMIFS(O213:O271,$D$213:$D$271,1,O213:O271,"&lt;0"))</f>
        <v>12.867303255095585</v>
      </c>
    </row>
    <row r="273" spans="1:15" x14ac:dyDescent="0.55000000000000004">
      <c r="A273" t="s">
        <v>154</v>
      </c>
      <c r="L273">
        <f>COUNTIFS(L213:L271,"&lt;0", $D$213:$D$271,1)</f>
        <v>43</v>
      </c>
      <c r="O273">
        <f>COUNTIFS(O213:O271,"&lt;0", $D$213:$D$271,1)</f>
        <v>36</v>
      </c>
    </row>
    <row r="274" spans="1:15" x14ac:dyDescent="0.55000000000000004">
      <c r="A274" t="s">
        <v>335</v>
      </c>
      <c r="I274" s="6"/>
      <c r="K274" s="3"/>
      <c r="L274" s="6"/>
    </row>
  </sheetData>
  <mergeCells count="1">
    <mergeCell ref="A3:D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F7A74-BD76-4332-B258-7362ABB84B75}">
  <dimension ref="A1:O159"/>
  <sheetViews>
    <sheetView workbookViewId="0">
      <selection activeCell="B1" sqref="B1"/>
    </sheetView>
  </sheetViews>
  <sheetFormatPr defaultRowHeight="14.4" x14ac:dyDescent="0.55000000000000004"/>
  <cols>
    <col min="1" max="1" width="34.7890625" bestFit="1" customWidth="1"/>
    <col min="2" max="2" width="18.05078125" bestFit="1" customWidth="1"/>
    <col min="3" max="3" width="15.26171875" customWidth="1"/>
    <col min="4" max="4" width="12.47265625" customWidth="1"/>
    <col min="5" max="5" width="14.05078125" customWidth="1"/>
    <col min="6" max="6" width="12.05078125" bestFit="1" customWidth="1"/>
  </cols>
  <sheetData>
    <row r="1" spans="1:12" x14ac:dyDescent="0.55000000000000004">
      <c r="A1" s="2" t="s">
        <v>24</v>
      </c>
    </row>
    <row r="2" spans="1:12" ht="28.8" x14ac:dyDescent="0.55000000000000004">
      <c r="A2" s="2"/>
      <c r="B2" t="s">
        <v>25</v>
      </c>
      <c r="C2">
        <v>25</v>
      </c>
      <c r="E2" s="4" t="s">
        <v>26</v>
      </c>
      <c r="F2">
        <v>94</v>
      </c>
    </row>
    <row r="3" spans="1:12" ht="14.7" thickBot="1" x14ac:dyDescent="0.6">
      <c r="H3" s="2" t="s">
        <v>27</v>
      </c>
    </row>
    <row r="4" spans="1:12" ht="72.3" thickBot="1" x14ac:dyDescent="0.6">
      <c r="A4" s="93" t="s">
        <v>156</v>
      </c>
      <c r="B4" s="94"/>
      <c r="C4" s="94"/>
      <c r="D4" s="95"/>
      <c r="E4" s="3" t="s">
        <v>29</v>
      </c>
      <c r="F4" s="3" t="s">
        <v>30</v>
      </c>
      <c r="G4" s="3"/>
      <c r="H4" s="4" t="s">
        <v>31</v>
      </c>
      <c r="I4" s="4" t="s">
        <v>32</v>
      </c>
      <c r="J4" s="4" t="s">
        <v>283</v>
      </c>
      <c r="K4" s="4" t="s">
        <v>284</v>
      </c>
      <c r="L4" s="4" t="s">
        <v>285</v>
      </c>
    </row>
    <row r="5" spans="1:12" ht="29.1" thickBot="1" x14ac:dyDescent="0.6">
      <c r="A5" s="58" t="s">
        <v>33</v>
      </c>
      <c r="B5" s="19" t="s">
        <v>34</v>
      </c>
      <c r="C5" s="59" t="s">
        <v>35</v>
      </c>
      <c r="D5" s="41" t="s">
        <v>36</v>
      </c>
      <c r="E5" s="1">
        <f>(C2/C6)^(1/3)</f>
        <v>1.0357441686512863</v>
      </c>
      <c r="F5" s="16" t="s">
        <v>37</v>
      </c>
      <c r="G5" s="1"/>
      <c r="K5" s="1">
        <f>MIN(J6:J18)</f>
        <v>0.96697887567704233</v>
      </c>
      <c r="L5" s="1">
        <f>MAX(J6:J18)</f>
        <v>1.0295118365389755</v>
      </c>
    </row>
    <row r="6" spans="1:12" ht="43.2" x14ac:dyDescent="0.55000000000000004">
      <c r="A6" s="23" t="s">
        <v>157</v>
      </c>
      <c r="B6" s="55">
        <v>1</v>
      </c>
      <c r="C6" s="40">
        <v>22.5</v>
      </c>
      <c r="D6" s="18">
        <v>180</v>
      </c>
      <c r="E6" s="1">
        <f>(C6/C7)^(1/8)</f>
        <v>1.0476865112467371</v>
      </c>
      <c r="F6" s="4" t="s">
        <v>158</v>
      </c>
      <c r="G6" s="1"/>
      <c r="H6">
        <v>1</v>
      </c>
      <c r="I6" s="1">
        <f>SUMIFS($B$27:$B$120,$C$27:$C$120,H6)</f>
        <v>175.15599826059724</v>
      </c>
      <c r="J6" s="1">
        <f>I6/D6</f>
        <v>0.97308887922554022</v>
      </c>
    </row>
    <row r="7" spans="1:12" ht="43.2" x14ac:dyDescent="0.55000000000000004">
      <c r="A7" s="24" t="s">
        <v>159</v>
      </c>
      <c r="B7" s="56">
        <v>2</v>
      </c>
      <c r="C7" s="31">
        <v>15.5</v>
      </c>
      <c r="D7" s="18">
        <v>124</v>
      </c>
      <c r="E7" s="1">
        <f t="shared" ref="E7:E16" si="0">(C7/C8)^(1/8)</f>
        <v>1.0563101727666424</v>
      </c>
      <c r="F7" s="4" t="s">
        <v>160</v>
      </c>
      <c r="G7" s="1"/>
      <c r="H7">
        <v>2</v>
      </c>
      <c r="I7" s="1">
        <f>SUMIFS($B$27:$B$120,$C$27:$C$120,H7)</f>
        <v>120.74357820917619</v>
      </c>
      <c r="J7" s="1">
        <f t="shared" ref="J7:J18" si="1">I7/D7</f>
        <v>0.97373853394496934</v>
      </c>
    </row>
    <row r="8" spans="1:12" ht="43.2" x14ac:dyDescent="0.55000000000000004">
      <c r="A8" s="24" t="s">
        <v>161</v>
      </c>
      <c r="B8" s="56">
        <v>3</v>
      </c>
      <c r="C8" s="31">
        <v>10</v>
      </c>
      <c r="D8" s="18">
        <v>80</v>
      </c>
      <c r="E8" s="1">
        <f t="shared" si="0"/>
        <v>1.0282855942978897</v>
      </c>
      <c r="F8" s="4" t="s">
        <v>43</v>
      </c>
      <c r="G8" s="1"/>
      <c r="H8">
        <v>3</v>
      </c>
      <c r="I8" s="1">
        <f t="shared" ref="I8:I17" si="2">SUMIFS($B$27:$B$120,$C$27:$C$120,H8)</f>
        <v>80.831107972486279</v>
      </c>
      <c r="J8" s="1">
        <f t="shared" si="1"/>
        <v>1.0103888496560784</v>
      </c>
    </row>
    <row r="9" spans="1:12" ht="43.2" x14ac:dyDescent="0.55000000000000004">
      <c r="A9" s="24" t="s">
        <v>162</v>
      </c>
      <c r="B9" s="56">
        <v>4</v>
      </c>
      <c r="C9" s="31">
        <v>8</v>
      </c>
      <c r="D9" s="18">
        <v>64</v>
      </c>
      <c r="E9" s="1">
        <f t="shared" si="0"/>
        <v>1.0479508450076391</v>
      </c>
      <c r="F9" s="4" t="s">
        <v>45</v>
      </c>
      <c r="G9" s="1"/>
      <c r="H9">
        <v>4</v>
      </c>
      <c r="I9" s="1">
        <f t="shared" si="2"/>
        <v>61.886648043330709</v>
      </c>
      <c r="J9" s="1">
        <f t="shared" si="1"/>
        <v>0.96697887567704233</v>
      </c>
    </row>
    <row r="10" spans="1:12" ht="43.2" x14ac:dyDescent="0.55000000000000004">
      <c r="A10" s="24" t="s">
        <v>163</v>
      </c>
      <c r="B10" s="56">
        <v>5</v>
      </c>
      <c r="C10" s="31">
        <v>5.5</v>
      </c>
      <c r="D10" s="18">
        <v>44</v>
      </c>
      <c r="E10" s="1">
        <f t="shared" si="0"/>
        <v>1.040609621968775</v>
      </c>
      <c r="F10" s="4" t="s">
        <v>47</v>
      </c>
      <c r="G10" s="1"/>
      <c r="H10">
        <v>5</v>
      </c>
      <c r="I10" s="1">
        <f t="shared" si="2"/>
        <v>43.56934237395118</v>
      </c>
      <c r="J10" s="1">
        <f t="shared" si="1"/>
        <v>0.99021232668070869</v>
      </c>
    </row>
    <row r="11" spans="1:12" ht="43.2" x14ac:dyDescent="0.55000000000000004">
      <c r="A11" s="24" t="s">
        <v>164</v>
      </c>
      <c r="B11" s="56">
        <v>6</v>
      </c>
      <c r="C11" s="31">
        <v>4</v>
      </c>
      <c r="D11" s="18">
        <v>32</v>
      </c>
      <c r="E11" s="1">
        <f t="shared" si="0"/>
        <v>1.0366146496280775</v>
      </c>
      <c r="F11" s="4" t="s">
        <v>49</v>
      </c>
      <c r="G11" s="1"/>
      <c r="H11">
        <v>6</v>
      </c>
      <c r="I11" s="1">
        <f t="shared" si="2"/>
        <v>31.637459127067956</v>
      </c>
      <c r="J11" s="1">
        <f t="shared" si="1"/>
        <v>0.98867059772087362</v>
      </c>
    </row>
    <row r="12" spans="1:12" ht="43.2" x14ac:dyDescent="0.55000000000000004">
      <c r="A12" s="24" t="s">
        <v>165</v>
      </c>
      <c r="B12" s="56">
        <v>7</v>
      </c>
      <c r="C12" s="31">
        <v>3</v>
      </c>
      <c r="D12" s="18">
        <v>24</v>
      </c>
      <c r="E12" s="1">
        <f t="shared" si="0"/>
        <v>1.0519895055086441</v>
      </c>
      <c r="F12" s="4" t="s">
        <v>51</v>
      </c>
      <c r="G12" s="1"/>
      <c r="H12">
        <v>7</v>
      </c>
      <c r="I12" s="1">
        <f t="shared" si="2"/>
        <v>23.264171276223355</v>
      </c>
      <c r="J12" s="1">
        <f t="shared" si="1"/>
        <v>0.96934046984263977</v>
      </c>
    </row>
    <row r="13" spans="1:12" ht="43.2" x14ac:dyDescent="0.55000000000000004">
      <c r="A13" s="24" t="s">
        <v>166</v>
      </c>
      <c r="B13" s="56">
        <v>8</v>
      </c>
      <c r="C13" s="31">
        <v>2</v>
      </c>
      <c r="D13" s="18">
        <v>16</v>
      </c>
      <c r="E13" s="1">
        <f t="shared" si="0"/>
        <v>1.0366146496280775</v>
      </c>
      <c r="F13" s="4" t="s">
        <v>53</v>
      </c>
      <c r="G13" s="1"/>
      <c r="H13">
        <v>8</v>
      </c>
      <c r="I13" s="1">
        <f t="shared" si="2"/>
        <v>15.963865408059469</v>
      </c>
      <c r="J13" s="1">
        <f t="shared" si="1"/>
        <v>0.99774158800371682</v>
      </c>
    </row>
    <row r="14" spans="1:12" ht="43.2" x14ac:dyDescent="0.55000000000000004">
      <c r="A14" s="24" t="s">
        <v>167</v>
      </c>
      <c r="B14" s="56">
        <v>9</v>
      </c>
      <c r="C14" s="31">
        <v>1.5</v>
      </c>
      <c r="D14" s="18">
        <v>12</v>
      </c>
      <c r="E14" s="1">
        <f t="shared" si="0"/>
        <v>1.0519895055086441</v>
      </c>
      <c r="F14" s="4" t="s">
        <v>55</v>
      </c>
      <c r="G14" s="1"/>
      <c r="H14">
        <v>9</v>
      </c>
      <c r="I14" s="1">
        <f t="shared" si="2"/>
        <v>11.632085638111677</v>
      </c>
      <c r="J14" s="1">
        <f t="shared" si="1"/>
        <v>0.96934046984263977</v>
      </c>
    </row>
    <row r="15" spans="1:12" ht="43.2" x14ac:dyDescent="0.55000000000000004">
      <c r="A15" s="24" t="s">
        <v>168</v>
      </c>
      <c r="B15" s="56">
        <v>10</v>
      </c>
      <c r="C15" s="27">
        <v>1</v>
      </c>
      <c r="D15" s="18">
        <v>8</v>
      </c>
      <c r="E15" s="1">
        <f t="shared" si="0"/>
        <v>1.0366146496280775</v>
      </c>
      <c r="F15" s="4" t="s">
        <v>57</v>
      </c>
      <c r="G15" s="1"/>
      <c r="H15">
        <v>10</v>
      </c>
      <c r="I15" s="1">
        <f t="shared" si="2"/>
        <v>7.9819327040297345</v>
      </c>
      <c r="J15" s="1">
        <f t="shared" si="1"/>
        <v>0.99774158800371682</v>
      </c>
    </row>
    <row r="16" spans="1:12" ht="43.2" x14ac:dyDescent="0.55000000000000004">
      <c r="A16" s="24" t="s">
        <v>169</v>
      </c>
      <c r="B16" s="56">
        <v>11</v>
      </c>
      <c r="C16" s="31">
        <v>0.75</v>
      </c>
      <c r="D16" s="18">
        <v>6</v>
      </c>
      <c r="E16" s="1">
        <f t="shared" si="0"/>
        <v>1.0519895055086441</v>
      </c>
      <c r="F16" s="4" t="s">
        <v>170</v>
      </c>
      <c r="G16" s="1"/>
      <c r="H16">
        <v>11</v>
      </c>
      <c r="I16" s="1">
        <f t="shared" si="2"/>
        <v>5.8160428190558386</v>
      </c>
      <c r="J16" s="1">
        <f t="shared" si="1"/>
        <v>0.96934046984263977</v>
      </c>
    </row>
    <row r="17" spans="1:10" ht="14.7" thickBot="1" x14ac:dyDescent="0.6">
      <c r="A17" s="25" t="s">
        <v>171</v>
      </c>
      <c r="B17" s="46">
        <v>12</v>
      </c>
      <c r="C17" s="32">
        <v>0.5</v>
      </c>
      <c r="D17" s="18">
        <v>3</v>
      </c>
      <c r="H17">
        <v>12</v>
      </c>
      <c r="I17" s="1">
        <f t="shared" si="2"/>
        <v>3.0885355096169262</v>
      </c>
      <c r="J17" s="1">
        <f t="shared" si="1"/>
        <v>1.0295118365389755</v>
      </c>
    </row>
    <row r="18" spans="1:10" ht="14.7" thickBot="1" x14ac:dyDescent="0.6">
      <c r="A18" s="30" t="s">
        <v>68</v>
      </c>
      <c r="B18" s="26"/>
      <c r="C18" s="26"/>
      <c r="D18" s="30">
        <v>593</v>
      </c>
      <c r="I18" s="1">
        <f>SUM(I6:I17)</f>
        <v>581.57076734170664</v>
      </c>
      <c r="J18" s="1">
        <f t="shared" si="1"/>
        <v>0.98072642047505332</v>
      </c>
    </row>
    <row r="20" spans="1:10" ht="47.2" customHeight="1" x14ac:dyDescent="0.55000000000000004">
      <c r="A20" s="73" t="s">
        <v>298</v>
      </c>
      <c r="B20" s="2" t="s">
        <v>172</v>
      </c>
      <c r="C20" s="3" t="s">
        <v>173</v>
      </c>
      <c r="D20" s="2" t="s">
        <v>174</v>
      </c>
      <c r="E20" s="2" t="s">
        <v>175</v>
      </c>
      <c r="F20" s="2" t="s">
        <v>176</v>
      </c>
      <c r="G20" s="3" t="s">
        <v>177</v>
      </c>
    </row>
    <row r="21" spans="1:10" x14ac:dyDescent="0.55000000000000004">
      <c r="A21" s="5"/>
      <c r="B21" s="4"/>
      <c r="C21" s="7"/>
      <c r="D21" s="7"/>
      <c r="E21" s="7"/>
      <c r="F21" s="7"/>
    </row>
    <row r="22" spans="1:10" ht="28.8" x14ac:dyDescent="0.55000000000000004">
      <c r="A22" s="5" t="s">
        <v>178</v>
      </c>
      <c r="B22" s="4" t="s">
        <v>296</v>
      </c>
      <c r="C22" s="7">
        <f>'Viewing data'!F11</f>
        <v>225032616</v>
      </c>
      <c r="D22" s="7">
        <f>'Viewing data'!B11</f>
        <v>29294328</v>
      </c>
      <c r="E22" s="7">
        <f>'Viewing data'!C11</f>
        <v>22052172</v>
      </c>
      <c r="F22" s="7">
        <f>'Viewing data'!G11</f>
        <v>276378828</v>
      </c>
      <c r="G22" s="1">
        <f>D22/F22</f>
        <v>0.10599338672931923</v>
      </c>
    </row>
    <row r="23" spans="1:10" ht="43.2" x14ac:dyDescent="0.55000000000000004">
      <c r="A23" s="5" t="s">
        <v>180</v>
      </c>
      <c r="B23" s="4" t="s">
        <v>297</v>
      </c>
      <c r="C23" s="7">
        <f>'Viewing data'!F10</f>
        <v>1246727370</v>
      </c>
      <c r="D23" s="7">
        <f>'Viewing data'!B10</f>
        <v>140133186</v>
      </c>
      <c r="E23" s="7">
        <f>'Viewing data'!C10</f>
        <v>101167938</v>
      </c>
      <c r="F23" s="7">
        <f>'Viewing data'!G10</f>
        <v>1488029502</v>
      </c>
      <c r="G23" s="1">
        <f>D23/F23</f>
        <v>9.4173661081082521E-2</v>
      </c>
    </row>
    <row r="24" spans="1:10" x14ac:dyDescent="0.55000000000000004">
      <c r="F24" t="s">
        <v>182</v>
      </c>
      <c r="G24" s="1">
        <f>AVERAGE(G22:G23)</f>
        <v>0.10008352390520087</v>
      </c>
    </row>
    <row r="26" spans="1:10" ht="28.8" x14ac:dyDescent="0.55000000000000004">
      <c r="A26" s="17" t="s">
        <v>306</v>
      </c>
      <c r="B26" s="3" t="s">
        <v>183</v>
      </c>
      <c r="C26" s="2" t="s">
        <v>277</v>
      </c>
    </row>
    <row r="27" spans="1:10" x14ac:dyDescent="0.55000000000000004">
      <c r="A27" s="60">
        <v>1</v>
      </c>
      <c r="B27" s="1">
        <f>$C$2/($E$5^(A27-1))</f>
        <v>25</v>
      </c>
      <c r="C27">
        <f>ROUNDUP(A27/8,0)</f>
        <v>1</v>
      </c>
    </row>
    <row r="28" spans="1:10" x14ac:dyDescent="0.55000000000000004">
      <c r="A28" s="60">
        <v>2</v>
      </c>
      <c r="B28" s="1">
        <f t="shared" ref="B28:B30" si="3">$C$2/($E$5^(A28-1))</f>
        <v>24.137234615140745</v>
      </c>
      <c r="C28">
        <f t="shared" ref="C28:C91" si="4">ROUNDUP(A28/8,0)</f>
        <v>1</v>
      </c>
    </row>
    <row r="29" spans="1:10" x14ac:dyDescent="0.55000000000000004">
      <c r="A29" s="60">
        <v>3</v>
      </c>
      <c r="B29" s="1">
        <f t="shared" si="3"/>
        <v>23.304243794653942</v>
      </c>
      <c r="C29">
        <f t="shared" si="4"/>
        <v>1</v>
      </c>
    </row>
    <row r="30" spans="1:10" x14ac:dyDescent="0.55000000000000004">
      <c r="A30" s="60">
        <v>4</v>
      </c>
      <c r="B30" s="1">
        <f t="shared" si="3"/>
        <v>22.500000000000004</v>
      </c>
      <c r="C30">
        <f t="shared" si="4"/>
        <v>1</v>
      </c>
    </row>
    <row r="31" spans="1:10" x14ac:dyDescent="0.55000000000000004">
      <c r="A31" s="60">
        <v>5</v>
      </c>
      <c r="B31" s="1">
        <f>$C$6/($E$6^(A31-4))</f>
        <v>21.475889742271487</v>
      </c>
      <c r="C31">
        <f t="shared" si="4"/>
        <v>1</v>
      </c>
    </row>
    <row r="32" spans="1:10" x14ac:dyDescent="0.55000000000000004">
      <c r="A32" s="60">
        <v>6</v>
      </c>
      <c r="B32" s="1">
        <f t="shared" ref="B32:B38" si="5">$C$6/($E$6^(A32-4))</f>
        <v>20.498392898764518</v>
      </c>
      <c r="C32">
        <f t="shared" si="4"/>
        <v>1</v>
      </c>
    </row>
    <row r="33" spans="1:3" x14ac:dyDescent="0.55000000000000004">
      <c r="A33" s="60">
        <v>7</v>
      </c>
      <c r="B33" s="1">
        <f t="shared" si="5"/>
        <v>19.565387812783445</v>
      </c>
      <c r="C33">
        <f t="shared" si="4"/>
        <v>1</v>
      </c>
    </row>
    <row r="34" spans="1:3" x14ac:dyDescent="0.55000000000000004">
      <c r="A34" s="60">
        <v>8</v>
      </c>
      <c r="B34" s="1">
        <f t="shared" si="5"/>
        <v>18.674849396983095</v>
      </c>
      <c r="C34">
        <f t="shared" si="4"/>
        <v>1</v>
      </c>
    </row>
    <row r="35" spans="1:3" x14ac:dyDescent="0.55000000000000004">
      <c r="A35" s="60">
        <v>9</v>
      </c>
      <c r="B35" s="1">
        <f t="shared" si="5"/>
        <v>17.824844737917072</v>
      </c>
      <c r="C35">
        <f t="shared" si="4"/>
        <v>2</v>
      </c>
    </row>
    <row r="36" spans="1:3" x14ac:dyDescent="0.55000000000000004">
      <c r="A36" s="60">
        <v>10</v>
      </c>
      <c r="B36" s="1">
        <f t="shared" si="5"/>
        <v>17.013528900649558</v>
      </c>
      <c r="C36">
        <f t="shared" si="4"/>
        <v>2</v>
      </c>
    </row>
    <row r="37" spans="1:3" x14ac:dyDescent="0.55000000000000004">
      <c r="A37" s="60">
        <v>11</v>
      </c>
      <c r="B37" s="1">
        <f t="shared" si="5"/>
        <v>16.239140924324413</v>
      </c>
      <c r="C37">
        <f t="shared" si="4"/>
        <v>2</v>
      </c>
    </row>
    <row r="38" spans="1:3" x14ac:dyDescent="0.55000000000000004">
      <c r="A38" s="60">
        <v>12</v>
      </c>
      <c r="B38" s="1">
        <f t="shared" si="5"/>
        <v>15.499999999999993</v>
      </c>
      <c r="C38">
        <f t="shared" si="4"/>
        <v>2</v>
      </c>
    </row>
    <row r="39" spans="1:3" x14ac:dyDescent="0.55000000000000004">
      <c r="A39" s="60">
        <v>13</v>
      </c>
      <c r="B39" s="1">
        <f>$C$7/($E$7^(A39-12))</f>
        <v>14.673720276122177</v>
      </c>
      <c r="C39">
        <f t="shared" si="4"/>
        <v>2</v>
      </c>
    </row>
    <row r="40" spans="1:3" x14ac:dyDescent="0.55000000000000004">
      <c r="A40" s="60">
        <v>14</v>
      </c>
      <c r="B40" s="1">
        <f>$C$7/($E$7^(A40-12))</f>
        <v>13.891488176895425</v>
      </c>
      <c r="C40">
        <f t="shared" si="4"/>
        <v>2</v>
      </c>
    </row>
    <row r="41" spans="1:3" x14ac:dyDescent="0.55000000000000004">
      <c r="A41" s="60">
        <v>15</v>
      </c>
      <c r="B41" s="1">
        <f t="shared" ref="B41:B46" si="6">$C$7/($E$7^(A41-12))</f>
        <v>13.15095559527883</v>
      </c>
      <c r="C41">
        <f t="shared" si="4"/>
        <v>2</v>
      </c>
    </row>
    <row r="42" spans="1:3" x14ac:dyDescent="0.55000000000000004">
      <c r="A42" s="60">
        <v>16</v>
      </c>
      <c r="B42" s="1">
        <f t="shared" si="6"/>
        <v>12.449899597988736</v>
      </c>
      <c r="C42">
        <f t="shared" si="4"/>
        <v>2</v>
      </c>
    </row>
    <row r="43" spans="1:3" x14ac:dyDescent="0.55000000000000004">
      <c r="A43" s="60">
        <v>17</v>
      </c>
      <c r="B43" s="1">
        <f t="shared" si="6"/>
        <v>11.786215752689849</v>
      </c>
      <c r="C43">
        <f t="shared" si="4"/>
        <v>3</v>
      </c>
    </row>
    <row r="44" spans="1:3" x14ac:dyDescent="0.55000000000000004">
      <c r="A44" s="60">
        <v>18</v>
      </c>
      <c r="B44" s="1">
        <f t="shared" si="6"/>
        <v>11.157911810902943</v>
      </c>
      <c r="C44">
        <f t="shared" si="4"/>
        <v>3</v>
      </c>
    </row>
    <row r="45" spans="1:3" x14ac:dyDescent="0.55000000000000004">
      <c r="A45" s="60">
        <v>19</v>
      </c>
      <c r="B45" s="1">
        <f t="shared" si="6"/>
        <v>10.563101727666428</v>
      </c>
      <c r="C45">
        <f t="shared" si="4"/>
        <v>3</v>
      </c>
    </row>
    <row r="46" spans="1:3" x14ac:dyDescent="0.55000000000000004">
      <c r="A46" s="60">
        <v>20</v>
      </c>
      <c r="B46" s="1">
        <f t="shared" si="6"/>
        <v>10.000000000000004</v>
      </c>
      <c r="C46">
        <f t="shared" si="4"/>
        <v>3</v>
      </c>
    </row>
    <row r="47" spans="1:3" x14ac:dyDescent="0.55000000000000004">
      <c r="A47" s="60">
        <v>21</v>
      </c>
      <c r="B47" s="1">
        <f>$C$8/($E$8^(A47-20))</f>
        <v>9.7249247246607293</v>
      </c>
      <c r="C47">
        <f t="shared" si="4"/>
        <v>3</v>
      </c>
    </row>
    <row r="48" spans="1:3" x14ac:dyDescent="0.55000000000000004">
      <c r="A48" s="60">
        <v>22</v>
      </c>
      <c r="B48" s="1">
        <f t="shared" ref="B48:B54" si="7">$C$8/($E$8^(A48-20))</f>
        <v>9.4574160900317583</v>
      </c>
      <c r="C48">
        <f t="shared" si="4"/>
        <v>3</v>
      </c>
    </row>
    <row r="49" spans="1:3" x14ac:dyDescent="0.55000000000000004">
      <c r="A49" s="60">
        <v>23</v>
      </c>
      <c r="B49" s="1">
        <f t="shared" si="7"/>
        <v>9.1972659565354054</v>
      </c>
      <c r="C49">
        <f t="shared" si="4"/>
        <v>3</v>
      </c>
    </row>
    <row r="50" spans="1:3" x14ac:dyDescent="0.55000000000000004">
      <c r="A50" s="60">
        <v>24</v>
      </c>
      <c r="B50" s="1">
        <f t="shared" si="7"/>
        <v>8.944271909999161</v>
      </c>
      <c r="C50">
        <f t="shared" si="4"/>
        <v>3</v>
      </c>
    </row>
    <row r="51" spans="1:3" x14ac:dyDescent="0.55000000000000004">
      <c r="A51" s="60">
        <v>25</v>
      </c>
      <c r="B51" s="1">
        <f t="shared" si="7"/>
        <v>8.6982371041639279</v>
      </c>
      <c r="C51">
        <f t="shared" si="4"/>
        <v>4</v>
      </c>
    </row>
    <row r="52" spans="1:3" x14ac:dyDescent="0.55000000000000004">
      <c r="A52" s="60">
        <v>26</v>
      </c>
      <c r="B52" s="1">
        <f t="shared" si="7"/>
        <v>8.4589701075245145</v>
      </c>
      <c r="C52">
        <f t="shared" si="4"/>
        <v>4</v>
      </c>
    </row>
    <row r="53" spans="1:3" x14ac:dyDescent="0.55000000000000004">
      <c r="A53" s="60">
        <v>27</v>
      </c>
      <c r="B53" s="1">
        <f t="shared" si="7"/>
        <v>8.2262847543831175</v>
      </c>
      <c r="C53">
        <f t="shared" si="4"/>
        <v>4</v>
      </c>
    </row>
    <row r="54" spans="1:3" x14ac:dyDescent="0.55000000000000004">
      <c r="A54" s="60">
        <v>28</v>
      </c>
      <c r="B54" s="1">
        <f t="shared" si="7"/>
        <v>8.0000000000000036</v>
      </c>
      <c r="C54">
        <f t="shared" si="4"/>
        <v>4</v>
      </c>
    </row>
    <row r="55" spans="1:3" x14ac:dyDescent="0.55000000000000004">
      <c r="A55" s="60">
        <v>29</v>
      </c>
      <c r="B55" s="1">
        <f>$C$9/($E$9^(A55-28))</f>
        <v>7.6339458459444094</v>
      </c>
      <c r="C55">
        <f t="shared" si="4"/>
        <v>4</v>
      </c>
    </row>
    <row r="56" spans="1:3" x14ac:dyDescent="0.55000000000000004">
      <c r="A56" s="60">
        <v>30</v>
      </c>
      <c r="B56" s="1">
        <f t="shared" ref="B56:B62" si="8">$C$9/($E$9^(A56-28))</f>
        <v>7.2846411473514872</v>
      </c>
      <c r="C56">
        <f t="shared" si="4"/>
        <v>4</v>
      </c>
    </row>
    <row r="57" spans="1:3" x14ac:dyDescent="0.55000000000000004">
      <c r="A57" s="60">
        <v>31</v>
      </c>
      <c r="B57" s="1">
        <f t="shared" si="8"/>
        <v>6.9513195032524493</v>
      </c>
      <c r="C57">
        <f t="shared" si="4"/>
        <v>4</v>
      </c>
    </row>
    <row r="58" spans="1:3" x14ac:dyDescent="0.55000000000000004">
      <c r="A58" s="60">
        <v>32</v>
      </c>
      <c r="B58" s="1">
        <f t="shared" si="8"/>
        <v>6.6332495807107996</v>
      </c>
      <c r="C58">
        <f t="shared" si="4"/>
        <v>4</v>
      </c>
    </row>
    <row r="59" spans="1:3" x14ac:dyDescent="0.55000000000000004">
      <c r="A59" s="60">
        <v>33</v>
      </c>
      <c r="B59" s="1">
        <f t="shared" si="8"/>
        <v>6.3297335102224634</v>
      </c>
      <c r="C59">
        <f t="shared" si="4"/>
        <v>5</v>
      </c>
    </row>
    <row r="60" spans="1:3" x14ac:dyDescent="0.55000000000000004">
      <c r="A60" s="60">
        <v>34</v>
      </c>
      <c r="B60" s="1">
        <f t="shared" si="8"/>
        <v>6.0401053545372365</v>
      </c>
      <c r="C60">
        <f t="shared" si="4"/>
        <v>5</v>
      </c>
    </row>
    <row r="61" spans="1:3" x14ac:dyDescent="0.55000000000000004">
      <c r="A61" s="60">
        <v>35</v>
      </c>
      <c r="B61" s="1">
        <f t="shared" si="8"/>
        <v>5.7637296475420143</v>
      </c>
      <c r="C61">
        <f t="shared" si="4"/>
        <v>5</v>
      </c>
    </row>
    <row r="62" spans="1:3" x14ac:dyDescent="0.55000000000000004">
      <c r="A62" s="60">
        <v>36</v>
      </c>
      <c r="B62" s="1">
        <f t="shared" si="8"/>
        <v>5.5</v>
      </c>
      <c r="C62">
        <f t="shared" si="4"/>
        <v>5</v>
      </c>
    </row>
    <row r="63" spans="1:3" x14ac:dyDescent="0.55000000000000004">
      <c r="A63" s="60">
        <v>37</v>
      </c>
      <c r="B63" s="1">
        <f>$C$10/($E$10^(A63-36))</f>
        <v>5.2853633907346627</v>
      </c>
      <c r="C63">
        <f t="shared" si="4"/>
        <v>5</v>
      </c>
    </row>
    <row r="64" spans="1:3" x14ac:dyDescent="0.55000000000000004">
      <c r="A64" s="60">
        <v>38</v>
      </c>
      <c r="B64" s="1">
        <f t="shared" ref="B64:B70" si="9">$C$10/($E$10^(A64-36))</f>
        <v>5.0791029403851287</v>
      </c>
      <c r="C64">
        <f t="shared" si="4"/>
        <v>5</v>
      </c>
    </row>
    <row r="65" spans="1:3" x14ac:dyDescent="0.55000000000000004">
      <c r="A65" s="60">
        <v>39</v>
      </c>
      <c r="B65" s="1">
        <f t="shared" si="9"/>
        <v>4.8808917707062429</v>
      </c>
      <c r="C65">
        <f t="shared" si="4"/>
        <v>5</v>
      </c>
    </row>
    <row r="66" spans="1:3" x14ac:dyDescent="0.55000000000000004">
      <c r="A66" s="60">
        <v>40</v>
      </c>
      <c r="B66" s="1">
        <f t="shared" si="9"/>
        <v>4.6904157598234297</v>
      </c>
      <c r="C66">
        <f t="shared" si="4"/>
        <v>5</v>
      </c>
    </row>
    <row r="67" spans="1:3" x14ac:dyDescent="0.55000000000000004">
      <c r="A67" s="60">
        <v>41</v>
      </c>
      <c r="B67" s="1">
        <f t="shared" si="9"/>
        <v>4.5073730444173927</v>
      </c>
      <c r="C67">
        <f t="shared" si="4"/>
        <v>6</v>
      </c>
    </row>
    <row r="68" spans="1:3" x14ac:dyDescent="0.55000000000000004">
      <c r="A68" s="60">
        <v>42</v>
      </c>
      <c r="B68" s="1">
        <f t="shared" si="9"/>
        <v>4.3314735413359866</v>
      </c>
      <c r="C68">
        <f t="shared" si="4"/>
        <v>6</v>
      </c>
    </row>
    <row r="69" spans="1:3" x14ac:dyDescent="0.55000000000000004">
      <c r="A69" s="60">
        <v>43</v>
      </c>
      <c r="B69" s="1">
        <f t="shared" si="9"/>
        <v>4.1624384878750993</v>
      </c>
      <c r="C69">
        <f t="shared" si="4"/>
        <v>6</v>
      </c>
    </row>
    <row r="70" spans="1:3" x14ac:dyDescent="0.55000000000000004">
      <c r="A70" s="60">
        <v>44</v>
      </c>
      <c r="B70" s="1">
        <f t="shared" si="9"/>
        <v>4</v>
      </c>
      <c r="C70">
        <f t="shared" si="4"/>
        <v>6</v>
      </c>
    </row>
    <row r="71" spans="1:3" x14ac:dyDescent="0.55000000000000004">
      <c r="A71" s="60">
        <v>45</v>
      </c>
      <c r="B71" s="1">
        <f>$C$11/($E$11^(A71-44))</f>
        <v>3.858714519841238</v>
      </c>
      <c r="C71">
        <f t="shared" si="4"/>
        <v>6</v>
      </c>
    </row>
    <row r="72" spans="1:3" x14ac:dyDescent="0.55000000000000004">
      <c r="A72" s="60">
        <v>46</v>
      </c>
      <c r="B72" s="1">
        <f t="shared" ref="B72:B77" si="10">$C$11/($E$11^(A72-44))</f>
        <v>3.7224194364083991</v>
      </c>
      <c r="C72">
        <f t="shared" si="4"/>
        <v>6</v>
      </c>
    </row>
    <row r="73" spans="1:3" x14ac:dyDescent="0.55000000000000004">
      <c r="A73" s="60">
        <v>47</v>
      </c>
      <c r="B73" s="1">
        <f t="shared" si="10"/>
        <v>3.5909384820520818</v>
      </c>
      <c r="C73">
        <f t="shared" si="4"/>
        <v>6</v>
      </c>
    </row>
    <row r="74" spans="1:3" x14ac:dyDescent="0.55000000000000004">
      <c r="A74" s="60">
        <v>48</v>
      </c>
      <c r="B74" s="1">
        <f t="shared" si="10"/>
        <v>3.4641016151377553</v>
      </c>
      <c r="C74">
        <f t="shared" si="4"/>
        <v>6</v>
      </c>
    </row>
    <row r="75" spans="1:3" x14ac:dyDescent="0.55000000000000004">
      <c r="A75" s="60">
        <v>49</v>
      </c>
      <c r="B75" s="1">
        <f t="shared" si="10"/>
        <v>3.3417448001343852</v>
      </c>
      <c r="C75">
        <f t="shared" si="4"/>
        <v>7</v>
      </c>
    </row>
    <row r="76" spans="1:3" x14ac:dyDescent="0.55000000000000004">
      <c r="A76" s="60">
        <v>50</v>
      </c>
      <c r="B76" s="1">
        <f t="shared" si="10"/>
        <v>3.2237097954706271</v>
      </c>
      <c r="C76">
        <f t="shared" si="4"/>
        <v>7</v>
      </c>
    </row>
    <row r="77" spans="1:3" x14ac:dyDescent="0.55000000000000004">
      <c r="A77" s="60">
        <v>51</v>
      </c>
      <c r="B77" s="1">
        <f t="shared" si="10"/>
        <v>3.1098439488842344</v>
      </c>
      <c r="C77">
        <f t="shared" si="4"/>
        <v>7</v>
      </c>
    </row>
    <row r="78" spans="1:3" x14ac:dyDescent="0.55000000000000004">
      <c r="A78" s="60">
        <v>52</v>
      </c>
      <c r="B78" s="1">
        <f>$C$11/($E$11^(A78-44))</f>
        <v>3.0000000000000018</v>
      </c>
      <c r="C78">
        <f t="shared" si="4"/>
        <v>7</v>
      </c>
    </row>
    <row r="79" spans="1:3" x14ac:dyDescent="0.55000000000000004">
      <c r="A79" s="60">
        <v>53</v>
      </c>
      <c r="B79" s="1">
        <f>$C$12/($E$12^(A79-52))</f>
        <v>2.8517394748624221</v>
      </c>
      <c r="C79">
        <f t="shared" si="4"/>
        <v>7</v>
      </c>
    </row>
    <row r="80" spans="1:3" x14ac:dyDescent="0.55000000000000004">
      <c r="A80" s="60">
        <v>54</v>
      </c>
      <c r="B80" s="1">
        <f t="shared" ref="B80:B86" si="11">$C$12/($E$12^(A80-52))</f>
        <v>2.7108060108295349</v>
      </c>
      <c r="C80">
        <f t="shared" si="4"/>
        <v>7</v>
      </c>
    </row>
    <row r="81" spans="1:3" x14ac:dyDescent="0.55000000000000004">
      <c r="A81" s="60">
        <v>55</v>
      </c>
      <c r="B81" s="1">
        <f t="shared" si="11"/>
        <v>2.5768375032589717</v>
      </c>
      <c r="C81">
        <f t="shared" si="4"/>
        <v>7</v>
      </c>
    </row>
    <row r="82" spans="1:3" x14ac:dyDescent="0.55000000000000004">
      <c r="A82" s="60">
        <v>56</v>
      </c>
      <c r="B82" s="1">
        <f t="shared" si="11"/>
        <v>2.4494897427831788</v>
      </c>
      <c r="C82">
        <f t="shared" si="4"/>
        <v>7</v>
      </c>
    </row>
    <row r="83" spans="1:3" x14ac:dyDescent="0.55000000000000004">
      <c r="A83" s="60">
        <v>57</v>
      </c>
      <c r="B83" s="1">
        <f t="shared" si="11"/>
        <v>2.3284355309217974</v>
      </c>
      <c r="C83">
        <f t="shared" si="4"/>
        <v>8</v>
      </c>
    </row>
    <row r="84" spans="1:3" x14ac:dyDescent="0.55000000000000004">
      <c r="A84" s="60">
        <v>58</v>
      </c>
      <c r="B84" s="1">
        <f t="shared" si="11"/>
        <v>2.2133638394006439</v>
      </c>
      <c r="C84">
        <f t="shared" si="4"/>
        <v>8</v>
      </c>
    </row>
    <row r="85" spans="1:3" x14ac:dyDescent="0.55000000000000004">
      <c r="A85" s="60">
        <v>59</v>
      </c>
      <c r="B85" s="1">
        <f t="shared" si="11"/>
        <v>2.1039790110172891</v>
      </c>
      <c r="C85">
        <f t="shared" si="4"/>
        <v>8</v>
      </c>
    </row>
    <row r="86" spans="1:3" x14ac:dyDescent="0.55000000000000004">
      <c r="A86" s="60">
        <v>60</v>
      </c>
      <c r="B86" s="1">
        <f t="shared" si="11"/>
        <v>2.0000000000000013</v>
      </c>
      <c r="C86">
        <f t="shared" si="4"/>
        <v>8</v>
      </c>
    </row>
    <row r="87" spans="1:3" x14ac:dyDescent="0.55000000000000004">
      <c r="A87" s="60">
        <v>61</v>
      </c>
      <c r="B87" s="1">
        <f>$C$13/($E$13^(A87-60))</f>
        <v>1.929357259920619</v>
      </c>
      <c r="C87">
        <f t="shared" si="4"/>
        <v>8</v>
      </c>
    </row>
    <row r="88" spans="1:3" x14ac:dyDescent="0.55000000000000004">
      <c r="A88" s="60">
        <v>62</v>
      </c>
      <c r="B88" s="1">
        <f t="shared" ref="B88:B94" si="12">$C$13/($E$13^(A88-60))</f>
        <v>1.8612097182041996</v>
      </c>
      <c r="C88">
        <f t="shared" si="4"/>
        <v>8</v>
      </c>
    </row>
    <row r="89" spans="1:3" x14ac:dyDescent="0.55000000000000004">
      <c r="A89" s="60">
        <v>63</v>
      </c>
      <c r="B89" s="1">
        <f t="shared" si="12"/>
        <v>1.7954692410260409</v>
      </c>
      <c r="C89">
        <f t="shared" si="4"/>
        <v>8</v>
      </c>
    </row>
    <row r="90" spans="1:3" x14ac:dyDescent="0.55000000000000004">
      <c r="A90" s="60">
        <v>64</v>
      </c>
      <c r="B90" s="1">
        <f t="shared" si="12"/>
        <v>1.7320508075688776</v>
      </c>
      <c r="C90">
        <f t="shared" si="4"/>
        <v>8</v>
      </c>
    </row>
    <row r="91" spans="1:3" x14ac:dyDescent="0.55000000000000004">
      <c r="A91" s="60">
        <v>65</v>
      </c>
      <c r="B91" s="1">
        <f t="shared" si="12"/>
        <v>1.6708724000671926</v>
      </c>
      <c r="C91">
        <f t="shared" si="4"/>
        <v>9</v>
      </c>
    </row>
    <row r="92" spans="1:3" x14ac:dyDescent="0.55000000000000004">
      <c r="A92" s="60">
        <v>66</v>
      </c>
      <c r="B92" s="1">
        <f t="shared" si="12"/>
        <v>1.6118548977353135</v>
      </c>
      <c r="C92">
        <f t="shared" ref="C92:C120" si="13">ROUNDUP(A92/8,0)</f>
        <v>9</v>
      </c>
    </row>
    <row r="93" spans="1:3" x14ac:dyDescent="0.55000000000000004">
      <c r="A93" s="60">
        <v>67</v>
      </c>
      <c r="B93" s="1">
        <f t="shared" si="12"/>
        <v>1.5549219744421172</v>
      </c>
      <c r="C93">
        <f t="shared" si="13"/>
        <v>9</v>
      </c>
    </row>
    <row r="94" spans="1:3" x14ac:dyDescent="0.55000000000000004">
      <c r="A94" s="60">
        <v>68</v>
      </c>
      <c r="B94" s="1">
        <f t="shared" si="12"/>
        <v>1.5000000000000009</v>
      </c>
      <c r="C94">
        <f t="shared" si="13"/>
        <v>9</v>
      </c>
    </row>
    <row r="95" spans="1:3" x14ac:dyDescent="0.55000000000000004">
      <c r="A95" s="60">
        <v>69</v>
      </c>
      <c r="B95" s="1">
        <f>$C$14/($E$14^(A95-68))</f>
        <v>1.425869737431211</v>
      </c>
      <c r="C95">
        <f t="shared" si="13"/>
        <v>9</v>
      </c>
    </row>
    <row r="96" spans="1:3" x14ac:dyDescent="0.55000000000000004">
      <c r="A96" s="60">
        <v>70</v>
      </c>
      <c r="B96" s="1">
        <f t="shared" ref="B96:B102" si="14">$C$14/($E$14^(A96-68))</f>
        <v>1.3554030054147674</v>
      </c>
      <c r="C96">
        <f t="shared" si="13"/>
        <v>9</v>
      </c>
    </row>
    <row r="97" spans="1:3" x14ac:dyDescent="0.55000000000000004">
      <c r="A97" s="60">
        <v>71</v>
      </c>
      <c r="B97" s="1">
        <f t="shared" si="14"/>
        <v>1.2884187516294858</v>
      </c>
      <c r="C97">
        <f t="shared" si="13"/>
        <v>9</v>
      </c>
    </row>
    <row r="98" spans="1:3" x14ac:dyDescent="0.55000000000000004">
      <c r="A98" s="60">
        <v>72</v>
      </c>
      <c r="B98" s="1">
        <f t="shared" si="14"/>
        <v>1.2247448713915894</v>
      </c>
      <c r="C98">
        <f t="shared" si="13"/>
        <v>9</v>
      </c>
    </row>
    <row r="99" spans="1:3" x14ac:dyDescent="0.55000000000000004">
      <c r="A99" s="60">
        <v>73</v>
      </c>
      <c r="B99" s="1">
        <f t="shared" si="14"/>
        <v>1.1642177654608987</v>
      </c>
      <c r="C99">
        <f t="shared" si="13"/>
        <v>10</v>
      </c>
    </row>
    <row r="100" spans="1:3" x14ac:dyDescent="0.55000000000000004">
      <c r="A100" s="60">
        <v>74</v>
      </c>
      <c r="B100" s="1">
        <f t="shared" si="14"/>
        <v>1.1066819197003219</v>
      </c>
      <c r="C100">
        <f t="shared" si="13"/>
        <v>10</v>
      </c>
    </row>
    <row r="101" spans="1:3" x14ac:dyDescent="0.55000000000000004">
      <c r="A101" s="60">
        <v>75</v>
      </c>
      <c r="B101" s="1">
        <f t="shared" si="14"/>
        <v>1.0519895055086446</v>
      </c>
      <c r="C101">
        <f t="shared" si="13"/>
        <v>10</v>
      </c>
    </row>
    <row r="102" spans="1:3" x14ac:dyDescent="0.55000000000000004">
      <c r="A102" s="60">
        <v>76</v>
      </c>
      <c r="B102" s="1">
        <f t="shared" si="14"/>
        <v>1.0000000000000007</v>
      </c>
      <c r="C102">
        <f t="shared" si="13"/>
        <v>10</v>
      </c>
    </row>
    <row r="103" spans="1:3" x14ac:dyDescent="0.55000000000000004">
      <c r="A103" s="60">
        <v>77</v>
      </c>
      <c r="B103" s="1">
        <f>$C$15/($E$15^(A103-76))</f>
        <v>0.96467862996030951</v>
      </c>
      <c r="C103">
        <f t="shared" si="13"/>
        <v>10</v>
      </c>
    </row>
    <row r="104" spans="1:3" x14ac:dyDescent="0.55000000000000004">
      <c r="A104" s="60">
        <v>78</v>
      </c>
      <c r="B104" s="1">
        <f t="shared" ref="B104:B110" si="15">$C$15/($E$15^(A104-76))</f>
        <v>0.93060485910209978</v>
      </c>
      <c r="C104">
        <f t="shared" si="13"/>
        <v>10</v>
      </c>
    </row>
    <row r="105" spans="1:3" x14ac:dyDescent="0.55000000000000004">
      <c r="A105" s="60">
        <v>79</v>
      </c>
      <c r="B105" s="1">
        <f t="shared" si="15"/>
        <v>0.89773462051302044</v>
      </c>
      <c r="C105">
        <f t="shared" si="13"/>
        <v>10</v>
      </c>
    </row>
    <row r="106" spans="1:3" x14ac:dyDescent="0.55000000000000004">
      <c r="A106" s="60">
        <v>80</v>
      </c>
      <c r="B106" s="1">
        <f t="shared" si="15"/>
        <v>0.86602540378443882</v>
      </c>
      <c r="C106">
        <f t="shared" si="13"/>
        <v>10</v>
      </c>
    </row>
    <row r="107" spans="1:3" x14ac:dyDescent="0.55000000000000004">
      <c r="A107" s="60">
        <v>81</v>
      </c>
      <c r="B107" s="1">
        <f t="shared" si="15"/>
        <v>0.83543620003359631</v>
      </c>
      <c r="C107">
        <f t="shared" si="13"/>
        <v>11</v>
      </c>
    </row>
    <row r="108" spans="1:3" x14ac:dyDescent="0.55000000000000004">
      <c r="A108" s="60">
        <v>82</v>
      </c>
      <c r="B108" s="1">
        <f t="shared" si="15"/>
        <v>0.80592744886765677</v>
      </c>
      <c r="C108">
        <f t="shared" si="13"/>
        <v>11</v>
      </c>
    </row>
    <row r="109" spans="1:3" x14ac:dyDescent="0.55000000000000004">
      <c r="A109" s="60">
        <v>83</v>
      </c>
      <c r="B109" s="1">
        <f t="shared" si="15"/>
        <v>0.77746098722105861</v>
      </c>
      <c r="C109">
        <f t="shared" si="13"/>
        <v>11</v>
      </c>
    </row>
    <row r="110" spans="1:3" x14ac:dyDescent="0.55000000000000004">
      <c r="A110" s="60">
        <v>84</v>
      </c>
      <c r="B110" s="1">
        <f t="shared" si="15"/>
        <v>0.75000000000000044</v>
      </c>
      <c r="C110">
        <f t="shared" si="13"/>
        <v>11</v>
      </c>
    </row>
    <row r="111" spans="1:3" x14ac:dyDescent="0.55000000000000004">
      <c r="A111" s="60">
        <v>85</v>
      </c>
      <c r="B111" s="1">
        <f>$C$16/($E$16^(A111-84))</f>
        <v>0.71293486871560552</v>
      </c>
      <c r="C111">
        <f t="shared" si="13"/>
        <v>11</v>
      </c>
    </row>
    <row r="112" spans="1:3" x14ac:dyDescent="0.55000000000000004">
      <c r="A112" s="60">
        <v>86</v>
      </c>
      <c r="B112" s="1">
        <f t="shared" ref="B112:B120" si="16">$C$16/($E$16^(A112-84))</f>
        <v>0.67770150270738372</v>
      </c>
      <c r="C112">
        <f t="shared" si="13"/>
        <v>11</v>
      </c>
    </row>
    <row r="113" spans="1:15" x14ac:dyDescent="0.55000000000000004">
      <c r="A113" s="60">
        <v>87</v>
      </c>
      <c r="B113" s="1">
        <f t="shared" si="16"/>
        <v>0.64420937581474291</v>
      </c>
      <c r="C113">
        <f t="shared" si="13"/>
        <v>11</v>
      </c>
    </row>
    <row r="114" spans="1:15" x14ac:dyDescent="0.55000000000000004">
      <c r="A114" s="60">
        <v>88</v>
      </c>
      <c r="B114" s="1">
        <f t="shared" si="16"/>
        <v>0.61237243569579469</v>
      </c>
      <c r="C114">
        <f t="shared" si="13"/>
        <v>11</v>
      </c>
    </row>
    <row r="115" spans="1:15" x14ac:dyDescent="0.55000000000000004">
      <c r="A115" s="60">
        <v>89</v>
      </c>
      <c r="B115" s="1">
        <f t="shared" si="16"/>
        <v>0.58210888273044936</v>
      </c>
      <c r="C115">
        <f t="shared" si="13"/>
        <v>12</v>
      </c>
    </row>
    <row r="116" spans="1:15" x14ac:dyDescent="0.55000000000000004">
      <c r="A116" s="60">
        <v>90</v>
      </c>
      <c r="B116" s="1">
        <f t="shared" si="16"/>
        <v>0.55334095985016096</v>
      </c>
      <c r="C116">
        <f t="shared" si="13"/>
        <v>12</v>
      </c>
    </row>
    <row r="117" spans="1:15" x14ac:dyDescent="0.55000000000000004">
      <c r="A117" s="60">
        <v>91</v>
      </c>
      <c r="B117" s="1">
        <f t="shared" si="16"/>
        <v>0.52599475275432228</v>
      </c>
      <c r="C117">
        <f t="shared" si="13"/>
        <v>12</v>
      </c>
    </row>
    <row r="118" spans="1:15" x14ac:dyDescent="0.55000000000000004">
      <c r="A118" s="60">
        <v>92</v>
      </c>
      <c r="B118" s="1">
        <f t="shared" si="16"/>
        <v>0.50000000000000033</v>
      </c>
      <c r="C118">
        <f t="shared" si="13"/>
        <v>12</v>
      </c>
    </row>
    <row r="119" spans="1:15" x14ac:dyDescent="0.55000000000000004">
      <c r="A119" s="60">
        <v>93</v>
      </c>
      <c r="B119" s="1">
        <f t="shared" si="16"/>
        <v>0.47528991247707064</v>
      </c>
      <c r="C119">
        <f t="shared" si="13"/>
        <v>12</v>
      </c>
    </row>
    <row r="120" spans="1:15" x14ac:dyDescent="0.55000000000000004">
      <c r="A120" s="60">
        <v>94</v>
      </c>
      <c r="B120" s="1">
        <f t="shared" si="16"/>
        <v>0.45180100180492272</v>
      </c>
      <c r="C120">
        <f t="shared" si="13"/>
        <v>12</v>
      </c>
    </row>
    <row r="123" spans="1:15" ht="28.8" x14ac:dyDescent="0.55000000000000004">
      <c r="A123" s="3" t="s">
        <v>70</v>
      </c>
    </row>
    <row r="124" spans="1:15" ht="28.8" x14ac:dyDescent="0.55000000000000004">
      <c r="A124" s="9" t="s">
        <v>71</v>
      </c>
      <c r="B124" s="8"/>
      <c r="C124" s="9" t="s">
        <v>72</v>
      </c>
      <c r="D124" s="9" t="s">
        <v>73</v>
      </c>
    </row>
    <row r="125" spans="1:15" ht="72" x14ac:dyDescent="0.55000000000000004">
      <c r="A125" s="4" t="s">
        <v>307</v>
      </c>
      <c r="B125" s="4"/>
      <c r="C125" s="4" t="s">
        <v>204</v>
      </c>
      <c r="D125" s="4" t="s">
        <v>205</v>
      </c>
    </row>
    <row r="126" spans="1:15" x14ac:dyDescent="0.55000000000000004">
      <c r="A126" s="4"/>
      <c r="B126" s="4"/>
      <c r="C126" s="4"/>
      <c r="D126" s="4"/>
    </row>
    <row r="127" spans="1:15" ht="28.8" x14ac:dyDescent="0.55000000000000004">
      <c r="A127" s="4" t="s">
        <v>184</v>
      </c>
    </row>
    <row r="128" spans="1:15" ht="72" x14ac:dyDescent="0.55000000000000004">
      <c r="A128" s="9" t="s">
        <v>316</v>
      </c>
      <c r="B128" s="8" t="s">
        <v>74</v>
      </c>
      <c r="C128" s="9"/>
      <c r="D128" s="9" t="s">
        <v>76</v>
      </c>
      <c r="E128" s="9" t="s">
        <v>334</v>
      </c>
      <c r="F128" s="9" t="s">
        <v>328</v>
      </c>
      <c r="G128" s="9"/>
      <c r="H128" s="9"/>
      <c r="I128" s="9"/>
      <c r="J128" s="9" t="s">
        <v>78</v>
      </c>
      <c r="K128" s="9" t="s">
        <v>79</v>
      </c>
      <c r="L128" s="9" t="s">
        <v>80</v>
      </c>
      <c r="M128" s="9" t="s">
        <v>81</v>
      </c>
      <c r="N128" s="9" t="s">
        <v>82</v>
      </c>
      <c r="O128" s="9" t="s">
        <v>83</v>
      </c>
    </row>
    <row r="129" spans="1:15" x14ac:dyDescent="0.55000000000000004">
      <c r="A129" t="s">
        <v>155</v>
      </c>
      <c r="B129" t="s">
        <v>85</v>
      </c>
      <c r="D129">
        <f t="shared" ref="D129:D156" si="17">IF(B129="BBC",0,1)</f>
        <v>0</v>
      </c>
      <c r="E129">
        <v>16</v>
      </c>
      <c r="F129" s="1">
        <f t="shared" ref="F129:F156" si="18">VLOOKUP(E129,$A$27:$B$120,2,FALSE)</f>
        <v>12.449899597988736</v>
      </c>
      <c r="H129" s="1"/>
      <c r="I129" s="6"/>
      <c r="J129">
        <v>16</v>
      </c>
      <c r="K129" s="1">
        <f t="shared" ref="K129:K156" si="19">VLOOKUP(J129,$A$27:$B$120,2,FALSE)</f>
        <v>12.449899597988736</v>
      </c>
      <c r="L129" s="1">
        <f t="shared" ref="L129:L156" si="20">K129-$F129</f>
        <v>0</v>
      </c>
      <c r="M129">
        <v>16</v>
      </c>
      <c r="N129" s="1">
        <f t="shared" ref="N129:N156" si="21">VLOOKUP(M129,$A$27:$B$120,2,FALSE)</f>
        <v>12.449899597988736</v>
      </c>
      <c r="O129" s="1">
        <f t="shared" ref="O129:O156" si="22">N129-$F129</f>
        <v>0</v>
      </c>
    </row>
    <row r="130" spans="1:15" x14ac:dyDescent="0.55000000000000004">
      <c r="A130" t="s">
        <v>186</v>
      </c>
      <c r="B130" t="s">
        <v>187</v>
      </c>
      <c r="D130">
        <f t="shared" si="17"/>
        <v>1</v>
      </c>
      <c r="E130">
        <v>17</v>
      </c>
      <c r="F130" s="1">
        <f t="shared" si="18"/>
        <v>11.786215752689849</v>
      </c>
      <c r="H130" s="1"/>
      <c r="I130" s="6"/>
      <c r="J130">
        <v>17</v>
      </c>
      <c r="K130" s="1">
        <f t="shared" si="19"/>
        <v>11.786215752689849</v>
      </c>
      <c r="L130" s="1">
        <f t="shared" si="20"/>
        <v>0</v>
      </c>
      <c r="M130">
        <v>17</v>
      </c>
      <c r="N130" s="1">
        <f t="shared" si="21"/>
        <v>11.786215752689849</v>
      </c>
      <c r="O130" s="1">
        <f t="shared" si="22"/>
        <v>0</v>
      </c>
    </row>
    <row r="131" spans="1:15" x14ac:dyDescent="0.55000000000000004">
      <c r="A131" t="s">
        <v>95</v>
      </c>
      <c r="B131" t="s">
        <v>93</v>
      </c>
      <c r="D131">
        <f t="shared" si="17"/>
        <v>1</v>
      </c>
      <c r="E131">
        <v>18</v>
      </c>
      <c r="F131" s="1">
        <f t="shared" si="18"/>
        <v>11.157911810902943</v>
      </c>
      <c r="H131" s="1"/>
      <c r="I131" s="6"/>
      <c r="J131">
        <v>18</v>
      </c>
      <c r="K131" s="1">
        <f t="shared" si="19"/>
        <v>11.157911810902943</v>
      </c>
      <c r="L131" s="1">
        <f t="shared" si="20"/>
        <v>0</v>
      </c>
      <c r="M131">
        <v>18</v>
      </c>
      <c r="N131" s="1">
        <f t="shared" si="21"/>
        <v>11.157911810902943</v>
      </c>
      <c r="O131" s="1">
        <f t="shared" si="22"/>
        <v>0</v>
      </c>
    </row>
    <row r="132" spans="1:15" x14ac:dyDescent="0.55000000000000004">
      <c r="A132" t="s">
        <v>97</v>
      </c>
      <c r="B132" t="s">
        <v>93</v>
      </c>
      <c r="D132">
        <f t="shared" si="17"/>
        <v>1</v>
      </c>
      <c r="E132">
        <v>19</v>
      </c>
      <c r="F132" s="1">
        <f t="shared" si="18"/>
        <v>10.563101727666428</v>
      </c>
      <c r="H132" s="1"/>
      <c r="I132" s="6"/>
      <c r="J132">
        <v>19</v>
      </c>
      <c r="K132" s="1">
        <f t="shared" si="19"/>
        <v>10.563101727666428</v>
      </c>
      <c r="L132" s="1">
        <f t="shared" si="20"/>
        <v>0</v>
      </c>
      <c r="M132">
        <v>19</v>
      </c>
      <c r="N132" s="1">
        <f t="shared" si="21"/>
        <v>10.563101727666428</v>
      </c>
      <c r="O132" s="1">
        <f t="shared" si="22"/>
        <v>0</v>
      </c>
    </row>
    <row r="133" spans="1:15" x14ac:dyDescent="0.55000000000000004">
      <c r="A133" t="s">
        <v>98</v>
      </c>
      <c r="B133" t="s">
        <v>93</v>
      </c>
      <c r="D133">
        <f t="shared" si="17"/>
        <v>1</v>
      </c>
      <c r="E133">
        <v>20</v>
      </c>
      <c r="F133" s="1">
        <f t="shared" si="18"/>
        <v>10.000000000000004</v>
      </c>
      <c r="H133" s="1"/>
      <c r="I133" s="6"/>
      <c r="J133">
        <v>20</v>
      </c>
      <c r="K133" s="1">
        <f t="shared" si="19"/>
        <v>10.000000000000004</v>
      </c>
      <c r="L133" s="1">
        <f t="shared" si="20"/>
        <v>0</v>
      </c>
      <c r="M133">
        <v>20</v>
      </c>
      <c r="N133" s="1">
        <f t="shared" si="21"/>
        <v>10.000000000000004</v>
      </c>
      <c r="O133" s="1">
        <f t="shared" si="22"/>
        <v>0</v>
      </c>
    </row>
    <row r="134" spans="1:15" x14ac:dyDescent="0.55000000000000004">
      <c r="A134" t="s">
        <v>188</v>
      </c>
      <c r="B134" t="s">
        <v>88</v>
      </c>
      <c r="D134">
        <f t="shared" si="17"/>
        <v>1</v>
      </c>
      <c r="E134">
        <v>21</v>
      </c>
      <c r="F134" s="1">
        <f t="shared" si="18"/>
        <v>9.7249247246607293</v>
      </c>
      <c r="H134" s="1"/>
      <c r="I134" s="6"/>
      <c r="J134">
        <v>21</v>
      </c>
      <c r="K134" s="1">
        <f t="shared" si="19"/>
        <v>9.7249247246607293</v>
      </c>
      <c r="L134" s="1">
        <f t="shared" si="20"/>
        <v>0</v>
      </c>
      <c r="M134">
        <v>21</v>
      </c>
      <c r="N134" s="1">
        <f t="shared" si="21"/>
        <v>9.7249247246607293</v>
      </c>
      <c r="O134" s="1">
        <f t="shared" si="22"/>
        <v>0</v>
      </c>
    </row>
    <row r="135" spans="1:15" x14ac:dyDescent="0.55000000000000004">
      <c r="A135" t="s">
        <v>102</v>
      </c>
      <c r="B135" t="s">
        <v>88</v>
      </c>
      <c r="D135">
        <f t="shared" si="17"/>
        <v>1</v>
      </c>
      <c r="E135">
        <v>22</v>
      </c>
      <c r="F135" s="1">
        <f t="shared" si="18"/>
        <v>9.4574160900317583</v>
      </c>
      <c r="H135" s="1"/>
      <c r="I135" s="6"/>
      <c r="J135">
        <v>22</v>
      </c>
      <c r="K135" s="1">
        <f t="shared" si="19"/>
        <v>9.4574160900317583</v>
      </c>
      <c r="L135" s="1">
        <f t="shared" si="20"/>
        <v>0</v>
      </c>
      <c r="M135">
        <v>22</v>
      </c>
      <c r="N135" s="1">
        <f t="shared" si="21"/>
        <v>9.4574160900317583</v>
      </c>
      <c r="O135" s="1">
        <f t="shared" si="22"/>
        <v>0</v>
      </c>
    </row>
    <row r="136" spans="1:15" x14ac:dyDescent="0.55000000000000004">
      <c r="A136" t="s">
        <v>101</v>
      </c>
      <c r="B136" t="s">
        <v>88</v>
      </c>
      <c r="D136">
        <f t="shared" si="17"/>
        <v>1</v>
      </c>
      <c r="E136">
        <v>23</v>
      </c>
      <c r="F136" s="1">
        <f t="shared" si="18"/>
        <v>9.1972659565354054</v>
      </c>
      <c r="H136" s="1"/>
      <c r="I136" s="6"/>
      <c r="J136">
        <v>25</v>
      </c>
      <c r="K136" s="1">
        <f t="shared" si="19"/>
        <v>8.6982371041639279</v>
      </c>
      <c r="L136" s="1">
        <f t="shared" si="20"/>
        <v>-0.49902885237147743</v>
      </c>
      <c r="M136">
        <v>23</v>
      </c>
      <c r="N136" s="1">
        <f t="shared" si="21"/>
        <v>9.1972659565354054</v>
      </c>
      <c r="O136" s="1">
        <f t="shared" si="22"/>
        <v>0</v>
      </c>
    </row>
    <row r="137" spans="1:15" x14ac:dyDescent="0.55000000000000004">
      <c r="A137" t="s">
        <v>142</v>
      </c>
      <c r="B137" t="s">
        <v>189</v>
      </c>
      <c r="D137">
        <f t="shared" si="17"/>
        <v>1</v>
      </c>
      <c r="E137">
        <v>24</v>
      </c>
      <c r="F137" s="1">
        <f t="shared" si="18"/>
        <v>8.944271909999161</v>
      </c>
      <c r="H137" s="1"/>
      <c r="I137" s="6"/>
      <c r="J137">
        <v>26</v>
      </c>
      <c r="K137" s="1">
        <f t="shared" si="19"/>
        <v>8.4589701075245145</v>
      </c>
      <c r="L137" s="1">
        <f t="shared" si="20"/>
        <v>-0.48530180247464649</v>
      </c>
      <c r="M137">
        <v>24</v>
      </c>
      <c r="N137" s="1">
        <f t="shared" si="21"/>
        <v>8.944271909999161</v>
      </c>
      <c r="O137" s="1">
        <f t="shared" si="22"/>
        <v>0</v>
      </c>
    </row>
    <row r="138" spans="1:15" x14ac:dyDescent="0.55000000000000004">
      <c r="A138" t="s">
        <v>190</v>
      </c>
      <c r="B138" t="s">
        <v>190</v>
      </c>
      <c r="D138">
        <f t="shared" si="17"/>
        <v>1</v>
      </c>
      <c r="E138">
        <v>25</v>
      </c>
      <c r="F138" s="1">
        <f t="shared" si="18"/>
        <v>8.6982371041639279</v>
      </c>
      <c r="H138" s="1"/>
      <c r="I138" s="6"/>
      <c r="J138">
        <v>27</v>
      </c>
      <c r="K138" s="1">
        <f t="shared" si="19"/>
        <v>8.2262847543831175</v>
      </c>
      <c r="L138" s="1">
        <f t="shared" si="20"/>
        <v>-0.47195234978081047</v>
      </c>
      <c r="M138">
        <v>25</v>
      </c>
      <c r="N138" s="1">
        <f t="shared" si="21"/>
        <v>8.6982371041639279</v>
      </c>
      <c r="O138" s="1">
        <f t="shared" si="22"/>
        <v>0</v>
      </c>
    </row>
    <row r="139" spans="1:15" x14ac:dyDescent="0.55000000000000004">
      <c r="A139" t="s">
        <v>115</v>
      </c>
      <c r="B139" t="s">
        <v>116</v>
      </c>
      <c r="D139">
        <f t="shared" si="17"/>
        <v>1</v>
      </c>
      <c r="E139">
        <v>26</v>
      </c>
      <c r="F139" s="1">
        <f t="shared" si="18"/>
        <v>8.4589701075245145</v>
      </c>
      <c r="H139" s="1"/>
      <c r="I139" s="6"/>
      <c r="J139">
        <v>28</v>
      </c>
      <c r="K139" s="1">
        <f t="shared" si="19"/>
        <v>8.0000000000000036</v>
      </c>
      <c r="L139" s="1">
        <f t="shared" si="20"/>
        <v>-0.45897010752451095</v>
      </c>
      <c r="M139">
        <v>26</v>
      </c>
      <c r="N139" s="1">
        <f t="shared" si="21"/>
        <v>8.4589701075245145</v>
      </c>
      <c r="O139" s="1">
        <f t="shared" si="22"/>
        <v>0</v>
      </c>
    </row>
    <row r="140" spans="1:15" x14ac:dyDescent="0.55000000000000004">
      <c r="A140" t="s">
        <v>336</v>
      </c>
      <c r="B140" t="s">
        <v>116</v>
      </c>
      <c r="D140">
        <f t="shared" si="17"/>
        <v>1</v>
      </c>
      <c r="E140">
        <v>27</v>
      </c>
      <c r="F140" s="1">
        <f t="shared" si="18"/>
        <v>8.2262847543831175</v>
      </c>
      <c r="H140" s="1"/>
      <c r="I140" s="6"/>
      <c r="J140">
        <v>29</v>
      </c>
      <c r="K140" s="1">
        <f t="shared" si="19"/>
        <v>7.6339458459444094</v>
      </c>
      <c r="L140" s="1">
        <f t="shared" si="20"/>
        <v>-0.59233890843870807</v>
      </c>
      <c r="M140">
        <v>27</v>
      </c>
      <c r="N140" s="1">
        <f t="shared" si="21"/>
        <v>8.2262847543831175</v>
      </c>
      <c r="O140" s="1">
        <f t="shared" si="22"/>
        <v>0</v>
      </c>
    </row>
    <row r="141" spans="1:15" x14ac:dyDescent="0.55000000000000004">
      <c r="A141" t="s">
        <v>192</v>
      </c>
      <c r="B141" t="s">
        <v>116</v>
      </c>
      <c r="D141">
        <f t="shared" si="17"/>
        <v>1</v>
      </c>
      <c r="E141">
        <v>28</v>
      </c>
      <c r="F141" s="1">
        <f t="shared" si="18"/>
        <v>8.0000000000000036</v>
      </c>
      <c r="H141" s="1"/>
      <c r="I141" s="6"/>
      <c r="J141">
        <v>30</v>
      </c>
      <c r="K141" s="1">
        <f t="shared" si="19"/>
        <v>7.2846411473514872</v>
      </c>
      <c r="L141" s="1">
        <f t="shared" si="20"/>
        <v>-0.7153588526485164</v>
      </c>
      <c r="M141">
        <v>28</v>
      </c>
      <c r="N141" s="1">
        <f t="shared" si="21"/>
        <v>8.0000000000000036</v>
      </c>
      <c r="O141" s="1">
        <f t="shared" si="22"/>
        <v>0</v>
      </c>
    </row>
    <row r="142" spans="1:15" x14ac:dyDescent="0.55000000000000004">
      <c r="A142" t="s">
        <v>193</v>
      </c>
      <c r="B142" t="s">
        <v>142</v>
      </c>
      <c r="D142">
        <f t="shared" si="17"/>
        <v>1</v>
      </c>
      <c r="E142">
        <v>29</v>
      </c>
      <c r="F142" s="1">
        <f t="shared" si="18"/>
        <v>7.6339458459444094</v>
      </c>
      <c r="H142" s="1"/>
      <c r="I142" s="6"/>
      <c r="J142">
        <v>31</v>
      </c>
      <c r="K142" s="1">
        <f t="shared" si="19"/>
        <v>6.9513195032524493</v>
      </c>
      <c r="L142" s="1">
        <f t="shared" si="20"/>
        <v>-0.6826263426919601</v>
      </c>
      <c r="M142">
        <v>29</v>
      </c>
      <c r="N142" s="1">
        <f t="shared" si="21"/>
        <v>7.6339458459444094</v>
      </c>
      <c r="O142" s="1">
        <f t="shared" si="22"/>
        <v>0</v>
      </c>
    </row>
    <row r="143" spans="1:15" x14ac:dyDescent="0.55000000000000004">
      <c r="A143" t="s">
        <v>194</v>
      </c>
      <c r="B143" t="s">
        <v>195</v>
      </c>
      <c r="D143">
        <f t="shared" si="17"/>
        <v>1</v>
      </c>
      <c r="E143">
        <v>30</v>
      </c>
      <c r="F143" s="1">
        <f t="shared" si="18"/>
        <v>7.2846411473514872</v>
      </c>
      <c r="H143" s="1"/>
      <c r="I143" s="6"/>
      <c r="J143">
        <v>32</v>
      </c>
      <c r="K143" s="1">
        <f t="shared" si="19"/>
        <v>6.6332495807107996</v>
      </c>
      <c r="L143" s="1">
        <f t="shared" si="20"/>
        <v>-0.65139156664068754</v>
      </c>
      <c r="M143">
        <v>30</v>
      </c>
      <c r="N143" s="1">
        <f t="shared" si="21"/>
        <v>7.2846411473514872</v>
      </c>
      <c r="O143" s="1">
        <f t="shared" si="22"/>
        <v>0</v>
      </c>
    </row>
    <row r="144" spans="1:15" x14ac:dyDescent="0.55000000000000004">
      <c r="A144" t="s">
        <v>99</v>
      </c>
      <c r="B144" t="s">
        <v>93</v>
      </c>
      <c r="D144">
        <f t="shared" si="17"/>
        <v>1</v>
      </c>
      <c r="E144">
        <v>31</v>
      </c>
      <c r="F144" s="1">
        <f t="shared" si="18"/>
        <v>6.9513195032524493</v>
      </c>
      <c r="H144" s="1"/>
      <c r="I144" s="6"/>
      <c r="J144">
        <v>33</v>
      </c>
      <c r="K144" s="1">
        <f t="shared" si="19"/>
        <v>6.3297335102224634</v>
      </c>
      <c r="L144" s="1">
        <f t="shared" si="20"/>
        <v>-0.62158599302998585</v>
      </c>
      <c r="M144">
        <v>33</v>
      </c>
      <c r="N144" s="1">
        <f t="shared" si="21"/>
        <v>6.3297335102224634</v>
      </c>
      <c r="O144" s="1">
        <f t="shared" si="22"/>
        <v>-0.62158599302998585</v>
      </c>
    </row>
    <row r="145" spans="1:15" x14ac:dyDescent="0.55000000000000004">
      <c r="A145" t="s">
        <v>107</v>
      </c>
      <c r="B145" t="s">
        <v>105</v>
      </c>
      <c r="D145">
        <f t="shared" si="17"/>
        <v>1</v>
      </c>
      <c r="E145">
        <v>32</v>
      </c>
      <c r="F145" s="1">
        <f t="shared" si="18"/>
        <v>6.6332495807107996</v>
      </c>
      <c r="H145" s="1"/>
      <c r="I145" s="6"/>
      <c r="J145">
        <v>34</v>
      </c>
      <c r="K145" s="1">
        <f t="shared" si="19"/>
        <v>6.0401053545372365</v>
      </c>
      <c r="L145" s="1">
        <f t="shared" si="20"/>
        <v>-0.5931442261735631</v>
      </c>
      <c r="M145">
        <v>34</v>
      </c>
      <c r="N145" s="1">
        <f t="shared" si="21"/>
        <v>6.0401053545372365</v>
      </c>
      <c r="O145" s="1">
        <f t="shared" si="22"/>
        <v>-0.5931442261735631</v>
      </c>
    </row>
    <row r="146" spans="1:15" x14ac:dyDescent="0.55000000000000004">
      <c r="A146" t="s">
        <v>196</v>
      </c>
      <c r="B146" t="s">
        <v>105</v>
      </c>
      <c r="D146">
        <f t="shared" si="17"/>
        <v>1</v>
      </c>
      <c r="E146">
        <v>33</v>
      </c>
      <c r="F146" s="1">
        <f t="shared" si="18"/>
        <v>6.3297335102224634</v>
      </c>
      <c r="H146" s="1"/>
      <c r="I146" s="6"/>
      <c r="J146">
        <v>35</v>
      </c>
      <c r="K146" s="1">
        <f t="shared" si="19"/>
        <v>5.7637296475420143</v>
      </c>
      <c r="L146" s="1">
        <f t="shared" si="20"/>
        <v>-0.56600386268044911</v>
      </c>
      <c r="M146">
        <v>35</v>
      </c>
      <c r="N146" s="1">
        <f t="shared" si="21"/>
        <v>5.7637296475420143</v>
      </c>
      <c r="O146" s="1">
        <f t="shared" si="22"/>
        <v>-0.56600386268044911</v>
      </c>
    </row>
    <row r="147" spans="1:15" x14ac:dyDescent="0.55000000000000004">
      <c r="A147" t="s">
        <v>153</v>
      </c>
      <c r="B147" t="s">
        <v>197</v>
      </c>
      <c r="D147">
        <f t="shared" si="17"/>
        <v>1</v>
      </c>
      <c r="E147">
        <v>34</v>
      </c>
      <c r="F147" s="1">
        <f t="shared" si="18"/>
        <v>6.0401053545372365</v>
      </c>
      <c r="H147" s="1"/>
      <c r="I147" s="6"/>
      <c r="J147">
        <v>36</v>
      </c>
      <c r="K147" s="1">
        <f t="shared" si="19"/>
        <v>5.5</v>
      </c>
      <c r="L147" s="1">
        <f t="shared" si="20"/>
        <v>-0.54010535453723652</v>
      </c>
      <c r="M147">
        <v>36</v>
      </c>
      <c r="N147" s="1">
        <f t="shared" si="21"/>
        <v>5.5</v>
      </c>
      <c r="O147" s="1">
        <f t="shared" si="22"/>
        <v>-0.54010535453723652</v>
      </c>
    </row>
    <row r="148" spans="1:15" x14ac:dyDescent="0.55000000000000004">
      <c r="A148" t="s">
        <v>198</v>
      </c>
      <c r="B148" t="s">
        <v>197</v>
      </c>
      <c r="D148">
        <f t="shared" si="17"/>
        <v>1</v>
      </c>
      <c r="E148">
        <v>35</v>
      </c>
      <c r="F148" s="1">
        <f t="shared" si="18"/>
        <v>5.7637296475420143</v>
      </c>
      <c r="H148" s="1"/>
      <c r="I148" s="6"/>
      <c r="J148">
        <v>37</v>
      </c>
      <c r="K148" s="1">
        <f t="shared" si="19"/>
        <v>5.2853633907346627</v>
      </c>
      <c r="L148" s="1">
        <f t="shared" si="20"/>
        <v>-0.47836625680735168</v>
      </c>
      <c r="M148">
        <v>37</v>
      </c>
      <c r="N148" s="1">
        <f t="shared" si="21"/>
        <v>5.2853633907346627</v>
      </c>
      <c r="O148" s="1">
        <f t="shared" si="22"/>
        <v>-0.47836625680735168</v>
      </c>
    </row>
    <row r="149" spans="1:15" x14ac:dyDescent="0.55000000000000004">
      <c r="A149" t="s">
        <v>199</v>
      </c>
      <c r="B149" t="s">
        <v>197</v>
      </c>
      <c r="D149">
        <f t="shared" si="17"/>
        <v>1</v>
      </c>
      <c r="E149">
        <v>36</v>
      </c>
      <c r="F149" s="1">
        <f t="shared" si="18"/>
        <v>5.5</v>
      </c>
      <c r="H149" s="1"/>
      <c r="I149" s="6"/>
      <c r="J149">
        <v>38</v>
      </c>
      <c r="K149" s="1">
        <f t="shared" si="19"/>
        <v>5.0791029403851287</v>
      </c>
      <c r="L149" s="1">
        <f t="shared" si="20"/>
        <v>-0.42089705961487134</v>
      </c>
      <c r="M149">
        <v>38</v>
      </c>
      <c r="N149" s="1">
        <f t="shared" si="21"/>
        <v>5.0791029403851287</v>
      </c>
      <c r="O149" s="1">
        <f t="shared" si="22"/>
        <v>-0.42089705961487134</v>
      </c>
    </row>
    <row r="150" spans="1:15" x14ac:dyDescent="0.55000000000000004">
      <c r="A150" t="s">
        <v>200</v>
      </c>
      <c r="B150" t="s">
        <v>197</v>
      </c>
      <c r="D150">
        <f t="shared" si="17"/>
        <v>1</v>
      </c>
      <c r="E150">
        <v>37</v>
      </c>
      <c r="F150" s="1">
        <f t="shared" si="18"/>
        <v>5.2853633907346627</v>
      </c>
      <c r="H150" s="1"/>
      <c r="I150" s="6"/>
      <c r="J150">
        <v>39</v>
      </c>
      <c r="K150" s="1">
        <f t="shared" si="19"/>
        <v>4.8808917707062429</v>
      </c>
      <c r="L150" s="1">
        <f t="shared" si="20"/>
        <v>-0.40447162002841974</v>
      </c>
      <c r="M150">
        <v>39</v>
      </c>
      <c r="N150" s="1">
        <f t="shared" si="21"/>
        <v>4.8808917707062429</v>
      </c>
      <c r="O150" s="1">
        <f t="shared" si="22"/>
        <v>-0.40447162002841974</v>
      </c>
    </row>
    <row r="151" spans="1:15" x14ac:dyDescent="0.55000000000000004">
      <c r="A151" t="s">
        <v>201</v>
      </c>
      <c r="B151" t="s">
        <v>197</v>
      </c>
      <c r="D151">
        <f t="shared" si="17"/>
        <v>1</v>
      </c>
      <c r="E151">
        <v>38</v>
      </c>
      <c r="F151" s="1">
        <f t="shared" si="18"/>
        <v>5.0791029403851287</v>
      </c>
      <c r="H151" s="1"/>
      <c r="I151" s="6"/>
      <c r="J151">
        <v>40</v>
      </c>
      <c r="K151" s="1">
        <f t="shared" si="19"/>
        <v>4.6904157598234297</v>
      </c>
      <c r="L151" s="1">
        <f t="shared" si="20"/>
        <v>-0.38868718056169893</v>
      </c>
      <c r="M151">
        <v>40</v>
      </c>
      <c r="N151" s="1">
        <f t="shared" si="21"/>
        <v>4.6904157598234297</v>
      </c>
      <c r="O151" s="1">
        <f t="shared" si="22"/>
        <v>-0.38868718056169893</v>
      </c>
    </row>
    <row r="152" spans="1:15" x14ac:dyDescent="0.55000000000000004">
      <c r="A152" t="s">
        <v>202</v>
      </c>
      <c r="B152" t="s">
        <v>197</v>
      </c>
      <c r="D152">
        <f t="shared" si="17"/>
        <v>1</v>
      </c>
      <c r="E152">
        <v>39</v>
      </c>
      <c r="F152" s="1">
        <f t="shared" si="18"/>
        <v>4.8808917707062429</v>
      </c>
      <c r="H152" s="1"/>
      <c r="I152" s="6"/>
      <c r="J152">
        <v>41</v>
      </c>
      <c r="K152" s="1">
        <f t="shared" si="19"/>
        <v>4.5073730444173927</v>
      </c>
      <c r="L152" s="1">
        <f t="shared" si="20"/>
        <v>-0.37351872628885019</v>
      </c>
      <c r="M152">
        <v>41</v>
      </c>
      <c r="N152" s="1">
        <f t="shared" si="21"/>
        <v>4.5073730444173927</v>
      </c>
      <c r="O152" s="1">
        <f t="shared" si="22"/>
        <v>-0.37351872628885019</v>
      </c>
    </row>
    <row r="153" spans="1:15" x14ac:dyDescent="0.55000000000000004">
      <c r="A153" t="s">
        <v>203</v>
      </c>
      <c r="B153" t="s">
        <v>190</v>
      </c>
      <c r="D153">
        <f t="shared" si="17"/>
        <v>1</v>
      </c>
      <c r="E153">
        <v>40</v>
      </c>
      <c r="F153" s="1">
        <f t="shared" si="18"/>
        <v>4.6904157598234297</v>
      </c>
      <c r="H153" s="1"/>
      <c r="I153" s="6"/>
      <c r="J153">
        <v>42</v>
      </c>
      <c r="K153" s="1">
        <f t="shared" si="19"/>
        <v>4.3314735413359866</v>
      </c>
      <c r="L153" s="1">
        <f t="shared" si="20"/>
        <v>-0.35894221848744312</v>
      </c>
      <c r="M153">
        <v>42</v>
      </c>
      <c r="N153" s="1">
        <f t="shared" si="21"/>
        <v>4.3314735413359866</v>
      </c>
      <c r="O153" s="1">
        <f t="shared" si="22"/>
        <v>-0.35894221848744312</v>
      </c>
    </row>
    <row r="154" spans="1:15" x14ac:dyDescent="0.55000000000000004">
      <c r="A154" t="s">
        <v>148</v>
      </c>
      <c r="B154" t="s">
        <v>85</v>
      </c>
      <c r="D154">
        <f t="shared" si="17"/>
        <v>0</v>
      </c>
      <c r="E154">
        <v>41</v>
      </c>
      <c r="F154" s="1">
        <f t="shared" si="18"/>
        <v>4.5073730444173927</v>
      </c>
      <c r="H154" s="1"/>
      <c r="I154" s="6"/>
      <c r="J154">
        <v>23</v>
      </c>
      <c r="K154" s="1">
        <f t="shared" si="19"/>
        <v>9.1972659565354054</v>
      </c>
      <c r="L154" s="1">
        <f t="shared" si="20"/>
        <v>4.6898929121180126</v>
      </c>
      <c r="M154">
        <v>31</v>
      </c>
      <c r="N154" s="1">
        <f t="shared" si="21"/>
        <v>6.9513195032524493</v>
      </c>
      <c r="O154" s="1">
        <f t="shared" si="22"/>
        <v>2.4439464588350566</v>
      </c>
    </row>
    <row r="155" spans="1:15" x14ac:dyDescent="0.55000000000000004">
      <c r="A155" t="s">
        <v>110</v>
      </c>
      <c r="B155" t="s">
        <v>105</v>
      </c>
      <c r="D155">
        <f t="shared" si="17"/>
        <v>1</v>
      </c>
      <c r="E155">
        <v>42</v>
      </c>
      <c r="F155" s="1">
        <f t="shared" si="18"/>
        <v>4.3314735413359866</v>
      </c>
      <c r="H155" s="1"/>
      <c r="I155" s="6"/>
      <c r="J155">
        <v>43</v>
      </c>
      <c r="K155" s="1">
        <f t="shared" si="19"/>
        <v>4.1624384878750993</v>
      </c>
      <c r="L155" s="1">
        <f t="shared" si="20"/>
        <v>-0.16903505346088732</v>
      </c>
      <c r="M155">
        <v>43</v>
      </c>
      <c r="N155" s="1">
        <f t="shared" si="21"/>
        <v>4.1624384878750993</v>
      </c>
      <c r="O155" s="1">
        <f t="shared" si="22"/>
        <v>-0.16903505346088732</v>
      </c>
    </row>
    <row r="156" spans="1:15" x14ac:dyDescent="0.55000000000000004">
      <c r="A156" t="s">
        <v>84</v>
      </c>
      <c r="B156" t="s">
        <v>85</v>
      </c>
      <c r="D156">
        <f t="shared" si="17"/>
        <v>0</v>
      </c>
      <c r="E156">
        <v>43</v>
      </c>
      <c r="F156" s="1">
        <f t="shared" si="18"/>
        <v>4.1624384878750993</v>
      </c>
      <c r="H156" s="1"/>
      <c r="I156" s="6"/>
      <c r="J156">
        <v>24</v>
      </c>
      <c r="K156" s="1">
        <f t="shared" si="19"/>
        <v>8.944271909999161</v>
      </c>
      <c r="L156" s="1">
        <f t="shared" si="20"/>
        <v>4.7818334221240617</v>
      </c>
      <c r="M156">
        <v>32</v>
      </c>
      <c r="N156" s="1">
        <f t="shared" si="21"/>
        <v>6.6332495807107996</v>
      </c>
      <c r="O156" s="1">
        <f t="shared" si="22"/>
        <v>2.4708110928357003</v>
      </c>
    </row>
    <row r="157" spans="1:15" ht="28.8" x14ac:dyDescent="0.55000000000000004">
      <c r="A157" s="4" t="s">
        <v>330</v>
      </c>
      <c r="I157" s="6"/>
      <c r="L157" s="1">
        <f>-((SUMIFS(L129:L156,$D$129:$D$156,1,L129:L156,"&lt;0"))*($G$24))</f>
        <v>0.94796374899663727</v>
      </c>
      <c r="O157" s="1">
        <f>-((SUMIFS(O129:O156,$D$129:$D$156,1,O129:O156,"&lt;0"))*($G$24))</f>
        <v>0.49188625491090671</v>
      </c>
    </row>
    <row r="158" spans="1:15" x14ac:dyDescent="0.55000000000000004">
      <c r="A158" t="s">
        <v>154</v>
      </c>
      <c r="I158" s="62"/>
      <c r="L158" s="62">
        <f>COUNTIFS(L129:L156,"&lt;0",$D$129:$D$156,1)</f>
        <v>19</v>
      </c>
      <c r="O158" s="62">
        <f>COUNTIFS(O129:O156,"&lt;0",$D$129:$D$156,1)</f>
        <v>11</v>
      </c>
    </row>
    <row r="159" spans="1:15" x14ac:dyDescent="0.55000000000000004">
      <c r="A159" t="s">
        <v>335</v>
      </c>
    </row>
  </sheetData>
  <mergeCells count="1">
    <mergeCell ref="A4:D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407F8-4E06-4E09-A367-1ED505A49A2A}">
  <dimension ref="A2:O76"/>
  <sheetViews>
    <sheetView workbookViewId="0"/>
  </sheetViews>
  <sheetFormatPr defaultRowHeight="14.4" x14ac:dyDescent="0.55000000000000004"/>
  <cols>
    <col min="1" max="1" width="35.47265625" bestFit="1" customWidth="1"/>
    <col min="2" max="2" width="21.26171875" customWidth="1"/>
    <col min="3" max="3" width="10.7890625" customWidth="1"/>
    <col min="4" max="4" width="13.47265625" customWidth="1"/>
    <col min="5" max="5" width="11.734375" bestFit="1" customWidth="1"/>
    <col min="6" max="6" width="12.05078125" customWidth="1"/>
    <col min="7" max="7" width="12.05078125" bestFit="1" customWidth="1"/>
    <col min="8" max="8" width="9.7890625" customWidth="1"/>
  </cols>
  <sheetData>
    <row r="2" spans="1:9" ht="28.8" x14ac:dyDescent="0.55000000000000004">
      <c r="B2" s="73" t="s">
        <v>295</v>
      </c>
      <c r="C2" s="2" t="s">
        <v>172</v>
      </c>
      <c r="D2" s="2" t="s">
        <v>173</v>
      </c>
      <c r="E2" s="2" t="s">
        <v>174</v>
      </c>
      <c r="F2" s="2" t="s">
        <v>175</v>
      </c>
      <c r="G2" s="2" t="s">
        <v>176</v>
      </c>
      <c r="H2" s="3" t="s">
        <v>207</v>
      </c>
    </row>
    <row r="3" spans="1:9" x14ac:dyDescent="0.55000000000000004">
      <c r="B3" s="5"/>
      <c r="C3" s="4"/>
      <c r="D3" s="7"/>
      <c r="E3" s="7"/>
      <c r="F3" s="7"/>
      <c r="G3" s="7"/>
    </row>
    <row r="4" spans="1:9" ht="57.6" x14ac:dyDescent="0.55000000000000004">
      <c r="B4" s="5" t="s">
        <v>178</v>
      </c>
      <c r="C4" s="4" t="s">
        <v>179</v>
      </c>
      <c r="D4" s="7">
        <f>'Viewing data'!F11</f>
        <v>225032616</v>
      </c>
      <c r="E4" s="7">
        <f>'Viewing data'!B11</f>
        <v>29294328</v>
      </c>
      <c r="F4" s="7">
        <f>'Viewing data'!C11</f>
        <v>22052172</v>
      </c>
      <c r="G4" s="7">
        <f>'Viewing data'!G11</f>
        <v>276378828</v>
      </c>
      <c r="H4" s="1">
        <f>F4/G4</f>
        <v>7.9789657404582381E-2</v>
      </c>
    </row>
    <row r="5" spans="1:9" ht="57.6" x14ac:dyDescent="0.55000000000000004">
      <c r="B5" s="5" t="s">
        <v>180</v>
      </c>
      <c r="C5" s="4" t="s">
        <v>181</v>
      </c>
      <c r="D5" s="7">
        <f>'Viewing data'!F10</f>
        <v>1246727370</v>
      </c>
      <c r="E5" s="7">
        <f>'Viewing data'!B10</f>
        <v>140133186</v>
      </c>
      <c r="F5" s="7">
        <f>'Viewing data'!C10</f>
        <v>101167938</v>
      </c>
      <c r="G5" s="7">
        <f>'Viewing data'!G10</f>
        <v>1488029502</v>
      </c>
      <c r="H5" s="1">
        <f>F5/G5</f>
        <v>6.7987857676225019E-2</v>
      </c>
    </row>
    <row r="6" spans="1:9" x14ac:dyDescent="0.55000000000000004">
      <c r="G6" t="s">
        <v>182</v>
      </c>
      <c r="H6" s="1">
        <f>AVERAGE(H4:H5)</f>
        <v>7.3888757540403693E-2</v>
      </c>
    </row>
    <row r="9" spans="1:9" x14ac:dyDescent="0.55000000000000004">
      <c r="A9" t="s">
        <v>208</v>
      </c>
    </row>
    <row r="10" spans="1:9" ht="28.8" x14ac:dyDescent="0.55000000000000004">
      <c r="A10" t="s">
        <v>209</v>
      </c>
      <c r="B10" s="4" t="s">
        <v>312</v>
      </c>
    </row>
    <row r="11" spans="1:9" ht="28.8" x14ac:dyDescent="0.55000000000000004">
      <c r="A11" s="4" t="s">
        <v>184</v>
      </c>
      <c r="B11" s="4"/>
    </row>
    <row r="12" spans="1:9" ht="57.6" x14ac:dyDescent="0.55000000000000004">
      <c r="A12" s="9" t="s">
        <v>316</v>
      </c>
      <c r="B12" s="8" t="s">
        <v>74</v>
      </c>
      <c r="C12" s="9"/>
      <c r="D12" s="9" t="s">
        <v>76</v>
      </c>
      <c r="E12" s="9" t="s">
        <v>77</v>
      </c>
      <c r="F12" s="9" t="s">
        <v>210</v>
      </c>
      <c r="G12" s="9" t="s">
        <v>328</v>
      </c>
      <c r="H12" s="9" t="s">
        <v>211</v>
      </c>
      <c r="I12" s="9" t="s">
        <v>212</v>
      </c>
    </row>
    <row r="13" spans="1:9" x14ac:dyDescent="0.55000000000000004">
      <c r="A13" t="s">
        <v>213</v>
      </c>
      <c r="B13" t="s">
        <v>88</v>
      </c>
      <c r="D13">
        <f t="shared" ref="D13:D22" si="0">IF(B13="BBC",0,1)</f>
        <v>1</v>
      </c>
      <c r="E13">
        <v>8</v>
      </c>
      <c r="F13">
        <v>9</v>
      </c>
      <c r="G13" s="1">
        <f>VLOOKUP(E13,'Sky-Gen Ent-Scotland'!$A$27:$B$120,2,FALSE)</f>
        <v>18.674849396983095</v>
      </c>
      <c r="H13" s="1">
        <f>VLOOKUP(F13,'Sky-Gen Ent-Scotland'!$A$27:$B$120,2,FALSE)</f>
        <v>17.824844737917072</v>
      </c>
      <c r="I13" s="1">
        <f>H13-G13</f>
        <v>-0.85000465906602329</v>
      </c>
    </row>
    <row r="14" spans="1:9" x14ac:dyDescent="0.55000000000000004">
      <c r="A14" t="s">
        <v>106</v>
      </c>
      <c r="B14" t="s">
        <v>105</v>
      </c>
      <c r="D14">
        <f t="shared" si="0"/>
        <v>1</v>
      </c>
      <c r="E14">
        <v>9</v>
      </c>
      <c r="F14">
        <v>10</v>
      </c>
      <c r="G14" s="1">
        <f>VLOOKUP(E14,'Sky-Gen Ent-Scotland'!$A$27:$B$120,2,FALSE)</f>
        <v>17.824844737917072</v>
      </c>
      <c r="H14" s="1">
        <f>VLOOKUP(F14,'Sky-Gen Ent-Scotland'!$A$27:$B$120,2,FALSE)</f>
        <v>17.013528900649558</v>
      </c>
      <c r="I14" s="1">
        <f t="shared" ref="I14:I22" si="1">H14-G14</f>
        <v>-0.81131583726751444</v>
      </c>
    </row>
    <row r="15" spans="1:9" x14ac:dyDescent="0.55000000000000004">
      <c r="A15" t="s">
        <v>104</v>
      </c>
      <c r="B15" t="s">
        <v>105</v>
      </c>
      <c r="D15">
        <f t="shared" si="0"/>
        <v>1</v>
      </c>
      <c r="E15">
        <v>10</v>
      </c>
      <c r="F15">
        <v>11</v>
      </c>
      <c r="G15" s="1">
        <f>VLOOKUP(E15,'Sky-Gen Ent-Scotland'!$A$27:$B$120,2,FALSE)</f>
        <v>17.013528900649558</v>
      </c>
      <c r="H15" s="1">
        <f>VLOOKUP(F15,'Sky-Gen Ent-Scotland'!$A$27:$B$120,2,FALSE)</f>
        <v>16.239140924324413</v>
      </c>
      <c r="I15" s="1">
        <f t="shared" si="1"/>
        <v>-0.77438797632514422</v>
      </c>
    </row>
    <row r="16" spans="1:9" x14ac:dyDescent="0.55000000000000004">
      <c r="A16" t="s">
        <v>108</v>
      </c>
      <c r="B16" t="s">
        <v>105</v>
      </c>
      <c r="D16">
        <f t="shared" si="0"/>
        <v>1</v>
      </c>
      <c r="E16">
        <v>11</v>
      </c>
      <c r="F16">
        <v>12</v>
      </c>
      <c r="G16" s="1">
        <f>VLOOKUP(E16,'Sky-Gen Ent-Scotland'!$A$27:$B$120,2,FALSE)</f>
        <v>16.239140924324413</v>
      </c>
      <c r="H16" s="1">
        <f>VLOOKUP(F16,'Sky-Gen Ent-Scotland'!$A$27:$B$120,2,FALSE)</f>
        <v>15.499999999999993</v>
      </c>
      <c r="I16" s="1">
        <f t="shared" si="1"/>
        <v>-0.73914092432442047</v>
      </c>
    </row>
    <row r="17" spans="1:9" x14ac:dyDescent="0.55000000000000004">
      <c r="A17" t="s">
        <v>113</v>
      </c>
      <c r="B17" t="s">
        <v>116</v>
      </c>
      <c r="D17">
        <f t="shared" si="0"/>
        <v>1</v>
      </c>
      <c r="E17">
        <v>12</v>
      </c>
      <c r="F17">
        <v>13</v>
      </c>
      <c r="G17" s="1">
        <f>VLOOKUP(E17,'Sky-Gen Ent-Scotland'!$A$27:$B$120,2,FALSE)</f>
        <v>15.499999999999993</v>
      </c>
      <c r="H17" s="1">
        <f>VLOOKUP(F17,'Sky-Gen Ent-Scotland'!$A$27:$B$120,2,FALSE)</f>
        <v>14.673720276122177</v>
      </c>
      <c r="I17" s="1">
        <f t="shared" si="1"/>
        <v>-0.8262797238778159</v>
      </c>
    </row>
    <row r="18" spans="1:9" x14ac:dyDescent="0.55000000000000004">
      <c r="A18" t="s">
        <v>206</v>
      </c>
      <c r="B18" t="s">
        <v>118</v>
      </c>
      <c r="D18">
        <f t="shared" si="0"/>
        <v>1</v>
      </c>
      <c r="E18">
        <v>13</v>
      </c>
      <c r="F18">
        <v>14</v>
      </c>
      <c r="G18" s="1">
        <f>VLOOKUP(E18,'Sky-Gen Ent-Scotland'!$A$27:$B$120,2,FALSE)</f>
        <v>14.673720276122177</v>
      </c>
      <c r="H18" s="1">
        <f>VLOOKUP(F18,'Sky-Gen Ent-Scotland'!$A$27:$B$120,2,FALSE)</f>
        <v>13.891488176895425</v>
      </c>
      <c r="I18" s="1">
        <f t="shared" si="1"/>
        <v>-0.78223209922675174</v>
      </c>
    </row>
    <row r="19" spans="1:9" x14ac:dyDescent="0.55000000000000004">
      <c r="A19" t="s">
        <v>117</v>
      </c>
      <c r="B19" t="s">
        <v>118</v>
      </c>
      <c r="D19">
        <f t="shared" si="0"/>
        <v>1</v>
      </c>
      <c r="E19">
        <v>14</v>
      </c>
      <c r="F19">
        <v>15</v>
      </c>
      <c r="G19" s="1">
        <f>VLOOKUP(E19,'Sky-Gen Ent-Scotland'!$A$27:$B$120,2,FALSE)</f>
        <v>13.891488176895425</v>
      </c>
      <c r="H19" s="1">
        <f>VLOOKUP(F19,'Sky-Gen Ent-Scotland'!$A$27:$B$120,2,FALSE)</f>
        <v>13.15095559527883</v>
      </c>
      <c r="I19" s="1">
        <f t="shared" si="1"/>
        <v>-0.74053258161659485</v>
      </c>
    </row>
    <row r="20" spans="1:9" x14ac:dyDescent="0.55000000000000004">
      <c r="A20" t="s">
        <v>214</v>
      </c>
      <c r="B20" t="s">
        <v>85</v>
      </c>
      <c r="D20">
        <f t="shared" si="0"/>
        <v>0</v>
      </c>
      <c r="E20">
        <v>15</v>
      </c>
      <c r="F20">
        <v>17</v>
      </c>
      <c r="G20" s="1">
        <f>VLOOKUP(E20,'Sky-Gen Ent-Scotland'!$A$27:$B$120,2,FALSE)</f>
        <v>13.15095559527883</v>
      </c>
      <c r="H20" s="1">
        <f>VLOOKUP(F20,'Sky-Gen Ent-Scotland'!$A$27:$B$120,2,FALSE)</f>
        <v>11.786215752689849</v>
      </c>
      <c r="I20" s="1">
        <f t="shared" si="1"/>
        <v>-1.3647398425889818</v>
      </c>
    </row>
    <row r="21" spans="1:9" x14ac:dyDescent="0.55000000000000004">
      <c r="A21" t="s">
        <v>215</v>
      </c>
      <c r="B21" t="s">
        <v>85</v>
      </c>
      <c r="D21">
        <f t="shared" si="0"/>
        <v>0</v>
      </c>
      <c r="E21">
        <v>16</v>
      </c>
      <c r="F21">
        <v>16</v>
      </c>
      <c r="G21" s="1">
        <f>VLOOKUP(E21,'Sky-Gen Ent-Scotland'!$A$27:$B$120,2,FALSE)</f>
        <v>12.449899597988736</v>
      </c>
      <c r="H21" s="1">
        <f>VLOOKUP(F21,'Sky-Gen Ent-Scotland'!$A$27:$B$120,2,FALSE)</f>
        <v>12.449899597988736</v>
      </c>
      <c r="I21" s="1">
        <f t="shared" si="1"/>
        <v>0</v>
      </c>
    </row>
    <row r="22" spans="1:9" x14ac:dyDescent="0.55000000000000004">
      <c r="A22" t="s">
        <v>216</v>
      </c>
      <c r="B22" t="s">
        <v>197</v>
      </c>
      <c r="D22">
        <f t="shared" si="0"/>
        <v>1</v>
      </c>
      <c r="E22">
        <v>17</v>
      </c>
      <c r="F22">
        <v>8</v>
      </c>
      <c r="G22" s="1">
        <f>VLOOKUP(E22,'Sky-Gen Ent-Scotland'!$A$27:$B$120,2,FALSE)</f>
        <v>11.786215752689849</v>
      </c>
      <c r="H22" s="1">
        <f>VLOOKUP(F22,'Sky-Gen Ent-Scotland'!$A$27:$B$120,2,FALSE)</f>
        <v>18.674849396983095</v>
      </c>
      <c r="I22" s="1">
        <f t="shared" si="1"/>
        <v>6.8886336442932468</v>
      </c>
    </row>
    <row r="23" spans="1:9" ht="28.8" x14ac:dyDescent="0.55000000000000004">
      <c r="A23" s="4" t="s">
        <v>331</v>
      </c>
      <c r="I23" s="1">
        <f>-((SUMIFS(I13:I22,D13:D22,1,I13:I22,"&lt;0"))*($H$6))</f>
        <v>0.40815364979306523</v>
      </c>
    </row>
    <row r="24" spans="1:9" x14ac:dyDescent="0.55000000000000004">
      <c r="A24" t="s">
        <v>154</v>
      </c>
      <c r="I24" s="62">
        <f>COUNTIFS(I13:I22,"&lt;0",$D$13:$D$22,1)</f>
        <v>7</v>
      </c>
    </row>
    <row r="25" spans="1:9" x14ac:dyDescent="0.55000000000000004">
      <c r="I25" s="62"/>
    </row>
    <row r="26" spans="1:9" x14ac:dyDescent="0.55000000000000004">
      <c r="A26" t="s">
        <v>208</v>
      </c>
    </row>
    <row r="27" spans="1:9" ht="86.4" x14ac:dyDescent="0.55000000000000004">
      <c r="A27" t="s">
        <v>209</v>
      </c>
      <c r="B27" s="4" t="s">
        <v>338</v>
      </c>
    </row>
    <row r="28" spans="1:9" ht="28.8" x14ac:dyDescent="0.55000000000000004">
      <c r="A28" s="4" t="s">
        <v>184</v>
      </c>
      <c r="B28" s="4"/>
    </row>
    <row r="29" spans="1:9" ht="57.6" x14ac:dyDescent="0.55000000000000004">
      <c r="A29" s="9" t="s">
        <v>316</v>
      </c>
      <c r="B29" s="8" t="s">
        <v>74</v>
      </c>
      <c r="C29" s="9"/>
      <c r="D29" s="9" t="s">
        <v>76</v>
      </c>
      <c r="E29" s="9" t="s">
        <v>77</v>
      </c>
      <c r="F29" s="9" t="s">
        <v>210</v>
      </c>
      <c r="G29" s="9" t="s">
        <v>328</v>
      </c>
      <c r="H29" s="9" t="s">
        <v>211</v>
      </c>
      <c r="I29" s="9" t="s">
        <v>212</v>
      </c>
    </row>
    <row r="30" spans="1:9" x14ac:dyDescent="0.55000000000000004">
      <c r="A30" s="4" t="s">
        <v>153</v>
      </c>
      <c r="B30" t="s">
        <v>197</v>
      </c>
      <c r="D30">
        <f t="shared" ref="D30:D34" si="2">IF(B30="BBC",0,1)</f>
        <v>1</v>
      </c>
      <c r="E30">
        <v>4</v>
      </c>
      <c r="F30">
        <v>8</v>
      </c>
      <c r="G30" s="1">
        <f>VLOOKUP(E30,'Sky-Gen Ent-Scotland'!$A$27:$B$120,2,FALSE)</f>
        <v>22.500000000000004</v>
      </c>
      <c r="H30" s="1">
        <f>VLOOKUP(F30,'Sky-Gen Ent-Scotland'!$A$27:$B$120,2,FALSE)</f>
        <v>18.674849396983095</v>
      </c>
      <c r="I30" s="1">
        <f>H30-G30</f>
        <v>-3.8251506030169082</v>
      </c>
    </row>
    <row r="31" spans="1:9" x14ac:dyDescent="0.55000000000000004">
      <c r="A31" s="4" t="s">
        <v>217</v>
      </c>
      <c r="B31" t="s">
        <v>116</v>
      </c>
      <c r="D31">
        <f t="shared" si="2"/>
        <v>1</v>
      </c>
      <c r="E31">
        <v>5</v>
      </c>
      <c r="F31">
        <v>5</v>
      </c>
      <c r="G31" s="1">
        <f>VLOOKUP(E31,'Sky-Gen Ent-Scotland'!$A$27:$B$120,2,FALSE)</f>
        <v>21.475889742271487</v>
      </c>
      <c r="H31" s="1">
        <f>VLOOKUP(F31,'Sky-Gen Ent-Scotland'!$A$27:$B$120,2,FALSE)</f>
        <v>21.475889742271487</v>
      </c>
      <c r="I31" s="1">
        <f t="shared" ref="I31:I34" si="3">H31-G31</f>
        <v>0</v>
      </c>
    </row>
    <row r="32" spans="1:9" x14ac:dyDescent="0.55000000000000004">
      <c r="A32" s="4" t="s">
        <v>218</v>
      </c>
      <c r="B32" t="s">
        <v>88</v>
      </c>
      <c r="D32">
        <f t="shared" si="2"/>
        <v>1</v>
      </c>
      <c r="E32">
        <v>6</v>
      </c>
      <c r="F32">
        <v>6</v>
      </c>
      <c r="G32" s="1">
        <f>VLOOKUP(E32,'Sky-Gen Ent-Scotland'!$A$27:$B$120,2,FALSE)</f>
        <v>20.498392898764518</v>
      </c>
      <c r="H32" s="1">
        <f>VLOOKUP(F32,'Sky-Gen Ent-Scotland'!$A$27:$B$120,2,FALSE)</f>
        <v>20.498392898764518</v>
      </c>
      <c r="I32" s="1">
        <f t="shared" si="3"/>
        <v>0</v>
      </c>
    </row>
    <row r="33" spans="1:15" x14ac:dyDescent="0.55000000000000004">
      <c r="A33" s="4" t="s">
        <v>91</v>
      </c>
      <c r="B33" t="s">
        <v>88</v>
      </c>
      <c r="D33">
        <f t="shared" si="2"/>
        <v>1</v>
      </c>
      <c r="E33">
        <v>7</v>
      </c>
      <c r="F33">
        <v>7</v>
      </c>
      <c r="G33" s="1">
        <f>VLOOKUP(E33,'Sky-Gen Ent-Scotland'!$A$27:$B$120,2,FALSE)</f>
        <v>19.565387812783445</v>
      </c>
      <c r="H33" s="1">
        <f>VLOOKUP(F33,'Sky-Gen Ent-Scotland'!$A$27:$B$120,2,FALSE)</f>
        <v>19.565387812783445</v>
      </c>
      <c r="I33" s="1">
        <f t="shared" si="3"/>
        <v>0</v>
      </c>
    </row>
    <row r="34" spans="1:15" x14ac:dyDescent="0.55000000000000004">
      <c r="A34" t="s">
        <v>216</v>
      </c>
      <c r="B34" t="s">
        <v>197</v>
      </c>
      <c r="D34">
        <f t="shared" si="2"/>
        <v>1</v>
      </c>
      <c r="E34">
        <v>8</v>
      </c>
      <c r="F34">
        <v>4</v>
      </c>
      <c r="G34" s="1">
        <f>VLOOKUP(E34,'Sky-Gen Ent-Scotland'!$A$27:$B$120,2,FALSE)</f>
        <v>18.674849396983095</v>
      </c>
      <c r="H34" s="1">
        <f>VLOOKUP(F34,'Sky-Gen Ent-Scotland'!$A$27:$B$120,2,FALSE)</f>
        <v>22.500000000000004</v>
      </c>
      <c r="I34" s="1">
        <f t="shared" si="3"/>
        <v>3.8251506030169082</v>
      </c>
    </row>
    <row r="35" spans="1:15" ht="28.8" x14ac:dyDescent="0.55000000000000004">
      <c r="A35" s="4" t="s">
        <v>331</v>
      </c>
      <c r="I35" s="1">
        <f>-((SUMIFS(I30:I34,D30:D34,1,I30:I34,"&lt;0"))*($H$6))</f>
        <v>0.28263562546184529</v>
      </c>
    </row>
    <row r="36" spans="1:15" x14ac:dyDescent="0.55000000000000004">
      <c r="A36" t="s">
        <v>154</v>
      </c>
      <c r="B36" t="s">
        <v>337</v>
      </c>
      <c r="I36" s="62">
        <f>COUNTIFS(I30:I34,"&lt;0",$D$30:$D$34,1)</f>
        <v>1</v>
      </c>
    </row>
    <row r="38" spans="1:15" ht="28.8" x14ac:dyDescent="0.55000000000000004">
      <c r="A38" s="3" t="s">
        <v>70</v>
      </c>
    </row>
    <row r="39" spans="1:15" x14ac:dyDescent="0.55000000000000004">
      <c r="A39" s="9" t="s">
        <v>71</v>
      </c>
      <c r="B39" s="8"/>
      <c r="C39" s="8" t="s">
        <v>72</v>
      </c>
      <c r="D39" s="8" t="s">
        <v>73</v>
      </c>
    </row>
    <row r="40" spans="1:15" ht="43.2" x14ac:dyDescent="0.55000000000000004">
      <c r="A40" s="4" t="s">
        <v>304</v>
      </c>
      <c r="B40" s="4"/>
      <c r="C40" s="4" t="s">
        <v>219</v>
      </c>
      <c r="D40" s="4" t="s">
        <v>220</v>
      </c>
    </row>
    <row r="41" spans="1:15" ht="28.8" x14ac:dyDescent="0.55000000000000004">
      <c r="A41" s="4" t="s">
        <v>184</v>
      </c>
      <c r="B41" s="4"/>
      <c r="C41" s="4"/>
      <c r="D41" s="4"/>
    </row>
    <row r="42" spans="1:15" ht="72" x14ac:dyDescent="0.55000000000000004">
      <c r="A42" s="9" t="s">
        <v>316</v>
      </c>
      <c r="B42" s="8" t="s">
        <v>74</v>
      </c>
      <c r="C42" s="9"/>
      <c r="D42" s="9" t="s">
        <v>76</v>
      </c>
      <c r="E42" s="9" t="s">
        <v>77</v>
      </c>
      <c r="F42" s="9" t="s">
        <v>328</v>
      </c>
      <c r="G42" s="9"/>
      <c r="H42" s="9"/>
      <c r="I42" s="9"/>
      <c r="J42" s="9" t="s">
        <v>78</v>
      </c>
      <c r="K42" s="9" t="s">
        <v>79</v>
      </c>
      <c r="L42" s="9" t="s">
        <v>80</v>
      </c>
      <c r="M42" s="9" t="s">
        <v>81</v>
      </c>
      <c r="N42" s="9" t="s">
        <v>82</v>
      </c>
      <c r="O42" s="9" t="s">
        <v>83</v>
      </c>
    </row>
    <row r="43" spans="1:15" x14ac:dyDescent="0.55000000000000004">
      <c r="A43" s="4" t="s">
        <v>153</v>
      </c>
      <c r="B43" t="s">
        <v>197</v>
      </c>
      <c r="D43">
        <f t="shared" ref="D43:D73" si="4">IF(B43="BBC",0,1)</f>
        <v>1</v>
      </c>
      <c r="E43">
        <v>4</v>
      </c>
      <c r="F43" s="1">
        <f>VLOOKUP(E43,'Sky-Gen Ent-Scotland'!$A$27:$B$120,2,FALSE)</f>
        <v>22.500000000000004</v>
      </c>
      <c r="H43" s="1"/>
      <c r="I43" s="6"/>
      <c r="J43">
        <v>4</v>
      </c>
      <c r="K43" s="1">
        <f>VLOOKUP(J43,'Sky-Gen Ent-Scotland'!$A$27:$B$120,2,FALSE)</f>
        <v>22.500000000000004</v>
      </c>
      <c r="L43" s="1">
        <f t="shared" ref="L43:L73" si="5">K43-$F43</f>
        <v>0</v>
      </c>
      <c r="M43">
        <v>4</v>
      </c>
      <c r="N43" s="1">
        <f>VLOOKUP(M43,'Sky-Gen Ent-Scotland'!$A$27:$B$120,2,FALSE)</f>
        <v>22.500000000000004</v>
      </c>
      <c r="O43" s="1">
        <f t="shared" ref="O43:O73" si="6">N43-$F43</f>
        <v>0</v>
      </c>
    </row>
    <row r="44" spans="1:15" x14ac:dyDescent="0.55000000000000004">
      <c r="A44" s="4" t="s">
        <v>217</v>
      </c>
      <c r="B44" t="s">
        <v>116</v>
      </c>
      <c r="D44">
        <f t="shared" si="4"/>
        <v>1</v>
      </c>
      <c r="E44">
        <v>5</v>
      </c>
      <c r="F44" s="1">
        <f>VLOOKUP(E44,'Sky-Gen Ent-Scotland'!$A$27:$B$120,2,FALSE)</f>
        <v>21.475889742271487</v>
      </c>
      <c r="H44" s="1"/>
      <c r="I44" s="6"/>
      <c r="J44">
        <v>5</v>
      </c>
      <c r="K44" s="1">
        <f>VLOOKUP(J44,'Sky-Gen Ent-Scotland'!$A$27:$B$120,2,FALSE)</f>
        <v>21.475889742271487</v>
      </c>
      <c r="L44" s="1">
        <f t="shared" si="5"/>
        <v>0</v>
      </c>
      <c r="M44">
        <v>5</v>
      </c>
      <c r="N44" s="1">
        <f>VLOOKUP(M44,'Sky-Gen Ent-Scotland'!$A$27:$B$120,2,FALSE)</f>
        <v>21.475889742271487</v>
      </c>
      <c r="O44" s="1">
        <f t="shared" si="6"/>
        <v>0</v>
      </c>
    </row>
    <row r="45" spans="1:15" x14ac:dyDescent="0.55000000000000004">
      <c r="A45" s="4" t="s">
        <v>218</v>
      </c>
      <c r="B45" t="s">
        <v>88</v>
      </c>
      <c r="D45">
        <f t="shared" si="4"/>
        <v>1</v>
      </c>
      <c r="E45">
        <v>6</v>
      </c>
      <c r="F45" s="1">
        <f>VLOOKUP(E45,'Sky-Gen Ent-Scotland'!$A$27:$B$120,2,FALSE)</f>
        <v>20.498392898764518</v>
      </c>
      <c r="H45" s="1"/>
      <c r="I45" s="6"/>
      <c r="J45">
        <v>6</v>
      </c>
      <c r="K45" s="1">
        <f>VLOOKUP(J45,'Sky-Gen Ent-Scotland'!$A$27:$B$120,2,FALSE)</f>
        <v>20.498392898764518</v>
      </c>
      <c r="L45" s="1">
        <f t="shared" si="5"/>
        <v>0</v>
      </c>
      <c r="M45">
        <v>6</v>
      </c>
      <c r="N45" s="1">
        <f>VLOOKUP(M45,'Sky-Gen Ent-Scotland'!$A$27:$B$120,2,FALSE)</f>
        <v>20.498392898764518</v>
      </c>
      <c r="O45" s="1">
        <f t="shared" si="6"/>
        <v>0</v>
      </c>
    </row>
    <row r="46" spans="1:15" x14ac:dyDescent="0.55000000000000004">
      <c r="A46" s="4" t="s">
        <v>91</v>
      </c>
      <c r="B46" t="s">
        <v>88</v>
      </c>
      <c r="D46">
        <f t="shared" si="4"/>
        <v>1</v>
      </c>
      <c r="E46">
        <v>7</v>
      </c>
      <c r="F46" s="1">
        <f>VLOOKUP(E46,'Sky-Gen Ent-Scotland'!$A$27:$B$120,2,FALSE)</f>
        <v>19.565387812783445</v>
      </c>
      <c r="H46" s="1"/>
      <c r="I46" s="6"/>
      <c r="J46">
        <v>7</v>
      </c>
      <c r="K46" s="1">
        <f>VLOOKUP(J46,'Sky-Gen Ent-Scotland'!$A$27:$B$120,2,FALSE)</f>
        <v>19.565387812783445</v>
      </c>
      <c r="L46" s="1">
        <f t="shared" si="5"/>
        <v>0</v>
      </c>
      <c r="M46">
        <v>7</v>
      </c>
      <c r="N46" s="1">
        <f>VLOOKUP(M46,'Sky-Gen Ent-Scotland'!$A$27:$B$120,2,FALSE)</f>
        <v>19.565387812783445</v>
      </c>
      <c r="O46" s="1">
        <f t="shared" si="6"/>
        <v>0</v>
      </c>
    </row>
    <row r="47" spans="1:15" x14ac:dyDescent="0.55000000000000004">
      <c r="A47" t="s">
        <v>213</v>
      </c>
      <c r="B47" t="s">
        <v>88</v>
      </c>
      <c r="D47">
        <f t="shared" si="4"/>
        <v>1</v>
      </c>
      <c r="E47">
        <v>9</v>
      </c>
      <c r="F47" s="1">
        <f>VLOOKUP(E47,'Sky-Gen Ent-Scotland'!$A$27:$B$120,2,FALSE)</f>
        <v>17.824844737917072</v>
      </c>
      <c r="H47" s="1"/>
      <c r="I47" s="6"/>
      <c r="J47">
        <v>9</v>
      </c>
      <c r="K47" s="1">
        <f>VLOOKUP(J47,'Sky-Gen Ent-Scotland'!$A$27:$B$120,2,FALSE)</f>
        <v>17.824844737917072</v>
      </c>
      <c r="L47" s="1">
        <f t="shared" si="5"/>
        <v>0</v>
      </c>
      <c r="M47">
        <v>9</v>
      </c>
      <c r="N47" s="1">
        <f>VLOOKUP(M47,'Sky-Gen Ent-Scotland'!$A$27:$B$120,2,FALSE)</f>
        <v>17.824844737917072</v>
      </c>
      <c r="O47" s="1">
        <f t="shared" si="6"/>
        <v>0</v>
      </c>
    </row>
    <row r="48" spans="1:15" x14ac:dyDescent="0.55000000000000004">
      <c r="A48" t="s">
        <v>106</v>
      </c>
      <c r="B48" t="s">
        <v>105</v>
      </c>
      <c r="D48">
        <f t="shared" si="4"/>
        <v>1</v>
      </c>
      <c r="E48">
        <v>10</v>
      </c>
      <c r="F48" s="1">
        <f>VLOOKUP(E48,'Sky-Gen Ent-Scotland'!$A$27:$B$120,2,FALSE)</f>
        <v>17.013528900649558</v>
      </c>
      <c r="H48" s="1"/>
      <c r="I48" s="6"/>
      <c r="J48">
        <v>10</v>
      </c>
      <c r="K48" s="1">
        <f>VLOOKUP(J48,'Sky-Gen Ent-Scotland'!$A$27:$B$120,2,FALSE)</f>
        <v>17.013528900649558</v>
      </c>
      <c r="L48" s="1">
        <f t="shared" si="5"/>
        <v>0</v>
      </c>
      <c r="M48">
        <v>10</v>
      </c>
      <c r="N48" s="1">
        <f>VLOOKUP(M48,'Sky-Gen Ent-Scotland'!$A$27:$B$120,2,FALSE)</f>
        <v>17.013528900649558</v>
      </c>
      <c r="O48" s="1">
        <f t="shared" si="6"/>
        <v>0</v>
      </c>
    </row>
    <row r="49" spans="1:15" x14ac:dyDescent="0.55000000000000004">
      <c r="A49" t="s">
        <v>104</v>
      </c>
      <c r="B49" t="s">
        <v>105</v>
      </c>
      <c r="D49">
        <f t="shared" si="4"/>
        <v>1</v>
      </c>
      <c r="E49">
        <v>11</v>
      </c>
      <c r="F49" s="1">
        <f>VLOOKUP(E49,'Sky-Gen Ent-Scotland'!$A$27:$B$120,2,FALSE)</f>
        <v>16.239140924324413</v>
      </c>
      <c r="H49" s="1"/>
      <c r="I49" s="6"/>
      <c r="J49">
        <v>11</v>
      </c>
      <c r="K49" s="1">
        <f>VLOOKUP(J49,'Sky-Gen Ent-Scotland'!$A$27:$B$120,2,FALSE)</f>
        <v>16.239140924324413</v>
      </c>
      <c r="L49" s="1">
        <f t="shared" si="5"/>
        <v>0</v>
      </c>
      <c r="M49">
        <v>11</v>
      </c>
      <c r="N49" s="1">
        <f>VLOOKUP(M49,'Sky-Gen Ent-Scotland'!$A$27:$B$120,2,FALSE)</f>
        <v>16.239140924324413</v>
      </c>
      <c r="O49" s="1">
        <f t="shared" si="6"/>
        <v>0</v>
      </c>
    </row>
    <row r="50" spans="1:15" x14ac:dyDescent="0.55000000000000004">
      <c r="A50" t="s">
        <v>108</v>
      </c>
      <c r="B50" t="s">
        <v>105</v>
      </c>
      <c r="D50">
        <f t="shared" si="4"/>
        <v>1</v>
      </c>
      <c r="E50">
        <v>12</v>
      </c>
      <c r="F50" s="1">
        <f>VLOOKUP(E50,'Sky-Gen Ent-Scotland'!$A$27:$B$120,2,FALSE)</f>
        <v>15.499999999999993</v>
      </c>
      <c r="H50" s="1"/>
      <c r="I50" s="6"/>
      <c r="J50">
        <v>12</v>
      </c>
      <c r="K50" s="1">
        <f>VLOOKUP(J50,'Sky-Gen Ent-Scotland'!$A$27:$B$120,2,FALSE)</f>
        <v>15.499999999999993</v>
      </c>
      <c r="L50" s="1">
        <f t="shared" si="5"/>
        <v>0</v>
      </c>
      <c r="M50">
        <v>12</v>
      </c>
      <c r="N50" s="1">
        <f>VLOOKUP(M50,'Sky-Gen Ent-Scotland'!$A$27:$B$120,2,FALSE)</f>
        <v>15.499999999999993</v>
      </c>
      <c r="O50" s="1">
        <f t="shared" si="6"/>
        <v>0</v>
      </c>
    </row>
    <row r="51" spans="1:15" x14ac:dyDescent="0.55000000000000004">
      <c r="A51" t="s">
        <v>113</v>
      </c>
      <c r="B51" t="s">
        <v>116</v>
      </c>
      <c r="D51">
        <f t="shared" si="4"/>
        <v>1</v>
      </c>
      <c r="E51">
        <v>13</v>
      </c>
      <c r="F51" s="1">
        <f>VLOOKUP(E51,'Sky-Gen Ent-Scotland'!$A$27:$B$120,2,FALSE)</f>
        <v>14.673720276122177</v>
      </c>
      <c r="H51" s="1"/>
      <c r="I51" s="6"/>
      <c r="J51">
        <v>13</v>
      </c>
      <c r="K51" s="1">
        <f>VLOOKUP(J51,'Sky-Gen Ent-Scotland'!$A$27:$B$120,2,FALSE)</f>
        <v>14.673720276122177</v>
      </c>
      <c r="L51" s="1">
        <f t="shared" si="5"/>
        <v>0</v>
      </c>
      <c r="M51">
        <v>13</v>
      </c>
      <c r="N51" s="1">
        <f>VLOOKUP(M51,'Sky-Gen Ent-Scotland'!$A$27:$B$120,2,FALSE)</f>
        <v>14.673720276122177</v>
      </c>
      <c r="O51" s="1">
        <f t="shared" si="6"/>
        <v>0</v>
      </c>
    </row>
    <row r="52" spans="1:15" x14ac:dyDescent="0.55000000000000004">
      <c r="A52" t="s">
        <v>206</v>
      </c>
      <c r="B52" t="s">
        <v>118</v>
      </c>
      <c r="D52">
        <f t="shared" si="4"/>
        <v>1</v>
      </c>
      <c r="E52">
        <v>14</v>
      </c>
      <c r="F52" s="1">
        <f>VLOOKUP(E52,'Sky-Gen Ent-Scotland'!$A$27:$B$120,2,FALSE)</f>
        <v>13.891488176895425</v>
      </c>
      <c r="H52" s="1"/>
      <c r="I52" s="6"/>
      <c r="J52">
        <v>14</v>
      </c>
      <c r="K52" s="1">
        <f>VLOOKUP(J52,'Sky-Gen Ent-Scotland'!$A$27:$B$120,2,FALSE)</f>
        <v>13.891488176895425</v>
      </c>
      <c r="L52" s="1">
        <f t="shared" si="5"/>
        <v>0</v>
      </c>
      <c r="M52">
        <v>14</v>
      </c>
      <c r="N52" s="1">
        <f>VLOOKUP(M52,'Sky-Gen Ent-Scotland'!$A$27:$B$120,2,FALSE)</f>
        <v>13.891488176895425</v>
      </c>
      <c r="O52" s="1">
        <f t="shared" si="6"/>
        <v>0</v>
      </c>
    </row>
    <row r="53" spans="1:15" x14ac:dyDescent="0.55000000000000004">
      <c r="A53" t="s">
        <v>117</v>
      </c>
      <c r="B53" t="s">
        <v>118</v>
      </c>
      <c r="D53">
        <f t="shared" si="4"/>
        <v>1</v>
      </c>
      <c r="E53">
        <v>15</v>
      </c>
      <c r="F53" s="1">
        <f>VLOOKUP(E53,'Sky-Gen Ent-Scotland'!$A$27:$B$120,2,FALSE)</f>
        <v>13.15095559527883</v>
      </c>
      <c r="H53" s="1"/>
      <c r="I53" s="6"/>
      <c r="J53">
        <v>15</v>
      </c>
      <c r="K53" s="1">
        <f>VLOOKUP(J53,'Sky-Gen Ent-Scotland'!$A$27:$B$120,2,FALSE)</f>
        <v>13.15095559527883</v>
      </c>
      <c r="L53" s="1">
        <f t="shared" si="5"/>
        <v>0</v>
      </c>
      <c r="M53">
        <v>15</v>
      </c>
      <c r="N53" s="1">
        <f>VLOOKUP(M53,'Sky-Gen Ent-Scotland'!$A$27:$B$120,2,FALSE)</f>
        <v>13.15095559527883</v>
      </c>
      <c r="O53" s="1">
        <f t="shared" si="6"/>
        <v>0</v>
      </c>
    </row>
    <row r="54" spans="1:15" x14ac:dyDescent="0.55000000000000004">
      <c r="A54" t="s">
        <v>214</v>
      </c>
      <c r="B54" t="s">
        <v>85</v>
      </c>
      <c r="D54">
        <f t="shared" si="4"/>
        <v>0</v>
      </c>
      <c r="E54">
        <v>17</v>
      </c>
      <c r="F54" s="1">
        <f>VLOOKUP(E54,'Sky-Gen Ent-Scotland'!$A$27:$B$120,2,FALSE)</f>
        <v>11.786215752689849</v>
      </c>
      <c r="H54" s="1"/>
      <c r="I54" s="6"/>
      <c r="J54">
        <v>17</v>
      </c>
      <c r="K54" s="1">
        <f>VLOOKUP(J54,'Sky-Gen Ent-Scotland'!$A$27:$B$120,2,FALSE)</f>
        <v>11.786215752689849</v>
      </c>
      <c r="L54" s="1">
        <f t="shared" si="5"/>
        <v>0</v>
      </c>
      <c r="M54">
        <v>17</v>
      </c>
      <c r="N54" s="1">
        <f>VLOOKUP(M54,'Sky-Gen Ent-Scotland'!$A$27:$B$120,2,FALSE)</f>
        <v>11.786215752689849</v>
      </c>
      <c r="O54" s="1">
        <f t="shared" si="6"/>
        <v>0</v>
      </c>
    </row>
    <row r="55" spans="1:15" x14ac:dyDescent="0.55000000000000004">
      <c r="A55" t="s">
        <v>215</v>
      </c>
      <c r="B55" t="s">
        <v>85</v>
      </c>
      <c r="D55">
        <f t="shared" si="4"/>
        <v>0</v>
      </c>
      <c r="E55">
        <v>16</v>
      </c>
      <c r="F55" s="1">
        <f>VLOOKUP(E55,'Sky-Gen Ent-Scotland'!$A$27:$B$120,2,FALSE)</f>
        <v>12.449899597988736</v>
      </c>
      <c r="H55" s="1"/>
      <c r="I55" s="6"/>
      <c r="J55">
        <v>16</v>
      </c>
      <c r="K55" s="1">
        <f>VLOOKUP(J55,'Sky-Gen Ent-Scotland'!$A$27:$B$120,2,FALSE)</f>
        <v>12.449899597988736</v>
      </c>
      <c r="L55" s="1">
        <f t="shared" si="5"/>
        <v>0</v>
      </c>
      <c r="M55">
        <v>16</v>
      </c>
      <c r="N55" s="1">
        <f>VLOOKUP(M55,'Sky-Gen Ent-Scotland'!$A$27:$B$120,2,FALSE)</f>
        <v>12.449899597988736</v>
      </c>
      <c r="O55" s="1">
        <f t="shared" si="6"/>
        <v>0</v>
      </c>
    </row>
    <row r="56" spans="1:15" x14ac:dyDescent="0.55000000000000004">
      <c r="A56" t="s">
        <v>216</v>
      </c>
      <c r="B56" t="s">
        <v>197</v>
      </c>
      <c r="D56">
        <f t="shared" si="4"/>
        <v>1</v>
      </c>
      <c r="E56">
        <v>8</v>
      </c>
      <c r="F56" s="1">
        <f>VLOOKUP(E56,'Sky-Gen Ent-Scotland'!$A$27:$B$120,2,FALSE)</f>
        <v>18.674849396983095</v>
      </c>
      <c r="H56" s="1"/>
      <c r="I56" s="6"/>
      <c r="J56">
        <v>8</v>
      </c>
      <c r="K56" s="1">
        <f>VLOOKUP(J56,'Sky-Gen Ent-Scotland'!$A$27:$B$120,2,FALSE)</f>
        <v>18.674849396983095</v>
      </c>
      <c r="L56" s="1">
        <f t="shared" si="5"/>
        <v>0</v>
      </c>
      <c r="M56">
        <v>8</v>
      </c>
      <c r="N56" s="1">
        <f>VLOOKUP(M56,'Sky-Gen Ent-Scotland'!$A$27:$B$120,2,FALSE)</f>
        <v>18.674849396983095</v>
      </c>
      <c r="O56" s="1">
        <f t="shared" si="6"/>
        <v>0</v>
      </c>
    </row>
    <row r="57" spans="1:15" x14ac:dyDescent="0.55000000000000004">
      <c r="A57" t="s">
        <v>95</v>
      </c>
      <c r="B57" t="s">
        <v>93</v>
      </c>
      <c r="D57">
        <f t="shared" si="4"/>
        <v>1</v>
      </c>
      <c r="E57">
        <v>18</v>
      </c>
      <c r="F57" s="1">
        <f>VLOOKUP(E57,'Sky-Gen Ent-Scotland'!$A$27:$B$120,2,FALSE)</f>
        <v>11.157911810902943</v>
      </c>
      <c r="H57" s="1"/>
      <c r="I57" s="6"/>
      <c r="J57">
        <v>18</v>
      </c>
      <c r="K57" s="1">
        <f>VLOOKUP(J57,'Sky-Gen Ent-Scotland'!$A$27:$B$120,2,FALSE)</f>
        <v>11.157911810902943</v>
      </c>
      <c r="L57" s="1">
        <f t="shared" si="5"/>
        <v>0</v>
      </c>
      <c r="M57">
        <v>18</v>
      </c>
      <c r="N57" s="1">
        <f>VLOOKUP(M57,'Sky-Gen Ent-Scotland'!$A$27:$B$120,2,FALSE)</f>
        <v>11.157911810902943</v>
      </c>
      <c r="O57" s="1">
        <f t="shared" si="6"/>
        <v>0</v>
      </c>
    </row>
    <row r="58" spans="1:15" x14ac:dyDescent="0.55000000000000004">
      <c r="A58" t="s">
        <v>97</v>
      </c>
      <c r="B58" t="s">
        <v>93</v>
      </c>
      <c r="D58">
        <f t="shared" si="4"/>
        <v>1</v>
      </c>
      <c r="E58">
        <v>19</v>
      </c>
      <c r="F58" s="1">
        <f>VLOOKUP(E58,'Sky-Gen Ent-Scotland'!$A$27:$B$120,2,FALSE)</f>
        <v>10.563101727666428</v>
      </c>
      <c r="H58" s="1"/>
      <c r="I58" s="6"/>
      <c r="J58">
        <v>19</v>
      </c>
      <c r="K58" s="1">
        <f>VLOOKUP(J58,'Sky-Gen Ent-Scotland'!$A$27:$B$120,2,FALSE)</f>
        <v>10.563101727666428</v>
      </c>
      <c r="L58" s="1">
        <f t="shared" si="5"/>
        <v>0</v>
      </c>
      <c r="M58">
        <v>19</v>
      </c>
      <c r="N58" s="1">
        <f>VLOOKUP(M58,'Sky-Gen Ent-Scotland'!$A$27:$B$120,2,FALSE)</f>
        <v>10.563101727666428</v>
      </c>
      <c r="O58" s="1">
        <f t="shared" si="6"/>
        <v>0</v>
      </c>
    </row>
    <row r="59" spans="1:15" x14ac:dyDescent="0.55000000000000004">
      <c r="A59" t="s">
        <v>98</v>
      </c>
      <c r="B59" t="s">
        <v>93</v>
      </c>
      <c r="D59">
        <f t="shared" si="4"/>
        <v>1</v>
      </c>
      <c r="E59">
        <v>20</v>
      </c>
      <c r="F59" s="1">
        <f>VLOOKUP(E59,'Sky-Gen Ent-Scotland'!$A$27:$B$120,2,FALSE)</f>
        <v>10.000000000000004</v>
      </c>
      <c r="H59" s="1"/>
      <c r="I59" s="6"/>
      <c r="J59">
        <v>20</v>
      </c>
      <c r="K59" s="1">
        <f>VLOOKUP(J59,'Sky-Gen Ent-Scotland'!$A$27:$B$120,2,FALSE)</f>
        <v>10.000000000000004</v>
      </c>
      <c r="L59" s="1">
        <f t="shared" si="5"/>
        <v>0</v>
      </c>
      <c r="M59">
        <v>20</v>
      </c>
      <c r="N59" s="1">
        <f>VLOOKUP(M59,'Sky-Gen Ent-Scotland'!$A$27:$B$120,2,FALSE)</f>
        <v>10.000000000000004</v>
      </c>
      <c r="O59" s="1">
        <f t="shared" si="6"/>
        <v>0</v>
      </c>
    </row>
    <row r="60" spans="1:15" x14ac:dyDescent="0.55000000000000004">
      <c r="A60" t="s">
        <v>221</v>
      </c>
      <c r="B60" t="s">
        <v>88</v>
      </c>
      <c r="D60">
        <f t="shared" si="4"/>
        <v>1</v>
      </c>
      <c r="E60">
        <v>21</v>
      </c>
      <c r="F60" s="1">
        <f>VLOOKUP(E60,'Sky-Gen Ent-Scotland'!$A$27:$B$120,2,FALSE)</f>
        <v>9.7249247246607293</v>
      </c>
      <c r="H60" s="1"/>
      <c r="I60" s="6"/>
      <c r="J60">
        <v>21</v>
      </c>
      <c r="K60" s="1">
        <f>VLOOKUP(J60,'Sky-Gen Ent-Scotland'!$A$27:$B$120,2,FALSE)</f>
        <v>9.7249247246607293</v>
      </c>
      <c r="L60" s="1">
        <f t="shared" si="5"/>
        <v>0</v>
      </c>
      <c r="M60">
        <v>21</v>
      </c>
      <c r="N60" s="1">
        <f>VLOOKUP(M60,'Sky-Gen Ent-Scotland'!$A$27:$B$120,2,FALSE)</f>
        <v>9.7249247246607293</v>
      </c>
      <c r="O60" s="1">
        <f t="shared" si="6"/>
        <v>0</v>
      </c>
    </row>
    <row r="61" spans="1:15" x14ac:dyDescent="0.55000000000000004">
      <c r="A61" t="s">
        <v>102</v>
      </c>
      <c r="B61" t="s">
        <v>88</v>
      </c>
      <c r="D61">
        <f t="shared" si="4"/>
        <v>1</v>
      </c>
      <c r="E61">
        <v>22</v>
      </c>
      <c r="F61" s="1">
        <f>VLOOKUP(E61,'Sky-Gen Ent-Scotland'!$A$27:$B$120,2,FALSE)</f>
        <v>9.4574160900317583</v>
      </c>
      <c r="H61" s="1"/>
      <c r="I61" s="6"/>
      <c r="J61">
        <v>22</v>
      </c>
      <c r="K61" s="1">
        <f>VLOOKUP(J61,'Sky-Gen Ent-Scotland'!$A$27:$B$120,2,FALSE)</f>
        <v>9.4574160900317583</v>
      </c>
      <c r="L61" s="1">
        <f t="shared" si="5"/>
        <v>0</v>
      </c>
      <c r="M61">
        <v>22</v>
      </c>
      <c r="N61" s="1">
        <f>VLOOKUP(M61,'Sky-Gen Ent-Scotland'!$A$27:$B$120,2,FALSE)</f>
        <v>9.4574160900317583</v>
      </c>
      <c r="O61" s="1">
        <f t="shared" si="6"/>
        <v>0</v>
      </c>
    </row>
    <row r="62" spans="1:15" x14ac:dyDescent="0.55000000000000004">
      <c r="A62" t="s">
        <v>101</v>
      </c>
      <c r="B62" t="s">
        <v>88</v>
      </c>
      <c r="D62">
        <f t="shared" si="4"/>
        <v>1</v>
      </c>
      <c r="E62">
        <v>23</v>
      </c>
      <c r="F62" s="1">
        <f>VLOOKUP(E62,'Sky-Gen Ent-Scotland'!$A$27:$B$120,2,FALSE)</f>
        <v>9.1972659565354054</v>
      </c>
      <c r="H62" s="1"/>
      <c r="I62" s="6"/>
      <c r="J62">
        <v>23</v>
      </c>
      <c r="K62" s="1">
        <f>VLOOKUP(J62,'Sky-Gen Ent-Scotland'!$A$27:$B$120,2,FALSE)</f>
        <v>9.1972659565354054</v>
      </c>
      <c r="L62" s="1">
        <f t="shared" si="5"/>
        <v>0</v>
      </c>
      <c r="M62">
        <v>23</v>
      </c>
      <c r="N62" s="1">
        <f>VLOOKUP(M62,'Sky-Gen Ent-Scotland'!$A$27:$B$120,2,FALSE)</f>
        <v>9.1972659565354054</v>
      </c>
      <c r="O62" s="1">
        <f t="shared" si="6"/>
        <v>0</v>
      </c>
    </row>
    <row r="63" spans="1:15" x14ac:dyDescent="0.55000000000000004">
      <c r="A63" t="s">
        <v>189</v>
      </c>
      <c r="B63" t="s">
        <v>189</v>
      </c>
      <c r="D63">
        <f t="shared" si="4"/>
        <v>1</v>
      </c>
      <c r="E63">
        <v>24</v>
      </c>
      <c r="F63" s="1">
        <f>VLOOKUP(E63,'Sky-Gen Ent-Scotland'!$A$27:$B$120,2,FALSE)</f>
        <v>8.944271909999161</v>
      </c>
      <c r="H63" s="1"/>
      <c r="I63" s="6"/>
      <c r="J63">
        <v>25</v>
      </c>
      <c r="K63" s="1">
        <f>VLOOKUP(J63,'Sky-Gen Ent-Scotland'!$A$27:$B$120,2,FALSE)</f>
        <v>8.6982371041639279</v>
      </c>
      <c r="L63" s="1">
        <f t="shared" si="5"/>
        <v>-0.24603480583523307</v>
      </c>
      <c r="M63">
        <v>24</v>
      </c>
      <c r="N63" s="1">
        <f>VLOOKUP(M63,'Sky-Gen Ent-Scotland'!$A$27:$B$120,2,FALSE)</f>
        <v>8.944271909999161</v>
      </c>
      <c r="O63" s="1">
        <f t="shared" si="6"/>
        <v>0</v>
      </c>
    </row>
    <row r="64" spans="1:15" x14ac:dyDescent="0.55000000000000004">
      <c r="A64" t="s">
        <v>190</v>
      </c>
      <c r="B64" t="s">
        <v>190</v>
      </c>
      <c r="D64">
        <f t="shared" si="4"/>
        <v>1</v>
      </c>
      <c r="E64">
        <v>25</v>
      </c>
      <c r="F64" s="1">
        <f>VLOOKUP(E64,'Sky-Gen Ent-Scotland'!$A$27:$B$120,2,FALSE)</f>
        <v>8.6982371041639279</v>
      </c>
      <c r="H64" s="1"/>
      <c r="I64" s="6"/>
      <c r="J64">
        <v>26</v>
      </c>
      <c r="K64" s="1">
        <f>VLOOKUP(J64,'Sky-Gen Ent-Scotland'!$A$27:$B$120,2,FALSE)</f>
        <v>8.4589701075245145</v>
      </c>
      <c r="L64" s="1">
        <f t="shared" si="5"/>
        <v>-0.23926699663941342</v>
      </c>
      <c r="M64">
        <v>25</v>
      </c>
      <c r="N64" s="1">
        <f>VLOOKUP(M64,'Sky-Gen Ent-Scotland'!$A$27:$B$120,2,FALSE)</f>
        <v>8.6982371041639279</v>
      </c>
      <c r="O64" s="1">
        <f t="shared" si="6"/>
        <v>0</v>
      </c>
    </row>
    <row r="65" spans="1:15" x14ac:dyDescent="0.55000000000000004">
      <c r="A65" t="s">
        <v>115</v>
      </c>
      <c r="B65" t="s">
        <v>116</v>
      </c>
      <c r="D65">
        <f t="shared" si="4"/>
        <v>1</v>
      </c>
      <c r="E65">
        <v>26</v>
      </c>
      <c r="F65" s="1">
        <f>VLOOKUP(E65,'Sky-Gen Ent-Scotland'!$A$27:$B$120,2,FALSE)</f>
        <v>8.4589701075245145</v>
      </c>
      <c r="H65" s="1"/>
      <c r="I65" s="6"/>
      <c r="J65">
        <v>27</v>
      </c>
      <c r="K65" s="1">
        <f>VLOOKUP(J65,'Sky-Gen Ent-Scotland'!$A$27:$B$120,2,FALSE)</f>
        <v>8.2262847543831175</v>
      </c>
      <c r="L65" s="1">
        <f t="shared" si="5"/>
        <v>-0.23268535314139704</v>
      </c>
      <c r="M65">
        <v>26</v>
      </c>
      <c r="N65" s="1">
        <f>VLOOKUP(M65,'Sky-Gen Ent-Scotland'!$A$27:$B$120,2,FALSE)</f>
        <v>8.4589701075245145</v>
      </c>
      <c r="O65" s="1">
        <f t="shared" si="6"/>
        <v>0</v>
      </c>
    </row>
    <row r="66" spans="1:15" x14ac:dyDescent="0.55000000000000004">
      <c r="A66" t="s">
        <v>191</v>
      </c>
      <c r="B66" t="s">
        <v>116</v>
      </c>
      <c r="D66">
        <f t="shared" si="4"/>
        <v>1</v>
      </c>
      <c r="E66">
        <v>27</v>
      </c>
      <c r="F66" s="1">
        <f>VLOOKUP(E66,'Sky-Gen Ent-Scotland'!$A$27:$B$120,2,FALSE)</f>
        <v>8.2262847543831175</v>
      </c>
      <c r="H66" s="1"/>
      <c r="I66" s="6"/>
      <c r="J66">
        <v>28</v>
      </c>
      <c r="K66" s="1">
        <f>VLOOKUP(J66,'Sky-Gen Ent-Scotland'!$A$27:$B$120,2,FALSE)</f>
        <v>8.0000000000000036</v>
      </c>
      <c r="L66" s="1">
        <f t="shared" si="5"/>
        <v>-0.22628475438311391</v>
      </c>
      <c r="M66">
        <v>27</v>
      </c>
      <c r="N66" s="1">
        <f>VLOOKUP(M66,'Sky-Gen Ent-Scotland'!$A$27:$B$120,2,FALSE)</f>
        <v>8.2262847543831175</v>
      </c>
      <c r="O66" s="1">
        <f t="shared" si="6"/>
        <v>0</v>
      </c>
    </row>
    <row r="67" spans="1:15" x14ac:dyDescent="0.55000000000000004">
      <c r="A67" t="s">
        <v>222</v>
      </c>
      <c r="B67" t="s">
        <v>116</v>
      </c>
      <c r="D67">
        <f t="shared" si="4"/>
        <v>1</v>
      </c>
      <c r="E67">
        <v>28</v>
      </c>
      <c r="F67" s="1">
        <f>VLOOKUP(E67,'Sky-Gen Ent-Scotland'!$A$27:$B$120,2,FALSE)</f>
        <v>8.0000000000000036</v>
      </c>
      <c r="H67" s="1"/>
      <c r="I67" s="6"/>
      <c r="J67">
        <v>29</v>
      </c>
      <c r="K67" s="1">
        <f>VLOOKUP(J67,'Sky-Gen Ent-Scotland'!$A$27:$B$120,2,FALSE)</f>
        <v>7.6339458459444094</v>
      </c>
      <c r="L67" s="1">
        <f t="shared" si="5"/>
        <v>-0.36605415405559416</v>
      </c>
      <c r="M67">
        <v>28</v>
      </c>
      <c r="N67" s="1">
        <f>VLOOKUP(M67,'Sky-Gen Ent-Scotland'!$A$27:$B$120,2,FALSE)</f>
        <v>8.0000000000000036</v>
      </c>
      <c r="O67" s="1">
        <f t="shared" si="6"/>
        <v>0</v>
      </c>
    </row>
    <row r="68" spans="1:15" x14ac:dyDescent="0.55000000000000004">
      <c r="A68" t="s">
        <v>193</v>
      </c>
      <c r="B68" t="s">
        <v>189</v>
      </c>
      <c r="D68">
        <f t="shared" si="4"/>
        <v>1</v>
      </c>
      <c r="E68">
        <v>29</v>
      </c>
      <c r="F68" s="1">
        <f>VLOOKUP(E68,'Sky-Gen Ent-Scotland'!$A$27:$B$120,2,FALSE)</f>
        <v>7.6339458459444094</v>
      </c>
      <c r="H68" s="1"/>
      <c r="I68" s="6"/>
      <c r="J68">
        <v>30</v>
      </c>
      <c r="K68" s="1">
        <f>VLOOKUP(J68,'Sky-Gen Ent-Scotland'!$A$27:$B$120,2,FALSE)</f>
        <v>7.2846411473514872</v>
      </c>
      <c r="L68" s="1">
        <f t="shared" si="5"/>
        <v>-0.34930469859292224</v>
      </c>
      <c r="M68">
        <v>29</v>
      </c>
      <c r="N68" s="1">
        <f>VLOOKUP(M68,'Sky-Gen Ent-Scotland'!$A$27:$B$120,2,FALSE)</f>
        <v>7.6339458459444094</v>
      </c>
      <c r="O68" s="1">
        <f t="shared" si="6"/>
        <v>0</v>
      </c>
    </row>
    <row r="69" spans="1:15" x14ac:dyDescent="0.55000000000000004">
      <c r="A69" t="s">
        <v>194</v>
      </c>
      <c r="B69" t="s">
        <v>195</v>
      </c>
      <c r="D69">
        <f t="shared" si="4"/>
        <v>1</v>
      </c>
      <c r="E69">
        <v>30</v>
      </c>
      <c r="F69" s="1">
        <f>VLOOKUP(E69,'Sky-Gen Ent-Scotland'!$A$27:$B$120,2,FALSE)</f>
        <v>7.2846411473514872</v>
      </c>
      <c r="H69" s="1"/>
      <c r="I69" s="6"/>
      <c r="J69">
        <v>31</v>
      </c>
      <c r="K69" s="1">
        <f>VLOOKUP(J69,'Sky-Gen Ent-Scotland'!$A$27:$B$120,2,FALSE)</f>
        <v>6.9513195032524493</v>
      </c>
      <c r="L69" s="1">
        <f t="shared" si="5"/>
        <v>-0.33332164409903786</v>
      </c>
      <c r="M69">
        <v>30</v>
      </c>
      <c r="N69" s="1">
        <f>VLOOKUP(M69,'Sky-Gen Ent-Scotland'!$A$27:$B$120,2,FALSE)</f>
        <v>7.2846411473514872</v>
      </c>
      <c r="O69" s="1">
        <f t="shared" si="6"/>
        <v>0</v>
      </c>
    </row>
    <row r="70" spans="1:15" x14ac:dyDescent="0.55000000000000004">
      <c r="A70" t="s">
        <v>99</v>
      </c>
      <c r="B70" t="s">
        <v>93</v>
      </c>
      <c r="D70">
        <f t="shared" si="4"/>
        <v>1</v>
      </c>
      <c r="E70">
        <v>31</v>
      </c>
      <c r="F70" s="1">
        <f>VLOOKUP(E70,'Sky-Gen Ent-Scotland'!$A$27:$B$120,2,FALSE)</f>
        <v>6.9513195032524493</v>
      </c>
      <c r="H70" s="1"/>
      <c r="I70" s="6"/>
      <c r="J70">
        <v>32</v>
      </c>
      <c r="K70" s="1">
        <f>VLOOKUP(J70,'Sky-Gen Ent-Scotland'!$A$27:$B$120,2,FALSE)</f>
        <v>6.6332495807107996</v>
      </c>
      <c r="L70" s="1">
        <f t="shared" si="5"/>
        <v>-0.31806992254164967</v>
      </c>
      <c r="M70">
        <v>31</v>
      </c>
      <c r="N70" s="1">
        <f>VLOOKUP(M70,'Sky-Gen Ent-Scotland'!$A$27:$B$120,2,FALSE)</f>
        <v>6.9513195032524493</v>
      </c>
      <c r="O70" s="1">
        <f t="shared" si="6"/>
        <v>0</v>
      </c>
    </row>
    <row r="71" spans="1:15" x14ac:dyDescent="0.55000000000000004">
      <c r="A71" t="s">
        <v>107</v>
      </c>
      <c r="B71" t="s">
        <v>105</v>
      </c>
      <c r="D71">
        <f t="shared" si="4"/>
        <v>1</v>
      </c>
      <c r="E71">
        <v>32</v>
      </c>
      <c r="F71" s="1">
        <f>VLOOKUP(E71,'Sky-Gen Ent-Scotland'!$A$27:$B$120,2,FALSE)</f>
        <v>6.6332495807107996</v>
      </c>
      <c r="H71" s="1"/>
      <c r="I71" s="6"/>
      <c r="J71">
        <v>33</v>
      </c>
      <c r="K71" s="1">
        <f>VLOOKUP(J71,'Sky-Gen Ent-Scotland'!$A$27:$B$120,2,FALSE)</f>
        <v>6.3297335102224634</v>
      </c>
      <c r="L71" s="1">
        <f t="shared" si="5"/>
        <v>-0.30351607048833618</v>
      </c>
      <c r="M71">
        <v>33</v>
      </c>
      <c r="N71" s="1">
        <f>VLOOKUP(M71,'Sky-Gen Ent-Scotland'!$A$27:$B$120,2,FALSE)</f>
        <v>6.3297335102224634</v>
      </c>
      <c r="O71" s="1">
        <f t="shared" si="6"/>
        <v>-0.30351607048833618</v>
      </c>
    </row>
    <row r="72" spans="1:15" x14ac:dyDescent="0.55000000000000004">
      <c r="A72" t="s">
        <v>196</v>
      </c>
      <c r="B72" t="s">
        <v>105</v>
      </c>
      <c r="D72">
        <f t="shared" si="4"/>
        <v>1</v>
      </c>
      <c r="E72">
        <v>33</v>
      </c>
      <c r="F72" s="1">
        <f>VLOOKUP(E72,'Sky-Gen Ent-Scotland'!$A$27:$B$120,2,FALSE)</f>
        <v>6.3297335102224634</v>
      </c>
      <c r="H72" s="1"/>
      <c r="I72" s="6"/>
      <c r="J72">
        <v>34</v>
      </c>
      <c r="K72" s="1">
        <f>VLOOKUP(J72,'Sky-Gen Ent-Scotland'!$A$27:$B$120,2,FALSE)</f>
        <v>6.0401053545372365</v>
      </c>
      <c r="L72" s="1">
        <f t="shared" si="5"/>
        <v>-0.28962815568522693</v>
      </c>
      <c r="M72">
        <v>34</v>
      </c>
      <c r="N72" s="1">
        <f>VLOOKUP(M72,'Sky-Gen Ent-Scotland'!$A$27:$B$120,2,FALSE)</f>
        <v>6.0401053545372365</v>
      </c>
      <c r="O72" s="1">
        <f t="shared" si="6"/>
        <v>-0.28962815568522693</v>
      </c>
    </row>
    <row r="73" spans="1:15" x14ac:dyDescent="0.55000000000000004">
      <c r="A73" t="s">
        <v>186</v>
      </c>
      <c r="B73" t="s">
        <v>223</v>
      </c>
      <c r="D73">
        <f t="shared" si="4"/>
        <v>1</v>
      </c>
      <c r="E73">
        <v>34</v>
      </c>
      <c r="F73" s="1">
        <f>VLOOKUP(E73,'Sky-Gen Ent-Scotland'!$A$27:$B$120,2,FALSE)</f>
        <v>6.0401053545372365</v>
      </c>
      <c r="H73" s="1"/>
      <c r="I73" s="6"/>
      <c r="J73">
        <v>24</v>
      </c>
      <c r="K73" s="1">
        <f>VLOOKUP(J73,'Sky-Gen Ent-Scotland'!$A$27:$B$120,2,FALSE)</f>
        <v>8.944271909999161</v>
      </c>
      <c r="L73" s="1">
        <f t="shared" si="5"/>
        <v>2.9041665554619245</v>
      </c>
      <c r="M73">
        <v>32</v>
      </c>
      <c r="N73" s="1">
        <f>VLOOKUP(M73,'Sky-Gen Ent-Scotland'!$A$27:$B$120,2,FALSE)</f>
        <v>6.6332495807107996</v>
      </c>
      <c r="O73" s="1">
        <f t="shared" si="6"/>
        <v>0.5931442261735631</v>
      </c>
    </row>
    <row r="74" spans="1:15" ht="28.8" x14ac:dyDescent="0.55000000000000004">
      <c r="A74" s="4" t="s">
        <v>332</v>
      </c>
      <c r="B74" s="4"/>
      <c r="I74" s="6"/>
      <c r="L74" s="1">
        <f>-((SUMIFS(L43:L73,$D$43:$D$73,1,L43:L73,"&lt;0"))*$H$6)</f>
        <v>0.21458525847347548</v>
      </c>
      <c r="O74" s="1">
        <f>-((SUMIFS(O43:O73,$D$43:$D$73,1,O43:O73,"&lt;0"))*$H$6)</f>
        <v>4.3826689914228778E-2</v>
      </c>
    </row>
    <row r="75" spans="1:15" x14ac:dyDescent="0.55000000000000004">
      <c r="A75" t="s">
        <v>154</v>
      </c>
      <c r="I75" s="62"/>
      <c r="L75" s="62">
        <f>COUNTIFS(L43:L73,"&lt;0",$D$43:$D$73,1)</f>
        <v>10</v>
      </c>
      <c r="O75" s="62">
        <f>COUNTIFS(O43:O73,"&lt;0",$D$43:$D$73,1)</f>
        <v>2</v>
      </c>
    </row>
    <row r="76" spans="1:15" x14ac:dyDescent="0.55000000000000004">
      <c r="H76" s="3"/>
      <c r="I76" s="6"/>
      <c r="L76" s="6"/>
      <c r="O76" s="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076BC-0887-4DD5-A82D-AE4E50D4BCFC}">
  <dimension ref="A2:H10"/>
  <sheetViews>
    <sheetView workbookViewId="0"/>
  </sheetViews>
  <sheetFormatPr defaultRowHeight="14.4" x14ac:dyDescent="0.55000000000000004"/>
  <cols>
    <col min="1" max="1" width="15" bestFit="1" customWidth="1"/>
    <col min="3" max="3" width="11.7890625" customWidth="1"/>
    <col min="4" max="4" width="13.7890625" customWidth="1"/>
  </cols>
  <sheetData>
    <row r="2" spans="1:8" ht="72" x14ac:dyDescent="0.55000000000000004">
      <c r="A2" s="3" t="s">
        <v>70</v>
      </c>
    </row>
    <row r="3" spans="1:8" ht="28.8" x14ac:dyDescent="0.55000000000000004">
      <c r="A3" s="9" t="s">
        <v>71</v>
      </c>
      <c r="B3" s="9"/>
      <c r="C3" s="9" t="s">
        <v>72</v>
      </c>
      <c r="D3" s="9" t="s">
        <v>73</v>
      </c>
    </row>
    <row r="4" spans="1:8" ht="72" x14ac:dyDescent="0.55000000000000004">
      <c r="A4" s="4" t="s">
        <v>308</v>
      </c>
      <c r="B4" s="4"/>
      <c r="C4" s="4" t="s">
        <v>224</v>
      </c>
      <c r="D4" s="4" t="s">
        <v>225</v>
      </c>
    </row>
    <row r="6" spans="1:8" ht="57.6" x14ac:dyDescent="0.55000000000000004">
      <c r="A6" s="9" t="s">
        <v>316</v>
      </c>
      <c r="B6" s="8" t="s">
        <v>74</v>
      </c>
      <c r="C6" s="9"/>
      <c r="D6" s="9" t="s">
        <v>76</v>
      </c>
      <c r="E6" s="9" t="s">
        <v>77</v>
      </c>
      <c r="F6" s="9"/>
      <c r="G6" s="9" t="s">
        <v>78</v>
      </c>
      <c r="H6" s="9" t="s">
        <v>81</v>
      </c>
    </row>
    <row r="7" spans="1:8" x14ac:dyDescent="0.55000000000000004">
      <c r="A7" t="s">
        <v>84</v>
      </c>
      <c r="B7" t="s">
        <v>85</v>
      </c>
      <c r="D7">
        <f t="shared" ref="D7:D8" si="0">IF(B7="BBC",0,1)</f>
        <v>0</v>
      </c>
      <c r="E7">
        <v>16</v>
      </c>
      <c r="G7">
        <v>16</v>
      </c>
      <c r="H7">
        <v>16</v>
      </c>
    </row>
    <row r="8" spans="1:8" x14ac:dyDescent="0.55000000000000004">
      <c r="A8" t="s">
        <v>226</v>
      </c>
      <c r="B8" t="s">
        <v>187</v>
      </c>
      <c r="D8">
        <f t="shared" si="0"/>
        <v>1</v>
      </c>
      <c r="E8">
        <v>17</v>
      </c>
      <c r="G8">
        <v>17</v>
      </c>
      <c r="H8">
        <v>17</v>
      </c>
    </row>
    <row r="10" spans="1:8" x14ac:dyDescent="0.55000000000000004">
      <c r="A10" t="s">
        <v>340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0A16E-3A7D-4FC2-A5DB-84402A9F9F7C}">
  <dimension ref="A1:L36"/>
  <sheetViews>
    <sheetView workbookViewId="0">
      <selection activeCell="B1" sqref="B1"/>
    </sheetView>
  </sheetViews>
  <sheetFormatPr defaultRowHeight="14.4" x14ac:dyDescent="0.55000000000000004"/>
  <cols>
    <col min="1" max="1" width="35.47265625" bestFit="1" customWidth="1"/>
    <col min="2" max="2" width="19" bestFit="1" customWidth="1"/>
    <col min="3" max="3" width="12.05078125" customWidth="1"/>
    <col min="4" max="4" width="11.26171875" customWidth="1"/>
  </cols>
  <sheetData>
    <row r="1" spans="1:12" x14ac:dyDescent="0.55000000000000004">
      <c r="A1" s="2" t="s">
        <v>24</v>
      </c>
    </row>
    <row r="2" spans="1:12" ht="57.9" thickBot="1" x14ac:dyDescent="0.6">
      <c r="A2" s="2"/>
      <c r="B2" s="2" t="s">
        <v>25</v>
      </c>
      <c r="C2">
        <v>1</v>
      </c>
      <c r="E2" s="4" t="s">
        <v>227</v>
      </c>
      <c r="F2">
        <v>13</v>
      </c>
    </row>
    <row r="3" spans="1:12" ht="29.1" thickBot="1" x14ac:dyDescent="0.6">
      <c r="A3" s="96" t="s">
        <v>228</v>
      </c>
      <c r="B3" s="97"/>
      <c r="C3" s="97"/>
      <c r="D3" s="98"/>
      <c r="E3" s="3" t="s">
        <v>29</v>
      </c>
      <c r="F3" s="3" t="s">
        <v>30</v>
      </c>
      <c r="G3" s="3"/>
      <c r="H3" s="2" t="s">
        <v>27</v>
      </c>
    </row>
    <row r="4" spans="1:12" ht="86.7" thickBot="1" x14ac:dyDescent="0.6">
      <c r="A4" s="58" t="s">
        <v>33</v>
      </c>
      <c r="B4" s="59" t="s">
        <v>34</v>
      </c>
      <c r="C4" s="42" t="s">
        <v>35</v>
      </c>
      <c r="D4" s="43" t="s">
        <v>36</v>
      </c>
      <c r="E4" s="1">
        <f>(C2/C5)^(1/3)</f>
        <v>1.1006424162982089</v>
      </c>
      <c r="F4" s="16" t="s">
        <v>229</v>
      </c>
      <c r="G4" s="1"/>
      <c r="H4" s="4" t="s">
        <v>31</v>
      </c>
      <c r="I4" s="4" t="s">
        <v>32</v>
      </c>
      <c r="J4" s="4" t="s">
        <v>283</v>
      </c>
      <c r="K4" s="4" t="s">
        <v>284</v>
      </c>
      <c r="L4" s="4" t="s">
        <v>285</v>
      </c>
    </row>
    <row r="5" spans="1:12" x14ac:dyDescent="0.55000000000000004">
      <c r="A5" s="39" t="s">
        <v>230</v>
      </c>
      <c r="B5" s="40">
        <v>1</v>
      </c>
      <c r="C5" s="57">
        <v>0.75</v>
      </c>
      <c r="D5" s="47">
        <v>5.3</v>
      </c>
      <c r="H5">
        <v>1</v>
      </c>
      <c r="I5" s="1">
        <f>SUMIFS($B$10:$B$22,$C$10:$C$22,H5)</f>
        <v>5.3470736901195224</v>
      </c>
      <c r="J5" s="1">
        <f>I5/D5</f>
        <v>1.0088818283244383</v>
      </c>
      <c r="K5" s="1">
        <f>MIN(J5, J7)</f>
        <v>1.0088818283244383</v>
      </c>
      <c r="L5" s="1">
        <f>MAX(J5,J7)</f>
        <v>1.4702457812852365</v>
      </c>
    </row>
    <row r="6" spans="1:12" ht="14.7" thickBot="1" x14ac:dyDescent="0.6">
      <c r="A6" s="48" t="s">
        <v>231</v>
      </c>
      <c r="B6" s="49">
        <v>2</v>
      </c>
      <c r="C6" s="50">
        <v>0</v>
      </c>
      <c r="D6" s="51">
        <v>0</v>
      </c>
      <c r="H6">
        <v>2</v>
      </c>
      <c r="I6" s="1">
        <f>SUMIFS($B$10:$B$22,$C$10:$C$22,H6)</f>
        <v>2.4452289506922313</v>
      </c>
      <c r="J6" s="1"/>
    </row>
    <row r="7" spans="1:12" ht="14.7" thickBot="1" x14ac:dyDescent="0.6">
      <c r="A7" s="52" t="s">
        <v>68</v>
      </c>
      <c r="B7" s="53"/>
      <c r="C7" s="53"/>
      <c r="D7" s="54">
        <v>5.3</v>
      </c>
      <c r="H7" t="s">
        <v>68</v>
      </c>
      <c r="I7" s="1">
        <f>SUM(I5:I6)</f>
        <v>7.7923026408117533</v>
      </c>
      <c r="J7" s="1">
        <f>I7/D7</f>
        <v>1.4702457812852365</v>
      </c>
    </row>
    <row r="9" spans="1:12" x14ac:dyDescent="0.55000000000000004">
      <c r="A9" s="17" t="s">
        <v>306</v>
      </c>
      <c r="B9" s="2" t="s">
        <v>69</v>
      </c>
      <c r="C9" s="2" t="s">
        <v>277</v>
      </c>
    </row>
    <row r="10" spans="1:12" x14ac:dyDescent="0.55000000000000004">
      <c r="A10" s="60">
        <v>1</v>
      </c>
      <c r="B10">
        <f>C2</f>
        <v>1</v>
      </c>
      <c r="C10">
        <f>ROUNDUP(A10/7,0)</f>
        <v>1</v>
      </c>
    </row>
    <row r="11" spans="1:12" x14ac:dyDescent="0.55000000000000004">
      <c r="A11" s="60">
        <v>2</v>
      </c>
      <c r="B11" s="1">
        <f>$C$2/$E$4^(A11-1)</f>
        <v>0.90856029641606983</v>
      </c>
      <c r="C11">
        <f t="shared" ref="C11:C22" si="0">ROUNDUP(A11/7,0)</f>
        <v>1</v>
      </c>
    </row>
    <row r="12" spans="1:12" x14ac:dyDescent="0.55000000000000004">
      <c r="A12" s="60">
        <v>3</v>
      </c>
      <c r="B12" s="1">
        <f t="shared" ref="B12:B22" si="1">$C$2/$E$4^(A12-1)</f>
        <v>0.82548181222365669</v>
      </c>
      <c r="C12">
        <f t="shared" si="0"/>
        <v>1</v>
      </c>
    </row>
    <row r="13" spans="1:12" x14ac:dyDescent="0.55000000000000004">
      <c r="A13" s="60">
        <v>4</v>
      </c>
      <c r="B13" s="1">
        <f t="shared" si="1"/>
        <v>0.75</v>
      </c>
      <c r="C13">
        <f t="shared" si="0"/>
        <v>1</v>
      </c>
    </row>
    <row r="14" spans="1:12" x14ac:dyDescent="0.55000000000000004">
      <c r="A14" s="60">
        <v>5</v>
      </c>
      <c r="B14" s="1">
        <f t="shared" si="1"/>
        <v>0.68142022231205246</v>
      </c>
      <c r="C14">
        <f t="shared" si="0"/>
        <v>1</v>
      </c>
    </row>
    <row r="15" spans="1:12" x14ac:dyDescent="0.55000000000000004">
      <c r="A15" s="60">
        <v>6</v>
      </c>
      <c r="B15" s="1">
        <f t="shared" si="1"/>
        <v>0.61911135916774251</v>
      </c>
      <c r="C15">
        <f t="shared" si="0"/>
        <v>1</v>
      </c>
    </row>
    <row r="16" spans="1:12" x14ac:dyDescent="0.55000000000000004">
      <c r="A16" s="60">
        <v>7</v>
      </c>
      <c r="B16" s="1">
        <f t="shared" si="1"/>
        <v>0.56250000000000011</v>
      </c>
      <c r="C16">
        <f t="shared" si="0"/>
        <v>1</v>
      </c>
    </row>
    <row r="17" spans="1:9" x14ac:dyDescent="0.55000000000000004">
      <c r="A17" s="60">
        <v>8</v>
      </c>
      <c r="B17" s="1">
        <f t="shared" si="1"/>
        <v>0.51106516673403934</v>
      </c>
      <c r="C17">
        <f t="shared" si="0"/>
        <v>2</v>
      </c>
    </row>
    <row r="18" spans="1:9" x14ac:dyDescent="0.55000000000000004">
      <c r="A18" s="60">
        <v>9</v>
      </c>
      <c r="B18" s="1">
        <f t="shared" si="1"/>
        <v>0.46433351937580697</v>
      </c>
      <c r="C18">
        <f t="shared" si="0"/>
        <v>2</v>
      </c>
    </row>
    <row r="19" spans="1:9" x14ac:dyDescent="0.55000000000000004">
      <c r="A19" s="60">
        <v>10</v>
      </c>
      <c r="B19" s="1">
        <f t="shared" si="1"/>
        <v>0.42187500000000011</v>
      </c>
      <c r="C19">
        <f t="shared" si="0"/>
        <v>2</v>
      </c>
    </row>
    <row r="20" spans="1:9" x14ac:dyDescent="0.55000000000000004">
      <c r="A20" s="60">
        <v>11</v>
      </c>
      <c r="B20" s="1">
        <f t="shared" si="1"/>
        <v>0.38329887505052956</v>
      </c>
      <c r="C20">
        <f t="shared" si="0"/>
        <v>2</v>
      </c>
    </row>
    <row r="21" spans="1:9" x14ac:dyDescent="0.55000000000000004">
      <c r="A21" s="60">
        <v>12</v>
      </c>
      <c r="B21" s="1">
        <f t="shared" si="1"/>
        <v>0.34825013953185524</v>
      </c>
      <c r="C21">
        <f t="shared" si="0"/>
        <v>2</v>
      </c>
    </row>
    <row r="22" spans="1:9" x14ac:dyDescent="0.55000000000000004">
      <c r="A22" s="60">
        <v>13</v>
      </c>
      <c r="B22" s="1">
        <f t="shared" si="1"/>
        <v>0.31640625000000011</v>
      </c>
      <c r="C22">
        <f t="shared" si="0"/>
        <v>2</v>
      </c>
    </row>
    <row r="23" spans="1:9" x14ac:dyDescent="0.55000000000000004">
      <c r="A23" s="60"/>
      <c r="B23" s="1"/>
    </row>
    <row r="25" spans="1:9" x14ac:dyDescent="0.55000000000000004">
      <c r="A25" s="2" t="s">
        <v>232</v>
      </c>
    </row>
    <row r="26" spans="1:9" x14ac:dyDescent="0.55000000000000004">
      <c r="A26" s="9" t="s">
        <v>71</v>
      </c>
      <c r="B26" s="8" t="s">
        <v>233</v>
      </c>
    </row>
    <row r="27" spans="1:9" ht="28.8" x14ac:dyDescent="0.55000000000000004">
      <c r="A27" s="4" t="s">
        <v>234</v>
      </c>
      <c r="B27" s="4" t="s">
        <v>313</v>
      </c>
    </row>
    <row r="29" spans="1:9" ht="57.6" x14ac:dyDescent="0.55000000000000004">
      <c r="A29" s="9" t="s">
        <v>316</v>
      </c>
      <c r="B29" s="8" t="s">
        <v>74</v>
      </c>
      <c r="C29" s="9"/>
      <c r="D29" s="9" t="s">
        <v>76</v>
      </c>
      <c r="E29" s="9" t="s">
        <v>77</v>
      </c>
      <c r="F29" s="1"/>
      <c r="G29" s="1"/>
      <c r="H29" s="1"/>
      <c r="I29" s="1"/>
    </row>
    <row r="30" spans="1:9" x14ac:dyDescent="0.55000000000000004">
      <c r="A30" t="s">
        <v>286</v>
      </c>
      <c r="B30" t="s">
        <v>85</v>
      </c>
      <c r="D30">
        <f t="shared" ref="D30:D34" si="2">IF(B30="BBC",0,1)</f>
        <v>0</v>
      </c>
      <c r="E30">
        <v>1</v>
      </c>
      <c r="F30" s="1"/>
      <c r="H30" s="1"/>
      <c r="I30" s="6"/>
    </row>
    <row r="31" spans="1:9" x14ac:dyDescent="0.55000000000000004">
      <c r="A31" t="s">
        <v>235</v>
      </c>
      <c r="B31" t="s">
        <v>88</v>
      </c>
      <c r="D31">
        <f t="shared" si="2"/>
        <v>1</v>
      </c>
      <c r="E31">
        <v>2</v>
      </c>
      <c r="F31" s="1"/>
      <c r="H31" s="1"/>
      <c r="I31" s="6"/>
    </row>
    <row r="32" spans="1:9" x14ac:dyDescent="0.55000000000000004">
      <c r="A32" t="s">
        <v>236</v>
      </c>
      <c r="B32" t="s">
        <v>88</v>
      </c>
      <c r="D32">
        <f t="shared" si="2"/>
        <v>1</v>
      </c>
      <c r="E32">
        <v>3</v>
      </c>
      <c r="F32" s="1"/>
      <c r="H32" s="1"/>
      <c r="I32" s="6"/>
    </row>
    <row r="33" spans="1:9" x14ac:dyDescent="0.55000000000000004">
      <c r="A33" t="s">
        <v>237</v>
      </c>
      <c r="B33" t="s">
        <v>85</v>
      </c>
      <c r="D33">
        <f t="shared" si="2"/>
        <v>0</v>
      </c>
      <c r="E33">
        <v>4</v>
      </c>
      <c r="F33" s="1"/>
      <c r="H33" s="1"/>
      <c r="I33" s="6"/>
    </row>
    <row r="34" spans="1:9" x14ac:dyDescent="0.55000000000000004">
      <c r="A34" t="s">
        <v>238</v>
      </c>
      <c r="B34" t="s">
        <v>85</v>
      </c>
      <c r="D34">
        <f t="shared" si="2"/>
        <v>0</v>
      </c>
      <c r="E34">
        <v>5</v>
      </c>
      <c r="F34" s="1"/>
      <c r="H34" s="1"/>
      <c r="I34" s="6"/>
    </row>
    <row r="35" spans="1:9" x14ac:dyDescent="0.55000000000000004">
      <c r="H35" s="6"/>
      <c r="I35" s="6"/>
    </row>
    <row r="36" spans="1:9" x14ac:dyDescent="0.55000000000000004">
      <c r="A36" t="s">
        <v>319</v>
      </c>
    </row>
  </sheetData>
  <mergeCells count="1">
    <mergeCell ref="A3: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EE692-A503-471F-9967-4134A13D98E8}">
  <dimension ref="A1:L43"/>
  <sheetViews>
    <sheetView workbookViewId="0">
      <selection activeCell="B1" sqref="B1"/>
    </sheetView>
  </sheetViews>
  <sheetFormatPr defaultRowHeight="14.4" x14ac:dyDescent="0.55000000000000004"/>
  <cols>
    <col min="1" max="1" width="35.47265625" bestFit="1" customWidth="1"/>
    <col min="2" max="2" width="19" bestFit="1" customWidth="1"/>
    <col min="3" max="3" width="11.7890625" customWidth="1"/>
    <col min="4" max="4" width="12.26171875" customWidth="1"/>
  </cols>
  <sheetData>
    <row r="1" spans="1:12" x14ac:dyDescent="0.55000000000000004">
      <c r="A1" s="2" t="s">
        <v>24</v>
      </c>
    </row>
    <row r="2" spans="1:12" ht="57.9" thickBot="1" x14ac:dyDescent="0.6">
      <c r="A2" s="2"/>
      <c r="B2" s="2" t="s">
        <v>25</v>
      </c>
      <c r="C2">
        <v>2</v>
      </c>
      <c r="E2" s="4" t="s">
        <v>227</v>
      </c>
      <c r="F2">
        <v>22</v>
      </c>
    </row>
    <row r="3" spans="1:12" ht="29.1" thickBot="1" x14ac:dyDescent="0.6">
      <c r="A3" s="93" t="s">
        <v>239</v>
      </c>
      <c r="B3" s="94"/>
      <c r="C3" s="94"/>
      <c r="D3" s="95"/>
      <c r="E3" s="3" t="s">
        <v>29</v>
      </c>
      <c r="F3" s="3" t="s">
        <v>30</v>
      </c>
      <c r="G3" s="3"/>
      <c r="H3" s="2" t="s">
        <v>27</v>
      </c>
    </row>
    <row r="4" spans="1:12" ht="72.3" thickBot="1" x14ac:dyDescent="0.6">
      <c r="A4" s="58" t="s">
        <v>33</v>
      </c>
      <c r="B4" s="59" t="s">
        <v>34</v>
      </c>
      <c r="C4" s="59" t="s">
        <v>35</v>
      </c>
      <c r="D4" s="41" t="s">
        <v>36</v>
      </c>
      <c r="E4" s="1">
        <f>(C2/C5)^(1/3)</f>
        <v>1.2599210498948732</v>
      </c>
      <c r="F4" s="16" t="s">
        <v>37</v>
      </c>
      <c r="G4" s="1"/>
      <c r="H4" s="4" t="s">
        <v>31</v>
      </c>
      <c r="I4" s="4" t="s">
        <v>32</v>
      </c>
      <c r="J4" s="4" t="s">
        <v>283</v>
      </c>
      <c r="K4" s="4" t="s">
        <v>284</v>
      </c>
      <c r="L4" s="4" t="s">
        <v>285</v>
      </c>
    </row>
    <row r="5" spans="1:12" ht="57.6" x14ac:dyDescent="0.55000000000000004">
      <c r="A5" s="20" t="s">
        <v>240</v>
      </c>
      <c r="B5" s="55">
        <v>1</v>
      </c>
      <c r="C5" s="45">
        <v>1</v>
      </c>
      <c r="D5" s="47">
        <f>C5*8</f>
        <v>8</v>
      </c>
      <c r="E5" s="1">
        <f>(C5/C6)^(1/8)</f>
        <v>1.189207115002721</v>
      </c>
      <c r="F5" s="4" t="s">
        <v>158</v>
      </c>
      <c r="G5" s="1"/>
      <c r="H5">
        <v>1</v>
      </c>
      <c r="I5" s="1">
        <f>SUMIFS($B$11:$B$32,$C$11:$C$32,H5)</f>
        <v>8.4899288558046972</v>
      </c>
      <c r="J5" s="1">
        <f>I5/D5</f>
        <v>1.0612411069755872</v>
      </c>
      <c r="K5" s="1">
        <f>MIN(J5:J8)</f>
        <v>1.038591124307646</v>
      </c>
      <c r="L5" s="1">
        <f>MAX(J5:J8)</f>
        <v>1.0879668782785217</v>
      </c>
    </row>
    <row r="6" spans="1:12" ht="57.6" x14ac:dyDescent="0.55000000000000004">
      <c r="A6" s="21" t="s">
        <v>241</v>
      </c>
      <c r="B6" s="56">
        <v>2</v>
      </c>
      <c r="C6" s="29">
        <v>0.25</v>
      </c>
      <c r="D6" s="47">
        <f t="shared" ref="D6" si="0">C6*8</f>
        <v>2</v>
      </c>
      <c r="E6" s="1">
        <f>(C6/C7)^(1/8)</f>
        <v>1.0659359110507063</v>
      </c>
      <c r="F6" s="4" t="s">
        <v>242</v>
      </c>
      <c r="G6" s="1"/>
      <c r="H6">
        <v>2</v>
      </c>
      <c r="I6" s="1">
        <f t="shared" ref="I6:I7" si="1">SUMIFS($B$11:$B$32,$C$11:$C$32,H6)</f>
        <v>2.1759337565570434</v>
      </c>
      <c r="J6" s="1">
        <f t="shared" ref="J6:J7" si="2">I6/D6</f>
        <v>1.0879668782785217</v>
      </c>
    </row>
    <row r="7" spans="1:12" ht="14.7" thickBot="1" x14ac:dyDescent="0.6">
      <c r="A7" s="22" t="s">
        <v>243</v>
      </c>
      <c r="B7" s="46">
        <v>3</v>
      </c>
      <c r="C7" s="28">
        <v>0.15</v>
      </c>
      <c r="D7" s="47">
        <f>C7*6</f>
        <v>0.89999999999999991</v>
      </c>
      <c r="H7">
        <v>3</v>
      </c>
      <c r="I7" s="1">
        <f t="shared" si="1"/>
        <v>0.93473201187688137</v>
      </c>
      <c r="J7" s="1">
        <f t="shared" si="2"/>
        <v>1.038591124307646</v>
      </c>
    </row>
    <row r="8" spans="1:12" ht="14.7" thickBot="1" x14ac:dyDescent="0.6">
      <c r="A8" s="38" t="s">
        <v>68</v>
      </c>
      <c r="B8" s="44"/>
      <c r="C8" s="44"/>
      <c r="D8" s="54">
        <f>SUM(D5:D7)</f>
        <v>10.9</v>
      </c>
      <c r="H8" t="s">
        <v>68</v>
      </c>
      <c r="I8" s="1">
        <f>SUM(I5:I7)</f>
        <v>11.600594624238623</v>
      </c>
      <c r="J8" s="1">
        <f>I8/D8</f>
        <v>1.0642747361686808</v>
      </c>
    </row>
    <row r="10" spans="1:12" x14ac:dyDescent="0.55000000000000004">
      <c r="A10" s="61" t="s">
        <v>306</v>
      </c>
      <c r="B10" s="17" t="s">
        <v>69</v>
      </c>
      <c r="C10" s="2" t="s">
        <v>277</v>
      </c>
    </row>
    <row r="11" spans="1:12" x14ac:dyDescent="0.55000000000000004">
      <c r="A11" s="60">
        <v>1</v>
      </c>
      <c r="B11" s="1">
        <f>$C$2/($E$4^(A11-1))</f>
        <v>2</v>
      </c>
      <c r="C11">
        <f>ROUNDUP(A11/8,0)</f>
        <v>1</v>
      </c>
    </row>
    <row r="12" spans="1:12" x14ac:dyDescent="0.55000000000000004">
      <c r="A12" s="60">
        <v>2</v>
      </c>
      <c r="B12" s="1">
        <f t="shared" ref="B12:B14" si="3">$C$2/($E$4^(A12-1))</f>
        <v>1.5874010519681994</v>
      </c>
      <c r="C12">
        <f t="shared" ref="C12:C32" si="4">ROUNDUP(A12/8,0)</f>
        <v>1</v>
      </c>
    </row>
    <row r="13" spans="1:12" x14ac:dyDescent="0.55000000000000004">
      <c r="A13" s="60">
        <v>3</v>
      </c>
      <c r="B13" s="1">
        <f t="shared" si="3"/>
        <v>1.259921049894873</v>
      </c>
      <c r="C13">
        <f t="shared" si="4"/>
        <v>1</v>
      </c>
    </row>
    <row r="14" spans="1:12" x14ac:dyDescent="0.55000000000000004">
      <c r="A14" s="60">
        <v>4</v>
      </c>
      <c r="B14" s="1">
        <f t="shared" si="3"/>
        <v>1</v>
      </c>
      <c r="C14">
        <f t="shared" si="4"/>
        <v>1</v>
      </c>
    </row>
    <row r="15" spans="1:12" x14ac:dyDescent="0.55000000000000004">
      <c r="A15" s="60">
        <v>5</v>
      </c>
      <c r="B15" s="1">
        <f>$C$5/($E$5^(A15-4))</f>
        <v>0.84089641525371461</v>
      </c>
      <c r="C15">
        <f t="shared" si="4"/>
        <v>1</v>
      </c>
    </row>
    <row r="16" spans="1:12" x14ac:dyDescent="0.55000000000000004">
      <c r="A16" s="60">
        <v>6</v>
      </c>
      <c r="B16" s="1">
        <f t="shared" ref="B16:B22" si="5">$C$5/($E$5^(A16-4))</f>
        <v>0.70710678118654757</v>
      </c>
      <c r="C16">
        <f t="shared" si="4"/>
        <v>1</v>
      </c>
    </row>
    <row r="17" spans="1:3" x14ac:dyDescent="0.55000000000000004">
      <c r="A17" s="60">
        <v>7</v>
      </c>
      <c r="B17" s="1">
        <f t="shared" si="5"/>
        <v>0.59460355750136062</v>
      </c>
      <c r="C17">
        <f t="shared" si="4"/>
        <v>1</v>
      </c>
    </row>
    <row r="18" spans="1:3" x14ac:dyDescent="0.55000000000000004">
      <c r="A18" s="60">
        <v>8</v>
      </c>
      <c r="B18" s="1">
        <f t="shared" si="5"/>
        <v>0.50000000000000011</v>
      </c>
      <c r="C18">
        <f t="shared" si="4"/>
        <v>1</v>
      </c>
    </row>
    <row r="19" spans="1:3" x14ac:dyDescent="0.55000000000000004">
      <c r="A19" s="60">
        <v>9</v>
      </c>
      <c r="B19" s="1">
        <f t="shared" si="5"/>
        <v>0.42044820762685736</v>
      </c>
      <c r="C19">
        <f t="shared" si="4"/>
        <v>2</v>
      </c>
    </row>
    <row r="20" spans="1:3" x14ac:dyDescent="0.55000000000000004">
      <c r="A20" s="60">
        <v>10</v>
      </c>
      <c r="B20" s="1">
        <f t="shared" si="5"/>
        <v>0.35355339059327384</v>
      </c>
      <c r="C20">
        <f t="shared" si="4"/>
        <v>2</v>
      </c>
    </row>
    <row r="21" spans="1:3" x14ac:dyDescent="0.55000000000000004">
      <c r="A21" s="60">
        <v>11</v>
      </c>
      <c r="B21" s="1">
        <f t="shared" si="5"/>
        <v>0.29730177875068042</v>
      </c>
      <c r="C21">
        <f t="shared" si="4"/>
        <v>2</v>
      </c>
    </row>
    <row r="22" spans="1:3" x14ac:dyDescent="0.55000000000000004">
      <c r="A22" s="60">
        <v>12</v>
      </c>
      <c r="B22" s="1">
        <f t="shared" si="5"/>
        <v>0.25000000000000011</v>
      </c>
      <c r="C22">
        <f t="shared" si="4"/>
        <v>2</v>
      </c>
    </row>
    <row r="23" spans="1:3" x14ac:dyDescent="0.55000000000000004">
      <c r="A23" s="60">
        <v>13</v>
      </c>
      <c r="B23" s="1">
        <f>$C$6/($E$6^(A23-12))</f>
        <v>0.23453567649632134</v>
      </c>
      <c r="C23">
        <f t="shared" si="4"/>
        <v>2</v>
      </c>
    </row>
    <row r="24" spans="1:3" x14ac:dyDescent="0.55000000000000004">
      <c r="A24" s="60">
        <v>14</v>
      </c>
      <c r="B24" s="1">
        <f t="shared" ref="B24:B32" si="6">$C$6/($E$6^(A24-12))</f>
        <v>0.22002793419834835</v>
      </c>
      <c r="C24">
        <f t="shared" si="4"/>
        <v>2</v>
      </c>
    </row>
    <row r="25" spans="1:3" x14ac:dyDescent="0.55000000000000004">
      <c r="A25" s="60">
        <v>15</v>
      </c>
      <c r="B25" s="1">
        <f t="shared" si="6"/>
        <v>0.20641760158119082</v>
      </c>
      <c r="C25">
        <f t="shared" si="4"/>
        <v>2</v>
      </c>
    </row>
    <row r="26" spans="1:3" x14ac:dyDescent="0.55000000000000004">
      <c r="A26" s="60">
        <v>16</v>
      </c>
      <c r="B26" s="1">
        <f t="shared" si="6"/>
        <v>0.19364916731037085</v>
      </c>
      <c r="C26">
        <f t="shared" si="4"/>
        <v>2</v>
      </c>
    </row>
    <row r="27" spans="1:3" x14ac:dyDescent="0.55000000000000004">
      <c r="A27" s="60">
        <v>17</v>
      </c>
      <c r="B27" s="1">
        <f t="shared" si="6"/>
        <v>0.18167055383234856</v>
      </c>
      <c r="C27">
        <f t="shared" si="4"/>
        <v>3</v>
      </c>
    </row>
    <row r="28" spans="1:3" x14ac:dyDescent="0.55000000000000004">
      <c r="A28" s="60">
        <v>18</v>
      </c>
      <c r="B28" s="1">
        <f t="shared" si="6"/>
        <v>0.17043290497012492</v>
      </c>
      <c r="C28">
        <f t="shared" si="4"/>
        <v>3</v>
      </c>
    </row>
    <row r="29" spans="1:3" x14ac:dyDescent="0.55000000000000004">
      <c r="A29" s="60">
        <v>19</v>
      </c>
      <c r="B29" s="1">
        <f t="shared" si="6"/>
        <v>0.15989038665760599</v>
      </c>
      <c r="C29">
        <f t="shared" si="4"/>
        <v>3</v>
      </c>
    </row>
    <row r="30" spans="1:3" x14ac:dyDescent="0.55000000000000004">
      <c r="A30" s="60">
        <v>20</v>
      </c>
      <c r="B30" s="1">
        <f t="shared" si="6"/>
        <v>0.15000000000000002</v>
      </c>
      <c r="C30">
        <f t="shared" si="4"/>
        <v>3</v>
      </c>
    </row>
    <row r="31" spans="1:3" x14ac:dyDescent="0.55000000000000004">
      <c r="A31" s="60">
        <v>21</v>
      </c>
      <c r="B31" s="1">
        <f t="shared" si="6"/>
        <v>0.14072140589779281</v>
      </c>
      <c r="C31">
        <f t="shared" si="4"/>
        <v>3</v>
      </c>
    </row>
    <row r="32" spans="1:3" x14ac:dyDescent="0.55000000000000004">
      <c r="A32" s="60">
        <v>22</v>
      </c>
      <c r="B32" s="1">
        <f t="shared" si="6"/>
        <v>0.13201676051900901</v>
      </c>
      <c r="C32">
        <f t="shared" si="4"/>
        <v>3</v>
      </c>
    </row>
    <row r="33" spans="1:9" x14ac:dyDescent="0.55000000000000004">
      <c r="A33" s="60"/>
      <c r="B33" s="1"/>
    </row>
    <row r="35" spans="1:9" x14ac:dyDescent="0.55000000000000004">
      <c r="A35" s="2" t="s">
        <v>232</v>
      </c>
    </row>
    <row r="36" spans="1:9" x14ac:dyDescent="0.55000000000000004">
      <c r="A36" s="9" t="s">
        <v>71</v>
      </c>
      <c r="B36" s="9" t="s">
        <v>233</v>
      </c>
    </row>
    <row r="37" spans="1:9" ht="28.8" x14ac:dyDescent="0.55000000000000004">
      <c r="A37" t="s">
        <v>244</v>
      </c>
      <c r="B37" s="4" t="s">
        <v>313</v>
      </c>
    </row>
    <row r="39" spans="1:9" ht="43.2" x14ac:dyDescent="0.55000000000000004">
      <c r="A39" s="9" t="s">
        <v>185</v>
      </c>
      <c r="B39" s="8" t="s">
        <v>74</v>
      </c>
      <c r="C39" s="9"/>
      <c r="D39" s="9" t="s">
        <v>76</v>
      </c>
      <c r="E39" s="9" t="s">
        <v>77</v>
      </c>
      <c r="F39" s="1"/>
      <c r="G39" s="1"/>
      <c r="H39" s="1"/>
      <c r="I39" s="1"/>
    </row>
    <row r="40" spans="1:9" x14ac:dyDescent="0.55000000000000004">
      <c r="A40" t="s">
        <v>237</v>
      </c>
      <c r="B40" t="s">
        <v>85</v>
      </c>
      <c r="D40">
        <f t="shared" ref="D40:D41" si="7">IF(B40="BBC",0,1)</f>
        <v>0</v>
      </c>
      <c r="E40">
        <v>3</v>
      </c>
      <c r="F40" s="1"/>
      <c r="H40" s="1"/>
      <c r="I40" s="6"/>
    </row>
    <row r="41" spans="1:9" x14ac:dyDescent="0.55000000000000004">
      <c r="A41" t="s">
        <v>238</v>
      </c>
      <c r="B41" t="s">
        <v>85</v>
      </c>
      <c r="D41">
        <f t="shared" si="7"/>
        <v>0</v>
      </c>
      <c r="E41">
        <v>4</v>
      </c>
      <c r="F41" s="1"/>
      <c r="H41" s="1"/>
      <c r="I41" s="6"/>
    </row>
    <row r="42" spans="1:9" x14ac:dyDescent="0.55000000000000004">
      <c r="I42" s="62"/>
    </row>
    <row r="43" spans="1:9" x14ac:dyDescent="0.55000000000000004">
      <c r="A43" t="s">
        <v>318</v>
      </c>
    </row>
  </sheetData>
  <mergeCells count="1">
    <mergeCell ref="A3:D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9AFE7-8343-4F5D-B32F-FC7C58B45EFD}">
  <dimension ref="A1:L47"/>
  <sheetViews>
    <sheetView workbookViewId="0">
      <selection activeCell="B1" sqref="B1"/>
    </sheetView>
  </sheetViews>
  <sheetFormatPr defaultRowHeight="14.4" x14ac:dyDescent="0.55000000000000004"/>
  <cols>
    <col min="1" max="1" width="35.47265625" bestFit="1" customWidth="1"/>
    <col min="2" max="2" width="19" bestFit="1" customWidth="1"/>
    <col min="3" max="3" width="11.47265625" customWidth="1"/>
    <col min="4" max="4" width="12.05078125" customWidth="1"/>
  </cols>
  <sheetData>
    <row r="1" spans="1:12" x14ac:dyDescent="0.55000000000000004">
      <c r="A1" s="2" t="s">
        <v>24</v>
      </c>
    </row>
    <row r="2" spans="1:12" ht="57.9" thickBot="1" x14ac:dyDescent="0.6">
      <c r="A2" s="2"/>
      <c r="B2" s="2" t="s">
        <v>25</v>
      </c>
      <c r="C2">
        <v>1.75</v>
      </c>
      <c r="E2" s="4" t="s">
        <v>227</v>
      </c>
      <c r="F2">
        <v>25</v>
      </c>
    </row>
    <row r="3" spans="1:12" ht="29.1" thickBot="1" x14ac:dyDescent="0.6">
      <c r="A3" s="93" t="s">
        <v>245</v>
      </c>
      <c r="B3" s="94"/>
      <c r="C3" s="94"/>
      <c r="D3" s="95"/>
      <c r="E3" s="3" t="s">
        <v>29</v>
      </c>
      <c r="F3" s="3" t="s">
        <v>30</v>
      </c>
      <c r="G3" s="3"/>
      <c r="H3" s="2" t="s">
        <v>27</v>
      </c>
    </row>
    <row r="4" spans="1:12" ht="72.3" thickBot="1" x14ac:dyDescent="0.6">
      <c r="A4" s="58" t="s">
        <v>33</v>
      </c>
      <c r="B4" s="34" t="s">
        <v>34</v>
      </c>
      <c r="C4" s="42" t="s">
        <v>35</v>
      </c>
      <c r="D4" s="43" t="s">
        <v>36</v>
      </c>
      <c r="E4" s="1">
        <f>(C2/C5)^(1/3)</f>
        <v>1.0527265996093966</v>
      </c>
      <c r="F4" s="16" t="s">
        <v>37</v>
      </c>
      <c r="G4" s="1"/>
      <c r="H4" s="4" t="s">
        <v>31</v>
      </c>
      <c r="I4" s="4" t="s">
        <v>32</v>
      </c>
      <c r="J4" s="4" t="s">
        <v>283</v>
      </c>
      <c r="K4" s="4" t="s">
        <v>284</v>
      </c>
      <c r="L4" s="4" t="s">
        <v>285</v>
      </c>
    </row>
    <row r="5" spans="1:12" ht="57.6" x14ac:dyDescent="0.55000000000000004">
      <c r="A5" s="33" t="s">
        <v>246</v>
      </c>
      <c r="B5" s="40">
        <v>1</v>
      </c>
      <c r="C5" s="55">
        <v>1.5</v>
      </c>
      <c r="D5" s="35">
        <v>10.5</v>
      </c>
      <c r="E5" s="1">
        <f>(C5/C6)^(1/7)</f>
        <v>1.1040895136738123</v>
      </c>
      <c r="F5" s="4" t="s">
        <v>158</v>
      </c>
      <c r="G5" s="1"/>
      <c r="H5">
        <v>1</v>
      </c>
      <c r="I5" s="1">
        <f>SUMIFS($B$12:$B$36,$C$12:$C$36,H5)</f>
        <v>10.195024086961867</v>
      </c>
      <c r="J5" s="1">
        <f>I5/D5</f>
        <v>0.97095467494874921</v>
      </c>
      <c r="K5" s="1">
        <f>MIN(J5:J9)</f>
        <v>0.97095467494874921</v>
      </c>
      <c r="L5" s="1">
        <f>MAX(J5:J9)</f>
        <v>1.0499757850524476</v>
      </c>
    </row>
    <row r="6" spans="1:12" ht="57.6" x14ac:dyDescent="0.55000000000000004">
      <c r="A6" s="11" t="s">
        <v>247</v>
      </c>
      <c r="B6" s="31">
        <v>2</v>
      </c>
      <c r="C6" s="56">
        <v>0.75</v>
      </c>
      <c r="D6" s="35">
        <v>5.25</v>
      </c>
      <c r="E6" s="1">
        <f>(C6/C7)^(1/7)</f>
        <v>1.1699308127586869</v>
      </c>
      <c r="F6" s="4" t="s">
        <v>242</v>
      </c>
      <c r="G6" s="1"/>
      <c r="H6">
        <v>2</v>
      </c>
      <c r="I6" s="1">
        <f t="shared" ref="I6:I8" si="0">SUMIFS($B$12:$B$36,$C$12:$C$36,H6)</f>
        <v>5.1591270381893963</v>
      </c>
      <c r="J6" s="1">
        <f t="shared" ref="J6:J9" si="1">I6/D6</f>
        <v>0.98269086441702791</v>
      </c>
    </row>
    <row r="7" spans="1:12" x14ac:dyDescent="0.55000000000000004">
      <c r="A7" s="11" t="s">
        <v>248</v>
      </c>
      <c r="B7" s="31">
        <v>3</v>
      </c>
      <c r="C7" s="56">
        <v>0.25</v>
      </c>
      <c r="D7" s="35">
        <v>1.75</v>
      </c>
      <c r="H7">
        <v>3</v>
      </c>
      <c r="I7" s="1">
        <f t="shared" si="0"/>
        <v>1.8374576238417832</v>
      </c>
      <c r="J7" s="1">
        <f t="shared" si="1"/>
        <v>1.0499757850524476</v>
      </c>
    </row>
    <row r="8" spans="1:12" ht="14.7" thickBot="1" x14ac:dyDescent="0.6">
      <c r="A8" s="12" t="s">
        <v>249</v>
      </c>
      <c r="B8" s="32">
        <v>4</v>
      </c>
      <c r="C8" s="46">
        <v>0</v>
      </c>
      <c r="D8" s="36">
        <v>0</v>
      </c>
      <c r="H8">
        <v>4</v>
      </c>
      <c r="I8" s="1">
        <f t="shared" si="0"/>
        <v>0.42833315041321529</v>
      </c>
      <c r="J8" t="s">
        <v>250</v>
      </c>
    </row>
    <row r="9" spans="1:12" ht="14.7" thickBot="1" x14ac:dyDescent="0.6">
      <c r="A9" s="37" t="s">
        <v>68</v>
      </c>
      <c r="B9" s="53"/>
      <c r="C9" s="53"/>
      <c r="D9" s="38">
        <v>17.5</v>
      </c>
      <c r="H9" t="s">
        <v>68</v>
      </c>
      <c r="I9" s="1">
        <f>SUM(I5:I8)</f>
        <v>17.619941899406264</v>
      </c>
      <c r="J9" s="1">
        <f t="shared" si="1"/>
        <v>1.0068538228232151</v>
      </c>
    </row>
    <row r="11" spans="1:12" x14ac:dyDescent="0.55000000000000004">
      <c r="A11" s="17" t="s">
        <v>306</v>
      </c>
      <c r="B11" s="2" t="s">
        <v>69</v>
      </c>
      <c r="C11" s="2" t="s">
        <v>277</v>
      </c>
    </row>
    <row r="12" spans="1:12" x14ac:dyDescent="0.55000000000000004">
      <c r="A12" s="60">
        <v>1</v>
      </c>
      <c r="B12" s="1">
        <f>$C$2/$E$4^(A12-1)</f>
        <v>1.75</v>
      </c>
      <c r="C12">
        <f>ROUNDUP(A12/7,0)</f>
        <v>1</v>
      </c>
    </row>
    <row r="13" spans="1:12" x14ac:dyDescent="0.55000000000000004">
      <c r="A13" s="60">
        <v>2</v>
      </c>
      <c r="B13" s="1">
        <f t="shared" ref="B13:B14" si="2">$C$2/$E$4^(A13-1)</f>
        <v>1.6623499402877437</v>
      </c>
      <c r="C13">
        <f t="shared" ref="C13:C36" si="3">ROUNDUP(A13/7,0)</f>
        <v>1</v>
      </c>
    </row>
    <row r="14" spans="1:12" x14ac:dyDescent="0.55000000000000004">
      <c r="A14" s="60">
        <v>3</v>
      </c>
      <c r="B14" s="1">
        <f t="shared" si="2"/>
        <v>1.5790898994140945</v>
      </c>
      <c r="C14">
        <f t="shared" si="3"/>
        <v>1</v>
      </c>
    </row>
    <row r="15" spans="1:12" x14ac:dyDescent="0.55000000000000004">
      <c r="A15" s="60">
        <v>4</v>
      </c>
      <c r="B15" s="1">
        <f>$C$2/$E$4^(A15-1)</f>
        <v>1.4999999999999996</v>
      </c>
      <c r="C15">
        <f t="shared" si="3"/>
        <v>1</v>
      </c>
    </row>
    <row r="16" spans="1:12" x14ac:dyDescent="0.55000000000000004">
      <c r="A16" s="60">
        <v>5</v>
      </c>
      <c r="B16" s="1">
        <f>$C$5/$E$5^(A16-4)</f>
        <v>1.3585854963958601</v>
      </c>
      <c r="C16">
        <f t="shared" si="3"/>
        <v>1</v>
      </c>
    </row>
    <row r="17" spans="1:3" x14ac:dyDescent="0.55000000000000004">
      <c r="A17" s="60">
        <v>6</v>
      </c>
      <c r="B17" s="1">
        <f t="shared" ref="B17:B22" si="4">$C$5/$E$5^(A17-4)</f>
        <v>1.2305030340114571</v>
      </c>
      <c r="C17">
        <f t="shared" si="3"/>
        <v>1</v>
      </c>
    </row>
    <row r="18" spans="1:3" x14ac:dyDescent="0.55000000000000004">
      <c r="A18" s="60">
        <v>7</v>
      </c>
      <c r="B18" s="1">
        <f t="shared" si="4"/>
        <v>1.1144957168527116</v>
      </c>
      <c r="C18">
        <f t="shared" si="3"/>
        <v>1</v>
      </c>
    </row>
    <row r="19" spans="1:3" x14ac:dyDescent="0.55000000000000004">
      <c r="A19" s="60">
        <v>8</v>
      </c>
      <c r="B19" s="1">
        <f t="shared" si="4"/>
        <v>1.0094251444742675</v>
      </c>
      <c r="C19">
        <f t="shared" si="3"/>
        <v>2</v>
      </c>
    </row>
    <row r="20" spans="1:3" x14ac:dyDescent="0.55000000000000004">
      <c r="A20" s="60">
        <v>9</v>
      </c>
      <c r="B20" s="1">
        <f t="shared" si="4"/>
        <v>0.91426024065335709</v>
      </c>
      <c r="C20">
        <f t="shared" si="3"/>
        <v>2</v>
      </c>
    </row>
    <row r="21" spans="1:3" x14ac:dyDescent="0.55000000000000004">
      <c r="A21" s="60">
        <v>10</v>
      </c>
      <c r="B21" s="1">
        <f t="shared" si="4"/>
        <v>0.8280671352553598</v>
      </c>
      <c r="C21">
        <f t="shared" si="3"/>
        <v>2</v>
      </c>
    </row>
    <row r="22" spans="1:3" x14ac:dyDescent="0.55000000000000004">
      <c r="A22" s="60">
        <v>11</v>
      </c>
      <c r="B22" s="1">
        <f t="shared" si="4"/>
        <v>0.75000000000000056</v>
      </c>
      <c r="C22">
        <f t="shared" si="3"/>
        <v>2</v>
      </c>
    </row>
    <row r="23" spans="1:3" x14ac:dyDescent="0.55000000000000004">
      <c r="A23" s="60">
        <v>12</v>
      </c>
      <c r="B23" s="1">
        <f>$C$6/$E$6^(A23-11)</f>
        <v>0.64106354993036418</v>
      </c>
      <c r="C23">
        <f t="shared" si="3"/>
        <v>2</v>
      </c>
    </row>
    <row r="24" spans="1:3" x14ac:dyDescent="0.55000000000000004">
      <c r="A24" s="60">
        <v>13</v>
      </c>
      <c r="B24" s="1">
        <f t="shared" ref="B24:B36" si="5">$C$6/$E$6^(A24-11)</f>
        <v>0.54794996673242735</v>
      </c>
      <c r="C24">
        <f t="shared" si="3"/>
        <v>2</v>
      </c>
    </row>
    <row r="25" spans="1:3" x14ac:dyDescent="0.55000000000000004">
      <c r="A25" s="60">
        <v>14</v>
      </c>
      <c r="B25" s="1">
        <f t="shared" si="5"/>
        <v>0.46836100114361967</v>
      </c>
      <c r="C25">
        <f t="shared" si="3"/>
        <v>2</v>
      </c>
    </row>
    <row r="26" spans="1:3" x14ac:dyDescent="0.55000000000000004">
      <c r="A26" s="60">
        <v>15</v>
      </c>
      <c r="B26" s="1">
        <f t="shared" si="5"/>
        <v>0.40033222138942426</v>
      </c>
      <c r="C26">
        <f t="shared" si="3"/>
        <v>3</v>
      </c>
    </row>
    <row r="27" spans="1:3" x14ac:dyDescent="0.55000000000000004">
      <c r="A27" s="60">
        <v>16</v>
      </c>
      <c r="B27" s="1">
        <f t="shared" si="5"/>
        <v>0.34218452666055033</v>
      </c>
      <c r="C27">
        <f t="shared" si="3"/>
        <v>3</v>
      </c>
    </row>
    <row r="28" spans="1:3" x14ac:dyDescent="0.55000000000000004">
      <c r="A28" s="60">
        <v>17</v>
      </c>
      <c r="B28" s="1">
        <f t="shared" si="5"/>
        <v>0.29248270318967168</v>
      </c>
      <c r="C28">
        <f t="shared" si="3"/>
        <v>3</v>
      </c>
    </row>
    <row r="29" spans="1:3" x14ac:dyDescent="0.55000000000000004">
      <c r="A29" s="60">
        <v>18</v>
      </c>
      <c r="B29" s="1">
        <f t="shared" si="5"/>
        <v>0.24999999999999992</v>
      </c>
      <c r="C29">
        <f t="shared" si="3"/>
        <v>3</v>
      </c>
    </row>
    <row r="30" spans="1:3" x14ac:dyDescent="0.55000000000000004">
      <c r="A30" s="60">
        <v>19</v>
      </c>
      <c r="B30" s="1">
        <f t="shared" si="5"/>
        <v>0.213687849976788</v>
      </c>
      <c r="C30">
        <f t="shared" si="3"/>
        <v>3</v>
      </c>
    </row>
    <row r="31" spans="1:3" x14ac:dyDescent="0.55000000000000004">
      <c r="A31" s="60">
        <v>20</v>
      </c>
      <c r="B31" s="1">
        <f t="shared" si="5"/>
        <v>0.18264998891080905</v>
      </c>
      <c r="C31">
        <f t="shared" si="3"/>
        <v>3</v>
      </c>
    </row>
    <row r="32" spans="1:3" x14ac:dyDescent="0.55000000000000004">
      <c r="A32" s="60">
        <v>21</v>
      </c>
      <c r="B32" s="1">
        <f t="shared" si="5"/>
        <v>0.15612033371453984</v>
      </c>
      <c r="C32">
        <f t="shared" si="3"/>
        <v>3</v>
      </c>
    </row>
    <row r="33" spans="1:9" x14ac:dyDescent="0.55000000000000004">
      <c r="A33" s="60">
        <v>22</v>
      </c>
      <c r="B33" s="1">
        <f t="shared" si="5"/>
        <v>0.13344407379647472</v>
      </c>
      <c r="C33">
        <f t="shared" si="3"/>
        <v>4</v>
      </c>
    </row>
    <row r="34" spans="1:9" x14ac:dyDescent="0.55000000000000004">
      <c r="A34" s="60">
        <v>23</v>
      </c>
      <c r="B34" s="1">
        <f t="shared" si="5"/>
        <v>0.11406150888685009</v>
      </c>
      <c r="C34">
        <f t="shared" si="3"/>
        <v>4</v>
      </c>
    </row>
    <row r="35" spans="1:9" x14ac:dyDescent="0.55000000000000004">
      <c r="A35" s="60">
        <v>24</v>
      </c>
      <c r="B35" s="1">
        <f t="shared" si="5"/>
        <v>9.7494234396557189E-2</v>
      </c>
      <c r="C35">
        <f t="shared" si="3"/>
        <v>4</v>
      </c>
    </row>
    <row r="36" spans="1:9" x14ac:dyDescent="0.55000000000000004">
      <c r="A36" s="60">
        <v>25</v>
      </c>
      <c r="B36" s="1">
        <f t="shared" si="5"/>
        <v>8.3333333333333287E-2</v>
      </c>
      <c r="C36">
        <f t="shared" si="3"/>
        <v>4</v>
      </c>
    </row>
    <row r="37" spans="1:9" x14ac:dyDescent="0.55000000000000004">
      <c r="A37" s="60"/>
      <c r="B37" s="1"/>
    </row>
    <row r="39" spans="1:9" x14ac:dyDescent="0.55000000000000004">
      <c r="A39" s="2" t="s">
        <v>251</v>
      </c>
    </row>
    <row r="40" spans="1:9" ht="28.8" x14ac:dyDescent="0.55000000000000004">
      <c r="A40" s="9" t="s">
        <v>71</v>
      </c>
      <c r="B40" s="8" t="s">
        <v>252</v>
      </c>
      <c r="C40" s="9" t="s">
        <v>314</v>
      </c>
    </row>
    <row r="41" spans="1:9" ht="72" x14ac:dyDescent="0.55000000000000004">
      <c r="A41" s="4" t="s">
        <v>253</v>
      </c>
      <c r="B41" s="4" t="s">
        <v>254</v>
      </c>
      <c r="C41" s="4" t="s">
        <v>315</v>
      </c>
    </row>
    <row r="42" spans="1:9" x14ac:dyDescent="0.55000000000000004">
      <c r="A42" s="4"/>
      <c r="B42" s="4"/>
      <c r="C42" s="4"/>
    </row>
    <row r="43" spans="1:9" ht="57.6" x14ac:dyDescent="0.55000000000000004">
      <c r="A43" s="9" t="s">
        <v>185</v>
      </c>
      <c r="B43" s="8" t="s">
        <v>74</v>
      </c>
      <c r="C43" s="9" t="s">
        <v>75</v>
      </c>
      <c r="D43" s="9" t="s">
        <v>76</v>
      </c>
      <c r="E43" s="9" t="s">
        <v>77</v>
      </c>
      <c r="F43" s="1"/>
      <c r="G43" s="1"/>
      <c r="H43" s="1"/>
      <c r="I43" s="1"/>
    </row>
    <row r="44" spans="1:9" x14ac:dyDescent="0.55000000000000004">
      <c r="A44" t="s">
        <v>255</v>
      </c>
      <c r="B44" t="s">
        <v>85</v>
      </c>
      <c r="C44">
        <v>1</v>
      </c>
      <c r="D44">
        <f t="shared" ref="D44:D45" si="6">IF(B44="BBC",0,1)</f>
        <v>0</v>
      </c>
      <c r="E44">
        <v>2</v>
      </c>
      <c r="F44" s="1"/>
      <c r="H44" s="1"/>
      <c r="I44" s="6"/>
    </row>
    <row r="45" spans="1:9" x14ac:dyDescent="0.55000000000000004">
      <c r="A45" t="s">
        <v>256</v>
      </c>
      <c r="B45" t="s">
        <v>85</v>
      </c>
      <c r="C45">
        <v>1</v>
      </c>
      <c r="D45">
        <f t="shared" si="6"/>
        <v>0</v>
      </c>
      <c r="E45">
        <v>3</v>
      </c>
      <c r="F45" s="1"/>
      <c r="H45" s="1"/>
      <c r="I45" s="6"/>
    </row>
    <row r="46" spans="1:9" x14ac:dyDescent="0.55000000000000004">
      <c r="H46" s="6"/>
      <c r="I46" s="6"/>
    </row>
    <row r="47" spans="1:9" x14ac:dyDescent="0.55000000000000004">
      <c r="A47" t="s">
        <v>339</v>
      </c>
      <c r="I47" s="62"/>
    </row>
  </sheetData>
  <mergeCells count="1">
    <mergeCell ref="A3:D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nformation_x0020_classification xmlns="3d3c8e1c-d774-4dad-9ab3-28bb1fa8ac76" xsi:nil="true"/>
    <ReceivedTime xmlns="341f3a21-500e-418d-b220-102a9842abf4" xsi:nil="true"/>
    <SentOn xmlns="341f3a21-500e-418d-b220-102a9842abf4" xsi:nil="true"/>
    <IconOverlay xmlns="http://schemas.microsoft.com/sharepoint/v4" xsi:nil="true"/>
    <Attach_x0020_count xmlns="3d3c8e1c-d774-4dad-9ab3-28bb1fa8ac76" xsi:nil="true"/>
    <From xmlns="341f3a21-500e-418d-b220-102a9842abf4" xsi:nil="true"/>
    <To xmlns="341f3a21-500e-418d-b220-102a9842abf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Research" ma:contentTypeID="0x0101006E7C873D928E3C43A379D92C143C08C200086C38867C3EDE438973709ED49BFE53" ma:contentTypeVersion="4" ma:contentTypeDescription="Internal or commissioned research on relevant topics" ma:contentTypeScope="" ma:versionID="48151ddc4fe974af8da16db5d4f65f93">
  <xsd:schema xmlns:xsd="http://www.w3.org/2001/XMLSchema" xmlns:xs="http://www.w3.org/2001/XMLSchema" xmlns:p="http://schemas.microsoft.com/office/2006/metadata/properties" xmlns:ns2="3d3c8e1c-d774-4dad-9ab3-28bb1fa8ac76" xmlns:ns4="341f3a21-500e-418d-b220-102a9842abf4" xmlns:ns5="http://schemas.microsoft.com/sharepoint/v4" targetNamespace="http://schemas.microsoft.com/office/2006/metadata/properties" ma:root="true" ma:fieldsID="3c4b799429ac42202f87cf3d145ddf85" ns2:_="" ns4:_="" ns5:_="">
    <xsd:import namespace="3d3c8e1c-d774-4dad-9ab3-28bb1fa8ac76"/>
    <xsd:import namespace="341f3a21-500e-418d-b220-102a9842abf4"/>
    <xsd:import namespace="http://schemas.microsoft.com/sharepoint/v4"/>
    <xsd:element name="properties">
      <xsd:complexType>
        <xsd:sequence>
          <xsd:element name="documentManagement">
            <xsd:complexType>
              <xsd:all>
                <xsd:element ref="ns2:Information_x0020_classification" minOccurs="0"/>
                <xsd:element ref="ns4:From" minOccurs="0"/>
                <xsd:element ref="ns4:SentOn" minOccurs="0"/>
                <xsd:element ref="ns4:To" minOccurs="0"/>
                <xsd:element ref="ns4:ReceivedTime" minOccurs="0"/>
                <xsd:element ref="ns2:Attach_x0020_count"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3c8e1c-d774-4dad-9ab3-28bb1fa8ac76" elementFormDefault="qualified">
    <xsd:import namespace="http://schemas.microsoft.com/office/2006/documentManagement/types"/>
    <xsd:import namespace="http://schemas.microsoft.com/office/infopath/2007/PartnerControls"/>
    <xsd:element name="Information_x0020_classification" ma:index="1" nillable="true" ma:displayName="Information classification" ma:format="Dropdown" ma:internalName="Information_x0020_classification">
      <xsd:simpleType>
        <xsd:restriction base="dms:Choice">
          <xsd:enumeration value="Highly sensitive"/>
          <xsd:enumeration value="Confidential"/>
          <xsd:enumeration value="Protected"/>
        </xsd:restriction>
      </xsd:simpleType>
    </xsd:element>
    <xsd:element name="Attach_x0020_count" ma:index="13" nillable="true" ma:displayName="Attach count" ma:internalName="Attach_x0020_count">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341f3a21-500e-418d-b220-102a9842abf4" elementFormDefault="qualified">
    <xsd:import namespace="http://schemas.microsoft.com/office/2006/documentManagement/types"/>
    <xsd:import namespace="http://schemas.microsoft.com/office/infopath/2007/PartnerControls"/>
    <xsd:element name="From" ma:index="9" nillable="true" ma:displayName="From" ma:description="Auto-populated by saved email" ma:internalName="From">
      <xsd:simpleType>
        <xsd:restriction base="dms:Text">
          <xsd:maxLength value="255"/>
        </xsd:restriction>
      </xsd:simpleType>
    </xsd:element>
    <xsd:element name="SentOn" ma:index="10" nillable="true" ma:displayName="SentOn" ma:description="Auto-populated by saved email" ma:format="DateTime" ma:internalName="SentOn">
      <xsd:simpleType>
        <xsd:restriction base="dms:DateTime"/>
      </xsd:simpleType>
    </xsd:element>
    <xsd:element name="To" ma:index="11" nillable="true" ma:displayName="To" ma:description="Auto-populated by saved email" ma:internalName="To">
      <xsd:simpleType>
        <xsd:restriction base="dms:Text">
          <xsd:maxLength value="255"/>
        </xsd:restriction>
      </xsd:simpleType>
    </xsd:element>
    <xsd:element name="ReceivedTime" ma:index="12" nillable="true" ma:displayName="ReceivedTime" ma:description="Auto-populated by saved email" ma:format="DateTime" ma:internalName="Received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DB4312-88F6-4DB1-B620-DFBD64006A1E}">
  <ds:schemaRefs>
    <ds:schemaRef ds:uri="http://schemas.microsoft.com/sharepoint/v3/contenttype/forms"/>
  </ds:schemaRefs>
</ds:datastoreItem>
</file>

<file path=customXml/itemProps2.xml><?xml version="1.0" encoding="utf-8"?>
<ds:datastoreItem xmlns:ds="http://schemas.openxmlformats.org/officeDocument/2006/customXml" ds:itemID="{B7590C1D-67B4-40F0-AAE0-61C5DD2AB377}">
  <ds:schemaRefs>
    <ds:schemaRef ds:uri="http://schemas.microsoft.com/sharepoint/v4"/>
    <ds:schemaRef ds:uri="http://purl.org/dc/dcmitype/"/>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341f3a21-500e-418d-b220-102a9842abf4"/>
    <ds:schemaRef ds:uri="http://purl.org/dc/terms/"/>
    <ds:schemaRef ds:uri="http://schemas.microsoft.com/office/infopath/2007/PartnerControls"/>
    <ds:schemaRef ds:uri="3d3c8e1c-d774-4dad-9ab3-28bb1fa8ac76"/>
    <ds:schemaRef ds:uri="http://www.w3.org/XML/1998/namespace"/>
  </ds:schemaRefs>
</ds:datastoreItem>
</file>

<file path=customXml/itemProps3.xml><?xml version="1.0" encoding="utf-8"?>
<ds:datastoreItem xmlns:ds="http://schemas.openxmlformats.org/officeDocument/2006/customXml" ds:itemID="{975A617C-5B09-4E72-9BCD-9FC2F61A75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3c8e1c-d774-4dad-9ab3-28bb1fa8ac76"/>
    <ds:schemaRef ds:uri="341f3a21-500e-418d-b220-102a9842abf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Contents</vt:lpstr>
      <vt:lpstr>Viewing data</vt:lpstr>
      <vt:lpstr>VM-Gen Ent</vt:lpstr>
      <vt:lpstr>Sky-Gen Ent-Scotland</vt:lpstr>
      <vt:lpstr>Sky-Gen Ent-Wales</vt:lpstr>
      <vt:lpstr>Sky-Gen Ent-Eng and NI</vt:lpstr>
      <vt:lpstr>VM-News</vt:lpstr>
      <vt:lpstr>Sky-News</vt:lpstr>
      <vt:lpstr>VM-Kids</vt:lpstr>
      <vt:lpstr>Sky-Kids</vt:lpstr>
      <vt:lpstr>Workbook.Objective</vt:lpstr>
      <vt:lpstr>Workbook.Title</vt:lpstr>
      <vt:lpstr>Workbook.Version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2018-07-26T12:41:20Z</dcterms:created>
  <dcterms:modified xsi:type="dcterms:W3CDTF">2018-07-27T09:19:25Z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0x0101006E7C873D928E3C43A379D92C143C08C200086C38867C3EDE438973709ED49BFE53</vt:lpwstr>
  </property>
</Properties>
</file>