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G:\WFTMR 2020\Statement - Non confidential models\"/>
    </mc:Choice>
  </mc:AlternateContent>
  <xr:revisionPtr revIDLastSave="0" documentId="13_ncr:1_{41D5BF6F-4217-426B-A4C3-E3653670AEF4}" xr6:coauthVersionLast="45" xr6:coauthVersionMax="45" xr10:uidLastSave="{00000000-0000-0000-0000-000000000000}"/>
  <bookViews>
    <workbookView xWindow="-98" yWindow="-98" windowWidth="20715" windowHeight="13276" tabRatio="729" activeTab="1" xr2:uid="{33C3CDE3-72EF-42E9-8456-705A41ACB3B3}"/>
  </bookViews>
  <sheets>
    <sheet name="Contents" sheetId="95" r:id="rId1"/>
    <sheet name="Style Guidelines" sheetId="99" r:id="rId2"/>
    <sheet name="Terms and Conditions" sheetId="98" r:id="rId3"/>
    <sheet name="Model Map" sheetId="103" r:id="rId4"/>
    <sheet name="Input data and assumptions&gt;&gt;&gt;" sheetId="46" r:id="rId5"/>
    <sheet name="Input data" sheetId="94" r:id="rId6"/>
    <sheet name="Parameters and Assumptions" sheetId="53" r:id="rId7"/>
    <sheet name="Calculation Sheets&gt;&gt;&gt;&gt;" sheetId="49" r:id="rId8"/>
    <sheet name="Network Adjs" sheetId="57" r:id="rId9"/>
    <sheet name="Duct and Chambers&gt;&gt;&gt;" sheetId="100" r:id="rId10"/>
    <sheet name="D&amp;C Vols" sheetId="59" r:id="rId11"/>
    <sheet name="LDD forecasts" sheetId="65" r:id="rId12"/>
    <sheet name="D&amp;C Cost Forecasts" sheetId="69" r:id="rId13"/>
    <sheet name="D&amp;C Forecast UCs, Charges &amp; Xs" sheetId="70" r:id="rId14"/>
    <sheet name="Poles&gt;&gt;&gt;" sheetId="101" r:id="rId15"/>
    <sheet name="Pole volume forecasts" sheetId="81" r:id="rId16"/>
    <sheet name="Poles main COW Forecasts" sheetId="82" r:id="rId17"/>
    <sheet name="Poles costs forecasts" sheetId="83" r:id="rId18"/>
    <sheet name="Poles Fcast UCs, Charges &amp; Xs" sheetId="84" r:id="rId19"/>
    <sheet name="Model Output&gt;&gt;&gt;" sheetId="102" r:id="rId20"/>
    <sheet name="Model outputs" sheetId="91" r:id="rId21"/>
  </sheets>
  <definedNames>
    <definedName name="CIQWBGuid" hidden="1">"NON CONFIDENTIAL PIA charge model.xlsx"</definedName>
    <definedName name="CPI">'Parameters and Assumptions'!$D$49:$J$49</definedName>
    <definedName name="duct_asset_life">'Parameters and Assumptions'!$D$60</definedName>
    <definedName name="Junction_box_discount">'Parameters and Assumptions'!$D$19</definedName>
    <definedName name="Leadin_discount">'Parameters and Assumptions'!$D$17</definedName>
    <definedName name="Manifold_uplift_ratio">'Parameters and Assumptions'!$D$39</definedName>
    <definedName name="Million">'Parameters and Assumptions'!$D$6</definedName>
    <definedName name="Opex_CVE">'Parameters and Assumptions'!$D$9</definedName>
    <definedName name="Opex_eff">'Parameters and Assumptions'!$D$10</definedName>
    <definedName name="pole_asset_life">'Parameters and Assumptions'!$D$61</definedName>
    <definedName name="polevol_scenario">'Parameters and Assumptions'!$D$66</definedName>
    <definedName name="RPI">'Parameters and Assumptions'!$D$47:$J$47</definedName>
    <definedName name="Single_attach_disc">'Parameters and Assumptions'!$D$21</definedName>
    <definedName name="Single_bore_discount">'Parameters and Assumptions'!$D$18</definedName>
    <definedName name="Thousand">'Parameters and Assumptions'!$D$7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2" i="65" l="1"/>
  <c r="E134" i="94"/>
  <c r="C122" i="94"/>
  <c r="E71" i="94"/>
  <c r="E67" i="94"/>
  <c r="E69" i="53" l="1"/>
  <c r="F132" i="65" l="1"/>
  <c r="F69" i="53" l="1"/>
  <c r="F72" i="53" s="1"/>
  <c r="G69" i="53" s="1"/>
  <c r="G72" i="53" s="1"/>
  <c r="H69" i="53" s="1"/>
  <c r="H72" i="53" s="1"/>
  <c r="I69" i="53" s="1"/>
  <c r="I72" i="53" s="1"/>
  <c r="J69" i="53" s="1"/>
  <c r="J72" i="53" s="1"/>
  <c r="E72" i="53"/>
  <c r="D72" i="53"/>
  <c r="F240" i="94"/>
  <c r="F239" i="94"/>
  <c r="G239" i="94"/>
  <c r="E237" i="94"/>
  <c r="E238" i="94"/>
  <c r="E239" i="94"/>
  <c r="E236" i="94"/>
  <c r="E234" i="94"/>
  <c r="F234" i="94"/>
  <c r="F233" i="94"/>
  <c r="E231" i="94"/>
  <c r="E232" i="94"/>
  <c r="E233" i="94"/>
  <c r="E230" i="94"/>
  <c r="E173" i="94"/>
  <c r="B41" i="91" l="1"/>
  <c r="C27" i="91"/>
  <c r="D251" i="82" l="1"/>
  <c r="D121" i="82"/>
  <c r="D329" i="82" l="1"/>
  <c r="D328" i="82"/>
  <c r="D327" i="82"/>
  <c r="D325" i="82"/>
  <c r="E321" i="82" s="1"/>
  <c r="D323" i="82"/>
  <c r="D286" i="82"/>
  <c r="D247" i="82"/>
  <c r="E243" i="82" s="1"/>
  <c r="D245" i="82"/>
  <c r="E208" i="82"/>
  <c r="D208" i="82"/>
  <c r="D207" i="82"/>
  <c r="D209" i="82" s="1"/>
  <c r="D203" i="82"/>
  <c r="D166" i="82"/>
  <c r="D165" i="82"/>
  <c r="D167" i="82" s="1"/>
  <c r="D161" i="82"/>
  <c r="F107" i="65" l="1"/>
  <c r="A45" i="59" l="1"/>
  <c r="A53" i="59" s="1"/>
  <c r="A62" i="59" s="1"/>
  <c r="E128" i="70" l="1"/>
  <c r="F144" i="82" l="1"/>
  <c r="E13" i="57"/>
  <c r="D110" i="81"/>
  <c r="D109" i="81"/>
  <c r="D40" i="84"/>
  <c r="H62" i="70" l="1"/>
  <c r="J62" i="70"/>
  <c r="I62" i="70"/>
  <c r="G62" i="70"/>
  <c r="H65" i="70"/>
  <c r="G65" i="70"/>
  <c r="I65" i="70"/>
  <c r="J65" i="70"/>
  <c r="H61" i="70"/>
  <c r="G61" i="70"/>
  <c r="I61" i="70"/>
  <c r="J61" i="70"/>
  <c r="E40" i="84"/>
  <c r="C146" i="69"/>
  <c r="C124" i="69"/>
  <c r="A49" i="69"/>
  <c r="A38" i="65"/>
  <c r="A39" i="65"/>
  <c r="A45" i="65"/>
  <c r="A46" i="65"/>
  <c r="B39" i="65"/>
  <c r="B40" i="65"/>
  <c r="B41" i="65"/>
  <c r="B42" i="65"/>
  <c r="A28" i="65"/>
  <c r="A20" i="65"/>
  <c r="A21" i="65"/>
  <c r="B49" i="69" l="1"/>
  <c r="B6" i="59"/>
  <c r="A6" i="59"/>
  <c r="A15" i="59" s="1"/>
  <c r="A23" i="59" l="1"/>
  <c r="A50" i="69"/>
  <c r="D36" i="53"/>
  <c r="C89" i="84" l="1"/>
  <c r="C88" i="84"/>
  <c r="D3" i="83"/>
  <c r="E32" i="83"/>
  <c r="F32" i="83"/>
  <c r="G32" i="83"/>
  <c r="H32" i="83"/>
  <c r="I32" i="83"/>
  <c r="D32" i="83"/>
  <c r="D10" i="84" l="1"/>
  <c r="E10" i="84"/>
  <c r="F10" i="84"/>
  <c r="G10" i="84"/>
  <c r="H10" i="84"/>
  <c r="I10" i="84"/>
  <c r="J10" i="84"/>
  <c r="B300" i="82" l="1"/>
  <c r="B286" i="82"/>
  <c r="B272" i="82"/>
  <c r="E250" i="82"/>
  <c r="D249" i="82"/>
  <c r="F238" i="82"/>
  <c r="G238" i="82"/>
  <c r="H238" i="82"/>
  <c r="I238" i="82"/>
  <c r="J238" i="82"/>
  <c r="G102" i="82" l="1"/>
  <c r="E318" i="82"/>
  <c r="J186" i="82"/>
  <c r="J228" i="82"/>
  <c r="H102" i="82"/>
  <c r="F186" i="82"/>
  <c r="I318" i="82"/>
  <c r="I144" i="82"/>
  <c r="H318" i="82"/>
  <c r="I228" i="82"/>
  <c r="G186" i="82"/>
  <c r="J144" i="82"/>
  <c r="I102" i="82"/>
  <c r="F318" i="82"/>
  <c r="G318" i="82"/>
  <c r="H228" i="82"/>
  <c r="H186" i="82"/>
  <c r="G144" i="82"/>
  <c r="F102" i="82"/>
  <c r="J102" i="82"/>
  <c r="J318" i="82"/>
  <c r="F228" i="82"/>
  <c r="G228" i="82"/>
  <c r="I186" i="82"/>
  <c r="H144" i="82"/>
  <c r="E166" i="82" l="1"/>
  <c r="D205" i="82" l="1"/>
  <c r="E201" i="82" s="1"/>
  <c r="D163" i="82"/>
  <c r="E159" i="82" s="1"/>
  <c r="F132" i="82"/>
  <c r="G132" i="82"/>
  <c r="H132" i="82"/>
  <c r="I132" i="82"/>
  <c r="J132" i="82"/>
  <c r="E124" i="82"/>
  <c r="D124" i="82"/>
  <c r="H40" i="84" l="1"/>
  <c r="J40" i="84"/>
  <c r="G40" i="84"/>
  <c r="I40" i="84"/>
  <c r="F40" i="84"/>
  <c r="C31" i="69" l="1"/>
  <c r="C52" i="84" l="1"/>
  <c r="C41" i="84"/>
  <c r="B13" i="84"/>
  <c r="B14" i="84"/>
  <c r="B12" i="84"/>
  <c r="E24" i="83"/>
  <c r="F24" i="83"/>
  <c r="G24" i="83"/>
  <c r="H24" i="83"/>
  <c r="I24" i="83"/>
  <c r="J24" i="83"/>
  <c r="A26" i="83"/>
  <c r="A27" i="83"/>
  <c r="A28" i="83"/>
  <c r="A25" i="83"/>
  <c r="D74" i="82"/>
  <c r="E74" i="82"/>
  <c r="F74" i="82"/>
  <c r="G74" i="82"/>
  <c r="H74" i="82"/>
  <c r="I74" i="82"/>
  <c r="J74" i="82"/>
  <c r="A76" i="82"/>
  <c r="A75" i="82"/>
  <c r="D24" i="69" l="1"/>
  <c r="E24" i="69"/>
  <c r="F24" i="69"/>
  <c r="G24" i="69"/>
  <c r="H24" i="69"/>
  <c r="I24" i="69"/>
  <c r="J24" i="69"/>
  <c r="A26" i="69"/>
  <c r="A27" i="69"/>
  <c r="A28" i="69"/>
  <c r="A25" i="69"/>
  <c r="B5" i="57"/>
  <c r="B4" i="57"/>
  <c r="A11" i="65"/>
  <c r="F8" i="65"/>
  <c r="G8" i="65"/>
  <c r="H8" i="65"/>
  <c r="I8" i="65"/>
  <c r="J8" i="65"/>
  <c r="K8" i="65"/>
  <c r="L8" i="65"/>
  <c r="A10" i="65"/>
  <c r="G25" i="69" l="1"/>
  <c r="I25" i="69"/>
  <c r="H25" i="69"/>
  <c r="E25" i="69"/>
  <c r="F25" i="69"/>
  <c r="J25" i="69"/>
  <c r="G27" i="69"/>
  <c r="E27" i="69"/>
  <c r="F27" i="69"/>
  <c r="H27" i="69"/>
  <c r="I27" i="69"/>
  <c r="J27" i="69"/>
  <c r="D27" i="69"/>
  <c r="F4" i="57"/>
  <c r="J4" i="57"/>
  <c r="E4" i="57"/>
  <c r="G4" i="57"/>
  <c r="K4" i="57"/>
  <c r="H4" i="57"/>
  <c r="I4" i="57"/>
  <c r="E8" i="57"/>
  <c r="E17" i="57" s="1"/>
  <c r="E23" i="57" s="1"/>
  <c r="E7" i="57"/>
  <c r="D52" i="84"/>
  <c r="D41" i="84"/>
  <c r="D42" i="84" s="1"/>
  <c r="D14" i="84"/>
  <c r="E14" i="84" s="1"/>
  <c r="D13" i="84"/>
  <c r="E13" i="84" s="1"/>
  <c r="D12" i="84"/>
  <c r="E12" i="84" s="1"/>
  <c r="D38" i="70"/>
  <c r="D37" i="70"/>
  <c r="D36" i="70"/>
  <c r="D35" i="70"/>
  <c r="D34" i="70"/>
  <c r="D33" i="70"/>
  <c r="D42" i="70"/>
  <c r="D41" i="70"/>
  <c r="I42" i="70" l="1"/>
  <c r="F42" i="70"/>
  <c r="G42" i="70"/>
  <c r="E42" i="70"/>
  <c r="H42" i="70"/>
  <c r="J42" i="70"/>
  <c r="I36" i="70"/>
  <c r="F36" i="70"/>
  <c r="G36" i="70"/>
  <c r="H36" i="70"/>
  <c r="E36" i="70"/>
  <c r="J36" i="70"/>
  <c r="H33" i="70"/>
  <c r="G33" i="70"/>
  <c r="J33" i="70"/>
  <c r="F33" i="70"/>
  <c r="E33" i="70"/>
  <c r="I33" i="70"/>
  <c r="F34" i="70"/>
  <c r="I34" i="70"/>
  <c r="J34" i="70"/>
  <c r="E34" i="70"/>
  <c r="G34" i="70"/>
  <c r="H34" i="70"/>
  <c r="G38" i="70"/>
  <c r="F38" i="70"/>
  <c r="H38" i="70"/>
  <c r="I38" i="70"/>
  <c r="J38" i="70"/>
  <c r="E38" i="70"/>
  <c r="F37" i="70"/>
  <c r="E37" i="70"/>
  <c r="J37" i="70"/>
  <c r="H37" i="70"/>
  <c r="I37" i="70"/>
  <c r="G37" i="70"/>
  <c r="F41" i="70"/>
  <c r="J41" i="70"/>
  <c r="E41" i="70"/>
  <c r="G41" i="70"/>
  <c r="I41" i="70"/>
  <c r="H41" i="70"/>
  <c r="F35" i="70"/>
  <c r="H35" i="70"/>
  <c r="E35" i="70"/>
  <c r="J35" i="70"/>
  <c r="I35" i="70"/>
  <c r="G35" i="70"/>
  <c r="H12" i="84"/>
  <c r="F12" i="84"/>
  <c r="I12" i="84"/>
  <c r="J12" i="84"/>
  <c r="G12" i="84"/>
  <c r="G41" i="84"/>
  <c r="J41" i="84"/>
  <c r="H41" i="84"/>
  <c r="E41" i="84"/>
  <c r="I41" i="84"/>
  <c r="F41" i="84"/>
  <c r="G13" i="84"/>
  <c r="I13" i="84"/>
  <c r="F13" i="84"/>
  <c r="H13" i="84"/>
  <c r="J13" i="84"/>
  <c r="F14" i="84"/>
  <c r="J14" i="84"/>
  <c r="I14" i="84"/>
  <c r="G14" i="84"/>
  <c r="H14" i="84"/>
  <c r="H25" i="83"/>
  <c r="H75" i="82"/>
  <c r="H27" i="83"/>
  <c r="G25" i="83"/>
  <c r="G75" i="82"/>
  <c r="G27" i="83"/>
  <c r="J25" i="83"/>
  <c r="J75" i="82"/>
  <c r="F25" i="83"/>
  <c r="F75" i="82"/>
  <c r="J27" i="83"/>
  <c r="F27" i="83"/>
  <c r="I25" i="83"/>
  <c r="I75" i="82"/>
  <c r="E25" i="83"/>
  <c r="E75" i="82"/>
  <c r="I27" i="83"/>
  <c r="E27" i="83"/>
  <c r="J10" i="65"/>
  <c r="F10" i="65"/>
  <c r="D25" i="69"/>
  <c r="I10" i="65"/>
  <c r="L10" i="65"/>
  <c r="H10" i="65"/>
  <c r="K10" i="65"/>
  <c r="G10" i="65"/>
  <c r="G16" i="84" l="1"/>
  <c r="B14" i="83" l="1"/>
  <c r="B15" i="83"/>
  <c r="B16" i="83"/>
  <c r="A54" i="83" s="1"/>
  <c r="B17" i="83"/>
  <c r="A56" i="83" s="1"/>
  <c r="B13" i="83"/>
  <c r="B6" i="83"/>
  <c r="B7" i="83"/>
  <c r="B8" i="83"/>
  <c r="B9" i="83"/>
  <c r="B10" i="83"/>
  <c r="B5" i="83"/>
  <c r="G44" i="70" l="1"/>
  <c r="D30" i="70" l="1"/>
  <c r="E30" i="70"/>
  <c r="F30" i="70"/>
  <c r="G30" i="70"/>
  <c r="H30" i="70"/>
  <c r="I30" i="70"/>
  <c r="J30" i="70"/>
  <c r="B18" i="69" l="1"/>
  <c r="B15" i="69"/>
  <c r="B16" i="69"/>
  <c r="B17" i="69"/>
  <c r="B14" i="69"/>
  <c r="B7" i="69"/>
  <c r="B8" i="69"/>
  <c r="B9" i="69"/>
  <c r="B10" i="69"/>
  <c r="B6" i="69"/>
  <c r="B11" i="69"/>
  <c r="B8" i="59" l="1"/>
  <c r="B9" i="59"/>
  <c r="B10" i="59"/>
  <c r="B11" i="59"/>
  <c r="A7" i="59"/>
  <c r="B7" i="59"/>
  <c r="A24" i="59" l="1"/>
  <c r="A16" i="59"/>
  <c r="A51" i="69" s="1"/>
  <c r="A53" i="81" l="1"/>
  <c r="A16" i="95" l="1"/>
  <c r="A32" i="95" l="1"/>
  <c r="F65" i="70" l="1"/>
  <c r="F62" i="70"/>
  <c r="A14" i="95" l="1"/>
  <c r="C81" i="84" l="1"/>
  <c r="C40" i="84"/>
  <c r="A13" i="95"/>
  <c r="C125" i="70"/>
  <c r="C136" i="70" s="1"/>
  <c r="C103" i="70"/>
  <c r="A33" i="95" l="1"/>
  <c r="A31" i="95"/>
  <c r="A30" i="95"/>
  <c r="A29" i="95"/>
  <c r="A15" i="95"/>
  <c r="A28" i="95"/>
  <c r="A27" i="95"/>
  <c r="A26" i="95"/>
  <c r="A25" i="95"/>
  <c r="A17" i="95"/>
  <c r="A18" i="95"/>
  <c r="A19" i="95"/>
  <c r="A20" i="95"/>
  <c r="A21" i="95"/>
  <c r="A22" i="95"/>
  <c r="A24" i="95"/>
  <c r="A23" i="95"/>
  <c r="E16" i="84" l="1"/>
  <c r="F16" i="84"/>
  <c r="D16" i="84"/>
  <c r="B5" i="59" l="1"/>
  <c r="A8" i="59"/>
  <c r="A17" i="59" s="1"/>
  <c r="A52" i="69" s="1"/>
  <c r="A9" i="59"/>
  <c r="A18" i="59" s="1"/>
  <c r="A53" i="69" s="1"/>
  <c r="A10" i="59"/>
  <c r="A19" i="59" s="1"/>
  <c r="A54" i="69" s="1"/>
  <c r="A11" i="59"/>
  <c r="A34" i="59"/>
  <c r="A46" i="59" s="1"/>
  <c r="A54" i="59" s="1"/>
  <c r="A63" i="59" s="1"/>
  <c r="A28" i="59" l="1"/>
  <c r="A20" i="59"/>
  <c r="A55" i="69" s="1"/>
  <c r="A36" i="59"/>
  <c r="A48" i="59" s="1"/>
  <c r="A56" i="59" s="1"/>
  <c r="A65" i="59" s="1"/>
  <c r="A26" i="59"/>
  <c r="A37" i="59"/>
  <c r="A49" i="59" s="1"/>
  <c r="A57" i="59" s="1"/>
  <c r="A66" i="59" s="1"/>
  <c r="A27" i="59"/>
  <c r="A35" i="59"/>
  <c r="A47" i="59" s="1"/>
  <c r="A55" i="59" s="1"/>
  <c r="A64" i="59" s="1"/>
  <c r="A25" i="59"/>
  <c r="A38" i="59"/>
  <c r="A50" i="59" s="1"/>
  <c r="A58" i="59" s="1"/>
  <c r="A67" i="59" s="1"/>
  <c r="E18" i="65" l="1"/>
  <c r="A72" i="81" l="1"/>
  <c r="A69" i="81"/>
  <c r="A66" i="81"/>
  <c r="A63" i="81"/>
  <c r="B61" i="81"/>
  <c r="B60" i="81"/>
  <c r="A60" i="81"/>
  <c r="B32" i="69" l="1"/>
  <c r="B40" i="69" s="1"/>
  <c r="B33" i="69"/>
  <c r="B41" i="69" s="1"/>
  <c r="B34" i="69"/>
  <c r="B42" i="69" s="1"/>
  <c r="B35" i="69"/>
  <c r="B43" i="69" s="1"/>
  <c r="B36" i="69"/>
  <c r="B44" i="69" s="1"/>
  <c r="B31" i="69"/>
  <c r="B39" i="69" s="1"/>
  <c r="A57" i="65" l="1"/>
  <c r="A56" i="65"/>
  <c r="C23" i="70"/>
  <c r="B66" i="65"/>
  <c r="B67" i="65"/>
  <c r="B68" i="65"/>
  <c r="A63" i="65"/>
  <c r="A64" i="65"/>
  <c r="A65" i="65"/>
  <c r="A66" i="65"/>
  <c r="A67" i="65"/>
  <c r="B65" i="65"/>
  <c r="B64" i="65"/>
  <c r="B63" i="65"/>
  <c r="B57" i="65"/>
  <c r="B58" i="65"/>
  <c r="B59" i="65"/>
  <c r="B60" i="65"/>
  <c r="B56" i="65"/>
  <c r="B46" i="65"/>
  <c r="B47" i="65"/>
  <c r="B48" i="65"/>
  <c r="B49" i="65"/>
  <c r="B50" i="65"/>
  <c r="B45" i="65"/>
  <c r="B38" i="65"/>
  <c r="B28" i="65"/>
  <c r="B29" i="65"/>
  <c r="B30" i="65"/>
  <c r="B31" i="65"/>
  <c r="B32" i="65"/>
  <c r="B27" i="65"/>
  <c r="B21" i="65"/>
  <c r="B22" i="65"/>
  <c r="B23" i="65"/>
  <c r="B24" i="65"/>
  <c r="B20" i="65"/>
  <c r="A52" i="83" l="1"/>
  <c r="A53" i="83"/>
  <c r="B62" i="83"/>
  <c r="B6" i="84" s="1"/>
  <c r="A51" i="83"/>
  <c r="A13" i="83"/>
  <c r="A5" i="83"/>
  <c r="F20" i="57" l="1"/>
  <c r="G20" i="57"/>
  <c r="H20" i="57"/>
  <c r="I20" i="57"/>
  <c r="J20" i="57"/>
  <c r="K20" i="57"/>
  <c r="B18" i="84" l="1"/>
  <c r="B19" i="84"/>
  <c r="B20" i="84"/>
  <c r="B17" i="84"/>
  <c r="E44" i="70"/>
  <c r="F44" i="70"/>
  <c r="D44" i="70"/>
  <c r="G81" i="84" l="1"/>
  <c r="H81" i="84"/>
  <c r="I81" i="84"/>
  <c r="J81" i="84"/>
  <c r="F81" i="84"/>
  <c r="C145" i="70" l="1"/>
  <c r="C321" i="82" l="1"/>
  <c r="D330" i="82" s="1"/>
  <c r="D331" i="82" l="1"/>
  <c r="E52" i="84" l="1"/>
  <c r="F52" i="84"/>
  <c r="G52" i="84"/>
  <c r="H52" i="84"/>
  <c r="I52" i="84"/>
  <c r="J52" i="84"/>
  <c r="A96" i="81"/>
  <c r="E110" i="81"/>
  <c r="F110" i="81" l="1"/>
  <c r="F109" i="81"/>
  <c r="J110" i="81"/>
  <c r="H110" i="81"/>
  <c r="J109" i="81"/>
  <c r="G110" i="81"/>
  <c r="G109" i="81"/>
  <c r="I109" i="81"/>
  <c r="E109" i="81"/>
  <c r="I110" i="81"/>
  <c r="H109" i="81"/>
  <c r="B85" i="81"/>
  <c r="B88" i="81" s="1"/>
  <c r="B91" i="81" s="1"/>
  <c r="B94" i="81" s="1"/>
  <c r="B84" i="81"/>
  <c r="B87" i="81" s="1"/>
  <c r="B90" i="81" s="1"/>
  <c r="B93" i="81" s="1"/>
  <c r="A81" i="81"/>
  <c r="A84" i="81"/>
  <c r="A87" i="81"/>
  <c r="A90" i="81"/>
  <c r="A93" i="81"/>
  <c r="C51" i="84"/>
  <c r="A41" i="81"/>
  <c r="A42" i="81"/>
  <c r="A43" i="81"/>
  <c r="A44" i="81"/>
  <c r="A40" i="81"/>
  <c r="B99" i="81" l="1"/>
  <c r="B96" i="81"/>
  <c r="C73" i="84" s="1"/>
  <c r="B30" i="91" s="1"/>
  <c r="B109" i="81"/>
  <c r="B104" i="81"/>
  <c r="B110" i="81"/>
  <c r="B97" i="81"/>
  <c r="C74" i="84" s="1"/>
  <c r="B31" i="91" s="1"/>
  <c r="B105" i="81" l="1"/>
  <c r="B106" i="81" s="1"/>
  <c r="B107" i="81" s="1"/>
  <c r="C62" i="84" s="1"/>
  <c r="B112" i="81"/>
  <c r="C64" i="84" s="1"/>
  <c r="B113" i="81"/>
  <c r="C65" i="84" s="1"/>
  <c r="B100" i="81"/>
  <c r="B101" i="81" s="1"/>
  <c r="B102" i="81" s="1"/>
  <c r="C61" i="84" s="1"/>
  <c r="C92" i="84"/>
  <c r="C93" i="84"/>
  <c r="C101" i="84" l="1"/>
  <c r="C108" i="84" s="1"/>
  <c r="C117" i="84" s="1"/>
  <c r="C123" i="84"/>
  <c r="C100" i="84"/>
  <c r="C107" i="84" s="1"/>
  <c r="C116" i="84" s="1"/>
  <c r="C122" i="84"/>
  <c r="B49" i="84"/>
  <c r="C94" i="84"/>
  <c r="B39" i="84"/>
  <c r="C95" i="84"/>
  <c r="C28" i="84"/>
  <c r="C34" i="84" s="1"/>
  <c r="C29" i="84"/>
  <c r="C35" i="84" s="1"/>
  <c r="C27" i="84"/>
  <c r="C33" i="84" s="1"/>
  <c r="A41" i="83"/>
  <c r="A46" i="83"/>
  <c r="B61" i="83" s="1"/>
  <c r="B5" i="84" s="1"/>
  <c r="A44" i="83"/>
  <c r="A43" i="83"/>
  <c r="A42" i="83"/>
  <c r="A39" i="83"/>
  <c r="J79" i="82"/>
  <c r="J317" i="82" s="1"/>
  <c r="I79" i="82"/>
  <c r="H79" i="82"/>
  <c r="H317" i="82" s="1"/>
  <c r="G79" i="82"/>
  <c r="G101" i="82" s="1"/>
  <c r="G143" i="82" s="1"/>
  <c r="F79" i="82"/>
  <c r="E79" i="82"/>
  <c r="E317" i="82" s="1"/>
  <c r="D79" i="82"/>
  <c r="D317" i="82" s="1"/>
  <c r="A95" i="82"/>
  <c r="A117" i="82"/>
  <c r="A129" i="82" s="1"/>
  <c r="A147" i="82" s="1"/>
  <c r="A159" i="82" s="1"/>
  <c r="A171" i="82" s="1"/>
  <c r="A189" i="82" s="1"/>
  <c r="A213" i="82" s="1"/>
  <c r="A231" i="82" s="1"/>
  <c r="A255" i="82" s="1"/>
  <c r="A118" i="82"/>
  <c r="A130" i="82" s="1"/>
  <c r="A148" i="82" s="1"/>
  <c r="A160" i="82" s="1"/>
  <c r="A172" i="82" s="1"/>
  <c r="A190" i="82" s="1"/>
  <c r="A214" i="82" s="1"/>
  <c r="A232" i="82" s="1"/>
  <c r="A256" i="82" s="1"/>
  <c r="A338" i="82" s="1"/>
  <c r="A119" i="82"/>
  <c r="A131" i="82" s="1"/>
  <c r="A149" i="82" s="1"/>
  <c r="A161" i="82" s="1"/>
  <c r="A173" i="82" s="1"/>
  <c r="A191" i="82" s="1"/>
  <c r="A215" i="82" s="1"/>
  <c r="A233" i="82" s="1"/>
  <c r="A257" i="82" s="1"/>
  <c r="A120" i="82"/>
  <c r="A132" i="82" s="1"/>
  <c r="A150" i="82" s="1"/>
  <c r="A162" i="82" s="1"/>
  <c r="A174" i="82" s="1"/>
  <c r="A121" i="82"/>
  <c r="A133" i="82" s="1"/>
  <c r="A151" i="82" s="1"/>
  <c r="A163" i="82" s="1"/>
  <c r="A175" i="82" s="1"/>
  <c r="A193" i="82" s="1"/>
  <c r="A217" i="82" s="1"/>
  <c r="A235" i="82" s="1"/>
  <c r="A259" i="82" s="1"/>
  <c r="A123" i="82"/>
  <c r="A136" i="82" s="1"/>
  <c r="A153" i="82" s="1"/>
  <c r="A165" i="82" s="1"/>
  <c r="A178" i="82" s="1"/>
  <c r="A195" i="82" s="1"/>
  <c r="A207" i="82" s="1"/>
  <c r="A220" i="82" s="1"/>
  <c r="A237" i="82" s="1"/>
  <c r="A249" i="82" s="1"/>
  <c r="A124" i="82"/>
  <c r="A137" i="82" s="1"/>
  <c r="A154" i="82" s="1"/>
  <c r="A166" i="82" s="1"/>
  <c r="A179" i="82" s="1"/>
  <c r="A196" i="82" s="1"/>
  <c r="A208" i="82" s="1"/>
  <c r="A221" i="82" s="1"/>
  <c r="A238" i="82" s="1"/>
  <c r="A250" i="82" s="1"/>
  <c r="A125" i="82"/>
  <c r="A138" i="82" s="1"/>
  <c r="A155" i="82" s="1"/>
  <c r="A167" i="82" s="1"/>
  <c r="A180" i="82" s="1"/>
  <c r="A197" i="82" s="1"/>
  <c r="A209" i="82" s="1"/>
  <c r="A222" i="82" s="1"/>
  <c r="A239" i="82" s="1"/>
  <c r="A251" i="82" s="1"/>
  <c r="A126" i="82"/>
  <c r="A139" i="82" s="1"/>
  <c r="A156" i="82" s="1"/>
  <c r="A168" i="82" s="1"/>
  <c r="A181" i="82" s="1"/>
  <c r="A198" i="82" s="1"/>
  <c r="A210" i="82" s="1"/>
  <c r="A223" i="82" s="1"/>
  <c r="A240" i="82" s="1"/>
  <c r="A252" i="82" s="1"/>
  <c r="A127" i="82"/>
  <c r="A140" i="82" s="1"/>
  <c r="A157" i="82" s="1"/>
  <c r="A169" i="82" s="1"/>
  <c r="A182" i="82" s="1"/>
  <c r="A199" i="82" s="1"/>
  <c r="A211" i="82" s="1"/>
  <c r="A224" i="82" s="1"/>
  <c r="A241" i="82" s="1"/>
  <c r="A253" i="82" s="1"/>
  <c r="F273" i="82"/>
  <c r="G273" i="82"/>
  <c r="H273" i="82"/>
  <c r="I273" i="82"/>
  <c r="J273" i="82"/>
  <c r="A277" i="82"/>
  <c r="F280" i="82"/>
  <c r="G280" i="82"/>
  <c r="H280" i="82"/>
  <c r="I280" i="82"/>
  <c r="J280" i="82"/>
  <c r="A284" i="82"/>
  <c r="A291" i="82" s="1"/>
  <c r="A305" i="82" s="1"/>
  <c r="A286" i="82"/>
  <c r="A287" i="82"/>
  <c r="A288" i="82"/>
  <c r="D289" i="82"/>
  <c r="E289" i="82"/>
  <c r="F289" i="82"/>
  <c r="G289" i="82"/>
  <c r="H289" i="82"/>
  <c r="I289" i="82"/>
  <c r="J289" i="82"/>
  <c r="A290" i="82"/>
  <c r="A298" i="82"/>
  <c r="A312" i="82" s="1"/>
  <c r="A342" i="82"/>
  <c r="A349" i="82"/>
  <c r="D80" i="81"/>
  <c r="E80" i="81"/>
  <c r="F80" i="81"/>
  <c r="G80" i="81"/>
  <c r="H80" i="81"/>
  <c r="I80" i="81"/>
  <c r="J80" i="81"/>
  <c r="A192" i="82" l="1"/>
  <c r="G185" i="82"/>
  <c r="G227" i="82" s="1"/>
  <c r="G270" i="82" s="1"/>
  <c r="C103" i="84"/>
  <c r="C110" i="84" s="1"/>
  <c r="C119" i="84" s="1"/>
  <c r="C125" i="84"/>
  <c r="C102" i="84"/>
  <c r="C109" i="84" s="1"/>
  <c r="C118" i="84" s="1"/>
  <c r="C124" i="84"/>
  <c r="F38" i="83"/>
  <c r="F49" i="83" s="1"/>
  <c r="F60" i="83" s="1"/>
  <c r="J38" i="83"/>
  <c r="J49" i="83" s="1"/>
  <c r="J60" i="83" s="1"/>
  <c r="G38" i="83"/>
  <c r="G49" i="83" s="1"/>
  <c r="G60" i="83" s="1"/>
  <c r="D49" i="83"/>
  <c r="D60" i="83" s="1"/>
  <c r="H38" i="83"/>
  <c r="H49" i="83" s="1"/>
  <c r="H60" i="83" s="1"/>
  <c r="E38" i="83"/>
  <c r="E49" i="83" s="1"/>
  <c r="E60" i="83" s="1"/>
  <c r="I38" i="83"/>
  <c r="I49" i="83" s="1"/>
  <c r="I60" i="83" s="1"/>
  <c r="A322" i="82"/>
  <c r="A301" i="82"/>
  <c r="A325" i="82"/>
  <c r="A304" i="82"/>
  <c r="A323" i="82"/>
  <c r="A302" i="82"/>
  <c r="A321" i="82"/>
  <c r="A300" i="82"/>
  <c r="H336" i="82"/>
  <c r="H353" i="82" s="1"/>
  <c r="E336" i="82"/>
  <c r="E353" i="82" s="1"/>
  <c r="I336" i="82"/>
  <c r="I353" i="82" s="1"/>
  <c r="D336" i="82"/>
  <c r="D353" i="82" s="1"/>
  <c r="F336" i="82"/>
  <c r="F353" i="82" s="1"/>
  <c r="J336" i="82"/>
  <c r="J353" i="82" s="1"/>
  <c r="G336" i="82"/>
  <c r="G353" i="82" s="1"/>
  <c r="G317" i="82"/>
  <c r="F317" i="82"/>
  <c r="I317" i="82"/>
  <c r="J101" i="82"/>
  <c r="J143" i="82" s="1"/>
  <c r="A266" i="82"/>
  <c r="A283" i="82" s="1"/>
  <c r="A297" i="82"/>
  <c r="A265" i="82"/>
  <c r="A282" i="82" s="1"/>
  <c r="A296" i="82"/>
  <c r="A204" i="82"/>
  <c r="A216" i="82"/>
  <c r="A234" i="82" s="1"/>
  <c r="A295" i="82"/>
  <c r="A264" i="82"/>
  <c r="E101" i="82"/>
  <c r="E143" i="82" s="1"/>
  <c r="A272" i="82"/>
  <c r="A337" i="82"/>
  <c r="A276" i="82"/>
  <c r="A341" i="82"/>
  <c r="A273" i="82"/>
  <c r="I101" i="82"/>
  <c r="I143" i="82" s="1"/>
  <c r="F101" i="82"/>
  <c r="F143" i="82" s="1"/>
  <c r="H101" i="82"/>
  <c r="H143" i="82" s="1"/>
  <c r="D101" i="82"/>
  <c r="D143" i="82" s="1"/>
  <c r="A262" i="82"/>
  <c r="A293" i="82"/>
  <c r="A263" i="82"/>
  <c r="A294" i="82"/>
  <c r="A274" i="82"/>
  <c r="A339" i="82"/>
  <c r="J185" i="82" l="1"/>
  <c r="J227" i="82" s="1"/>
  <c r="J270" i="82" s="1"/>
  <c r="F185" i="82"/>
  <c r="F227" i="82" s="1"/>
  <c r="F270" i="82" s="1"/>
  <c r="I185" i="82"/>
  <c r="I227" i="82" s="1"/>
  <c r="I270" i="82" s="1"/>
  <c r="D185" i="82"/>
  <c r="D227" i="82" s="1"/>
  <c r="D270" i="82" s="1"/>
  <c r="H185" i="82"/>
  <c r="H227" i="82" s="1"/>
  <c r="H270" i="82" s="1"/>
  <c r="E185" i="82"/>
  <c r="E227" i="82" s="1"/>
  <c r="E270" i="82" s="1"/>
  <c r="F42" i="84"/>
  <c r="J42" i="84"/>
  <c r="H42" i="84"/>
  <c r="G42" i="84"/>
  <c r="E42" i="84"/>
  <c r="I42" i="84"/>
  <c r="B19" i="91"/>
  <c r="B20" i="91"/>
  <c r="A328" i="82"/>
  <c r="A308" i="82"/>
  <c r="A329" i="82"/>
  <c r="A309" i="82"/>
  <c r="A327" i="82"/>
  <c r="A307" i="82"/>
  <c r="A331" i="82"/>
  <c r="A311" i="82"/>
  <c r="A330" i="82"/>
  <c r="A310" i="82"/>
  <c r="A348" i="82"/>
  <c r="A347" i="82"/>
  <c r="A246" i="82"/>
  <c r="A289" i="82" s="1"/>
  <c r="A258" i="82"/>
  <c r="A281" i="82"/>
  <c r="A346" i="82"/>
  <c r="A279" i="82"/>
  <c r="A344" i="82"/>
  <c r="A280" i="82"/>
  <c r="A345" i="82"/>
  <c r="A324" i="82" l="1"/>
  <c r="A303" i="82"/>
  <c r="A275" i="82"/>
  <c r="A340" i="82"/>
  <c r="F61" i="70"/>
  <c r="C175" i="69" l="1"/>
  <c r="C20" i="70" s="1"/>
  <c r="C166" i="69"/>
  <c r="C11" i="70" s="1"/>
  <c r="C154" i="69"/>
  <c r="C143" i="69"/>
  <c r="B135" i="69"/>
  <c r="B113" i="69"/>
  <c r="B103" i="69"/>
  <c r="B102" i="69"/>
  <c r="B99" i="69"/>
  <c r="B98" i="69"/>
  <c r="B95" i="69"/>
  <c r="B94" i="69"/>
  <c r="B91" i="69"/>
  <c r="B90" i="69"/>
  <c r="B85" i="69"/>
  <c r="B84" i="69"/>
  <c r="B81" i="69"/>
  <c r="B80" i="69"/>
  <c r="B77" i="69"/>
  <c r="B76" i="69"/>
  <c r="B73" i="69"/>
  <c r="B72" i="69"/>
  <c r="B65" i="69"/>
  <c r="B64" i="69"/>
  <c r="B69" i="69"/>
  <c r="B68" i="69"/>
  <c r="C132" i="69"/>
  <c r="C121" i="69"/>
  <c r="C91" i="69" l="1"/>
  <c r="A75" i="69"/>
  <c r="A67" i="69" l="1"/>
  <c r="A64" i="69"/>
  <c r="A71" i="69"/>
  <c r="A79" i="69"/>
  <c r="A83" i="69"/>
  <c r="A89" i="69"/>
  <c r="A93" i="69"/>
  <c r="A97" i="69"/>
  <c r="A101" i="69"/>
  <c r="F141" i="65"/>
  <c r="G141" i="65"/>
  <c r="H141" i="65"/>
  <c r="I141" i="65"/>
  <c r="J141" i="65"/>
  <c r="K141" i="65"/>
  <c r="L141" i="65"/>
  <c r="F91" i="65"/>
  <c r="G91" i="65"/>
  <c r="H91" i="65"/>
  <c r="I91" i="65"/>
  <c r="J91" i="65"/>
  <c r="K91" i="65"/>
  <c r="L91" i="65"/>
  <c r="F23" i="84" l="1"/>
  <c r="E23" i="84"/>
  <c r="I23" i="84"/>
  <c r="B169" i="69"/>
  <c r="C135" i="69"/>
  <c r="C113" i="69"/>
  <c r="B160" i="69" s="1"/>
  <c r="D23" i="84" l="1"/>
  <c r="D91" i="84" s="1"/>
  <c r="G23" i="84"/>
  <c r="G106" i="84" s="1"/>
  <c r="H23" i="84"/>
  <c r="H91" i="84" s="1"/>
  <c r="B14" i="70"/>
  <c r="B5" i="70"/>
  <c r="E91" i="84"/>
  <c r="E106" i="84"/>
  <c r="E121" i="84" s="1"/>
  <c r="I106" i="84"/>
  <c r="I91" i="84"/>
  <c r="F91" i="84"/>
  <c r="F106" i="84"/>
  <c r="J23" i="84"/>
  <c r="G75" i="65"/>
  <c r="H75" i="65"/>
  <c r="I75" i="65"/>
  <c r="J75" i="65"/>
  <c r="K75" i="65"/>
  <c r="L75" i="65"/>
  <c r="D106" i="84" l="1"/>
  <c r="D121" i="84" s="1"/>
  <c r="G91" i="84"/>
  <c r="G121" i="84"/>
  <c r="F121" i="84"/>
  <c r="I121" i="84"/>
  <c r="H106" i="84"/>
  <c r="J91" i="84"/>
  <c r="J106" i="84"/>
  <c r="D123" i="82"/>
  <c r="D293" i="82" s="1"/>
  <c r="J121" i="84" l="1"/>
  <c r="H121" i="84"/>
  <c r="E138" i="70"/>
  <c r="I138" i="70"/>
  <c r="D138" i="70"/>
  <c r="F138" i="70"/>
  <c r="G138" i="70" l="1"/>
  <c r="H138" i="70"/>
  <c r="J138" i="70"/>
  <c r="L123" i="65" l="1"/>
  <c r="K123" i="65"/>
  <c r="J123" i="65"/>
  <c r="I123" i="65"/>
  <c r="H123" i="65"/>
  <c r="G123" i="65"/>
  <c r="F123" i="65"/>
  <c r="L136" i="65"/>
  <c r="K136" i="65"/>
  <c r="J136" i="65"/>
  <c r="I136" i="65"/>
  <c r="H136" i="65"/>
  <c r="G136" i="65"/>
  <c r="L128" i="65"/>
  <c r="K128" i="65"/>
  <c r="J128" i="65"/>
  <c r="I128" i="65"/>
  <c r="H128" i="65"/>
  <c r="G128" i="65"/>
  <c r="I82" i="65" l="1"/>
  <c r="J85" i="65"/>
  <c r="J167" i="65" s="1"/>
  <c r="G85" i="65"/>
  <c r="G167" i="65" s="1"/>
  <c r="K85" i="65"/>
  <c r="K167" i="65" s="1"/>
  <c r="G82" i="65"/>
  <c r="K82" i="65"/>
  <c r="J82" i="65"/>
  <c r="H85" i="65"/>
  <c r="H167" i="65" s="1"/>
  <c r="L85" i="65"/>
  <c r="L167" i="65" s="1"/>
  <c r="H82" i="65"/>
  <c r="L82" i="65"/>
  <c r="I85" i="65"/>
  <c r="I167" i="65" s="1"/>
  <c r="B74" i="65"/>
  <c r="C27" i="70"/>
  <c r="C28" i="70"/>
  <c r="B76" i="65" l="1"/>
  <c r="B75" i="65"/>
  <c r="B78" i="65"/>
  <c r="B77" i="65"/>
  <c r="B137" i="65"/>
  <c r="B168" i="65" s="1"/>
  <c r="B82" i="65"/>
  <c r="E9" i="57" l="1"/>
  <c r="E16" i="57" s="1"/>
  <c r="E22" i="57" s="1"/>
  <c r="B86" i="65"/>
  <c r="B133" i="65"/>
  <c r="B164" i="65" s="1"/>
  <c r="B85" i="65"/>
  <c r="B83" i="65"/>
  <c r="B84" i="65"/>
  <c r="C25" i="70" l="1"/>
  <c r="C26" i="70"/>
  <c r="C24" i="70"/>
  <c r="B81" i="65"/>
  <c r="B132" i="65"/>
  <c r="B163" i="65" s="1"/>
  <c r="B136" i="65"/>
  <c r="B167" i="65" s="1"/>
  <c r="B135" i="65"/>
  <c r="B166" i="65" s="1"/>
  <c r="B134" i="65"/>
  <c r="B165" i="65" s="1"/>
  <c r="C174" i="69" l="1"/>
  <c r="C19" i="70" s="1"/>
  <c r="C165" i="69"/>
  <c r="C10" i="70" s="1"/>
  <c r="C38" i="70" s="1"/>
  <c r="C153" i="69"/>
  <c r="C142" i="69"/>
  <c r="C120" i="69"/>
  <c r="C131" i="69"/>
  <c r="C173" i="69"/>
  <c r="C18" i="70" s="1"/>
  <c r="C164" i="69"/>
  <c r="C9" i="70" s="1"/>
  <c r="C37" i="70" s="1"/>
  <c r="C152" i="69"/>
  <c r="C141" i="69"/>
  <c r="C119" i="69"/>
  <c r="C130" i="69"/>
  <c r="C151" i="69"/>
  <c r="C129" i="69"/>
  <c r="C163" i="69"/>
  <c r="C8" i="70" s="1"/>
  <c r="C36" i="70" s="1"/>
  <c r="C172" i="69"/>
  <c r="C17" i="70" s="1"/>
  <c r="C140" i="69"/>
  <c r="C118" i="69"/>
  <c r="C116" i="69"/>
  <c r="C161" i="69"/>
  <c r="C6" i="70" s="1"/>
  <c r="C34" i="70" s="1"/>
  <c r="C127" i="69"/>
  <c r="C149" i="69"/>
  <c r="C170" i="69"/>
  <c r="C15" i="70" s="1"/>
  <c r="C138" i="69"/>
  <c r="C137" i="69"/>
  <c r="C160" i="69"/>
  <c r="C5" i="70" s="1"/>
  <c r="C33" i="70" s="1"/>
  <c r="C115" i="69"/>
  <c r="C148" i="69"/>
  <c r="C126" i="69"/>
  <c r="C169" i="69"/>
  <c r="C14" i="70" s="1"/>
  <c r="C150" i="69"/>
  <c r="C117" i="69"/>
  <c r="C128" i="69"/>
  <c r="C171" i="69"/>
  <c r="C16" i="70" s="1"/>
  <c r="C162" i="69"/>
  <c r="C7" i="70" s="1"/>
  <c r="C35" i="70" s="1"/>
  <c r="C139" i="69"/>
  <c r="C115" i="70" l="1"/>
  <c r="C124" i="70" s="1"/>
  <c r="C135" i="70" s="1"/>
  <c r="C144" i="70"/>
  <c r="C114" i="70"/>
  <c r="C123" i="70" s="1"/>
  <c r="C134" i="70" s="1"/>
  <c r="C143" i="70"/>
  <c r="C110" i="70"/>
  <c r="C139" i="70"/>
  <c r="C111" i="70"/>
  <c r="C120" i="70" s="1"/>
  <c r="C131" i="70" s="1"/>
  <c r="C140" i="70"/>
  <c r="C112" i="70"/>
  <c r="C121" i="70" s="1"/>
  <c r="C132" i="70" s="1"/>
  <c r="C141" i="70"/>
  <c r="C113" i="70"/>
  <c r="C122" i="70" s="1"/>
  <c r="C133" i="70" s="1"/>
  <c r="C142" i="70"/>
  <c r="C100" i="70"/>
  <c r="C93" i="70"/>
  <c r="C86" i="70"/>
  <c r="C96" i="70"/>
  <c r="C89" i="70"/>
  <c r="C82" i="70"/>
  <c r="C87" i="70"/>
  <c r="C94" i="70"/>
  <c r="C101" i="70"/>
  <c r="C83" i="70"/>
  <c r="C97" i="70"/>
  <c r="C90" i="70"/>
  <c r="C98" i="70"/>
  <c r="C91" i="70"/>
  <c r="C84" i="70"/>
  <c r="C92" i="70"/>
  <c r="C99" i="70"/>
  <c r="C85" i="70"/>
  <c r="C53" i="70"/>
  <c r="C61" i="70"/>
  <c r="C58" i="70"/>
  <c r="C66" i="70"/>
  <c r="C54" i="70"/>
  <c r="C62" i="70"/>
  <c r="C57" i="70"/>
  <c r="C65" i="70"/>
  <c r="C55" i="70"/>
  <c r="C63" i="70"/>
  <c r="C56" i="70"/>
  <c r="C64" i="70"/>
  <c r="C48" i="70"/>
  <c r="C76" i="70"/>
  <c r="B38" i="91" s="1"/>
  <c r="C49" i="70"/>
  <c r="C41" i="70"/>
  <c r="C77" i="70"/>
  <c r="B39" i="91" s="1"/>
  <c r="C47" i="70"/>
  <c r="C75" i="70"/>
  <c r="B37" i="91" s="1"/>
  <c r="C73" i="70"/>
  <c r="B35" i="91" s="1"/>
  <c r="C45" i="70"/>
  <c r="C46" i="70"/>
  <c r="C74" i="70"/>
  <c r="B36" i="91" s="1"/>
  <c r="C50" i="70" l="1"/>
  <c r="C42" i="70"/>
  <c r="C78" i="70"/>
  <c r="B40" i="91" s="1"/>
  <c r="B13" i="91"/>
  <c r="B14" i="91" l="1"/>
  <c r="D119" i="82" l="1"/>
  <c r="D125" i="82"/>
  <c r="D295" i="82" l="1"/>
  <c r="D288" i="82"/>
  <c r="F108" i="65" l="1"/>
  <c r="F115" i="65" s="1"/>
  <c r="E327" i="82" l="1"/>
  <c r="E117" i="82" l="1"/>
  <c r="E287" i="82" l="1"/>
  <c r="E294" i="82" l="1"/>
  <c r="J174" i="82" l="1"/>
  <c r="J275" i="82"/>
  <c r="J303" i="82" s="1"/>
  <c r="J340" i="82" s="1"/>
  <c r="I174" i="82" l="1"/>
  <c r="I275" i="82"/>
  <c r="I303" i="82" s="1"/>
  <c r="I340" i="82" s="1"/>
  <c r="H174" i="82" l="1"/>
  <c r="H275" i="82"/>
  <c r="H303" i="82" s="1"/>
  <c r="H340" i="82" s="1"/>
  <c r="G174" i="82" l="1"/>
  <c r="G275" i="82"/>
  <c r="G303" i="82" s="1"/>
  <c r="G340" i="82" s="1"/>
  <c r="F174" i="82" l="1"/>
  <c r="F275" i="82"/>
  <c r="F303" i="82" s="1"/>
  <c r="F340" i="82" s="1"/>
  <c r="D5" i="82" l="1"/>
  <c r="D250" i="82" l="1"/>
  <c r="D287" i="82"/>
  <c r="D290" i="82" l="1"/>
  <c r="D291" i="82" s="1"/>
  <c r="D294" i="82"/>
  <c r="E286" i="82" l="1"/>
  <c r="A92" i="82" l="1"/>
  <c r="A94" i="82"/>
  <c r="A91" i="82" l="1"/>
  <c r="A93" i="82"/>
  <c r="E203" i="82" l="1"/>
  <c r="E205" i="82" s="1"/>
  <c r="F201" i="82" s="1"/>
  <c r="E161" i="82"/>
  <c r="E163" i="82" s="1"/>
  <c r="F159" i="82" s="1"/>
  <c r="I258" i="82" l="1"/>
  <c r="H258" i="82" l="1"/>
  <c r="J258" i="82"/>
  <c r="G258" i="82" l="1"/>
  <c r="F258" i="82" l="1"/>
  <c r="J216" i="82" l="1"/>
  <c r="I216" i="82" l="1"/>
  <c r="H216" i="82" l="1"/>
  <c r="G216" i="82" l="1"/>
  <c r="F216" i="82" l="1"/>
  <c r="C53" i="81" l="1"/>
  <c r="F6" i="65" l="1"/>
  <c r="F121" i="65" s="1"/>
  <c r="E6" i="65"/>
  <c r="F143" i="65" l="1"/>
  <c r="K121" i="65"/>
  <c r="H121" i="65"/>
  <c r="G121" i="65"/>
  <c r="I121" i="65"/>
  <c r="J121" i="65"/>
  <c r="L121" i="65"/>
  <c r="G143" i="65" l="1"/>
  <c r="G146" i="65" s="1"/>
  <c r="K143" i="65"/>
  <c r="K146" i="65" s="1"/>
  <c r="F146" i="65"/>
  <c r="I143" i="65"/>
  <c r="I146" i="65" s="1"/>
  <c r="H143" i="65"/>
  <c r="H146" i="65" s="1"/>
  <c r="L143" i="65"/>
  <c r="L146" i="65" s="1"/>
  <c r="J143" i="65"/>
  <c r="J146" i="65" s="1"/>
  <c r="D80" i="82" l="1"/>
  <c r="A27" i="65" l="1"/>
  <c r="F96" i="65"/>
  <c r="F128" i="65" s="1"/>
  <c r="A101" i="65"/>
  <c r="B97" i="65"/>
  <c r="B111" i="65" s="1"/>
  <c r="B129" i="65" s="1"/>
  <c r="B160" i="65" s="1"/>
  <c r="B95" i="65"/>
  <c r="B109" i="65" s="1"/>
  <c r="B127" i="65" s="1"/>
  <c r="B158" i="65" s="1"/>
  <c r="B93" i="65"/>
  <c r="B107" i="65" s="1"/>
  <c r="B125" i="65" s="1"/>
  <c r="B156" i="65" s="1"/>
  <c r="A93" i="65"/>
  <c r="F104" i="65"/>
  <c r="F136" i="65" s="1"/>
  <c r="B96" i="65"/>
  <c r="B110" i="65" s="1"/>
  <c r="B128" i="65" s="1"/>
  <c r="B159" i="65" s="1"/>
  <c r="B105" i="65" l="1"/>
  <c r="B119" i="65" s="1"/>
  <c r="B94" i="65"/>
  <c r="B108" i="65" s="1"/>
  <c r="B126" i="65" s="1"/>
  <c r="B157" i="65" s="1"/>
  <c r="A94" i="65"/>
  <c r="A100" i="65"/>
  <c r="D11" i="59" l="1"/>
  <c r="F5" i="65" l="1"/>
  <c r="D8" i="59"/>
  <c r="D10" i="59"/>
  <c r="D9" i="59"/>
  <c r="E5" i="65" l="1"/>
  <c r="D7" i="59"/>
  <c r="C11" i="59" l="1"/>
  <c r="D28" i="59" s="1"/>
  <c r="D38" i="59" s="1"/>
  <c r="C8" i="59"/>
  <c r="D25" i="59" s="1"/>
  <c r="D35" i="59" s="1"/>
  <c r="C10" i="59"/>
  <c r="D27" i="59" s="1"/>
  <c r="D37" i="59" s="1"/>
  <c r="C9" i="59"/>
  <c r="D26" i="59" s="1"/>
  <c r="D36" i="59" s="1"/>
  <c r="C7" i="59"/>
  <c r="D24" i="59" l="1"/>
  <c r="D34" i="59" s="1"/>
  <c r="C12" i="59"/>
  <c r="G73" i="81" l="1"/>
  <c r="G72" i="81"/>
  <c r="G70" i="81"/>
  <c r="G69" i="81"/>
  <c r="G67" i="81"/>
  <c r="G66" i="81"/>
  <c r="G64" i="81"/>
  <c r="G63" i="81"/>
  <c r="G61" i="81"/>
  <c r="G60" i="81"/>
  <c r="F73" i="81"/>
  <c r="F72" i="81"/>
  <c r="F70" i="81"/>
  <c r="F69" i="81"/>
  <c r="F67" i="81"/>
  <c r="F66" i="81"/>
  <c r="F64" i="81"/>
  <c r="F63" i="81"/>
  <c r="F61" i="81"/>
  <c r="F60" i="81"/>
  <c r="C31" i="81" l="1"/>
  <c r="C30" i="81"/>
  <c r="C33" i="81"/>
  <c r="C32" i="81"/>
  <c r="C29" i="81" l="1"/>
  <c r="C34" i="81" s="1"/>
  <c r="C35" i="81" s="1"/>
  <c r="H5" i="82" l="1"/>
  <c r="A65" i="82"/>
  <c r="A66" i="82"/>
  <c r="A67" i="82"/>
  <c r="A68" i="82"/>
  <c r="A69" i="82"/>
  <c r="A55" i="82"/>
  <c r="A56" i="82"/>
  <c r="A58" i="82"/>
  <c r="A59" i="82"/>
  <c r="A60" i="82"/>
  <c r="A61" i="82"/>
  <c r="A62" i="82"/>
  <c r="A63" i="82"/>
  <c r="A50" i="82"/>
  <c r="A52" i="82"/>
  <c r="A53" i="82"/>
  <c r="A54" i="82"/>
  <c r="A37" i="82"/>
  <c r="A39" i="82"/>
  <c r="A40" i="82"/>
  <c r="A41" i="82"/>
  <c r="A42" i="82"/>
  <c r="A43" i="82"/>
  <c r="A46" i="82"/>
  <c r="A47" i="82"/>
  <c r="A48" i="82"/>
  <c r="A49" i="82"/>
  <c r="A9" i="82"/>
  <c r="A10" i="82"/>
  <c r="A11" i="82"/>
  <c r="A13" i="82"/>
  <c r="A14" i="82"/>
  <c r="A15" i="82"/>
  <c r="A16" i="82"/>
  <c r="A17" i="82"/>
  <c r="A20" i="82"/>
  <c r="A21" i="82"/>
  <c r="A22" i="82"/>
  <c r="A23" i="82"/>
  <c r="A24" i="82"/>
  <c r="A26" i="82"/>
  <c r="A27" i="82"/>
  <c r="A28" i="82"/>
  <c r="A29" i="82"/>
  <c r="A30" i="82"/>
  <c r="A33" i="82"/>
  <c r="A34" i="82"/>
  <c r="A35" i="82"/>
  <c r="A36" i="82"/>
  <c r="A7" i="82"/>
  <c r="A8" i="82"/>
  <c r="A5" i="82"/>
  <c r="E58" i="82" l="1"/>
  <c r="D58" i="82"/>
  <c r="A45" i="82"/>
  <c r="A227" i="82" s="1"/>
  <c r="A32" i="82"/>
  <c r="A185" i="82" s="1"/>
  <c r="A19" i="82"/>
  <c r="A143" i="82" s="1"/>
  <c r="A6" i="82"/>
  <c r="A101" i="82" s="1"/>
  <c r="F19" i="82"/>
  <c r="B129" i="82" l="1"/>
  <c r="B117" i="82"/>
  <c r="B105" i="82"/>
  <c r="B159" i="82"/>
  <c r="B147" i="82"/>
  <c r="B171" i="82"/>
  <c r="B213" i="82"/>
  <c r="B189" i="82"/>
  <c r="B201" i="82"/>
  <c r="B231" i="82"/>
  <c r="B255" i="82"/>
  <c r="B243" i="82"/>
  <c r="H19" i="82"/>
  <c r="D19" i="82"/>
  <c r="F32" i="82"/>
  <c r="F6" i="82"/>
  <c r="E19" i="82"/>
  <c r="I19" i="82"/>
  <c r="H45" i="82"/>
  <c r="D45" i="82"/>
  <c r="F58" i="82"/>
  <c r="H6" i="82"/>
  <c r="D6" i="82"/>
  <c r="H32" i="82"/>
  <c r="D32" i="82"/>
  <c r="E45" i="82"/>
  <c r="I45" i="82"/>
  <c r="I6" i="82"/>
  <c r="E6" i="82"/>
  <c r="I32" i="82"/>
  <c r="E32" i="82"/>
  <c r="F45" i="82"/>
  <c r="D45" i="70" l="1"/>
  <c r="D110" i="70" s="1"/>
  <c r="E45" i="70" l="1"/>
  <c r="E110" i="70" s="1"/>
  <c r="D45" i="59" l="1"/>
  <c r="D50" i="59"/>
  <c r="D49" i="59"/>
  <c r="D46" i="59"/>
  <c r="D54" i="59" l="1"/>
  <c r="D57" i="59"/>
  <c r="D58" i="59"/>
  <c r="D47" i="59"/>
  <c r="D48" i="59"/>
  <c r="D56" i="59" l="1"/>
  <c r="D55" i="59"/>
  <c r="F49" i="65"/>
  <c r="F66" i="65"/>
  <c r="F64" i="65"/>
  <c r="F59" i="65"/>
  <c r="F65" i="65" l="1"/>
  <c r="F67" i="65"/>
  <c r="F58" i="65"/>
  <c r="F57" i="65"/>
  <c r="F48" i="65"/>
  <c r="F46" i="65"/>
  <c r="F41" i="65"/>
  <c r="F39" i="65"/>
  <c r="F40" i="65"/>
  <c r="F47" i="65" l="1"/>
  <c r="F45" i="65" l="1"/>
  <c r="E97" i="94"/>
  <c r="E110" i="94"/>
  <c r="F63" i="65"/>
  <c r="F38" i="65"/>
  <c r="E90" i="94"/>
  <c r="F56" i="65"/>
  <c r="E103" i="94"/>
  <c r="F31" i="65"/>
  <c r="F85" i="65" s="1"/>
  <c r="F167" i="65" s="1"/>
  <c r="F68" i="65" l="1"/>
  <c r="F42" i="65"/>
  <c r="G38" i="65" s="1"/>
  <c r="F50" i="65"/>
  <c r="G45" i="65" s="1"/>
  <c r="F60" i="65"/>
  <c r="G56" i="65" s="1"/>
  <c r="F43" i="65" l="1"/>
  <c r="E53" i="65"/>
  <c r="E71" i="65"/>
  <c r="F51" i="65"/>
  <c r="F61" i="65"/>
  <c r="F69" i="65"/>
  <c r="G63" i="65"/>
  <c r="F23" i="65"/>
  <c r="F77" i="65" s="1"/>
  <c r="F159" i="65" s="1"/>
  <c r="H20" i="82" l="1"/>
  <c r="D144" i="82" s="1"/>
  <c r="D168" i="82" s="1"/>
  <c r="D169" i="82" s="1"/>
  <c r="E165" i="82" s="1"/>
  <c r="I20" i="82"/>
  <c r="E144" i="82" s="1"/>
  <c r="E168" i="82" s="1"/>
  <c r="H7" i="82"/>
  <c r="D102" i="82" s="1"/>
  <c r="D126" i="82" s="1"/>
  <c r="I7" i="82"/>
  <c r="E102" i="82" s="1"/>
  <c r="H46" i="82"/>
  <c r="D228" i="82" s="1"/>
  <c r="D252" i="82" s="1"/>
  <c r="D253" i="82" s="1"/>
  <c r="E249" i="82" s="1"/>
  <c r="I46" i="82"/>
  <c r="E228" i="82" s="1"/>
  <c r="H33" i="82"/>
  <c r="D186" i="82" s="1"/>
  <c r="D210" i="82" s="1"/>
  <c r="D211" i="82" s="1"/>
  <c r="E207" i="82" s="1"/>
  <c r="I33" i="82"/>
  <c r="E186" i="82" s="1"/>
  <c r="E210" i="82" s="1"/>
  <c r="D127" i="82" l="1"/>
  <c r="D296" i="82"/>
  <c r="E167" i="82"/>
  <c r="E169" i="82" s="1"/>
  <c r="F165" i="82" s="1"/>
  <c r="E209" i="82"/>
  <c r="E211" i="82" s="1"/>
  <c r="F207" i="82" s="1"/>
  <c r="E123" i="82" l="1"/>
  <c r="D297" i="82"/>
  <c r="D298" i="82" s="1"/>
  <c r="E293" i="82" l="1"/>
  <c r="D15" i="83" l="1"/>
  <c r="D53" i="83" s="1"/>
  <c r="D16" i="69"/>
  <c r="D97" i="69" s="1"/>
  <c r="E53" i="83" l="1"/>
  <c r="H53" i="83"/>
  <c r="J53" i="83"/>
  <c r="I53" i="83"/>
  <c r="F53" i="83"/>
  <c r="G53" i="83"/>
  <c r="D10" i="69" l="1"/>
  <c r="D79" i="69" s="1"/>
  <c r="D9" i="83"/>
  <c r="D44" i="83" s="1"/>
  <c r="D8" i="83"/>
  <c r="D43" i="83" s="1"/>
  <c r="E44" i="83" l="1"/>
  <c r="G44" i="83"/>
  <c r="H44" i="83"/>
  <c r="I44" i="83"/>
  <c r="J44" i="83"/>
  <c r="F44" i="83"/>
  <c r="D9" i="69"/>
  <c r="D75" i="69" s="1"/>
  <c r="D6" i="69"/>
  <c r="D67" i="69" s="1"/>
  <c r="D5" i="83"/>
  <c r="D39" i="83" s="1"/>
  <c r="D6" i="59" l="1"/>
  <c r="D12" i="59" l="1"/>
  <c r="F20" i="84"/>
  <c r="F103" i="84" s="1"/>
  <c r="D125" i="84" s="1"/>
  <c r="D20" i="91" s="1"/>
  <c r="E20" i="84"/>
  <c r="E103" i="84" s="1"/>
  <c r="D20" i="84"/>
  <c r="D103" i="84" s="1"/>
  <c r="F19" i="84"/>
  <c r="F102" i="84" s="1"/>
  <c r="D124" i="84" s="1"/>
  <c r="D19" i="91" s="1"/>
  <c r="E19" i="84"/>
  <c r="E102" i="84" s="1"/>
  <c r="D19" i="84"/>
  <c r="D102" i="84" s="1"/>
  <c r="F18" i="84"/>
  <c r="F101" i="84" s="1"/>
  <c r="D123" i="84" s="1"/>
  <c r="D18" i="91" s="1"/>
  <c r="E18" i="84"/>
  <c r="E101" i="84" s="1"/>
  <c r="D18" i="84"/>
  <c r="D101" i="84" s="1"/>
  <c r="F50" i="70"/>
  <c r="F115" i="70" s="1"/>
  <c r="D144" i="70" s="1"/>
  <c r="D14" i="91" s="1"/>
  <c r="E50" i="70"/>
  <c r="E115" i="70" s="1"/>
  <c r="D50" i="70"/>
  <c r="D115" i="70" s="1"/>
  <c r="F49" i="70"/>
  <c r="F114" i="70" s="1"/>
  <c r="D143" i="70" s="1"/>
  <c r="D13" i="91" s="1"/>
  <c r="E49" i="70"/>
  <c r="E114" i="70" s="1"/>
  <c r="D49" i="70"/>
  <c r="D114" i="70" s="1"/>
  <c r="D47" i="70"/>
  <c r="D112" i="70" s="1"/>
  <c r="F48" i="70"/>
  <c r="F113" i="70" s="1"/>
  <c r="D142" i="70" s="1"/>
  <c r="D8" i="91" s="1"/>
  <c r="E48" i="70"/>
  <c r="E113" i="70" s="1"/>
  <c r="D48" i="70"/>
  <c r="D113" i="70" s="1"/>
  <c r="F47" i="70"/>
  <c r="F112" i="70" s="1"/>
  <c r="D141" i="70" s="1"/>
  <c r="D7" i="91" s="1"/>
  <c r="E47" i="70"/>
  <c r="E112" i="70" s="1"/>
  <c r="D46" i="70"/>
  <c r="D111" i="70" s="1"/>
  <c r="F45" i="70"/>
  <c r="F110" i="70" l="1"/>
  <c r="G46" i="70"/>
  <c r="G111" i="70" s="1"/>
  <c r="G50" i="70"/>
  <c r="G115" i="70" s="1"/>
  <c r="G17" i="84"/>
  <c r="G100" i="84" s="1"/>
  <c r="G19" i="84"/>
  <c r="G102" i="84" s="1"/>
  <c r="E124" i="84" s="1"/>
  <c r="E19" i="91" s="1"/>
  <c r="G47" i="70"/>
  <c r="G112" i="70" s="1"/>
  <c r="G49" i="70"/>
  <c r="G114" i="70" s="1"/>
  <c r="G18" i="84"/>
  <c r="G101" i="84" s="1"/>
  <c r="E123" i="84" s="1"/>
  <c r="E18" i="91" s="1"/>
  <c r="G20" i="84"/>
  <c r="G103" i="84" s="1"/>
  <c r="E125" i="84" s="1"/>
  <c r="E20" i="91" s="1"/>
  <c r="G45" i="70"/>
  <c r="G110" i="70" s="1"/>
  <c r="G48" i="70"/>
  <c r="G113" i="70" s="1"/>
  <c r="E144" i="70" l="1"/>
  <c r="E14" i="91" s="1"/>
  <c r="E135" i="70"/>
  <c r="E9" i="91"/>
  <c r="E134" i="70"/>
  <c r="E143" i="70"/>
  <c r="E13" i="91" s="1"/>
  <c r="E131" i="70"/>
  <c r="E140" i="70"/>
  <c r="E6" i="91" s="1"/>
  <c r="E142" i="70"/>
  <c r="E8" i="91" s="1"/>
  <c r="E133" i="70"/>
  <c r="E141" i="70"/>
  <c r="E7" i="91" s="1"/>
  <c r="E132" i="70"/>
  <c r="D9" i="91"/>
  <c r="D139" i="70"/>
  <c r="B64" i="81" l="1"/>
  <c r="B63" i="81"/>
  <c r="B66" i="81" l="1"/>
  <c r="B67" i="81"/>
  <c r="B70" i="81" l="1"/>
  <c r="B69" i="81"/>
  <c r="F17" i="84"/>
  <c r="F100" i="84" s="1"/>
  <c r="D122" i="84" s="1"/>
  <c r="D17" i="91" s="1"/>
  <c r="E17" i="84"/>
  <c r="E100" i="84" s="1"/>
  <c r="E122" i="84" s="1"/>
  <c r="E17" i="91" s="1"/>
  <c r="D17" i="84"/>
  <c r="D100" i="84" s="1"/>
  <c r="F46" i="70"/>
  <c r="E46" i="70"/>
  <c r="E111" i="70" s="1"/>
  <c r="F111" i="70" l="1"/>
  <c r="D140" i="70" s="1"/>
  <c r="D6" i="91" s="1"/>
  <c r="B72" i="81"/>
  <c r="B75" i="81" s="1"/>
  <c r="B73" i="81"/>
  <c r="B76" i="81" s="1"/>
  <c r="F75" i="81" l="1"/>
  <c r="F76" i="81"/>
  <c r="D53" i="82" l="1"/>
  <c r="D238" i="82" s="1"/>
  <c r="D263" i="82" s="1"/>
  <c r="D47" i="82"/>
  <c r="D232" i="82" s="1"/>
  <c r="D256" i="82" s="1"/>
  <c r="D40" i="82"/>
  <c r="D196" i="82" s="1"/>
  <c r="D221" i="82" s="1"/>
  <c r="D34" i="82"/>
  <c r="D190" i="82" s="1"/>
  <c r="D214" i="82" s="1"/>
  <c r="D8" i="82"/>
  <c r="D106" i="82" s="1"/>
  <c r="D130" i="82" l="1"/>
  <c r="D27" i="82"/>
  <c r="D154" i="82" s="1"/>
  <c r="D179" i="82" s="1"/>
  <c r="D21" i="82"/>
  <c r="D148" i="82" s="1"/>
  <c r="D172" i="82" s="1"/>
  <c r="D60" i="82"/>
  <c r="E55" i="82"/>
  <c r="D273" i="82" l="1"/>
  <c r="D301" i="82" s="1"/>
  <c r="D338" i="82" s="1"/>
  <c r="D66" i="82"/>
  <c r="D14" i="82"/>
  <c r="D112" i="82" s="1"/>
  <c r="E42" i="82"/>
  <c r="E16" i="82"/>
  <c r="E29" i="82"/>
  <c r="D137" i="82" l="1"/>
  <c r="D280" i="82"/>
  <c r="D308" i="82" s="1"/>
  <c r="D345" i="82" s="1"/>
  <c r="E68" i="82"/>
  <c r="E36" i="82" l="1"/>
  <c r="E192" i="82" s="1"/>
  <c r="E216" i="82" s="1"/>
  <c r="E23" i="82"/>
  <c r="E150" i="82" s="1"/>
  <c r="E174" i="82" s="1"/>
  <c r="E10" i="82"/>
  <c r="D49" i="82" l="1"/>
  <c r="D234" i="82" s="1"/>
  <c r="D258" i="82" s="1"/>
  <c r="D23" i="82"/>
  <c r="D150" i="82" s="1"/>
  <c r="D174" i="82" s="1"/>
  <c r="D36" i="82"/>
  <c r="D192" i="82" s="1"/>
  <c r="D216" i="82" s="1"/>
  <c r="D29" i="82" l="1"/>
  <c r="D156" i="82" s="1"/>
  <c r="D181" i="82" s="1"/>
  <c r="D55" i="82"/>
  <c r="D240" i="82" s="1"/>
  <c r="D265" i="82" s="1"/>
  <c r="D42" i="82"/>
  <c r="D198" i="82" s="1"/>
  <c r="D223" i="82" s="1"/>
  <c r="D16" i="82"/>
  <c r="D114" i="82" s="1"/>
  <c r="D52" i="82" l="1"/>
  <c r="D237" i="82" s="1"/>
  <c r="D262" i="82" s="1"/>
  <c r="D39" i="82"/>
  <c r="D195" i="82" s="1"/>
  <c r="D139" i="82"/>
  <c r="D282" i="82"/>
  <c r="D310" i="82" s="1"/>
  <c r="D347" i="82" s="1"/>
  <c r="D356" i="82" s="1"/>
  <c r="E62" i="82"/>
  <c r="E49" i="82"/>
  <c r="D62" i="82"/>
  <c r="D10" i="82"/>
  <c r="D108" i="82" s="1"/>
  <c r="D41" i="82"/>
  <c r="D197" i="82" s="1"/>
  <c r="D222" i="82" s="1"/>
  <c r="D68" i="82"/>
  <c r="D54" i="82"/>
  <c r="D239" i="82" s="1"/>
  <c r="D264" i="82" s="1"/>
  <c r="E214" i="94" l="1"/>
  <c r="D220" i="82"/>
  <c r="D199" i="82"/>
  <c r="D7" i="82"/>
  <c r="D105" i="82" s="1"/>
  <c r="D132" i="82"/>
  <c r="D275" i="82"/>
  <c r="D303" i="82" s="1"/>
  <c r="D340" i="82" s="1"/>
  <c r="E227" i="94"/>
  <c r="D28" i="82"/>
  <c r="D155" i="82" s="1"/>
  <c r="D180" i="82" s="1"/>
  <c r="D129" i="82" l="1"/>
  <c r="D46" i="82"/>
  <c r="D231" i="82" s="1"/>
  <c r="D255" i="82" s="1"/>
  <c r="D56" i="82"/>
  <c r="D241" i="82" s="1"/>
  <c r="D33" i="82"/>
  <c r="D189" i="82" s="1"/>
  <c r="D26" i="82"/>
  <c r="D153" i="82" s="1"/>
  <c r="E201" i="94"/>
  <c r="E195" i="82"/>
  <c r="D224" i="82"/>
  <c r="D225" i="82" s="1"/>
  <c r="D43" i="82"/>
  <c r="D20" i="82"/>
  <c r="D147" i="82" s="1"/>
  <c r="D35" i="82"/>
  <c r="D191" i="82" s="1"/>
  <c r="D215" i="82" s="1"/>
  <c r="D22" i="82"/>
  <c r="D149" i="82" s="1"/>
  <c r="D173" i="82" s="1"/>
  <c r="D242" i="82" l="1"/>
  <c r="D266" i="82"/>
  <c r="D267" i="82" s="1"/>
  <c r="E237" i="82"/>
  <c r="D59" i="82"/>
  <c r="D213" i="82"/>
  <c r="D193" i="82"/>
  <c r="D9" i="82"/>
  <c r="D107" i="82" s="1"/>
  <c r="E182" i="94"/>
  <c r="D171" i="82"/>
  <c r="D151" i="82"/>
  <c r="D272" i="82"/>
  <c r="D300" i="82" s="1"/>
  <c r="D337" i="82" s="1"/>
  <c r="D13" i="82"/>
  <c r="D111" i="82" s="1"/>
  <c r="D178" i="82"/>
  <c r="D157" i="82"/>
  <c r="D65" i="82"/>
  <c r="E197" i="82"/>
  <c r="E222" i="82" s="1"/>
  <c r="E220" i="82"/>
  <c r="D30" i="82"/>
  <c r="E195" i="94"/>
  <c r="E208" i="94"/>
  <c r="D67" i="82"/>
  <c r="D15" i="82"/>
  <c r="D113" i="82" s="1"/>
  <c r="E188" i="94" l="1"/>
  <c r="D17" i="82" s="1"/>
  <c r="E189" i="82"/>
  <c r="D217" i="82"/>
  <c r="D218" i="82" s="1"/>
  <c r="D24" i="82"/>
  <c r="D37" i="82"/>
  <c r="D109" i="82"/>
  <c r="D131" i="82"/>
  <c r="E153" i="82"/>
  <c r="D182" i="82"/>
  <c r="D183" i="82" s="1"/>
  <c r="D279" i="82"/>
  <c r="D307" i="82" s="1"/>
  <c r="D344" i="82" s="1"/>
  <c r="D136" i="82"/>
  <c r="E147" i="82"/>
  <c r="D175" i="82"/>
  <c r="D176" i="82" s="1"/>
  <c r="E262" i="82"/>
  <c r="D11" i="82"/>
  <c r="D115" i="82"/>
  <c r="D281" i="82"/>
  <c r="D309" i="82" s="1"/>
  <c r="D346" i="82" s="1"/>
  <c r="D357" i="82" s="1"/>
  <c r="D138" i="82"/>
  <c r="E240" i="94"/>
  <c r="D133" i="82" l="1"/>
  <c r="D134" i="82" s="1"/>
  <c r="E105" i="82"/>
  <c r="E111" i="82"/>
  <c r="D140" i="82"/>
  <c r="D141" i="82" s="1"/>
  <c r="D283" i="82"/>
  <c r="D61" i="82"/>
  <c r="D69" i="82"/>
  <c r="E155" i="82"/>
  <c r="E180" i="82" s="1"/>
  <c r="E178" i="82"/>
  <c r="D48" i="82"/>
  <c r="D233" i="82" s="1"/>
  <c r="E221" i="94"/>
  <c r="E149" i="82"/>
  <c r="E171" i="82"/>
  <c r="E191" i="82"/>
  <c r="E213" i="82"/>
  <c r="D284" i="82" l="1"/>
  <c r="D311" i="82"/>
  <c r="E279" i="82"/>
  <c r="E307" i="82" s="1"/>
  <c r="E344" i="82" s="1"/>
  <c r="E136" i="82"/>
  <c r="E129" i="82"/>
  <c r="E215" i="82"/>
  <c r="D50" i="82"/>
  <c r="D235" i="82" s="1"/>
  <c r="D257" i="82"/>
  <c r="D274" i="82"/>
  <c r="D302" i="82" s="1"/>
  <c r="D339" i="82" s="1"/>
  <c r="E173" i="82"/>
  <c r="D63" i="82"/>
  <c r="D54" i="70"/>
  <c r="D57" i="70"/>
  <c r="D53" i="70"/>
  <c r="F54" i="70" l="1"/>
  <c r="E54" i="70"/>
  <c r="H54" i="70"/>
  <c r="G54" i="70"/>
  <c r="I54" i="70"/>
  <c r="J54" i="70"/>
  <c r="E231" i="82"/>
  <c r="D259" i="82"/>
  <c r="D260" i="82" s="1"/>
  <c r="D236" i="82"/>
  <c r="D276" i="82"/>
  <c r="I53" i="70"/>
  <c r="F53" i="70"/>
  <c r="H53" i="70"/>
  <c r="J53" i="70"/>
  <c r="G53" i="70"/>
  <c r="E53" i="70"/>
  <c r="D68" i="70"/>
  <c r="D103" i="70" s="1"/>
  <c r="F116" i="70" s="1"/>
  <c r="D145" i="70" s="1"/>
  <c r="D10" i="91" s="1"/>
  <c r="D312" i="82"/>
  <c r="D348" i="82"/>
  <c r="H57" i="70"/>
  <c r="J57" i="70"/>
  <c r="I57" i="70"/>
  <c r="G57" i="70"/>
  <c r="E57" i="70"/>
  <c r="F57" i="70"/>
  <c r="D349" i="82" l="1"/>
  <c r="D351" i="82"/>
  <c r="D355" i="82"/>
  <c r="D304" i="82"/>
  <c r="D277" i="82"/>
  <c r="E255" i="82"/>
  <c r="E272" i="82"/>
  <c r="E300" i="82" s="1"/>
  <c r="E337" i="82" s="1"/>
  <c r="G116" i="70"/>
  <c r="D305" i="82" l="1"/>
  <c r="D341" i="82"/>
  <c r="E145" i="70"/>
  <c r="E136" i="70"/>
  <c r="B104" i="65"/>
  <c r="B118" i="65" s="1"/>
  <c r="D350" i="82" l="1"/>
  <c r="D342" i="82"/>
  <c r="D354" i="82"/>
  <c r="E10" i="91"/>
  <c r="B102" i="65"/>
  <c r="B116" i="65" s="1"/>
  <c r="B101" i="65"/>
  <c r="B115" i="65" s="1"/>
  <c r="B103" i="65"/>
  <c r="B117" i="65" s="1"/>
  <c r="B100" i="65"/>
  <c r="B114" i="65" s="1"/>
  <c r="D14" i="83" l="1"/>
  <c r="D52" i="83" s="1"/>
  <c r="E52" i="83" l="1"/>
  <c r="H52" i="83"/>
  <c r="J52" i="83"/>
  <c r="I52" i="83"/>
  <c r="F52" i="83"/>
  <c r="G52" i="83"/>
  <c r="D17" i="69"/>
  <c r="D101" i="69" s="1"/>
  <c r="D15" i="69"/>
  <c r="D93" i="69" s="1"/>
  <c r="D16" i="83"/>
  <c r="D54" i="83" s="1"/>
  <c r="E93" i="69" l="1"/>
  <c r="I93" i="69"/>
  <c r="F93" i="69"/>
  <c r="J93" i="69"/>
  <c r="H93" i="69"/>
  <c r="G93" i="69"/>
  <c r="D13" i="83"/>
  <c r="D51" i="83" l="1"/>
  <c r="D56" i="83" s="1"/>
  <c r="D17" i="83"/>
  <c r="D18" i="83" s="1"/>
  <c r="D57" i="83" l="1"/>
  <c r="D62" i="83"/>
  <c r="D6" i="84" s="1"/>
  <c r="D35" i="69" l="1"/>
  <c r="D36" i="69"/>
  <c r="D34" i="69"/>
  <c r="D32" i="69"/>
  <c r="D33" i="69"/>
  <c r="D31" i="69" l="1"/>
  <c r="D37" i="69" l="1"/>
  <c r="G12" i="57" l="1"/>
  <c r="H12" i="57"/>
  <c r="I12" i="57"/>
  <c r="J12" i="57"/>
  <c r="K12" i="57"/>
  <c r="F12" i="57"/>
  <c r="B14" i="65"/>
  <c r="H13" i="59"/>
  <c r="H22" i="59" l="1"/>
  <c r="H48" i="69"/>
  <c r="G13" i="59"/>
  <c r="F13" i="59"/>
  <c r="E13" i="59"/>
  <c r="J13" i="59"/>
  <c r="I13" i="59"/>
  <c r="D13" i="59"/>
  <c r="I22" i="59" l="1"/>
  <c r="I48" i="69"/>
  <c r="F22" i="59"/>
  <c r="F48" i="69"/>
  <c r="G22" i="59"/>
  <c r="G48" i="69"/>
  <c r="E48" i="69"/>
  <c r="E22" i="59"/>
  <c r="H111" i="69"/>
  <c r="H3" i="70" s="1"/>
  <c r="H158" i="69"/>
  <c r="H88" i="69"/>
  <c r="H62" i="69"/>
  <c r="J48" i="69"/>
  <c r="J22" i="59"/>
  <c r="D48" i="69"/>
  <c r="D22" i="59"/>
  <c r="D32" i="59" s="1"/>
  <c r="D42" i="59" s="1"/>
  <c r="D52" i="59" s="1"/>
  <c r="D61" i="59" s="1"/>
  <c r="E111" i="69" l="1"/>
  <c r="E3" i="70" s="1"/>
  <c r="E158" i="69"/>
  <c r="E88" i="69"/>
  <c r="E62" i="69"/>
  <c r="D62" i="69"/>
  <c r="D88" i="69"/>
  <c r="D111" i="69"/>
  <c r="D3" i="70" s="1"/>
  <c r="D158" i="69"/>
  <c r="G62" i="69"/>
  <c r="G111" i="69"/>
  <c r="G3" i="70" s="1"/>
  <c r="G88" i="69"/>
  <c r="G158" i="69"/>
  <c r="J62" i="69"/>
  <c r="J88" i="69"/>
  <c r="J111" i="69"/>
  <c r="J3" i="70" s="1"/>
  <c r="J158" i="69"/>
  <c r="F158" i="69"/>
  <c r="F111" i="69"/>
  <c r="F3" i="70" s="1"/>
  <c r="F62" i="69"/>
  <c r="F88" i="69"/>
  <c r="I111" i="69"/>
  <c r="I3" i="70" s="1"/>
  <c r="I88" i="69"/>
  <c r="I158" i="69"/>
  <c r="I62" i="69"/>
  <c r="H32" i="59"/>
  <c r="H42" i="59" s="1"/>
  <c r="H52" i="59" s="1"/>
  <c r="H61" i="59" s="1"/>
  <c r="H32" i="70"/>
  <c r="J32" i="59" l="1"/>
  <c r="J42" i="59" s="1"/>
  <c r="J52" i="59" s="1"/>
  <c r="J61" i="59" s="1"/>
  <c r="J32" i="70"/>
  <c r="D32" i="70"/>
  <c r="D25" i="70"/>
  <c r="D28" i="70"/>
  <c r="D27" i="70"/>
  <c r="D26" i="70"/>
  <c r="D24" i="70"/>
  <c r="I32" i="59"/>
  <c r="I42" i="59" s="1"/>
  <c r="I52" i="59" s="1"/>
  <c r="I61" i="59" s="1"/>
  <c r="I32" i="70"/>
  <c r="H71" i="70"/>
  <c r="H52" i="70"/>
  <c r="F32" i="59"/>
  <c r="F42" i="59" s="1"/>
  <c r="F52" i="59" s="1"/>
  <c r="F61" i="59" s="1"/>
  <c r="F32" i="70"/>
  <c r="G32" i="59"/>
  <c r="G42" i="59" s="1"/>
  <c r="G52" i="59" s="1"/>
  <c r="G61" i="59" s="1"/>
  <c r="G32" i="70"/>
  <c r="E32" i="59"/>
  <c r="E32" i="70"/>
  <c r="E16" i="59"/>
  <c r="E19" i="59"/>
  <c r="E20" i="59"/>
  <c r="E17" i="59"/>
  <c r="E18" i="59"/>
  <c r="E35" i="59" l="1"/>
  <c r="E52" i="69"/>
  <c r="E52" i="70"/>
  <c r="E71" i="70"/>
  <c r="G52" i="70"/>
  <c r="G71" i="70"/>
  <c r="F71" i="70"/>
  <c r="F52" i="70"/>
  <c r="I71" i="70"/>
  <c r="I52" i="70"/>
  <c r="D52" i="70"/>
  <c r="D71" i="70"/>
  <c r="E37" i="59"/>
  <c r="E27" i="70" s="1"/>
  <c r="E54" i="69"/>
  <c r="E42" i="59"/>
  <c r="E52" i="59" s="1"/>
  <c r="E61" i="59" s="1"/>
  <c r="E25" i="70"/>
  <c r="E36" i="59"/>
  <c r="E53" i="69"/>
  <c r="E50" i="69"/>
  <c r="E15" i="59"/>
  <c r="E51" i="69"/>
  <c r="E34" i="59"/>
  <c r="E55" i="69"/>
  <c r="E38" i="59"/>
  <c r="E28" i="70" s="1"/>
  <c r="J71" i="70"/>
  <c r="J52" i="70"/>
  <c r="D18" i="59"/>
  <c r="D53" i="69" s="1"/>
  <c r="D20" i="59"/>
  <c r="D55" i="69" s="1"/>
  <c r="D17" i="59"/>
  <c r="D52" i="69" s="1"/>
  <c r="F17" i="59"/>
  <c r="F52" i="69" s="1"/>
  <c r="F18" i="59"/>
  <c r="F53" i="69" s="1"/>
  <c r="F20" i="59"/>
  <c r="F55" i="69" s="1"/>
  <c r="F16" i="59"/>
  <c r="F19" i="59"/>
  <c r="F54" i="69" s="1"/>
  <c r="D19" i="59"/>
  <c r="D54" i="69" s="1"/>
  <c r="D16" i="59"/>
  <c r="F37" i="59" l="1"/>
  <c r="F51" i="69"/>
  <c r="F15" i="59"/>
  <c r="F50" i="69"/>
  <c r="F36" i="59"/>
  <c r="E26" i="70"/>
  <c r="F38" i="59"/>
  <c r="F34" i="59"/>
  <c r="E24" i="70"/>
  <c r="F35" i="59"/>
  <c r="D15" i="59"/>
  <c r="D51" i="69"/>
  <c r="D50" i="69"/>
  <c r="G17" i="59"/>
  <c r="G52" i="69" s="1"/>
  <c r="G16" i="59"/>
  <c r="G19" i="59"/>
  <c r="G54" i="69" s="1"/>
  <c r="G18" i="59"/>
  <c r="G53" i="69" s="1"/>
  <c r="G20" i="59"/>
  <c r="G55" i="69" s="1"/>
  <c r="D23" i="59" l="1"/>
  <c r="D33" i="59" s="1"/>
  <c r="G34" i="59"/>
  <c r="F24" i="70"/>
  <c r="G36" i="59"/>
  <c r="F26" i="70"/>
  <c r="G51" i="69"/>
  <c r="G50" i="69"/>
  <c r="G15" i="59"/>
  <c r="G35" i="59"/>
  <c r="F25" i="70"/>
  <c r="G38" i="59"/>
  <c r="F28" i="70"/>
  <c r="G37" i="59"/>
  <c r="F27" i="70"/>
  <c r="H20" i="59"/>
  <c r="H55" i="69" s="1"/>
  <c r="H16" i="59"/>
  <c r="H18" i="59"/>
  <c r="H53" i="69" s="1"/>
  <c r="H19" i="59"/>
  <c r="H54" i="69" s="1"/>
  <c r="H17" i="59"/>
  <c r="H52" i="69" s="1"/>
  <c r="D23" i="70" l="1"/>
  <c r="D53" i="59"/>
  <c r="D59" i="59" s="1"/>
  <c r="D62" i="59" s="1"/>
  <c r="E33" i="59"/>
  <c r="H50" i="69"/>
  <c r="H15" i="59"/>
  <c r="H51" i="69"/>
  <c r="H38" i="59"/>
  <c r="G28" i="70"/>
  <c r="H36" i="59"/>
  <c r="G26" i="70"/>
  <c r="H37" i="59"/>
  <c r="G27" i="70"/>
  <c r="H35" i="59"/>
  <c r="G25" i="70"/>
  <c r="F33" i="59"/>
  <c r="E23" i="70"/>
  <c r="H34" i="59"/>
  <c r="G24" i="70"/>
  <c r="I18" i="59"/>
  <c r="I53" i="69" s="1"/>
  <c r="I19" i="59"/>
  <c r="I54" i="69" s="1"/>
  <c r="I17" i="59"/>
  <c r="I52" i="69" s="1"/>
  <c r="I20" i="59"/>
  <c r="I55" i="69" s="1"/>
  <c r="I16" i="59"/>
  <c r="I35" i="59" l="1"/>
  <c r="H25" i="70"/>
  <c r="D39" i="69"/>
  <c r="D63" i="59"/>
  <c r="D65" i="59"/>
  <c r="D67" i="59"/>
  <c r="D64" i="59"/>
  <c r="D66" i="59"/>
  <c r="I38" i="59"/>
  <c r="H28" i="70"/>
  <c r="I15" i="59"/>
  <c r="I51" i="69"/>
  <c r="I50" i="69"/>
  <c r="I36" i="59"/>
  <c r="H26" i="70"/>
  <c r="I34" i="59"/>
  <c r="H24" i="70"/>
  <c r="I37" i="59"/>
  <c r="H27" i="70"/>
  <c r="G33" i="59"/>
  <c r="F23" i="70"/>
  <c r="J19" i="59"/>
  <c r="J54" i="69" s="1"/>
  <c r="J18" i="59"/>
  <c r="J53" i="69" s="1"/>
  <c r="J17" i="59"/>
  <c r="J52" i="69" s="1"/>
  <c r="J16" i="59"/>
  <c r="J20" i="59"/>
  <c r="J55" i="69" s="1"/>
  <c r="D42" i="69" l="1"/>
  <c r="D44" i="69"/>
  <c r="H33" i="59"/>
  <c r="G23" i="70"/>
  <c r="D40" i="69"/>
  <c r="J37" i="59"/>
  <c r="J27" i="70" s="1"/>
  <c r="I27" i="70"/>
  <c r="J38" i="59"/>
  <c r="J28" i="70" s="1"/>
  <c r="I28" i="70"/>
  <c r="J36" i="59"/>
  <c r="J26" i="70" s="1"/>
  <c r="I26" i="70"/>
  <c r="D68" i="59"/>
  <c r="J51" i="69"/>
  <c r="J15" i="59"/>
  <c r="J50" i="69"/>
  <c r="J34" i="59"/>
  <c r="J24" i="70" s="1"/>
  <c r="I24" i="70"/>
  <c r="D43" i="69"/>
  <c r="D41" i="69"/>
  <c r="J35" i="59"/>
  <c r="J25" i="70" s="1"/>
  <c r="I25" i="70"/>
  <c r="D57" i="69" l="1"/>
  <c r="D45" i="69"/>
  <c r="I33" i="59"/>
  <c r="H23" i="70"/>
  <c r="J33" i="59" l="1"/>
  <c r="J23" i="70" s="1"/>
  <c r="I23" i="70"/>
  <c r="J14" i="65" l="1"/>
  <c r="J94" i="65" s="1"/>
  <c r="G14" i="65"/>
  <c r="G94" i="65" s="1"/>
  <c r="G101" i="65" l="1"/>
  <c r="J101" i="65"/>
  <c r="L14" i="65"/>
  <c r="L94" i="65" s="1"/>
  <c r="H14" i="65"/>
  <c r="H94" i="65" s="1"/>
  <c r="I14" i="65"/>
  <c r="I94" i="65" s="1"/>
  <c r="K14" i="65"/>
  <c r="K94" i="65" s="1"/>
  <c r="K101" i="65" l="1"/>
  <c r="H101" i="65"/>
  <c r="L101" i="65"/>
  <c r="I101" i="65"/>
  <c r="A9" i="81" l="1"/>
  <c r="A10" i="81"/>
  <c r="A11" i="81"/>
  <c r="A8" i="81"/>
  <c r="D33" i="83" l="1"/>
  <c r="D40" i="83" s="1"/>
  <c r="I112" i="84"/>
  <c r="A16" i="81"/>
  <c r="E8" i="81"/>
  <c r="F112" i="84"/>
  <c r="J112" i="84"/>
  <c r="D112" i="84"/>
  <c r="H112" i="84"/>
  <c r="G112" i="84"/>
  <c r="G113" i="84" s="1"/>
  <c r="E112" i="84"/>
  <c r="H113" i="84" l="1"/>
  <c r="I113" i="84" s="1"/>
  <c r="D127" i="70" a="1"/>
  <c r="I28" i="69"/>
  <c r="I127" i="70"/>
  <c r="I28" i="83"/>
  <c r="J76" i="82"/>
  <c r="J26" i="83"/>
  <c r="J26" i="69"/>
  <c r="L11" i="65"/>
  <c r="J43" i="59"/>
  <c r="K5" i="57"/>
  <c r="G28" i="69"/>
  <c r="G127" i="70"/>
  <c r="G28" i="83"/>
  <c r="G43" i="59"/>
  <c r="G26" i="69"/>
  <c r="I11" i="65"/>
  <c r="G26" i="83"/>
  <c r="G76" i="82"/>
  <c r="H5" i="57"/>
  <c r="H11" i="65"/>
  <c r="F26" i="69"/>
  <c r="F43" i="59"/>
  <c r="F76" i="82"/>
  <c r="F26" i="83"/>
  <c r="G5" i="57"/>
  <c r="H26" i="69"/>
  <c r="H26" i="83"/>
  <c r="H76" i="82"/>
  <c r="H43" i="59"/>
  <c r="I5" i="57"/>
  <c r="J11" i="65"/>
  <c r="E28" i="83"/>
  <c r="E28" i="69"/>
  <c r="E127" i="70"/>
  <c r="D28" i="69"/>
  <c r="D127" i="70"/>
  <c r="E5" i="57"/>
  <c r="F11" i="65"/>
  <c r="D26" i="69"/>
  <c r="I76" i="82"/>
  <c r="J5" i="57"/>
  <c r="I26" i="83"/>
  <c r="I43" i="59"/>
  <c r="I26" i="69"/>
  <c r="K11" i="65"/>
  <c r="G11" i="65"/>
  <c r="E43" i="59"/>
  <c r="E26" i="69"/>
  <c r="E26" i="83"/>
  <c r="E76" i="82"/>
  <c r="F5" i="57"/>
  <c r="J28" i="69"/>
  <c r="J127" i="70"/>
  <c r="J28" i="83"/>
  <c r="H127" i="70"/>
  <c r="H28" i="69"/>
  <c r="H28" i="83"/>
  <c r="F28" i="83"/>
  <c r="F28" i="69"/>
  <c r="F127" i="70"/>
  <c r="A14" i="81"/>
  <c r="D15" i="81"/>
  <c r="A15" i="81"/>
  <c r="A17" i="81"/>
  <c r="D11" i="81"/>
  <c r="J113" i="84" l="1"/>
  <c r="K112" i="84" s="1"/>
  <c r="I229" i="82"/>
  <c r="I187" i="82"/>
  <c r="I319" i="82"/>
  <c r="I145" i="82"/>
  <c r="I103" i="82"/>
  <c r="E49" i="59"/>
  <c r="E45" i="59"/>
  <c r="E46" i="59"/>
  <c r="E50" i="59"/>
  <c r="E47" i="59"/>
  <c r="E48" i="59"/>
  <c r="F229" i="82"/>
  <c r="F145" i="82"/>
  <c r="F319" i="82"/>
  <c r="F103" i="82"/>
  <c r="F187" i="82"/>
  <c r="G40" i="65"/>
  <c r="G47" i="65" s="1"/>
  <c r="G58" i="65"/>
  <c r="G48" i="65"/>
  <c r="G66" i="65"/>
  <c r="F117" i="65"/>
  <c r="F116" i="65" s="1"/>
  <c r="F119" i="65" s="1"/>
  <c r="G114" i="65" s="1"/>
  <c r="G117" i="65" s="1"/>
  <c r="F109" i="65"/>
  <c r="F111" i="65" s="1"/>
  <c r="G107" i="65" s="1"/>
  <c r="J319" i="82"/>
  <c r="J229" i="82"/>
  <c r="J187" i="82"/>
  <c r="J145" i="82"/>
  <c r="J103" i="82"/>
  <c r="F128" i="70"/>
  <c r="H319" i="82"/>
  <c r="H145" i="82"/>
  <c r="H103" i="82"/>
  <c r="H187" i="82"/>
  <c r="H229" i="82"/>
  <c r="F7" i="57"/>
  <c r="F8" i="57"/>
  <c r="G8" i="57" s="1"/>
  <c r="H8" i="57" s="1"/>
  <c r="I8" i="57" s="1"/>
  <c r="J8" i="57" s="1"/>
  <c r="K8" i="57" s="1"/>
  <c r="H63" i="81"/>
  <c r="H73" i="81"/>
  <c r="H69" i="81"/>
  <c r="H67" i="81"/>
  <c r="H60" i="81"/>
  <c r="H61" i="81"/>
  <c r="H70" i="81"/>
  <c r="H72" i="81"/>
  <c r="H66" i="81"/>
  <c r="H64" i="81"/>
  <c r="E103" i="82"/>
  <c r="E80" i="82"/>
  <c r="F80" i="82" s="1"/>
  <c r="G80" i="82" s="1"/>
  <c r="H80" i="82" s="1"/>
  <c r="I80" i="82" s="1"/>
  <c r="J80" i="82" s="1"/>
  <c r="E119" i="82"/>
  <c r="E229" i="82"/>
  <c r="E77" i="82"/>
  <c r="F77" i="82" s="1"/>
  <c r="G77" i="82" s="1"/>
  <c r="H77" i="82" s="1"/>
  <c r="I77" i="82" s="1"/>
  <c r="J77" i="82" s="1"/>
  <c r="E319" i="82"/>
  <c r="E251" i="82"/>
  <c r="E125" i="82"/>
  <c r="G145" i="82"/>
  <c r="G187" i="82"/>
  <c r="G103" i="82"/>
  <c r="G229" i="82"/>
  <c r="G319" i="82"/>
  <c r="D14" i="81"/>
  <c r="D17" i="81"/>
  <c r="D10" i="81"/>
  <c r="D16" i="81"/>
  <c r="G109" i="65" l="1"/>
  <c r="E57" i="59"/>
  <c r="F49" i="59"/>
  <c r="E108" i="82"/>
  <c r="E107" i="82"/>
  <c r="E113" i="82"/>
  <c r="G128" i="70"/>
  <c r="E295" i="82"/>
  <c r="E56" i="59"/>
  <c r="F48" i="59"/>
  <c r="G65" i="65"/>
  <c r="F47" i="59"/>
  <c r="E55" i="59"/>
  <c r="E121" i="82"/>
  <c r="F161" i="82"/>
  <c r="F167" i="82"/>
  <c r="E323" i="82"/>
  <c r="E329" i="82"/>
  <c r="G41" i="65"/>
  <c r="G42" i="65" s="1"/>
  <c r="H38" i="65" s="1"/>
  <c r="H40" i="65" s="1"/>
  <c r="H47" i="65" s="1"/>
  <c r="H41" i="65" s="1"/>
  <c r="G50" i="65"/>
  <c r="H45" i="65" s="1"/>
  <c r="F50" i="59"/>
  <c r="E58" i="59"/>
  <c r="F9" i="57"/>
  <c r="G7" i="57"/>
  <c r="F203" i="82"/>
  <c r="F209" i="82"/>
  <c r="F46" i="59"/>
  <c r="E54" i="59"/>
  <c r="E245" i="82"/>
  <c r="E247" i="82" s="1"/>
  <c r="E234" i="82"/>
  <c r="E258" i="82" s="1"/>
  <c r="E239" i="82"/>
  <c r="E264" i="82" s="1"/>
  <c r="E233" i="82"/>
  <c r="F45" i="59"/>
  <c r="E53" i="59"/>
  <c r="K13" i="57"/>
  <c r="K17" i="57" s="1"/>
  <c r="K23" i="57" s="1"/>
  <c r="J322" i="82" s="1"/>
  <c r="J328" i="82" s="1"/>
  <c r="J13" i="57"/>
  <c r="J17" i="57" s="1"/>
  <c r="J23" i="57" s="1"/>
  <c r="I322" i="82" s="1"/>
  <c r="I328" i="82" s="1"/>
  <c r="I13" i="57"/>
  <c r="I17" i="57" s="1"/>
  <c r="I23" i="57" s="1"/>
  <c r="H322" i="82" s="1"/>
  <c r="H328" i="82" s="1"/>
  <c r="H13" i="57"/>
  <c r="H17" i="57" s="1"/>
  <c r="H23" i="57" s="1"/>
  <c r="G322" i="82" s="1"/>
  <c r="G328" i="82" s="1"/>
  <c r="G13" i="57"/>
  <c r="G17" i="57" s="1"/>
  <c r="G23" i="57" s="1"/>
  <c r="F322" i="82" s="1"/>
  <c r="F328" i="82" s="1"/>
  <c r="F13" i="57"/>
  <c r="E288" i="82" l="1"/>
  <c r="E257" i="82"/>
  <c r="H7" i="57"/>
  <c r="G9" i="57"/>
  <c r="G16" i="57" s="1"/>
  <c r="G22" i="57" s="1"/>
  <c r="H108" i="65" s="1"/>
  <c r="E138" i="82"/>
  <c r="E281" i="82"/>
  <c r="E309" i="82" s="1"/>
  <c r="E346" i="82" s="1"/>
  <c r="E357" i="82" s="1"/>
  <c r="E42" i="83" s="1"/>
  <c r="G48" i="59"/>
  <c r="F56" i="59"/>
  <c r="E131" i="82"/>
  <c r="E274" i="82"/>
  <c r="E302" i="82" s="1"/>
  <c r="E339" i="82" s="1"/>
  <c r="F243" i="82"/>
  <c r="E252" i="82"/>
  <c r="E253" i="82" s="1"/>
  <c r="F249" i="82" s="1"/>
  <c r="F251" i="82" s="1"/>
  <c r="F58" i="59"/>
  <c r="G50" i="59"/>
  <c r="E290" i="82"/>
  <c r="E291" i="82" s="1"/>
  <c r="F117" i="82"/>
  <c r="E126" i="82"/>
  <c r="F57" i="59"/>
  <c r="G49" i="59"/>
  <c r="E132" i="82"/>
  <c r="E275" i="82"/>
  <c r="E303" i="82" s="1"/>
  <c r="E340" i="82" s="1"/>
  <c r="H48" i="65"/>
  <c r="H42" i="65" s="1"/>
  <c r="I38" i="65" s="1"/>
  <c r="I40" i="65" s="1"/>
  <c r="I47" i="65" s="1"/>
  <c r="I41" i="65" s="1"/>
  <c r="I42" i="65" s="1"/>
  <c r="J38" i="65" s="1"/>
  <c r="J40" i="65" s="1"/>
  <c r="J47" i="65" s="1"/>
  <c r="J41" i="65" s="1"/>
  <c r="J42" i="65" s="1"/>
  <c r="K38" i="65" s="1"/>
  <c r="K40" i="65" s="1"/>
  <c r="K47" i="65" s="1"/>
  <c r="K41" i="65" s="1"/>
  <c r="K42" i="65" s="1"/>
  <c r="L38" i="65" s="1"/>
  <c r="L40" i="65" s="1"/>
  <c r="L47" i="65" s="1"/>
  <c r="L41" i="65" s="1"/>
  <c r="L42" i="65" s="1"/>
  <c r="E59" i="59"/>
  <c r="E67" i="59" s="1"/>
  <c r="E44" i="69" s="1"/>
  <c r="F54" i="59"/>
  <c r="G46" i="59"/>
  <c r="G45" i="59"/>
  <c r="F53" i="59"/>
  <c r="H128" i="70"/>
  <c r="F55" i="59"/>
  <c r="G47" i="59"/>
  <c r="F17" i="57"/>
  <c r="F23" i="57" s="1"/>
  <c r="E322" i="82" s="1"/>
  <c r="F16" i="57"/>
  <c r="F22" i="57" s="1"/>
  <c r="G108" i="65" s="1"/>
  <c r="G59" i="65"/>
  <c r="G68" i="65"/>
  <c r="D8" i="81"/>
  <c r="D20" i="81" s="1"/>
  <c r="D9" i="81"/>
  <c r="E62" i="59" l="1"/>
  <c r="E65" i="59"/>
  <c r="E42" i="69" s="1"/>
  <c r="E63" i="59"/>
  <c r="E40" i="69" s="1"/>
  <c r="G58" i="59"/>
  <c r="H50" i="59"/>
  <c r="H48" i="59"/>
  <c r="G56" i="59"/>
  <c r="E325" i="82"/>
  <c r="E328" i="82"/>
  <c r="H46" i="59"/>
  <c r="G54" i="59"/>
  <c r="H63" i="65"/>
  <c r="I128" i="70"/>
  <c r="E66" i="59"/>
  <c r="E43" i="69" s="1"/>
  <c r="G57" i="59"/>
  <c r="H49" i="59"/>
  <c r="F245" i="82"/>
  <c r="H45" i="59"/>
  <c r="G53" i="59"/>
  <c r="E39" i="69"/>
  <c r="J70" i="81"/>
  <c r="D91" i="81" s="1"/>
  <c r="J64" i="81"/>
  <c r="D85" i="81" s="1"/>
  <c r="J67" i="81"/>
  <c r="D88" i="81" s="1"/>
  <c r="J72" i="81"/>
  <c r="D93" i="81" s="1"/>
  <c r="J69" i="81"/>
  <c r="D90" i="81" s="1"/>
  <c r="J63" i="81"/>
  <c r="D84" i="81" s="1"/>
  <c r="J61" i="81"/>
  <c r="D82" i="81" s="1"/>
  <c r="D55" i="81"/>
  <c r="D50" i="84" s="1"/>
  <c r="D8" i="84"/>
  <c r="D30" i="81"/>
  <c r="D41" i="81" s="1"/>
  <c r="D33" i="81"/>
  <c r="D44" i="81" s="1"/>
  <c r="J60" i="81"/>
  <c r="D81" i="81" s="1"/>
  <c r="D32" i="81"/>
  <c r="D43" i="81" s="1"/>
  <c r="D31" i="81"/>
  <c r="D42" i="81" s="1"/>
  <c r="D29" i="81"/>
  <c r="D40" i="81" s="1"/>
  <c r="J73" i="81"/>
  <c r="D94" i="81" s="1"/>
  <c r="J66" i="81"/>
  <c r="D87" i="81" s="1"/>
  <c r="E64" i="59"/>
  <c r="E41" i="69" s="1"/>
  <c r="H115" i="65"/>
  <c r="H133" i="65" s="1"/>
  <c r="H164" i="65" s="1"/>
  <c r="H126" i="65"/>
  <c r="H157" i="65" s="1"/>
  <c r="F286" i="82"/>
  <c r="F119" i="82"/>
  <c r="G55" i="59"/>
  <c r="H47" i="59"/>
  <c r="E87" i="82"/>
  <c r="E94" i="82" s="1"/>
  <c r="E232" i="82" s="1"/>
  <c r="E17" i="81"/>
  <c r="G77" i="65"/>
  <c r="G159" i="65" s="1"/>
  <c r="G60" i="65"/>
  <c r="G115" i="65"/>
  <c r="G133" i="65" s="1"/>
  <c r="G164" i="65" s="1"/>
  <c r="G126" i="65"/>
  <c r="G157" i="65" s="1"/>
  <c r="G111" i="65"/>
  <c r="F59" i="59"/>
  <c r="F62" i="59" s="1"/>
  <c r="H50" i="65"/>
  <c r="I45" i="65" s="1"/>
  <c r="E296" i="82"/>
  <c r="E127" i="82"/>
  <c r="H9" i="57"/>
  <c r="H16" i="57" s="1"/>
  <c r="H22" i="57" s="1"/>
  <c r="I108" i="65" s="1"/>
  <c r="I7" i="57"/>
  <c r="F10" i="81"/>
  <c r="E10" i="81"/>
  <c r="I10" i="81"/>
  <c r="F288" i="82" l="1"/>
  <c r="E68" i="59"/>
  <c r="F66" i="59"/>
  <c r="F43" i="69" s="1"/>
  <c r="I85" i="82"/>
  <c r="I92" i="82" s="1"/>
  <c r="I160" i="82" s="1"/>
  <c r="I15" i="81"/>
  <c r="E297" i="82"/>
  <c r="E298" i="82" s="1"/>
  <c r="F123" i="82"/>
  <c r="H56" i="65"/>
  <c r="D34" i="81"/>
  <c r="D35" i="81" s="1"/>
  <c r="D97" i="81"/>
  <c r="D74" i="84" s="1"/>
  <c r="D31" i="91" s="1"/>
  <c r="E57" i="69"/>
  <c r="E45" i="69"/>
  <c r="H56" i="59"/>
  <c r="I48" i="59"/>
  <c r="G59" i="59"/>
  <c r="G62" i="59" s="1"/>
  <c r="J128" i="70"/>
  <c r="I50" i="59"/>
  <c r="H58" i="59"/>
  <c r="I115" i="65"/>
  <c r="I133" i="65" s="1"/>
  <c r="I164" i="65" s="1"/>
  <c r="I126" i="65"/>
  <c r="I157" i="65" s="1"/>
  <c r="E14" i="81"/>
  <c r="E84" i="82"/>
  <c r="I48" i="65"/>
  <c r="I50" i="65" s="1"/>
  <c r="J45" i="65" s="1"/>
  <c r="J48" i="65" s="1"/>
  <c r="J50" i="65" s="1"/>
  <c r="K45" i="65" s="1"/>
  <c r="K48" i="65" s="1"/>
  <c r="K50" i="65" s="1"/>
  <c r="L45" i="65" s="1"/>
  <c r="L48" i="65" s="1"/>
  <c r="L50" i="65" s="1"/>
  <c r="I45" i="59"/>
  <c r="H53" i="59"/>
  <c r="F86" i="82"/>
  <c r="F93" i="82" s="1"/>
  <c r="F202" i="82" s="1"/>
  <c r="F16" i="81"/>
  <c r="F39" i="69"/>
  <c r="D96" i="81"/>
  <c r="D73" i="84" s="1"/>
  <c r="D30" i="91" s="1"/>
  <c r="D100" i="81"/>
  <c r="F64" i="59"/>
  <c r="F41" i="69" s="1"/>
  <c r="I87" i="82"/>
  <c r="I94" i="82" s="1"/>
  <c r="I244" i="82" s="1"/>
  <c r="I17" i="81"/>
  <c r="E86" i="82"/>
  <c r="E93" i="82" s="1"/>
  <c r="E190" i="82" s="1"/>
  <c r="E16" i="81"/>
  <c r="I86" i="82"/>
  <c r="I93" i="82" s="1"/>
  <c r="I202" i="82" s="1"/>
  <c r="I16" i="81"/>
  <c r="F17" i="81"/>
  <c r="F87" i="82"/>
  <c r="F94" i="82" s="1"/>
  <c r="F244" i="82" s="1"/>
  <c r="H107" i="65"/>
  <c r="G116" i="65"/>
  <c r="G119" i="65" s="1"/>
  <c r="H114" i="65" s="1"/>
  <c r="H117" i="65" s="1"/>
  <c r="F63" i="59"/>
  <c r="F40" i="69" s="1"/>
  <c r="D106" i="81"/>
  <c r="H66" i="65"/>
  <c r="I46" i="59"/>
  <c r="H54" i="59"/>
  <c r="F65" i="59"/>
  <c r="F42" i="69" s="1"/>
  <c r="D105" i="81"/>
  <c r="F14" i="81"/>
  <c r="F84" i="82"/>
  <c r="E85" i="82"/>
  <c r="E92" i="82" s="1"/>
  <c r="E148" i="82" s="1"/>
  <c r="E15" i="81"/>
  <c r="I47" i="59"/>
  <c r="H55" i="59"/>
  <c r="F67" i="59"/>
  <c r="F44" i="69" s="1"/>
  <c r="E256" i="82"/>
  <c r="E238" i="82"/>
  <c r="E235" i="82"/>
  <c r="I9" i="57"/>
  <c r="I16" i="57" s="1"/>
  <c r="I22" i="57" s="1"/>
  <c r="J108" i="65" s="1"/>
  <c r="J7" i="57"/>
  <c r="I49" i="59"/>
  <c r="H57" i="59"/>
  <c r="F321" i="82"/>
  <c r="E330" i="82"/>
  <c r="E331" i="82" s="1"/>
  <c r="F327" i="82" s="1"/>
  <c r="F329" i="82" s="1"/>
  <c r="G10" i="81"/>
  <c r="H10" i="81"/>
  <c r="D32" i="91" l="1"/>
  <c r="D22" i="91" s="1"/>
  <c r="G67" i="59"/>
  <c r="G44" i="69" s="1"/>
  <c r="D107" i="81"/>
  <c r="D113" i="81" s="1"/>
  <c r="D65" i="84" s="1"/>
  <c r="G39" i="69"/>
  <c r="I214" i="82"/>
  <c r="I208" i="82"/>
  <c r="I221" i="82" s="1"/>
  <c r="H85" i="82"/>
  <c r="H92" i="82" s="1"/>
  <c r="H160" i="82" s="1"/>
  <c r="H15" i="81"/>
  <c r="H87" i="82"/>
  <c r="H94" i="82" s="1"/>
  <c r="H244" i="82" s="1"/>
  <c r="H17" i="81"/>
  <c r="F323" i="82"/>
  <c r="F325" i="82" s="1"/>
  <c r="G321" i="82" s="1"/>
  <c r="F231" i="82"/>
  <c r="E259" i="82"/>
  <c r="E260" i="82" s="1"/>
  <c r="H59" i="59"/>
  <c r="H62" i="59" s="1"/>
  <c r="G87" i="82"/>
  <c r="G94" i="82" s="1"/>
  <c r="G244" i="82" s="1"/>
  <c r="G17" i="81"/>
  <c r="D101" i="81"/>
  <c r="D102" i="81" s="1"/>
  <c r="D45" i="81"/>
  <c r="D46" i="81" s="1"/>
  <c r="D48" i="81"/>
  <c r="D51" i="84" s="1"/>
  <c r="D53" i="84" s="1"/>
  <c r="E263" i="82"/>
  <c r="E240" i="82"/>
  <c r="E265" i="82" s="1"/>
  <c r="I55" i="59"/>
  <c r="J47" i="59"/>
  <c r="J55" i="59" s="1"/>
  <c r="E196" i="82"/>
  <c r="E214" i="82"/>
  <c r="E193" i="82"/>
  <c r="J45" i="59"/>
  <c r="J53" i="59" s="1"/>
  <c r="I53" i="59"/>
  <c r="H58" i="65"/>
  <c r="F125" i="82"/>
  <c r="F295" i="82" s="1"/>
  <c r="F293" i="82"/>
  <c r="E172" i="82"/>
  <c r="E154" i="82"/>
  <c r="E151" i="82"/>
  <c r="H109" i="65"/>
  <c r="H111" i="65" s="1"/>
  <c r="I107" i="65" s="1"/>
  <c r="I250" i="82"/>
  <c r="I263" i="82" s="1"/>
  <c r="I256" i="82"/>
  <c r="F68" i="59"/>
  <c r="J50" i="59"/>
  <c r="J58" i="59" s="1"/>
  <c r="I58" i="59"/>
  <c r="E97" i="69"/>
  <c r="E79" i="69"/>
  <c r="E101" i="69"/>
  <c r="E67" i="69"/>
  <c r="F85" i="82"/>
  <c r="F92" i="82" s="1"/>
  <c r="F160" i="82" s="1"/>
  <c r="F15" i="81"/>
  <c r="J49" i="59"/>
  <c r="J57" i="59" s="1"/>
  <c r="I57" i="59"/>
  <c r="I54" i="59"/>
  <c r="J46" i="59"/>
  <c r="J54" i="59" s="1"/>
  <c r="G85" i="82"/>
  <c r="G92" i="82" s="1"/>
  <c r="G160" i="82" s="1"/>
  <c r="G15" i="81"/>
  <c r="F88" i="82"/>
  <c r="F91" i="82"/>
  <c r="F250" i="82"/>
  <c r="F256" i="82"/>
  <c r="F247" i="82"/>
  <c r="G66" i="59"/>
  <c r="G43" i="69" s="1"/>
  <c r="F57" i="69"/>
  <c r="F45" i="69"/>
  <c r="K127" i="70"/>
  <c r="I56" i="59"/>
  <c r="J48" i="59"/>
  <c r="J56" i="59" s="1"/>
  <c r="G65" i="59"/>
  <c r="G42" i="69" s="1"/>
  <c r="G86" i="82"/>
  <c r="G93" i="82" s="1"/>
  <c r="G202" i="82" s="1"/>
  <c r="G16" i="81"/>
  <c r="J115" i="65"/>
  <c r="J133" i="65" s="1"/>
  <c r="J164" i="65" s="1"/>
  <c r="J126" i="65"/>
  <c r="J157" i="65" s="1"/>
  <c r="I14" i="81"/>
  <c r="I84" i="82"/>
  <c r="G64" i="59"/>
  <c r="G41" i="69" s="1"/>
  <c r="H16" i="81"/>
  <c r="H86" i="82"/>
  <c r="H93" i="82" s="1"/>
  <c r="H202" i="82" s="1"/>
  <c r="J9" i="57"/>
  <c r="J16" i="57" s="1"/>
  <c r="J22" i="57" s="1"/>
  <c r="K108" i="65" s="1"/>
  <c r="K7" i="57"/>
  <c r="K9" i="57" s="1"/>
  <c r="K16" i="57" s="1"/>
  <c r="K22" i="57" s="1"/>
  <c r="L108" i="65" s="1"/>
  <c r="G63" i="59"/>
  <c r="G40" i="69" s="1"/>
  <c r="F208" i="82"/>
  <c r="F205" i="82"/>
  <c r="F214" i="82"/>
  <c r="E91" i="82"/>
  <c r="E88" i="82"/>
  <c r="I166" i="82"/>
  <c r="I179" i="82" s="1"/>
  <c r="I172" i="82"/>
  <c r="E9" i="81"/>
  <c r="F9" i="81"/>
  <c r="I9" i="81"/>
  <c r="E11" i="81"/>
  <c r="E20" i="81" s="1"/>
  <c r="J10" i="81"/>
  <c r="H65" i="59" l="1"/>
  <c r="H42" i="69" s="1"/>
  <c r="D62" i="84"/>
  <c r="D89" i="84" s="1"/>
  <c r="F330" i="82"/>
  <c r="F331" i="82" s="1"/>
  <c r="G327" i="82" s="1"/>
  <c r="G329" i="82" s="1"/>
  <c r="F97" i="69"/>
  <c r="E175" i="82"/>
  <c r="E176" i="82" s="1"/>
  <c r="F147" i="82"/>
  <c r="H65" i="65"/>
  <c r="H63" i="59"/>
  <c r="H40" i="69" s="1"/>
  <c r="H250" i="82"/>
  <c r="H263" i="82" s="1"/>
  <c r="H256" i="82"/>
  <c r="G84" i="82"/>
  <c r="G14" i="81"/>
  <c r="F79" i="69"/>
  <c r="H84" i="82"/>
  <c r="H14" i="81"/>
  <c r="F210" i="82"/>
  <c r="F211" i="82" s="1"/>
  <c r="G207" i="82" s="1"/>
  <c r="G209" i="82" s="1"/>
  <c r="G201" i="82"/>
  <c r="G214" i="82"/>
  <c r="G208" i="82"/>
  <c r="G221" i="82" s="1"/>
  <c r="E179" i="82"/>
  <c r="E156" i="82"/>
  <c r="E181" i="82" s="1"/>
  <c r="I59" i="59"/>
  <c r="I66" i="59" s="1"/>
  <c r="I43" i="69" s="1"/>
  <c r="F221" i="82"/>
  <c r="F172" i="82"/>
  <c r="F166" i="82"/>
  <c r="F163" i="82"/>
  <c r="J59" i="59"/>
  <c r="J65" i="59" s="1"/>
  <c r="D112" i="81"/>
  <c r="D64" i="84" s="1"/>
  <c r="D61" i="84"/>
  <c r="H64" i="59"/>
  <c r="H41" i="69" s="1"/>
  <c r="H172" i="82"/>
  <c r="H166" i="82"/>
  <c r="H179" i="82" s="1"/>
  <c r="I109" i="65"/>
  <c r="I111" i="65" s="1"/>
  <c r="J107" i="65" s="1"/>
  <c r="J16" i="81"/>
  <c r="J86" i="82"/>
  <c r="J93" i="82" s="1"/>
  <c r="J202" i="82" s="1"/>
  <c r="I91" i="82"/>
  <c r="I88" i="82"/>
  <c r="F189" i="82"/>
  <c r="E217" i="82"/>
  <c r="E218" i="82" s="1"/>
  <c r="J17" i="81"/>
  <c r="J87" i="82"/>
  <c r="J94" i="82" s="1"/>
  <c r="J244" i="82" s="1"/>
  <c r="L115" i="65"/>
  <c r="L133" i="65" s="1"/>
  <c r="L164" i="65" s="1"/>
  <c r="L126" i="65"/>
  <c r="L157" i="65" s="1"/>
  <c r="G243" i="82"/>
  <c r="F252" i="82"/>
  <c r="F253" i="82" s="1"/>
  <c r="G249" i="82" s="1"/>
  <c r="G166" i="82"/>
  <c r="G179" i="82" s="1"/>
  <c r="G172" i="82"/>
  <c r="E241" i="82"/>
  <c r="F233" i="82"/>
  <c r="F255" i="82"/>
  <c r="J84" i="82"/>
  <c r="J14" i="81"/>
  <c r="F118" i="82"/>
  <c r="F95" i="82"/>
  <c r="F96" i="82" s="1"/>
  <c r="E55" i="81"/>
  <c r="E50" i="84" s="1"/>
  <c r="E21" i="81"/>
  <c r="E8" i="84"/>
  <c r="E88" i="81"/>
  <c r="E94" i="81"/>
  <c r="E82" i="81"/>
  <c r="E85" i="81"/>
  <c r="E87" i="81"/>
  <c r="E91" i="81"/>
  <c r="E90" i="81"/>
  <c r="E93" i="81"/>
  <c r="E84" i="81"/>
  <c r="E81" i="81"/>
  <c r="K115" i="65"/>
  <c r="K133" i="65" s="1"/>
  <c r="K164" i="65" s="1"/>
  <c r="K126" i="65"/>
  <c r="K157" i="65" s="1"/>
  <c r="F67" i="69"/>
  <c r="E221" i="82"/>
  <c r="E198" i="82"/>
  <c r="E223" i="82" s="1"/>
  <c r="G68" i="59"/>
  <c r="E106" i="82"/>
  <c r="E95" i="82"/>
  <c r="E96" i="82" s="1"/>
  <c r="H39" i="69"/>
  <c r="H214" i="82"/>
  <c r="H208" i="82"/>
  <c r="H221" i="82" s="1"/>
  <c r="F263" i="82"/>
  <c r="F101" i="69"/>
  <c r="H116" i="65"/>
  <c r="H119" i="65" s="1"/>
  <c r="I114" i="65" s="1"/>
  <c r="I117" i="65" s="1"/>
  <c r="H67" i="59"/>
  <c r="H44" i="69" s="1"/>
  <c r="H66" i="59"/>
  <c r="H43" i="69" s="1"/>
  <c r="G256" i="82"/>
  <c r="G250" i="82"/>
  <c r="G263" i="82" s="1"/>
  <c r="G323" i="82"/>
  <c r="G325" i="82" s="1"/>
  <c r="H321" i="82" s="1"/>
  <c r="G57" i="69"/>
  <c r="G45" i="69"/>
  <c r="G9" i="81"/>
  <c r="H9" i="81"/>
  <c r="F8" i="81"/>
  <c r="J42" i="69" l="1"/>
  <c r="E30" i="83"/>
  <c r="E40" i="81"/>
  <c r="E43" i="81"/>
  <c r="E44" i="81"/>
  <c r="E106" i="81" s="1"/>
  <c r="E42" i="81"/>
  <c r="E41" i="81"/>
  <c r="I116" i="65"/>
  <c r="I119" i="65" s="1"/>
  <c r="J114" i="65" s="1"/>
  <c r="J117" i="65" s="1"/>
  <c r="J62" i="59"/>
  <c r="E199" i="82"/>
  <c r="E224" i="82" s="1"/>
  <c r="E225" i="82" s="1"/>
  <c r="I62" i="59"/>
  <c r="I39" i="69" s="1"/>
  <c r="D88" i="84"/>
  <c r="J67" i="59"/>
  <c r="I65" i="59"/>
  <c r="I42" i="69" s="1"/>
  <c r="I67" i="59"/>
  <c r="I44" i="69" s="1"/>
  <c r="J63" i="59"/>
  <c r="G330" i="82"/>
  <c r="G331" i="82" s="1"/>
  <c r="H327" i="82" s="1"/>
  <c r="H329" i="82" s="1"/>
  <c r="I63" i="59"/>
  <c r="I40" i="69" s="1"/>
  <c r="H88" i="82"/>
  <c r="H91" i="82"/>
  <c r="G245" i="82"/>
  <c r="G247" i="82" s="1"/>
  <c r="H243" i="82" s="1"/>
  <c r="I118" i="82"/>
  <c r="I95" i="82"/>
  <c r="I96" i="82" s="1"/>
  <c r="H59" i="65"/>
  <c r="H68" i="65"/>
  <c r="G251" i="82"/>
  <c r="E97" i="81"/>
  <c r="E74" i="84" s="1"/>
  <c r="F149" i="82"/>
  <c r="F173" i="82" s="1"/>
  <c r="F171" i="82"/>
  <c r="F168" i="82"/>
  <c r="F169" i="82" s="1"/>
  <c r="G165" i="82" s="1"/>
  <c r="G167" i="82" s="1"/>
  <c r="G159" i="82"/>
  <c r="J91" i="82"/>
  <c r="J85" i="82"/>
  <c r="J92" i="82" s="1"/>
  <c r="J160" i="82" s="1"/>
  <c r="J15" i="81"/>
  <c r="H68" i="59"/>
  <c r="F235" i="82"/>
  <c r="F257" i="82"/>
  <c r="F191" i="82"/>
  <c r="F215" i="82" s="1"/>
  <c r="F213" i="82"/>
  <c r="J214" i="82"/>
  <c r="J208" i="82"/>
  <c r="J221" i="82" s="1"/>
  <c r="F179" i="82"/>
  <c r="J64" i="59"/>
  <c r="G91" i="82"/>
  <c r="G88" i="82"/>
  <c r="G67" i="69"/>
  <c r="F124" i="82"/>
  <c r="F130" i="82"/>
  <c r="F287" i="82"/>
  <c r="F301" i="82" s="1"/>
  <c r="F338" i="82" s="1"/>
  <c r="F121" i="82"/>
  <c r="E105" i="81"/>
  <c r="H45" i="69"/>
  <c r="H57" i="69"/>
  <c r="E54" i="83"/>
  <c r="E39" i="83"/>
  <c r="E266" i="82"/>
  <c r="E267" i="82" s="1"/>
  <c r="F237" i="82"/>
  <c r="J250" i="82"/>
  <c r="J263" i="82" s="1"/>
  <c r="J256" i="82"/>
  <c r="G203" i="82"/>
  <c r="G205" i="82" s="1"/>
  <c r="H201" i="82" s="1"/>
  <c r="G97" i="69"/>
  <c r="G101" i="69"/>
  <c r="E96" i="81"/>
  <c r="E73" i="84" s="1"/>
  <c r="E100" i="81"/>
  <c r="J66" i="59"/>
  <c r="G79" i="69"/>
  <c r="H323" i="82"/>
  <c r="H325" i="82" s="1"/>
  <c r="I321" i="82" s="1"/>
  <c r="E112" i="82"/>
  <c r="E130" i="82"/>
  <c r="E273" i="82"/>
  <c r="E301" i="82" s="1"/>
  <c r="E338" i="82" s="1"/>
  <c r="E109" i="82"/>
  <c r="J109" i="65"/>
  <c r="J111" i="65" s="1"/>
  <c r="K107" i="65" s="1"/>
  <c r="I64" i="59"/>
  <c r="I41" i="69" s="1"/>
  <c r="E157" i="82"/>
  <c r="J9" i="81"/>
  <c r="F11" i="81"/>
  <c r="F20" i="81" s="1"/>
  <c r="E101" i="81" l="1"/>
  <c r="J41" i="69"/>
  <c r="J43" i="69"/>
  <c r="J44" i="69"/>
  <c r="J39" i="69"/>
  <c r="J40" i="69"/>
  <c r="E107" i="81"/>
  <c r="E113" i="81" s="1"/>
  <c r="E65" i="84" s="1"/>
  <c r="E45" i="81"/>
  <c r="E46" i="81" s="1"/>
  <c r="E48" i="81"/>
  <c r="E51" i="84" s="1"/>
  <c r="E53" i="84" s="1"/>
  <c r="F195" i="82"/>
  <c r="F197" i="82" s="1"/>
  <c r="F222" i="82" s="1"/>
  <c r="J116" i="65"/>
  <c r="J119" i="65" s="1"/>
  <c r="K114" i="65" s="1"/>
  <c r="K117" i="65" s="1"/>
  <c r="G252" i="82"/>
  <c r="G253" i="82" s="1"/>
  <c r="H249" i="82" s="1"/>
  <c r="H251" i="82" s="1"/>
  <c r="E102" i="81"/>
  <c r="E112" i="81" s="1"/>
  <c r="E64" i="84" s="1"/>
  <c r="I68" i="59"/>
  <c r="H330" i="82"/>
  <c r="H331" i="82" s="1"/>
  <c r="I327" i="82" s="1"/>
  <c r="I329" i="82" s="1"/>
  <c r="F193" i="82"/>
  <c r="G189" i="82" s="1"/>
  <c r="F151" i="82"/>
  <c r="G147" i="82" s="1"/>
  <c r="F21" i="81"/>
  <c r="F30" i="83" s="1"/>
  <c r="F54" i="83" s="1"/>
  <c r="F8" i="84"/>
  <c r="F55" i="81"/>
  <c r="F50" i="84" s="1"/>
  <c r="F91" i="81"/>
  <c r="F82" i="81"/>
  <c r="F93" i="81"/>
  <c r="F94" i="81"/>
  <c r="F87" i="81"/>
  <c r="F90" i="81"/>
  <c r="F84" i="81"/>
  <c r="F81" i="81"/>
  <c r="F88" i="81"/>
  <c r="F85" i="81"/>
  <c r="E62" i="84"/>
  <c r="G118" i="82"/>
  <c r="G95" i="82"/>
  <c r="G96" i="82" s="1"/>
  <c r="I63" i="65"/>
  <c r="I323" i="82"/>
  <c r="I325" i="82" s="1"/>
  <c r="J321" i="82" s="1"/>
  <c r="J323" i="82" s="1"/>
  <c r="J325" i="82" s="1"/>
  <c r="J330" i="82" s="1"/>
  <c r="G161" i="82"/>
  <c r="G163" i="82" s="1"/>
  <c r="H159" i="82" s="1"/>
  <c r="I45" i="69"/>
  <c r="I57" i="69"/>
  <c r="E133" i="82"/>
  <c r="E134" i="82" s="1"/>
  <c r="F105" i="82"/>
  <c r="E276" i="82"/>
  <c r="J88" i="82"/>
  <c r="H77" i="65"/>
  <c r="H159" i="65" s="1"/>
  <c r="H60" i="65"/>
  <c r="H67" i="69"/>
  <c r="F290" i="82"/>
  <c r="F291" i="82" s="1"/>
  <c r="G117" i="82"/>
  <c r="F126" i="82"/>
  <c r="F296" i="82" s="1"/>
  <c r="E30" i="91"/>
  <c r="H97" i="69"/>
  <c r="F239" i="82"/>
  <c r="F264" i="82" s="1"/>
  <c r="F262" i="82"/>
  <c r="F294" i="82"/>
  <c r="F308" i="82" s="1"/>
  <c r="F345" i="82" s="1"/>
  <c r="F137" i="82"/>
  <c r="J118" i="82"/>
  <c r="J95" i="82"/>
  <c r="H203" i="82"/>
  <c r="H205" i="82" s="1"/>
  <c r="I201" i="82" s="1"/>
  <c r="J68" i="59"/>
  <c r="F217" i="82"/>
  <c r="F218" i="82" s="1"/>
  <c r="H79" i="69"/>
  <c r="E182" i="82"/>
  <c r="E183" i="82" s="1"/>
  <c r="F153" i="82"/>
  <c r="G231" i="82"/>
  <c r="F259" i="82"/>
  <c r="F260" i="82" s="1"/>
  <c r="I124" i="82"/>
  <c r="I130" i="82"/>
  <c r="I287" i="82"/>
  <c r="I301" i="82" s="1"/>
  <c r="I338" i="82" s="1"/>
  <c r="H118" i="82"/>
  <c r="H95" i="82"/>
  <c r="H96" i="82" s="1"/>
  <c r="K109" i="65"/>
  <c r="K111" i="65" s="1"/>
  <c r="L107" i="65" s="1"/>
  <c r="L109" i="65" s="1"/>
  <c r="L111" i="65" s="1"/>
  <c r="L116" i="65" s="1"/>
  <c r="H245" i="82"/>
  <c r="H247" i="82" s="1"/>
  <c r="I243" i="82" s="1"/>
  <c r="J172" i="82"/>
  <c r="J166" i="82"/>
  <c r="J179" i="82" s="1"/>
  <c r="E280" i="82"/>
  <c r="E308" i="82" s="1"/>
  <c r="E345" i="82" s="1"/>
  <c r="E137" i="82"/>
  <c r="E114" i="82"/>
  <c r="E115" i="82" s="1"/>
  <c r="H101" i="69"/>
  <c r="G210" i="82"/>
  <c r="G211" i="82" s="1"/>
  <c r="H207" i="82" s="1"/>
  <c r="H209" i="82" s="1"/>
  <c r="E31" i="91"/>
  <c r="G8" i="81"/>
  <c r="J45" i="69" l="1"/>
  <c r="J57" i="69"/>
  <c r="F127" i="82"/>
  <c r="G123" i="82" s="1"/>
  <c r="F220" i="82"/>
  <c r="F42" i="81"/>
  <c r="F41" i="81"/>
  <c r="F43" i="81"/>
  <c r="F40" i="81"/>
  <c r="F44" i="81"/>
  <c r="F106" i="81" s="1"/>
  <c r="E61" i="84"/>
  <c r="F175" i="82"/>
  <c r="F176" i="82" s="1"/>
  <c r="F39" i="83"/>
  <c r="H252" i="82"/>
  <c r="H253" i="82" s="1"/>
  <c r="I249" i="82" s="1"/>
  <c r="I251" i="82" s="1"/>
  <c r="I330" i="82"/>
  <c r="I331" i="82" s="1"/>
  <c r="J327" i="82" s="1"/>
  <c r="J329" i="82" s="1"/>
  <c r="J331" i="82" s="1"/>
  <c r="E32" i="91"/>
  <c r="E22" i="91" s="1"/>
  <c r="J96" i="82"/>
  <c r="F111" i="82"/>
  <c r="E140" i="82"/>
  <c r="E283" i="82"/>
  <c r="I56" i="65"/>
  <c r="K116" i="65"/>
  <c r="K119" i="65" s="1"/>
  <c r="L114" i="65" s="1"/>
  <c r="L117" i="65" s="1"/>
  <c r="I79" i="69"/>
  <c r="H210" i="82"/>
  <c r="H211" i="82" s="1"/>
  <c r="I207" i="82" s="1"/>
  <c r="F97" i="81"/>
  <c r="F74" i="84" s="1"/>
  <c r="F31" i="91" s="1"/>
  <c r="E139" i="82"/>
  <c r="E282" i="82"/>
  <c r="E310" i="82" s="1"/>
  <c r="E347" i="82" s="1"/>
  <c r="E356" i="82" s="1"/>
  <c r="E41" i="83" s="1"/>
  <c r="E89" i="84"/>
  <c r="I67" i="69"/>
  <c r="G191" i="82"/>
  <c r="G215" i="82" s="1"/>
  <c r="G213" i="82"/>
  <c r="I294" i="82"/>
  <c r="I308" i="82" s="1"/>
  <c r="I345" i="82" s="1"/>
  <c r="I137" i="82"/>
  <c r="G119" i="82"/>
  <c r="G288" i="82" s="1"/>
  <c r="G286" i="82"/>
  <c r="I101" i="69"/>
  <c r="J124" i="82"/>
  <c r="J287" i="82"/>
  <c r="J301" i="82" s="1"/>
  <c r="J338" i="82" s="1"/>
  <c r="J130" i="82"/>
  <c r="G149" i="82"/>
  <c r="G173" i="82" s="1"/>
  <c r="G171" i="82"/>
  <c r="I245" i="82"/>
  <c r="I247" i="82" s="1"/>
  <c r="E88" i="84"/>
  <c r="G168" i="82"/>
  <c r="G169" i="82" s="1"/>
  <c r="H165" i="82" s="1"/>
  <c r="H167" i="82" s="1"/>
  <c r="I66" i="65"/>
  <c r="F96" i="81"/>
  <c r="F73" i="84" s="1"/>
  <c r="F30" i="91" s="1"/>
  <c r="F100" i="81"/>
  <c r="G255" i="82"/>
  <c r="G233" i="82"/>
  <c r="E304" i="82"/>
  <c r="E277" i="82"/>
  <c r="H161" i="82"/>
  <c r="H163" i="82" s="1"/>
  <c r="I159" i="82" s="1"/>
  <c r="I97" i="69"/>
  <c r="H124" i="82"/>
  <c r="H287" i="82"/>
  <c r="H301" i="82" s="1"/>
  <c r="H338" i="82" s="1"/>
  <c r="H130" i="82"/>
  <c r="I203" i="82"/>
  <c r="I205" i="82" s="1"/>
  <c r="J201" i="82" s="1"/>
  <c r="J203" i="82" s="1"/>
  <c r="J205" i="82" s="1"/>
  <c r="J210" i="82" s="1"/>
  <c r="F155" i="82"/>
  <c r="F180" i="82" s="1"/>
  <c r="F178" i="82"/>
  <c r="F129" i="82"/>
  <c r="F107" i="82"/>
  <c r="F272" i="82"/>
  <c r="F300" i="82" s="1"/>
  <c r="F337" i="82" s="1"/>
  <c r="G124" i="82"/>
  <c r="G130" i="82"/>
  <c r="G287" i="82"/>
  <c r="G301" i="82" s="1"/>
  <c r="G338" i="82" s="1"/>
  <c r="F105" i="81"/>
  <c r="G11" i="81"/>
  <c r="G20" i="81" s="1"/>
  <c r="J97" i="69" l="1"/>
  <c r="F45" i="81"/>
  <c r="F46" i="81" s="1"/>
  <c r="F297" i="82"/>
  <c r="F298" i="82" s="1"/>
  <c r="F48" i="81"/>
  <c r="F51" i="84" s="1"/>
  <c r="F53" i="84" s="1"/>
  <c r="F101" i="81"/>
  <c r="F102" i="81" s="1"/>
  <c r="G94" i="81"/>
  <c r="G105" i="81" s="1"/>
  <c r="G151" i="82"/>
  <c r="H147" i="82" s="1"/>
  <c r="G81" i="81"/>
  <c r="I210" i="82"/>
  <c r="J243" i="82"/>
  <c r="J245" i="82" s="1"/>
  <c r="I252" i="82"/>
  <c r="I253" i="82" s="1"/>
  <c r="J249" i="82" s="1"/>
  <c r="J251" i="82" s="1"/>
  <c r="G88" i="81"/>
  <c r="G193" i="82"/>
  <c r="G217" i="82" s="1"/>
  <c r="G218" i="82" s="1"/>
  <c r="E141" i="82"/>
  <c r="F32" i="91"/>
  <c r="G85" i="81"/>
  <c r="G84" i="81"/>
  <c r="L119" i="65"/>
  <c r="G125" i="82"/>
  <c r="G295" i="82" s="1"/>
  <c r="G293" i="82"/>
  <c r="H168" i="82"/>
  <c r="H169" i="82" s="1"/>
  <c r="I165" i="82" s="1"/>
  <c r="I167" i="82" s="1"/>
  <c r="I209" i="82"/>
  <c r="G82" i="81"/>
  <c r="I58" i="65"/>
  <c r="I65" i="65" s="1"/>
  <c r="J67" i="69"/>
  <c r="I161" i="82"/>
  <c r="I163" i="82" s="1"/>
  <c r="J159" i="82" s="1"/>
  <c r="J161" i="82" s="1"/>
  <c r="J163" i="82" s="1"/>
  <c r="J168" i="82" s="1"/>
  <c r="G91" i="81"/>
  <c r="G90" i="81"/>
  <c r="G294" i="82"/>
  <c r="G308" i="82" s="1"/>
  <c r="G345" i="82" s="1"/>
  <c r="G137" i="82"/>
  <c r="H137" i="82"/>
  <c r="H294" i="82"/>
  <c r="H308" i="82" s="1"/>
  <c r="H345" i="82" s="1"/>
  <c r="E341" i="82"/>
  <c r="E305" i="82"/>
  <c r="G121" i="82"/>
  <c r="J294" i="82"/>
  <c r="J308" i="82" s="1"/>
  <c r="J345" i="82" s="1"/>
  <c r="J137" i="82"/>
  <c r="G235" i="82"/>
  <c r="G257" i="82"/>
  <c r="J101" i="69"/>
  <c r="J79" i="69"/>
  <c r="E284" i="82"/>
  <c r="E311" i="82"/>
  <c r="G8" i="84"/>
  <c r="G21" i="81"/>
  <c r="G30" i="83" s="1"/>
  <c r="G55" i="81"/>
  <c r="G50" i="84" s="1"/>
  <c r="F107" i="81"/>
  <c r="F109" i="82"/>
  <c r="F131" i="82"/>
  <c r="F274" i="82"/>
  <c r="F302" i="82" s="1"/>
  <c r="F339" i="82" s="1"/>
  <c r="G87" i="81"/>
  <c r="G93" i="81"/>
  <c r="F113" i="82"/>
  <c r="F136" i="82"/>
  <c r="F279" i="82"/>
  <c r="F307" i="82" s="1"/>
  <c r="F344" i="82" s="1"/>
  <c r="H8" i="81"/>
  <c r="G175" i="82" l="1"/>
  <c r="G176" i="82" s="1"/>
  <c r="G100" i="81"/>
  <c r="G44" i="81"/>
  <c r="G106" i="81" s="1"/>
  <c r="G107" i="81" s="1"/>
  <c r="G41" i="81"/>
  <c r="G43" i="81"/>
  <c r="G42" i="81"/>
  <c r="G40" i="81"/>
  <c r="G48" i="81" s="1"/>
  <c r="G51" i="84" s="1"/>
  <c r="G53" i="84" s="1"/>
  <c r="H189" i="82"/>
  <c r="H213" i="82" s="1"/>
  <c r="I211" i="82"/>
  <c r="J207" i="82" s="1"/>
  <c r="J209" i="82" s="1"/>
  <c r="J211" i="82" s="1"/>
  <c r="I168" i="82"/>
  <c r="I169" i="82" s="1"/>
  <c r="J165" i="82" s="1"/>
  <c r="J247" i="82"/>
  <c r="J252" i="82" s="1"/>
  <c r="J253" i="82" s="1"/>
  <c r="G96" i="81"/>
  <c r="G73" i="84" s="1"/>
  <c r="G30" i="91" s="1"/>
  <c r="G105" i="82"/>
  <c r="F133" i="82"/>
  <c r="F134" i="82" s="1"/>
  <c r="F276" i="82"/>
  <c r="I59" i="65"/>
  <c r="I68" i="65"/>
  <c r="F113" i="81"/>
  <c r="F65" i="84" s="1"/>
  <c r="F62" i="84"/>
  <c r="G97" i="81"/>
  <c r="G74" i="84" s="1"/>
  <c r="G31" i="91" s="1"/>
  <c r="G290" i="82"/>
  <c r="G291" i="82" s="1"/>
  <c r="H117" i="82"/>
  <c r="G126" i="82"/>
  <c r="F112" i="81"/>
  <c r="F64" i="84" s="1"/>
  <c r="F61" i="84"/>
  <c r="E348" i="82"/>
  <c r="E312" i="82"/>
  <c r="G39" i="83"/>
  <c r="G54" i="83"/>
  <c r="F138" i="82"/>
  <c r="F281" i="82"/>
  <c r="F309" i="82" s="1"/>
  <c r="F346" i="82" s="1"/>
  <c r="F357" i="82" s="1"/>
  <c r="F42" i="83" s="1"/>
  <c r="H149" i="82"/>
  <c r="H173" i="82" s="1"/>
  <c r="H171" i="82"/>
  <c r="G259" i="82"/>
  <c r="G260" i="82" s="1"/>
  <c r="H231" i="82"/>
  <c r="E342" i="82"/>
  <c r="E350" i="82"/>
  <c r="E354" i="82"/>
  <c r="H11" i="81"/>
  <c r="H20" i="81" s="1"/>
  <c r="H191" i="82" l="1"/>
  <c r="H215" i="82" s="1"/>
  <c r="G101" i="81"/>
  <c r="G102" i="81" s="1"/>
  <c r="G61" i="84" s="1"/>
  <c r="G45" i="81"/>
  <c r="G46" i="81" s="1"/>
  <c r="G32" i="91"/>
  <c r="F89" i="84"/>
  <c r="F88" i="84"/>
  <c r="H87" i="81"/>
  <c r="J167" i="82"/>
  <c r="J169" i="82" s="1"/>
  <c r="H91" i="81"/>
  <c r="I77" i="65"/>
  <c r="I159" i="65" s="1"/>
  <c r="I60" i="65"/>
  <c r="G296" i="82"/>
  <c r="G127" i="82"/>
  <c r="H119" i="82"/>
  <c r="H288" i="82" s="1"/>
  <c r="H286" i="82"/>
  <c r="G113" i="81"/>
  <c r="G65" i="84" s="1"/>
  <c r="G62" i="84"/>
  <c r="F304" i="82"/>
  <c r="F277" i="82"/>
  <c r="H55" i="81"/>
  <c r="H50" i="84" s="1"/>
  <c r="H8" i="84"/>
  <c r="H21" i="81"/>
  <c r="H30" i="83" s="1"/>
  <c r="H54" i="83" s="1"/>
  <c r="H94" i="81"/>
  <c r="H81" i="81"/>
  <c r="H88" i="81"/>
  <c r="H84" i="81"/>
  <c r="H85" i="81"/>
  <c r="E351" i="82"/>
  <c r="E349" i="82"/>
  <c r="E355" i="82"/>
  <c r="E51" i="83" s="1"/>
  <c r="E56" i="83" s="1"/>
  <c r="E62" i="83" s="1"/>
  <c r="E6" i="84" s="1"/>
  <c r="G107" i="82"/>
  <c r="G109" i="82" s="1"/>
  <c r="G129" i="82"/>
  <c r="G272" i="82"/>
  <c r="G300" i="82" s="1"/>
  <c r="G337" i="82" s="1"/>
  <c r="G112" i="81"/>
  <c r="G64" i="84" s="1"/>
  <c r="H151" i="82"/>
  <c r="H93" i="81"/>
  <c r="H193" i="82"/>
  <c r="H82" i="81"/>
  <c r="H255" i="82"/>
  <c r="H233" i="82"/>
  <c r="H257" i="82" s="1"/>
  <c r="H90" i="81"/>
  <c r="J63" i="65"/>
  <c r="I8" i="81"/>
  <c r="H40" i="81" l="1"/>
  <c r="H41" i="81"/>
  <c r="H43" i="81"/>
  <c r="H44" i="81"/>
  <c r="H106" i="81" s="1"/>
  <c r="H42" i="81"/>
  <c r="H235" i="82"/>
  <c r="I231" i="82" s="1"/>
  <c r="G88" i="84"/>
  <c r="H121" i="82"/>
  <c r="H126" i="82" s="1"/>
  <c r="H296" i="82" s="1"/>
  <c r="G89" i="84"/>
  <c r="J56" i="65"/>
  <c r="H105" i="81"/>
  <c r="H39" i="83"/>
  <c r="H217" i="82"/>
  <c r="H218" i="82" s="1"/>
  <c r="I189" i="82"/>
  <c r="G297" i="82"/>
  <c r="G298" i="82" s="1"/>
  <c r="H123" i="82"/>
  <c r="H97" i="81"/>
  <c r="H74" i="84" s="1"/>
  <c r="H31" i="91" s="1"/>
  <c r="H105" i="82"/>
  <c r="G133" i="82"/>
  <c r="G276" i="82"/>
  <c r="J66" i="65"/>
  <c r="G131" i="82"/>
  <c r="G274" i="82"/>
  <c r="G302" i="82" s="1"/>
  <c r="G339" i="82" s="1"/>
  <c r="H175" i="82"/>
  <c r="H176" i="82" s="1"/>
  <c r="I147" i="82"/>
  <c r="H48" i="81"/>
  <c r="H51" i="84" s="1"/>
  <c r="H53" i="84" s="1"/>
  <c r="H96" i="81"/>
  <c r="H73" i="84" s="1"/>
  <c r="H30" i="91" s="1"/>
  <c r="H100" i="81"/>
  <c r="F341" i="82"/>
  <c r="F305" i="82"/>
  <c r="I11" i="81"/>
  <c r="I20" i="81" s="1"/>
  <c r="H101" i="81" l="1"/>
  <c r="H102" i="81" s="1"/>
  <c r="H61" i="84" s="1"/>
  <c r="H259" i="82"/>
  <c r="H260" i="82" s="1"/>
  <c r="I117" i="82"/>
  <c r="I119" i="82" s="1"/>
  <c r="I288" i="82" s="1"/>
  <c r="H290" i="82"/>
  <c r="H291" i="82" s="1"/>
  <c r="H45" i="81"/>
  <c r="H46" i="81" s="1"/>
  <c r="I90" i="81"/>
  <c r="I85" i="81"/>
  <c r="G134" i="82"/>
  <c r="I94" i="81"/>
  <c r="I105" i="81" s="1"/>
  <c r="I81" i="81"/>
  <c r="I88" i="81"/>
  <c r="I93" i="81"/>
  <c r="I82" i="81"/>
  <c r="I255" i="82"/>
  <c r="I233" i="82"/>
  <c r="I257" i="82" s="1"/>
  <c r="I286" i="82"/>
  <c r="I213" i="82"/>
  <c r="I191" i="82"/>
  <c r="I215" i="82" s="1"/>
  <c r="H107" i="81"/>
  <c r="J58" i="65"/>
  <c r="J65" i="65" s="1"/>
  <c r="F342" i="82"/>
  <c r="F350" i="82"/>
  <c r="F354" i="82"/>
  <c r="I171" i="82"/>
  <c r="I149" i="82"/>
  <c r="I173" i="82" s="1"/>
  <c r="H32" i="91"/>
  <c r="G277" i="82"/>
  <c r="G304" i="82"/>
  <c r="H293" i="82"/>
  <c r="H125" i="82"/>
  <c r="H295" i="82" s="1"/>
  <c r="I8" i="84"/>
  <c r="I21" i="81"/>
  <c r="I30" i="83" s="1"/>
  <c r="I54" i="83" s="1"/>
  <c r="I55" i="81"/>
  <c r="I50" i="84" s="1"/>
  <c r="I87" i="81"/>
  <c r="H107" i="82"/>
  <c r="H109" i="82" s="1"/>
  <c r="H129" i="82"/>
  <c r="H272" i="82"/>
  <c r="H300" i="82" s="1"/>
  <c r="H337" i="82" s="1"/>
  <c r="I84" i="81"/>
  <c r="I91" i="81"/>
  <c r="J8" i="81"/>
  <c r="I96" i="81" l="1"/>
  <c r="I73" i="84" s="1"/>
  <c r="I30" i="91" s="1"/>
  <c r="I100" i="81"/>
  <c r="I42" i="81"/>
  <c r="I41" i="81"/>
  <c r="I43" i="81"/>
  <c r="I40" i="81"/>
  <c r="I44" i="81"/>
  <c r="I97" i="81"/>
  <c r="I74" i="84" s="1"/>
  <c r="I31" i="91" s="1"/>
  <c r="I32" i="91" s="1"/>
  <c r="H112" i="81"/>
  <c r="H64" i="84" s="1"/>
  <c r="H88" i="84" s="1"/>
  <c r="I121" i="82"/>
  <c r="I126" i="82" s="1"/>
  <c r="I296" i="82" s="1"/>
  <c r="I193" i="82"/>
  <c r="I217" i="82" s="1"/>
  <c r="I218" i="82" s="1"/>
  <c r="H127" i="82"/>
  <c r="I235" i="82"/>
  <c r="H133" i="82"/>
  <c r="I105" i="82"/>
  <c r="H276" i="82"/>
  <c r="H131" i="82"/>
  <c r="H274" i="82"/>
  <c r="H302" i="82" s="1"/>
  <c r="H339" i="82" s="1"/>
  <c r="I151" i="82"/>
  <c r="J59" i="65"/>
  <c r="J68" i="65"/>
  <c r="I39" i="83"/>
  <c r="G341" i="82"/>
  <c r="G305" i="82"/>
  <c r="H113" i="81"/>
  <c r="H65" i="84" s="1"/>
  <c r="H62" i="84"/>
  <c r="J11" i="81"/>
  <c r="J20" i="81" s="1"/>
  <c r="J117" i="82" l="1"/>
  <c r="J286" i="82" s="1"/>
  <c r="I48" i="81"/>
  <c r="I51" i="84" s="1"/>
  <c r="I53" i="84" s="1"/>
  <c r="I45" i="81"/>
  <c r="I46" i="81" s="1"/>
  <c r="I101" i="81"/>
  <c r="I102" i="81" s="1"/>
  <c r="I112" i="81" s="1"/>
  <c r="I64" i="84" s="1"/>
  <c r="I290" i="82"/>
  <c r="I291" i="82" s="1"/>
  <c r="I106" i="81"/>
  <c r="I107" i="81" s="1"/>
  <c r="H134" i="82"/>
  <c r="J189" i="82"/>
  <c r="J191" i="82" s="1"/>
  <c r="J215" i="82" s="1"/>
  <c r="H89" i="84"/>
  <c r="I107" i="82"/>
  <c r="I129" i="82"/>
  <c r="I272" i="82"/>
  <c r="I300" i="82" s="1"/>
  <c r="I337" i="82" s="1"/>
  <c r="K63" i="65"/>
  <c r="G350" i="82"/>
  <c r="G342" i="82"/>
  <c r="G354" i="82"/>
  <c r="J87" i="81"/>
  <c r="J231" i="82"/>
  <c r="I259" i="82"/>
  <c r="I260" i="82" s="1"/>
  <c r="J77" i="65"/>
  <c r="J159" i="65" s="1"/>
  <c r="J60" i="65"/>
  <c r="K56" i="65" s="1"/>
  <c r="J119" i="82"/>
  <c r="J288" i="82" s="1"/>
  <c r="J147" i="82"/>
  <c r="I175" i="82"/>
  <c r="I176" i="82" s="1"/>
  <c r="J21" i="81"/>
  <c r="J30" i="83" s="1"/>
  <c r="J54" i="83" s="1"/>
  <c r="J8" i="84"/>
  <c r="J55" i="81"/>
  <c r="J50" i="84" s="1"/>
  <c r="J82" i="81"/>
  <c r="J94" i="81"/>
  <c r="J105" i="81" s="1"/>
  <c r="J88" i="81"/>
  <c r="J93" i="81"/>
  <c r="J85" i="81"/>
  <c r="J81" i="81"/>
  <c r="J90" i="81"/>
  <c r="H304" i="82"/>
  <c r="H277" i="82"/>
  <c r="J91" i="81"/>
  <c r="I123" i="82"/>
  <c r="H297" i="82"/>
  <c r="H298" i="82" s="1"/>
  <c r="J84" i="81"/>
  <c r="J213" i="82" l="1"/>
  <c r="I61" i="84"/>
  <c r="I88" i="84" s="1"/>
  <c r="J42" i="81"/>
  <c r="J41" i="81"/>
  <c r="I113" i="81"/>
  <c r="I65" i="84" s="1"/>
  <c r="I62" i="84"/>
  <c r="J43" i="81"/>
  <c r="J44" i="81"/>
  <c r="J106" i="81" s="1"/>
  <c r="J107" i="81" s="1"/>
  <c r="J40" i="81"/>
  <c r="J193" i="82"/>
  <c r="J217" i="82" s="1"/>
  <c r="J218" i="82" s="1"/>
  <c r="J97" i="81"/>
  <c r="J74" i="84" s="1"/>
  <c r="J31" i="91" s="1"/>
  <c r="J121" i="82"/>
  <c r="H305" i="82"/>
  <c r="H341" i="82"/>
  <c r="I125" i="82"/>
  <c r="I295" i="82" s="1"/>
  <c r="I293" i="82"/>
  <c r="I109" i="82"/>
  <c r="I131" i="82"/>
  <c r="I274" i="82"/>
  <c r="I302" i="82" s="1"/>
  <c r="I339" i="82" s="1"/>
  <c r="K66" i="65"/>
  <c r="J149" i="82"/>
  <c r="J173" i="82" s="1"/>
  <c r="J171" i="82"/>
  <c r="J255" i="82"/>
  <c r="J233" i="82"/>
  <c r="J100" i="81"/>
  <c r="J96" i="81"/>
  <c r="J73" i="84" s="1"/>
  <c r="J30" i="91" s="1"/>
  <c r="K58" i="65"/>
  <c r="K65" i="65" s="1"/>
  <c r="K59" i="65" s="1"/>
  <c r="K77" i="65" s="1"/>
  <c r="K159" i="65" s="1"/>
  <c r="J39" i="83"/>
  <c r="J101" i="81" l="1"/>
  <c r="J62" i="84"/>
  <c r="J113" i="81"/>
  <c r="J65" i="84" s="1"/>
  <c r="J48" i="81"/>
  <c r="J51" i="84" s="1"/>
  <c r="J53" i="84" s="1"/>
  <c r="J102" i="81"/>
  <c r="J112" i="81" s="1"/>
  <c r="J64" i="84" s="1"/>
  <c r="J151" i="82"/>
  <c r="J175" i="82" s="1"/>
  <c r="J176" i="82" s="1"/>
  <c r="I89" i="84"/>
  <c r="J45" i="81"/>
  <c r="J46" i="81" s="1"/>
  <c r="J32" i="91"/>
  <c r="I127" i="82"/>
  <c r="J123" i="82" s="1"/>
  <c r="J290" i="82"/>
  <c r="J291" i="82" s="1"/>
  <c r="J126" i="82"/>
  <c r="J296" i="82" s="1"/>
  <c r="K60" i="65"/>
  <c r="J235" i="82"/>
  <c r="J259" i="82" s="1"/>
  <c r="J257" i="82"/>
  <c r="H342" i="82"/>
  <c r="H350" i="82"/>
  <c r="H354" i="82"/>
  <c r="K68" i="65"/>
  <c r="J105" i="82"/>
  <c r="I133" i="82"/>
  <c r="I134" i="82" s="1"/>
  <c r="I276" i="82"/>
  <c r="I297" i="82" l="1"/>
  <c r="I298" i="82" s="1"/>
  <c r="J61" i="84"/>
  <c r="J89" i="84"/>
  <c r="L63" i="65"/>
  <c r="J260" i="82"/>
  <c r="J88" i="84"/>
  <c r="J125" i="82"/>
  <c r="J295" i="82" s="1"/>
  <c r="J293" i="82"/>
  <c r="I304" i="82"/>
  <c r="I277" i="82"/>
  <c r="J129" i="82"/>
  <c r="J107" i="82"/>
  <c r="J109" i="82" s="1"/>
  <c r="J272" i="82"/>
  <c r="J300" i="82" s="1"/>
  <c r="J337" i="82" s="1"/>
  <c r="L56" i="65"/>
  <c r="J127" i="82" l="1"/>
  <c r="J297" i="82" s="1"/>
  <c r="J298" i="82" s="1"/>
  <c r="I341" i="82"/>
  <c r="I305" i="82"/>
  <c r="L58" i="65"/>
  <c r="L65" i="65" s="1"/>
  <c r="L59" i="65" s="1"/>
  <c r="L77" i="65" s="1"/>
  <c r="L159" i="65" s="1"/>
  <c r="J133" i="82"/>
  <c r="J276" i="82"/>
  <c r="J131" i="82"/>
  <c r="J274" i="82"/>
  <c r="J302" i="82" s="1"/>
  <c r="J339" i="82" s="1"/>
  <c r="L66" i="65"/>
  <c r="L68" i="65" l="1"/>
  <c r="L60" i="65"/>
  <c r="J134" i="82"/>
  <c r="I342" i="82"/>
  <c r="I350" i="82"/>
  <c r="I354" i="82"/>
  <c r="J277" i="82"/>
  <c r="J304" i="82"/>
  <c r="J305" i="82" l="1"/>
  <c r="J341" i="82"/>
  <c r="J342" i="82" l="1"/>
  <c r="J350" i="82"/>
  <c r="J354" i="82"/>
  <c r="E33" i="83" l="1"/>
  <c r="E40" i="83" s="1"/>
  <c r="E46" i="83" s="1"/>
  <c r="E61" i="83" s="1"/>
  <c r="E5" i="84" s="1"/>
  <c r="E25" i="84" s="1"/>
  <c r="H33" i="83" l="1"/>
  <c r="H40" i="83" s="1"/>
  <c r="I33" i="83"/>
  <c r="I40" i="83" s="1"/>
  <c r="J40" i="83" s="1"/>
  <c r="G33" i="83"/>
  <c r="G40" i="83" s="1"/>
  <c r="E29" i="84"/>
  <c r="E27" i="84"/>
  <c r="E28" i="84"/>
  <c r="F33" i="83"/>
  <c r="F40" i="83" s="1"/>
  <c r="E34" i="84" l="1"/>
  <c r="E55" i="84"/>
  <c r="E56" i="84" s="1"/>
  <c r="E35" i="84"/>
  <c r="E44" i="84" s="1"/>
  <c r="E45" i="84" s="1"/>
  <c r="E30" i="84"/>
  <c r="E33" i="84"/>
  <c r="E68" i="84" s="1"/>
  <c r="E67" i="84"/>
  <c r="E70" i="84" l="1"/>
  <c r="E71" i="84"/>
  <c r="E76" i="84" s="1"/>
  <c r="E78" i="84" s="1"/>
  <c r="E84" i="84" s="1"/>
  <c r="E93" i="84" s="1"/>
  <c r="E108" i="84" s="1"/>
  <c r="E36" i="84"/>
  <c r="E37" i="84" s="1"/>
  <c r="E31" i="84"/>
  <c r="E47" i="84"/>
  <c r="E46" i="84"/>
  <c r="E95" i="84" s="1"/>
  <c r="E110" i="84" s="1"/>
  <c r="E57" i="84"/>
  <c r="E94" i="84" s="1"/>
  <c r="E109" i="84" s="1"/>
  <c r="E58" i="84"/>
  <c r="E79" i="84" l="1"/>
  <c r="E85" i="84" s="1"/>
  <c r="E92" i="84" s="1"/>
  <c r="E107" i="84" s="1"/>
  <c r="F94" i="65" l="1"/>
  <c r="F126" i="65" s="1"/>
  <c r="F21" i="65"/>
  <c r="F75" i="65" s="1"/>
  <c r="F157" i="65" l="1"/>
  <c r="F101" i="65" l="1"/>
  <c r="F28" i="65"/>
  <c r="F82" i="65" s="1"/>
  <c r="F133" i="65" l="1"/>
  <c r="F164" i="65" s="1"/>
  <c r="F22" i="65"/>
  <c r="F76" i="65" s="1"/>
  <c r="F29" i="65"/>
  <c r="F83" i="65" s="1"/>
  <c r="F148" i="65" s="1"/>
  <c r="D64" i="69" l="1"/>
  <c r="F93" i="65"/>
  <c r="F30" i="65"/>
  <c r="F84" i="65" s="1"/>
  <c r="D72" i="69" s="1"/>
  <c r="F95" i="65"/>
  <c r="F127" i="65" s="1"/>
  <c r="F158" i="65" s="1"/>
  <c r="E64" i="94" l="1"/>
  <c r="F97" i="65"/>
  <c r="F27" i="65"/>
  <c r="E84" i="94"/>
  <c r="F125" i="65"/>
  <c r="F100" i="65"/>
  <c r="F103" i="65"/>
  <c r="F135" i="65" s="1"/>
  <c r="F105" i="65" l="1"/>
  <c r="F134" i="65"/>
  <c r="F81" i="65"/>
  <c r="F32" i="65"/>
  <c r="F33" i="65" s="1"/>
  <c r="F166" i="65"/>
  <c r="D73" i="69"/>
  <c r="G93" i="65"/>
  <c r="F129" i="65"/>
  <c r="F130" i="65" l="1"/>
  <c r="F20" i="65"/>
  <c r="E77" i="94"/>
  <c r="F150" i="65"/>
  <c r="G27" i="65"/>
  <c r="F86" i="65"/>
  <c r="F145" i="65" s="1"/>
  <c r="F153" i="65"/>
  <c r="F165" i="65"/>
  <c r="G125" i="65"/>
  <c r="G95" i="65"/>
  <c r="G127" i="65" s="1"/>
  <c r="G100" i="65"/>
  <c r="F137" i="65"/>
  <c r="F168" i="65" s="1"/>
  <c r="F169" i="65" s="1"/>
  <c r="F163" i="65"/>
  <c r="G97" i="65" l="1"/>
  <c r="G102" i="65" s="1"/>
  <c r="G134" i="65" s="1"/>
  <c r="G153" i="65" s="1"/>
  <c r="E65" i="69" s="1"/>
  <c r="D90" i="69"/>
  <c r="D65" i="69"/>
  <c r="F87" i="65"/>
  <c r="G30" i="65"/>
  <c r="G84" i="65" s="1"/>
  <c r="E72" i="69" s="1"/>
  <c r="G81" i="65"/>
  <c r="F74" i="65"/>
  <c r="H93" i="65"/>
  <c r="G129" i="65"/>
  <c r="G150" i="65" s="1"/>
  <c r="G103" i="65"/>
  <c r="G135" i="65" s="1"/>
  <c r="G132" i="65"/>
  <c r="F24" i="65"/>
  <c r="F25" i="65" s="1"/>
  <c r="F138" i="65"/>
  <c r="F152" i="65"/>
  <c r="D91" i="69" s="1"/>
  <c r="G130" i="65" l="1"/>
  <c r="D80" i="69"/>
  <c r="D81" i="69" s="1"/>
  <c r="D83" i="69"/>
  <c r="D76" i="69"/>
  <c r="D77" i="69" s="1"/>
  <c r="D68" i="69"/>
  <c r="E73" i="69"/>
  <c r="G166" i="65"/>
  <c r="G105" i="65"/>
  <c r="F78" i="65"/>
  <c r="F160" i="65" s="1"/>
  <c r="G20" i="65"/>
  <c r="H125" i="65"/>
  <c r="H95" i="65"/>
  <c r="H127" i="65" s="1"/>
  <c r="H97" i="65"/>
  <c r="E35" i="65"/>
  <c r="G163" i="65"/>
  <c r="F156" i="65"/>
  <c r="D98" i="69"/>
  <c r="D99" i="69" s="1"/>
  <c r="D105" i="69"/>
  <c r="D94" i="69"/>
  <c r="D95" i="69" s="1"/>
  <c r="D102" i="69"/>
  <c r="D103" i="69" s="1"/>
  <c r="D107" i="69" l="1"/>
  <c r="D146" i="69" s="1"/>
  <c r="D148" i="69" s="1"/>
  <c r="F142" i="65"/>
  <c r="F79" i="65"/>
  <c r="D84" i="69"/>
  <c r="D113" i="69" s="1"/>
  <c r="D69" i="69"/>
  <c r="D85" i="69" s="1"/>
  <c r="D135" i="69" s="1"/>
  <c r="H102" i="65"/>
  <c r="H134" i="65" s="1"/>
  <c r="I93" i="65"/>
  <c r="H129" i="65"/>
  <c r="G74" i="65"/>
  <c r="G22" i="65"/>
  <c r="G76" i="65" s="1"/>
  <c r="G158" i="65" s="1"/>
  <c r="F161" i="65"/>
  <c r="D106" i="69"/>
  <c r="D124" i="69" s="1"/>
  <c r="H100" i="65"/>
  <c r="G137" i="65"/>
  <c r="D152" i="69" l="1"/>
  <c r="D149" i="69"/>
  <c r="D150" i="69"/>
  <c r="D153" i="69"/>
  <c r="D151" i="69"/>
  <c r="D108" i="69"/>
  <c r="G24" i="65"/>
  <c r="H20" i="65" s="1"/>
  <c r="D86" i="69"/>
  <c r="G152" i="65"/>
  <c r="E91" i="69" s="1"/>
  <c r="G138" i="65"/>
  <c r="H130" i="65"/>
  <c r="G156" i="65"/>
  <c r="H153" i="65"/>
  <c r="F65" i="69" s="1"/>
  <c r="H132" i="65"/>
  <c r="H103" i="65"/>
  <c r="H135" i="65" s="1"/>
  <c r="I95" i="65"/>
  <c r="I127" i="65" s="1"/>
  <c r="I125" i="65"/>
  <c r="H150" i="65"/>
  <c r="D137" i="69"/>
  <c r="D140" i="69"/>
  <c r="D138" i="69"/>
  <c r="D141" i="69"/>
  <c r="D142" i="69"/>
  <c r="D139" i="69"/>
  <c r="D131" i="69"/>
  <c r="D129" i="69"/>
  <c r="D130" i="69"/>
  <c r="D173" i="69" s="1"/>
  <c r="D18" i="70" s="1"/>
  <c r="D128" i="69"/>
  <c r="D127" i="69"/>
  <c r="D126" i="69"/>
  <c r="D118" i="69"/>
  <c r="D119" i="69"/>
  <c r="D117" i="69"/>
  <c r="D120" i="69"/>
  <c r="D116" i="69"/>
  <c r="D115" i="69"/>
  <c r="D170" i="69" l="1"/>
  <c r="D15" i="70" s="1"/>
  <c r="D171" i="69"/>
  <c r="D16" i="70" s="1"/>
  <c r="G29" i="65"/>
  <c r="D174" i="69"/>
  <c r="D19" i="70" s="1"/>
  <c r="D162" i="69"/>
  <c r="D7" i="70" s="1"/>
  <c r="D154" i="69"/>
  <c r="D155" i="69" s="1"/>
  <c r="G78" i="65"/>
  <c r="G142" i="65" s="1"/>
  <c r="D172" i="69"/>
  <c r="D17" i="70" s="1"/>
  <c r="I97" i="65"/>
  <c r="I129" i="65" s="1"/>
  <c r="D165" i="69"/>
  <c r="D10" i="70" s="1"/>
  <c r="H105" i="65"/>
  <c r="I100" i="65" s="1"/>
  <c r="D161" i="69"/>
  <c r="D6" i="70" s="1"/>
  <c r="D121" i="69"/>
  <c r="D122" i="69" s="1"/>
  <c r="D160" i="69"/>
  <c r="D143" i="69"/>
  <c r="D144" i="69" s="1"/>
  <c r="H74" i="65"/>
  <c r="H22" i="65"/>
  <c r="H76" i="65" s="1"/>
  <c r="H158" i="65" s="1"/>
  <c r="D169" i="69"/>
  <c r="D132" i="69"/>
  <c r="D133" i="69" s="1"/>
  <c r="D164" i="69"/>
  <c r="D9" i="70" s="1"/>
  <c r="D77" i="70" s="1"/>
  <c r="G83" i="65"/>
  <c r="G32" i="65"/>
  <c r="F73" i="69"/>
  <c r="D163" i="69"/>
  <c r="D8" i="70" s="1"/>
  <c r="D74" i="70" l="1"/>
  <c r="D75" i="70"/>
  <c r="D84" i="70" s="1"/>
  <c r="D91" i="70" s="1"/>
  <c r="D98" i="70" s="1"/>
  <c r="D121" i="70" s="1"/>
  <c r="J93" i="65"/>
  <c r="J95" i="65" s="1"/>
  <c r="J127" i="65" s="1"/>
  <c r="I102" i="65"/>
  <c r="I134" i="65" s="1"/>
  <c r="I153" i="65" s="1"/>
  <c r="G65" i="69" s="1"/>
  <c r="G79" i="65"/>
  <c r="D78" i="70"/>
  <c r="D87" i="70" s="1"/>
  <c r="D94" i="70" s="1"/>
  <c r="D101" i="70" s="1"/>
  <c r="D124" i="70" s="1"/>
  <c r="H137" i="65"/>
  <c r="H138" i="65" s="1"/>
  <c r="G160" i="65"/>
  <c r="G161" i="65" s="1"/>
  <c r="D76" i="70"/>
  <c r="D38" i="91" s="1"/>
  <c r="D40" i="91"/>
  <c r="H24" i="65"/>
  <c r="H29" i="65" s="1"/>
  <c r="H83" i="65" s="1"/>
  <c r="H148" i="65" s="1"/>
  <c r="F64" i="69" s="1"/>
  <c r="D5" i="70"/>
  <c r="D166" i="69"/>
  <c r="J125" i="65"/>
  <c r="D175" i="69"/>
  <c r="D14" i="70"/>
  <c r="G148" i="65"/>
  <c r="E64" i="69" s="1"/>
  <c r="G165" i="65"/>
  <c r="D86" i="70"/>
  <c r="D93" i="70" s="1"/>
  <c r="D100" i="70" s="1"/>
  <c r="D123" i="70" s="1"/>
  <c r="D39" i="91"/>
  <c r="H156" i="65"/>
  <c r="I130" i="65"/>
  <c r="I103" i="65"/>
  <c r="I135" i="65" s="1"/>
  <c r="I132" i="65"/>
  <c r="D37" i="91"/>
  <c r="H27" i="65"/>
  <c r="G86" i="65"/>
  <c r="D36" i="91"/>
  <c r="D83" i="70"/>
  <c r="D90" i="70" s="1"/>
  <c r="D97" i="70" s="1"/>
  <c r="D120" i="70" s="1"/>
  <c r="I150" i="65"/>
  <c r="H152" i="65" l="1"/>
  <c r="F91" i="69" s="1"/>
  <c r="I20" i="65"/>
  <c r="D85" i="70"/>
  <c r="D92" i="70" s="1"/>
  <c r="D99" i="70" s="1"/>
  <c r="D122" i="70" s="1"/>
  <c r="H78" i="65"/>
  <c r="H160" i="65" s="1"/>
  <c r="H161" i="65" s="1"/>
  <c r="H165" i="65"/>
  <c r="J97" i="65"/>
  <c r="J102" i="65" s="1"/>
  <c r="J134" i="65" s="1"/>
  <c r="J153" i="65" s="1"/>
  <c r="H65" i="69" s="1"/>
  <c r="I105" i="65"/>
  <c r="J100" i="65" s="1"/>
  <c r="D73" i="70"/>
  <c r="D82" i="70" s="1"/>
  <c r="D89" i="70" s="1"/>
  <c r="D96" i="70" s="1"/>
  <c r="H30" i="65"/>
  <c r="H84" i="65" s="1"/>
  <c r="H81" i="65"/>
  <c r="I22" i="65"/>
  <c r="I76" i="65" s="1"/>
  <c r="I158" i="65" s="1"/>
  <c r="I74" i="65"/>
  <c r="D11" i="70"/>
  <c r="D12" i="70" s="1"/>
  <c r="D167" i="69"/>
  <c r="G73" i="69"/>
  <c r="E76" i="69"/>
  <c r="E77" i="69" s="1"/>
  <c r="E68" i="69"/>
  <c r="E83" i="69"/>
  <c r="E80" i="69"/>
  <c r="E81" i="69" s="1"/>
  <c r="D20" i="70"/>
  <c r="D21" i="70" s="1"/>
  <c r="D176" i="69"/>
  <c r="G87" i="65"/>
  <c r="G145" i="65"/>
  <c r="E90" i="69" s="1"/>
  <c r="G168" i="65"/>
  <c r="G169" i="65" s="1"/>
  <c r="F76" i="69"/>
  <c r="F77" i="69" s="1"/>
  <c r="F68" i="69"/>
  <c r="F80" i="69"/>
  <c r="F81" i="69" s="1"/>
  <c r="H142" i="65" l="1"/>
  <c r="H79" i="65"/>
  <c r="K93" i="65"/>
  <c r="K95" i="65" s="1"/>
  <c r="K127" i="65" s="1"/>
  <c r="D104" i="70"/>
  <c r="D105" i="70" s="1"/>
  <c r="D125" i="70" s="1"/>
  <c r="J129" i="65"/>
  <c r="J150" i="65" s="1"/>
  <c r="I137" i="65"/>
  <c r="I152" i="65" s="1"/>
  <c r="G91" i="69" s="1"/>
  <c r="H32" i="65"/>
  <c r="I27" i="65" s="1"/>
  <c r="D79" i="70"/>
  <c r="D41" i="91" s="1"/>
  <c r="D35" i="91"/>
  <c r="I24" i="65"/>
  <c r="I29" i="65" s="1"/>
  <c r="I83" i="65" s="1"/>
  <c r="I148" i="65" s="1"/>
  <c r="G64" i="69" s="1"/>
  <c r="D80" i="70"/>
  <c r="H163" i="65"/>
  <c r="J103" i="65"/>
  <c r="J135" i="65" s="1"/>
  <c r="J132" i="65"/>
  <c r="H86" i="65"/>
  <c r="H168" i="65" s="1"/>
  <c r="K125" i="65"/>
  <c r="F69" i="69"/>
  <c r="F85" i="69" s="1"/>
  <c r="F135" i="69" s="1"/>
  <c r="F72" i="69"/>
  <c r="F83" i="69" s="1"/>
  <c r="H166" i="65"/>
  <c r="I138" i="65"/>
  <c r="I156" i="65"/>
  <c r="J130" i="65"/>
  <c r="E69" i="69"/>
  <c r="E85" i="69" s="1"/>
  <c r="E135" i="69" s="1"/>
  <c r="E84" i="69"/>
  <c r="E113" i="69" s="1"/>
  <c r="E94" i="69"/>
  <c r="E95" i="69" s="1"/>
  <c r="E105" i="69"/>
  <c r="E102" i="69"/>
  <c r="E103" i="69" s="1"/>
  <c r="E98" i="69"/>
  <c r="E99" i="69" s="1"/>
  <c r="I78" i="65" l="1"/>
  <c r="I142" i="65" s="1"/>
  <c r="D42" i="91"/>
  <c r="D44" i="91"/>
  <c r="J20" i="65"/>
  <c r="J22" i="65" s="1"/>
  <c r="J76" i="65" s="1"/>
  <c r="J158" i="65" s="1"/>
  <c r="I165" i="65"/>
  <c r="J105" i="65"/>
  <c r="K100" i="65" s="1"/>
  <c r="K97" i="65"/>
  <c r="K102" i="65" s="1"/>
  <c r="K134" i="65" s="1"/>
  <c r="K153" i="65" s="1"/>
  <c r="I65" i="69" s="1"/>
  <c r="E107" i="69"/>
  <c r="E146" i="69" s="1"/>
  <c r="E153" i="69" s="1"/>
  <c r="G76" i="69"/>
  <c r="G77" i="69" s="1"/>
  <c r="G68" i="69"/>
  <c r="G80" i="69"/>
  <c r="G81" i="69" s="1"/>
  <c r="E86" i="69"/>
  <c r="E142" i="69"/>
  <c r="E138" i="69"/>
  <c r="E140" i="69"/>
  <c r="E139" i="69"/>
  <c r="E137" i="69"/>
  <c r="E141" i="69"/>
  <c r="H73" i="69"/>
  <c r="H169" i="65"/>
  <c r="F84" i="69"/>
  <c r="F113" i="69" s="1"/>
  <c r="E106" i="69"/>
  <c r="E124" i="69" s="1"/>
  <c r="F141" i="69"/>
  <c r="F138" i="69"/>
  <c r="F142" i="69"/>
  <c r="F140" i="69"/>
  <c r="F139" i="69"/>
  <c r="F137" i="69"/>
  <c r="I30" i="65"/>
  <c r="I84" i="65" s="1"/>
  <c r="I81" i="65"/>
  <c r="H87" i="65"/>
  <c r="E120" i="69"/>
  <c r="E119" i="69"/>
  <c r="E117" i="69"/>
  <c r="E116" i="69"/>
  <c r="E118" i="69"/>
  <c r="E115" i="69"/>
  <c r="I79" i="65"/>
  <c r="I160" i="65"/>
  <c r="I161" i="65" s="1"/>
  <c r="H145" i="65"/>
  <c r="F90" i="69" s="1"/>
  <c r="D7" i="83"/>
  <c r="D42" i="83" s="1"/>
  <c r="E149" i="69" l="1"/>
  <c r="J74" i="65"/>
  <c r="E108" i="69"/>
  <c r="J137" i="65"/>
  <c r="E150" i="69"/>
  <c r="K129" i="65"/>
  <c r="K150" i="65" s="1"/>
  <c r="E162" i="69"/>
  <c r="E7" i="70" s="1"/>
  <c r="E163" i="69"/>
  <c r="E8" i="70" s="1"/>
  <c r="E151" i="69"/>
  <c r="E152" i="69"/>
  <c r="E148" i="69"/>
  <c r="L93" i="65"/>
  <c r="L95" i="65" s="1"/>
  <c r="F86" i="69"/>
  <c r="I32" i="65"/>
  <c r="J27" i="65" s="1"/>
  <c r="J24" i="65"/>
  <c r="J29" i="65" s="1"/>
  <c r="J83" i="65" s="1"/>
  <c r="J165" i="65" s="1"/>
  <c r="E165" i="69"/>
  <c r="E10" i="70" s="1"/>
  <c r="I163" i="65"/>
  <c r="J156" i="65"/>
  <c r="D6" i="83"/>
  <c r="D41" i="83" s="1"/>
  <c r="D46" i="83" s="1"/>
  <c r="E167" i="94"/>
  <c r="E131" i="69"/>
  <c r="E174" i="69" s="1"/>
  <c r="E19" i="70" s="1"/>
  <c r="E129" i="69"/>
  <c r="E130" i="69"/>
  <c r="E128" i="69"/>
  <c r="E127" i="69"/>
  <c r="E170" i="69" s="1"/>
  <c r="E15" i="70" s="1"/>
  <c r="E126" i="69"/>
  <c r="F116" i="69"/>
  <c r="F161" i="69" s="1"/>
  <c r="F6" i="70" s="1"/>
  <c r="F120" i="69"/>
  <c r="F165" i="69" s="1"/>
  <c r="F10" i="70" s="1"/>
  <c r="F118" i="69"/>
  <c r="F163" i="69" s="1"/>
  <c r="F8" i="70" s="1"/>
  <c r="F119" i="69"/>
  <c r="F164" i="69" s="1"/>
  <c r="F9" i="70" s="1"/>
  <c r="F117" i="69"/>
  <c r="F162" i="69" s="1"/>
  <c r="F7" i="70" s="1"/>
  <c r="F115" i="69"/>
  <c r="E160" i="69"/>
  <c r="E121" i="69"/>
  <c r="E122" i="69" s="1"/>
  <c r="F143" i="69"/>
  <c r="F144" i="69" s="1"/>
  <c r="E143" i="69"/>
  <c r="E144" i="69" s="1"/>
  <c r="G69" i="69"/>
  <c r="G85" i="69" s="1"/>
  <c r="G135" i="69" s="1"/>
  <c r="G72" i="69"/>
  <c r="G83" i="69" s="1"/>
  <c r="I166" i="65"/>
  <c r="E161" i="69"/>
  <c r="E6" i="70" s="1"/>
  <c r="F94" i="69"/>
  <c r="F95" i="69" s="1"/>
  <c r="F105" i="69"/>
  <c r="F98" i="69"/>
  <c r="F99" i="69" s="1"/>
  <c r="F102" i="69"/>
  <c r="F103" i="69" s="1"/>
  <c r="E164" i="69"/>
  <c r="E9" i="70" s="1"/>
  <c r="K132" i="65"/>
  <c r="K103" i="65"/>
  <c r="K135" i="65" s="1"/>
  <c r="D8" i="69"/>
  <c r="E172" i="69" l="1"/>
  <c r="E17" i="70" s="1"/>
  <c r="E76" i="70" s="1"/>
  <c r="E38" i="91" s="1"/>
  <c r="K130" i="65"/>
  <c r="E171" i="69"/>
  <c r="E16" i="70" s="1"/>
  <c r="E75" i="70" s="1"/>
  <c r="E84" i="70" s="1"/>
  <c r="E91" i="70" s="1"/>
  <c r="E98" i="70" s="1"/>
  <c r="E121" i="70" s="1"/>
  <c r="K20" i="65"/>
  <c r="J78" i="65"/>
  <c r="J142" i="65" s="1"/>
  <c r="J152" i="65"/>
  <c r="H91" i="69" s="1"/>
  <c r="J138" i="65"/>
  <c r="L125" i="65"/>
  <c r="L127" i="65"/>
  <c r="L97" i="65"/>
  <c r="L129" i="65" s="1"/>
  <c r="I86" i="65"/>
  <c r="I168" i="65" s="1"/>
  <c r="I169" i="65" s="1"/>
  <c r="E78" i="70"/>
  <c r="E87" i="70" s="1"/>
  <c r="E94" i="70" s="1"/>
  <c r="E101" i="70" s="1"/>
  <c r="E124" i="70" s="1"/>
  <c r="E173" i="69"/>
  <c r="E18" i="70" s="1"/>
  <c r="E77" i="70" s="1"/>
  <c r="E39" i="91" s="1"/>
  <c r="E154" i="69"/>
  <c r="E155" i="69" s="1"/>
  <c r="J148" i="65"/>
  <c r="H64" i="69" s="1"/>
  <c r="H68" i="69" s="1"/>
  <c r="K105" i="65"/>
  <c r="K137" i="65" s="1"/>
  <c r="K152" i="65" s="1"/>
  <c r="I91" i="69" s="1"/>
  <c r="G84" i="69"/>
  <c r="G113" i="69" s="1"/>
  <c r="G118" i="69" s="1"/>
  <c r="E166" i="69"/>
  <c r="E5" i="70"/>
  <c r="E132" i="69"/>
  <c r="E133" i="69" s="1"/>
  <c r="E169" i="69"/>
  <c r="F106" i="69"/>
  <c r="F124" i="69" s="1"/>
  <c r="D61" i="83"/>
  <c r="D5" i="84" s="1"/>
  <c r="D25" i="84" s="1"/>
  <c r="K22" i="65"/>
  <c r="K76" i="65" s="1"/>
  <c r="K158" i="65" s="1"/>
  <c r="K74" i="65"/>
  <c r="K156" i="65" s="1"/>
  <c r="G142" i="69"/>
  <c r="G140" i="69"/>
  <c r="G141" i="69"/>
  <c r="G138" i="69"/>
  <c r="G137" i="69"/>
  <c r="G139" i="69"/>
  <c r="E74" i="70"/>
  <c r="F121" i="69"/>
  <c r="F122" i="69" s="1"/>
  <c r="F160" i="69"/>
  <c r="D10" i="83"/>
  <c r="D11" i="83" s="1"/>
  <c r="F107" i="69"/>
  <c r="F146" i="69" s="1"/>
  <c r="I73" i="69"/>
  <c r="E47" i="94"/>
  <c r="D7" i="69"/>
  <c r="J30" i="65"/>
  <c r="J84" i="65" s="1"/>
  <c r="J81" i="65"/>
  <c r="J79" i="65" l="1"/>
  <c r="J160" i="65"/>
  <c r="J161" i="65" s="1"/>
  <c r="E37" i="91"/>
  <c r="L130" i="65"/>
  <c r="L102" i="65"/>
  <c r="L134" i="65" s="1"/>
  <c r="L153" i="65" s="1"/>
  <c r="J65" i="69" s="1"/>
  <c r="E85" i="70"/>
  <c r="E92" i="70" s="1"/>
  <c r="E99" i="70" s="1"/>
  <c r="E122" i="70" s="1"/>
  <c r="G119" i="69"/>
  <c r="G164" i="69" s="1"/>
  <c r="G9" i="70" s="1"/>
  <c r="L150" i="65"/>
  <c r="I145" i="65"/>
  <c r="G90" i="69" s="1"/>
  <c r="G98" i="69" s="1"/>
  <c r="G99" i="69" s="1"/>
  <c r="E86" i="70"/>
  <c r="E93" i="70" s="1"/>
  <c r="E100" i="70" s="1"/>
  <c r="E123" i="70" s="1"/>
  <c r="E40" i="91"/>
  <c r="H80" i="69"/>
  <c r="H81" i="69" s="1"/>
  <c r="I87" i="65"/>
  <c r="H76" i="69"/>
  <c r="H77" i="69" s="1"/>
  <c r="G117" i="69"/>
  <c r="G162" i="69" s="1"/>
  <c r="G7" i="70" s="1"/>
  <c r="G115" i="69"/>
  <c r="G160" i="69" s="1"/>
  <c r="G120" i="69"/>
  <c r="G165" i="69" s="1"/>
  <c r="G10" i="70" s="1"/>
  <c r="G116" i="69"/>
  <c r="G161" i="69" s="1"/>
  <c r="G6" i="70" s="1"/>
  <c r="G86" i="69"/>
  <c r="L100" i="65"/>
  <c r="L132" i="65" s="1"/>
  <c r="K24" i="65"/>
  <c r="K29" i="65" s="1"/>
  <c r="K83" i="65" s="1"/>
  <c r="K148" i="65" s="1"/>
  <c r="I64" i="69" s="1"/>
  <c r="J32" i="65"/>
  <c r="J86" i="65" s="1"/>
  <c r="J168" i="65" s="1"/>
  <c r="K138" i="65"/>
  <c r="G163" i="69"/>
  <c r="G8" i="70" s="1"/>
  <c r="F108" i="69"/>
  <c r="D28" i="84"/>
  <c r="D29" i="84"/>
  <c r="D35" i="84" s="1"/>
  <c r="D44" i="84" s="1"/>
  <c r="D45" i="84" s="1"/>
  <c r="D27" i="84"/>
  <c r="H69" i="69"/>
  <c r="F152" i="69"/>
  <c r="F149" i="69"/>
  <c r="F148" i="69"/>
  <c r="F153" i="69"/>
  <c r="F151" i="69"/>
  <c r="F150" i="69"/>
  <c r="J163" i="65"/>
  <c r="F5" i="70"/>
  <c r="F166" i="69"/>
  <c r="F128" i="69"/>
  <c r="F129" i="69"/>
  <c r="F127" i="69"/>
  <c r="F131" i="69"/>
  <c r="F130" i="69"/>
  <c r="F126" i="69"/>
  <c r="E14" i="70"/>
  <c r="E73" i="70" s="1"/>
  <c r="E175" i="69"/>
  <c r="G143" i="69"/>
  <c r="G144" i="69" s="1"/>
  <c r="E83" i="70"/>
  <c r="E90" i="70" s="1"/>
  <c r="E97" i="70" s="1"/>
  <c r="E120" i="70" s="1"/>
  <c r="E36" i="91"/>
  <c r="H72" i="69"/>
  <c r="H83" i="69" s="1"/>
  <c r="J166" i="65"/>
  <c r="D11" i="69"/>
  <c r="D12" i="69" s="1"/>
  <c r="D47" i="83"/>
  <c r="E167" i="69"/>
  <c r="E11" i="70"/>
  <c r="E12" i="70" s="1"/>
  <c r="K27" i="65" l="1"/>
  <c r="L103" i="65"/>
  <c r="L135" i="65" s="1"/>
  <c r="J73" i="69" s="1"/>
  <c r="H85" i="69"/>
  <c r="H135" i="69" s="1"/>
  <c r="H140" i="69" s="1"/>
  <c r="G102" i="69"/>
  <c r="G103" i="69" s="1"/>
  <c r="G105" i="69"/>
  <c r="G94" i="69"/>
  <c r="K165" i="65"/>
  <c r="K78" i="65"/>
  <c r="K79" i="65" s="1"/>
  <c r="G121" i="69"/>
  <c r="G122" i="69" s="1"/>
  <c r="L20" i="65"/>
  <c r="L22" i="65" s="1"/>
  <c r="L76" i="65" s="1"/>
  <c r="L158" i="65" s="1"/>
  <c r="F171" i="69"/>
  <c r="F16" i="70" s="1"/>
  <c r="F75" i="70" s="1"/>
  <c r="F37" i="91" s="1"/>
  <c r="F173" i="69"/>
  <c r="F18" i="70" s="1"/>
  <c r="F77" i="70" s="1"/>
  <c r="F39" i="91" s="1"/>
  <c r="H84" i="69"/>
  <c r="H113" i="69" s="1"/>
  <c r="H120" i="69" s="1"/>
  <c r="E82" i="70"/>
  <c r="E89" i="70" s="1"/>
  <c r="E96" i="70" s="1"/>
  <c r="E104" i="70" s="1"/>
  <c r="E105" i="70" s="1"/>
  <c r="E125" i="70" s="1"/>
  <c r="E79" i="70"/>
  <c r="E41" i="91" s="1"/>
  <c r="E35" i="91"/>
  <c r="I76" i="69"/>
  <c r="I77" i="69" s="1"/>
  <c r="I68" i="69"/>
  <c r="I80" i="69"/>
  <c r="I81" i="69" s="1"/>
  <c r="F167" i="69"/>
  <c r="F11" i="70"/>
  <c r="F12" i="70" s="1"/>
  <c r="J169" i="65"/>
  <c r="D30" i="84"/>
  <c r="D33" i="84"/>
  <c r="D68" i="84" s="1"/>
  <c r="D67" i="84"/>
  <c r="F132" i="69"/>
  <c r="F133" i="69" s="1"/>
  <c r="F169" i="69"/>
  <c r="D46" i="84"/>
  <c r="D95" i="84" s="1"/>
  <c r="D110" i="84" s="1"/>
  <c r="D47" i="84"/>
  <c r="K30" i="65"/>
  <c r="K84" i="65" s="1"/>
  <c r="K81" i="65"/>
  <c r="F154" i="69"/>
  <c r="F155" i="69" s="1"/>
  <c r="F174" i="69"/>
  <c r="F19" i="70" s="1"/>
  <c r="F78" i="70" s="1"/>
  <c r="F170" i="69"/>
  <c r="F15" i="70" s="1"/>
  <c r="F74" i="70" s="1"/>
  <c r="J145" i="65"/>
  <c r="H90" i="69" s="1"/>
  <c r="D34" i="84"/>
  <c r="D55" i="84"/>
  <c r="D56" i="84" s="1"/>
  <c r="G166" i="69"/>
  <c r="G5" i="70"/>
  <c r="E20" i="70"/>
  <c r="E21" i="70" s="1"/>
  <c r="E176" i="69"/>
  <c r="F172" i="69"/>
  <c r="F17" i="70" s="1"/>
  <c r="F76" i="70" s="1"/>
  <c r="J87" i="65"/>
  <c r="F84" i="70" l="1"/>
  <c r="F91" i="70" s="1"/>
  <c r="F98" i="70" s="1"/>
  <c r="F121" i="70" s="1"/>
  <c r="H139" i="69"/>
  <c r="L105" i="65"/>
  <c r="L137" i="65" s="1"/>
  <c r="H137" i="69"/>
  <c r="H142" i="69"/>
  <c r="H138" i="69"/>
  <c r="H141" i="69"/>
  <c r="K142" i="65"/>
  <c r="K160" i="65"/>
  <c r="K161" i="65" s="1"/>
  <c r="H116" i="69"/>
  <c r="H161" i="69" s="1"/>
  <c r="H6" i="70" s="1"/>
  <c r="H86" i="69"/>
  <c r="H117" i="69"/>
  <c r="G95" i="69"/>
  <c r="G107" i="69" s="1"/>
  <c r="G146" i="69" s="1"/>
  <c r="G106" i="69"/>
  <c r="H115" i="69"/>
  <c r="H119" i="69"/>
  <c r="L74" i="65"/>
  <c r="F86" i="70"/>
  <c r="F93" i="70" s="1"/>
  <c r="F100" i="70" s="1"/>
  <c r="F123" i="70" s="1"/>
  <c r="H118" i="69"/>
  <c r="K32" i="65"/>
  <c r="K86" i="65" s="1"/>
  <c r="K168" i="65" s="1"/>
  <c r="L24" i="65"/>
  <c r="D36" i="84"/>
  <c r="D37" i="84" s="1"/>
  <c r="D31" i="84"/>
  <c r="F40" i="91"/>
  <c r="F87" i="70"/>
  <c r="F94" i="70" s="1"/>
  <c r="F101" i="70" s="1"/>
  <c r="F124" i="70" s="1"/>
  <c r="D57" i="84"/>
  <c r="D94" i="84" s="1"/>
  <c r="D109" i="84" s="1"/>
  <c r="D58" i="84"/>
  <c r="G167" i="69"/>
  <c r="G11" i="70"/>
  <c r="G12" i="70" s="1"/>
  <c r="K163" i="65"/>
  <c r="I69" i="69"/>
  <c r="I85" i="69" s="1"/>
  <c r="I135" i="69" s="1"/>
  <c r="E80" i="70"/>
  <c r="H94" i="69"/>
  <c r="H95" i="69" s="1"/>
  <c r="H105" i="69"/>
  <c r="H98" i="69"/>
  <c r="H99" i="69" s="1"/>
  <c r="H102" i="69"/>
  <c r="H103" i="69" s="1"/>
  <c r="F38" i="91"/>
  <c r="F85" i="70"/>
  <c r="F92" i="70" s="1"/>
  <c r="F99" i="70" s="1"/>
  <c r="F122" i="70" s="1"/>
  <c r="F83" i="70"/>
  <c r="F90" i="70" s="1"/>
  <c r="F97" i="70" s="1"/>
  <c r="F120" i="70" s="1"/>
  <c r="F36" i="91"/>
  <c r="I72" i="69"/>
  <c r="I83" i="69" s="1"/>
  <c r="K166" i="65"/>
  <c r="F14" i="70"/>
  <c r="F73" i="70" s="1"/>
  <c r="F175" i="69"/>
  <c r="H165" i="69"/>
  <c r="H10" i="70" s="1"/>
  <c r="E44" i="91"/>
  <c r="E42" i="91"/>
  <c r="L156" i="65"/>
  <c r="D71" i="84"/>
  <c r="D70" i="84"/>
  <c r="H160" i="69" l="1"/>
  <c r="H162" i="69"/>
  <c r="H7" i="70" s="1"/>
  <c r="L152" i="65"/>
  <c r="J91" i="69" s="1"/>
  <c r="L138" i="65"/>
  <c r="H143" i="69"/>
  <c r="H144" i="69" s="1"/>
  <c r="H164" i="69"/>
  <c r="H9" i="70" s="1"/>
  <c r="L27" i="65"/>
  <c r="H121" i="69"/>
  <c r="H122" i="69" s="1"/>
  <c r="G148" i="69"/>
  <c r="G150" i="69"/>
  <c r="G151" i="69"/>
  <c r="G152" i="69"/>
  <c r="G149" i="69"/>
  <c r="G153" i="69"/>
  <c r="G124" i="69"/>
  <c r="G108" i="69"/>
  <c r="H163" i="69"/>
  <c r="H8" i="70" s="1"/>
  <c r="D76" i="84" a="1"/>
  <c r="D76" i="84" s="1"/>
  <c r="D78" i="84" s="1"/>
  <c r="D84" i="84" s="1"/>
  <c r="D93" i="84" s="1"/>
  <c r="D108" i="84" s="1"/>
  <c r="I84" i="69"/>
  <c r="I113" i="69" s="1"/>
  <c r="I119" i="69" s="1"/>
  <c r="H107" i="69"/>
  <c r="H146" i="69" s="1"/>
  <c r="H151" i="69" s="1"/>
  <c r="K87" i="65"/>
  <c r="K169" i="65"/>
  <c r="F176" i="69"/>
  <c r="F20" i="70"/>
  <c r="F21" i="70" s="1"/>
  <c r="F82" i="70"/>
  <c r="F89" i="70" s="1"/>
  <c r="F96" i="70" s="1"/>
  <c r="F79" i="70"/>
  <c r="F41" i="91" s="1"/>
  <c r="F35" i="91"/>
  <c r="H106" i="69"/>
  <c r="H124" i="69" s="1"/>
  <c r="L30" i="65"/>
  <c r="L84" i="65" s="1"/>
  <c r="L81" i="65"/>
  <c r="H5" i="70"/>
  <c r="L78" i="65"/>
  <c r="L29" i="65"/>
  <c r="L83" i="65" s="1"/>
  <c r="I139" i="69"/>
  <c r="I142" i="69"/>
  <c r="I138" i="69"/>
  <c r="I141" i="69"/>
  <c r="I140" i="69"/>
  <c r="I137" i="69"/>
  <c r="K145" i="65"/>
  <c r="I90" i="69" s="1"/>
  <c r="I116" i="69" l="1"/>
  <c r="I161" i="69" s="1"/>
  <c r="I6" i="70" s="1"/>
  <c r="H166" i="69"/>
  <c r="H167" i="69" s="1"/>
  <c r="I86" i="69"/>
  <c r="I120" i="69"/>
  <c r="I165" i="69" s="1"/>
  <c r="I10" i="70" s="1"/>
  <c r="I118" i="69"/>
  <c r="I163" i="69" s="1"/>
  <c r="I8" i="70" s="1"/>
  <c r="I115" i="69"/>
  <c r="I160" i="69" s="1"/>
  <c r="G129" i="69"/>
  <c r="G172" i="69" s="1"/>
  <c r="G17" i="70" s="1"/>
  <c r="G76" i="70" s="1"/>
  <c r="G130" i="69"/>
  <c r="G173" i="69" s="1"/>
  <c r="G18" i="70" s="1"/>
  <c r="G77" i="70" s="1"/>
  <c r="G127" i="69"/>
  <c r="G170" i="69" s="1"/>
  <c r="G15" i="70" s="1"/>
  <c r="G74" i="70" s="1"/>
  <c r="G131" i="69"/>
  <c r="G128" i="69"/>
  <c r="G171" i="69" s="1"/>
  <c r="G16" i="70" s="1"/>
  <c r="G75" i="70" s="1"/>
  <c r="G126" i="69"/>
  <c r="G169" i="69" s="1"/>
  <c r="G154" i="69"/>
  <c r="G155" i="69" s="1"/>
  <c r="I117" i="69"/>
  <c r="I162" i="69" s="1"/>
  <c r="I7" i="70" s="1"/>
  <c r="H152" i="69"/>
  <c r="H148" i="69"/>
  <c r="H150" i="69"/>
  <c r="D79" i="84"/>
  <c r="D85" i="84" s="1"/>
  <c r="D92" i="84" s="1"/>
  <c r="D107" i="84" s="1"/>
  <c r="H153" i="69"/>
  <c r="H149" i="69"/>
  <c r="H108" i="69"/>
  <c r="H11" i="70"/>
  <c r="H12" i="70" s="1"/>
  <c r="J72" i="69"/>
  <c r="L166" i="65"/>
  <c r="H128" i="69"/>
  <c r="H129" i="69"/>
  <c r="H172" i="69" s="1"/>
  <c r="H17" i="70" s="1"/>
  <c r="H76" i="70" s="1"/>
  <c r="H130" i="69"/>
  <c r="H127" i="69"/>
  <c r="H131" i="69"/>
  <c r="H126" i="69"/>
  <c r="I94" i="69"/>
  <c r="I95" i="69" s="1"/>
  <c r="I105" i="69"/>
  <c r="I102" i="69"/>
  <c r="I103" i="69" s="1"/>
  <c r="I98" i="69"/>
  <c r="I99" i="69" s="1"/>
  <c r="F80" i="70"/>
  <c r="L148" i="65"/>
  <c r="J64" i="69" s="1"/>
  <c r="L165" i="65"/>
  <c r="I164" i="69"/>
  <c r="I9" i="70" s="1"/>
  <c r="L79" i="65"/>
  <c r="L160" i="65"/>
  <c r="L161" i="65" s="1"/>
  <c r="L142" i="65"/>
  <c r="L163" i="65"/>
  <c r="F42" i="91"/>
  <c r="F44" i="91"/>
  <c r="I143" i="69"/>
  <c r="I144" i="69" s="1"/>
  <c r="L32" i="65"/>
  <c r="L86" i="65" s="1"/>
  <c r="L168" i="65" s="1"/>
  <c r="F9" i="91"/>
  <c r="F104" i="70"/>
  <c r="F105" i="70" s="1"/>
  <c r="F125" i="70" s="1"/>
  <c r="H174" i="69" l="1"/>
  <c r="H19" i="70" s="1"/>
  <c r="H78" i="70" s="1"/>
  <c r="H40" i="91" s="1"/>
  <c r="I121" i="69"/>
  <c r="I122" i="69" s="1"/>
  <c r="H173" i="69"/>
  <c r="H18" i="70" s="1"/>
  <c r="H77" i="70" s="1"/>
  <c r="H39" i="91" s="1"/>
  <c r="G83" i="70"/>
  <c r="G90" i="70" s="1"/>
  <c r="G97" i="70" s="1"/>
  <c r="G120" i="70" s="1"/>
  <c r="G36" i="91"/>
  <c r="G39" i="91"/>
  <c r="G86" i="70"/>
  <c r="G93" i="70" s="1"/>
  <c r="G100" i="70" s="1"/>
  <c r="G123" i="70" s="1"/>
  <c r="G37" i="91"/>
  <c r="G84" i="70"/>
  <c r="G91" i="70" s="1"/>
  <c r="G98" i="70" s="1"/>
  <c r="G121" i="70" s="1"/>
  <c r="G14" i="70"/>
  <c r="G73" i="70" s="1"/>
  <c r="G85" i="70"/>
  <c r="G92" i="70" s="1"/>
  <c r="G99" i="70" s="1"/>
  <c r="G122" i="70" s="1"/>
  <c r="G38" i="91"/>
  <c r="G132" i="69"/>
  <c r="G133" i="69" s="1"/>
  <c r="G174" i="69"/>
  <c r="G19" i="70" s="1"/>
  <c r="G78" i="70" s="1"/>
  <c r="H170" i="69"/>
  <c r="H15" i="70" s="1"/>
  <c r="H74" i="70" s="1"/>
  <c r="H83" i="70" s="1"/>
  <c r="H90" i="70" s="1"/>
  <c r="H97" i="70" s="1"/>
  <c r="H120" i="70" s="1"/>
  <c r="H171" i="69"/>
  <c r="H16" i="70" s="1"/>
  <c r="H75" i="70" s="1"/>
  <c r="H37" i="91" s="1"/>
  <c r="H154" i="69"/>
  <c r="H155" i="69" s="1"/>
  <c r="L145" i="65"/>
  <c r="J90" i="69" s="1"/>
  <c r="H86" i="70"/>
  <c r="H93" i="70" s="1"/>
  <c r="H100" i="70" s="1"/>
  <c r="H123" i="70" s="1"/>
  <c r="H85" i="70"/>
  <c r="H92" i="70" s="1"/>
  <c r="H99" i="70" s="1"/>
  <c r="H122" i="70" s="1"/>
  <c r="H38" i="91"/>
  <c r="L169" i="65"/>
  <c r="J76" i="69"/>
  <c r="J77" i="69" s="1"/>
  <c r="J68" i="69"/>
  <c r="J83" i="69"/>
  <c r="J80" i="69"/>
  <c r="J81" i="69" s="1"/>
  <c r="I166" i="69"/>
  <c r="I5" i="70"/>
  <c r="I107" i="69"/>
  <c r="I146" i="69" s="1"/>
  <c r="I106" i="69"/>
  <c r="I124" i="69" s="1"/>
  <c r="H169" i="69"/>
  <c r="H132" i="69"/>
  <c r="H133" i="69" s="1"/>
  <c r="L87" i="65"/>
  <c r="H87" i="70" l="1"/>
  <c r="H94" i="70" s="1"/>
  <c r="H101" i="70" s="1"/>
  <c r="H124" i="70" s="1"/>
  <c r="H36" i="91"/>
  <c r="G175" i="69"/>
  <c r="G40" i="91"/>
  <c r="G87" i="70"/>
  <c r="G94" i="70" s="1"/>
  <c r="G101" i="70" s="1"/>
  <c r="G124" i="70" s="1"/>
  <c r="G82" i="70"/>
  <c r="G89" i="70" s="1"/>
  <c r="G96" i="70" s="1"/>
  <c r="G35" i="91"/>
  <c r="G79" i="70"/>
  <c r="G41" i="91" s="1"/>
  <c r="H84" i="70"/>
  <c r="H91" i="70" s="1"/>
  <c r="H98" i="70" s="1"/>
  <c r="H121" i="70" s="1"/>
  <c r="I11" i="70"/>
  <c r="I12" i="70" s="1"/>
  <c r="I167" i="69"/>
  <c r="H14" i="70"/>
  <c r="H73" i="70" s="1"/>
  <c r="H175" i="69"/>
  <c r="J84" i="69"/>
  <c r="J113" i="69" s="1"/>
  <c r="J69" i="69"/>
  <c r="J85" i="69" s="1"/>
  <c r="J135" i="69" s="1"/>
  <c r="I130" i="69"/>
  <c r="I128" i="69"/>
  <c r="I127" i="69"/>
  <c r="I131" i="69"/>
  <c r="I129" i="69"/>
  <c r="I126" i="69"/>
  <c r="I153" i="69"/>
  <c r="I151" i="69"/>
  <c r="I152" i="69"/>
  <c r="I149" i="69"/>
  <c r="I150" i="69"/>
  <c r="I148" i="69"/>
  <c r="I108" i="69"/>
  <c r="J94" i="69"/>
  <c r="J95" i="69" s="1"/>
  <c r="J105" i="69"/>
  <c r="J98" i="69"/>
  <c r="J99" i="69" s="1"/>
  <c r="J102" i="69"/>
  <c r="J103" i="69" s="1"/>
  <c r="G9" i="91" l="1"/>
  <c r="G104" i="70"/>
  <c r="G105" i="70" s="1"/>
  <c r="G125" i="70" s="1"/>
  <c r="G44" i="91"/>
  <c r="G42" i="91"/>
  <c r="G20" i="70"/>
  <c r="G176" i="69"/>
  <c r="J106" i="69"/>
  <c r="J124" i="69" s="1"/>
  <c r="J130" i="69" s="1"/>
  <c r="I170" i="69"/>
  <c r="I15" i="70" s="1"/>
  <c r="I74" i="70" s="1"/>
  <c r="I83" i="70" s="1"/>
  <c r="I90" i="70" s="1"/>
  <c r="I97" i="70" s="1"/>
  <c r="I120" i="70" s="1"/>
  <c r="J142" i="69"/>
  <c r="J140" i="69"/>
  <c r="J138" i="69"/>
  <c r="J137" i="69"/>
  <c r="J141" i="69"/>
  <c r="J139" i="69"/>
  <c r="I132" i="69"/>
  <c r="I133" i="69" s="1"/>
  <c r="I169" i="69"/>
  <c r="I172" i="69"/>
  <c r="I17" i="70" s="1"/>
  <c r="I76" i="70" s="1"/>
  <c r="I174" i="69"/>
  <c r="I19" i="70" s="1"/>
  <c r="I78" i="70" s="1"/>
  <c r="H79" i="70"/>
  <c r="H41" i="91" s="1"/>
  <c r="H82" i="70"/>
  <c r="H89" i="70" s="1"/>
  <c r="H96" i="70" s="1"/>
  <c r="H35" i="91"/>
  <c r="J86" i="69"/>
  <c r="I154" i="69"/>
  <c r="I155" i="69" s="1"/>
  <c r="I173" i="69"/>
  <c r="I18" i="70" s="1"/>
  <c r="I77" i="70" s="1"/>
  <c r="J119" i="69"/>
  <c r="J117" i="69"/>
  <c r="J116" i="69"/>
  <c r="J120" i="69"/>
  <c r="J118" i="69"/>
  <c r="J115" i="69"/>
  <c r="H20" i="70"/>
  <c r="H21" i="70" s="1"/>
  <c r="H176" i="69"/>
  <c r="J107" i="69"/>
  <c r="J146" i="69" s="1"/>
  <c r="I171" i="69"/>
  <c r="I16" i="70" s="1"/>
  <c r="I75" i="70" s="1"/>
  <c r="J127" i="69" l="1"/>
  <c r="J131" i="69"/>
  <c r="J129" i="69"/>
  <c r="J128" i="69"/>
  <c r="J161" i="69"/>
  <c r="J6" i="70" s="1"/>
  <c r="J126" i="69"/>
  <c r="I36" i="91"/>
  <c r="G21" i="70"/>
  <c r="G80" i="70"/>
  <c r="J165" i="69"/>
  <c r="J10" i="70" s="1"/>
  <c r="J163" i="69"/>
  <c r="J8" i="70" s="1"/>
  <c r="H80" i="70"/>
  <c r="I14" i="70"/>
  <c r="I73" i="70" s="1"/>
  <c r="I175" i="69"/>
  <c r="H42" i="91"/>
  <c r="H44" i="91"/>
  <c r="J121" i="69"/>
  <c r="J122" i="69" s="1"/>
  <c r="J160" i="69"/>
  <c r="J162" i="69"/>
  <c r="J7" i="70" s="1"/>
  <c r="J151" i="69"/>
  <c r="J172" i="69" s="1"/>
  <c r="J17" i="70" s="1"/>
  <c r="J149" i="69"/>
  <c r="J170" i="69" s="1"/>
  <c r="J15" i="70" s="1"/>
  <c r="J74" i="70" s="1"/>
  <c r="J153" i="69"/>
  <c r="J174" i="69" s="1"/>
  <c r="J19" i="70" s="1"/>
  <c r="J78" i="70" s="1"/>
  <c r="J148" i="69"/>
  <c r="J152" i="69"/>
  <c r="J173" i="69" s="1"/>
  <c r="J18" i="70" s="1"/>
  <c r="J150" i="69"/>
  <c r="J108" i="69"/>
  <c r="H9" i="91"/>
  <c r="H104" i="70"/>
  <c r="H105" i="70" s="1"/>
  <c r="H125" i="70" s="1"/>
  <c r="I84" i="70"/>
  <c r="I91" i="70" s="1"/>
  <c r="I98" i="70" s="1"/>
  <c r="I121" i="70" s="1"/>
  <c r="I37" i="91"/>
  <c r="J143" i="69"/>
  <c r="J144" i="69" s="1"/>
  <c r="J164" i="69"/>
  <c r="J9" i="70" s="1"/>
  <c r="I40" i="91"/>
  <c r="I87" i="70"/>
  <c r="I94" i="70" s="1"/>
  <c r="I101" i="70" s="1"/>
  <c r="I124" i="70" s="1"/>
  <c r="I39" i="91"/>
  <c r="I86" i="70"/>
  <c r="I93" i="70" s="1"/>
  <c r="I100" i="70" s="1"/>
  <c r="I123" i="70" s="1"/>
  <c r="I38" i="91"/>
  <c r="I85" i="70"/>
  <c r="I92" i="70" s="1"/>
  <c r="I99" i="70" s="1"/>
  <c r="I122" i="70" s="1"/>
  <c r="J169" i="69" l="1"/>
  <c r="J171" i="69"/>
  <c r="J16" i="70" s="1"/>
  <c r="J75" i="70" s="1"/>
  <c r="J37" i="91" s="1"/>
  <c r="J132" i="69"/>
  <c r="J133" i="69" s="1"/>
  <c r="J76" i="70"/>
  <c r="J38" i="91" s="1"/>
  <c r="J83" i="70"/>
  <c r="J90" i="70" s="1"/>
  <c r="J97" i="70" s="1"/>
  <c r="J120" i="70" s="1"/>
  <c r="J131" i="70" s="1"/>
  <c r="K131" i="70" s="1"/>
  <c r="M131" i="70" s="1"/>
  <c r="J36" i="91"/>
  <c r="J40" i="91"/>
  <c r="J87" i="70"/>
  <c r="J94" i="70" s="1"/>
  <c r="J101" i="70" s="1"/>
  <c r="J124" i="70" s="1"/>
  <c r="J135" i="70" s="1"/>
  <c r="K135" i="70" s="1"/>
  <c r="M135" i="70" s="1"/>
  <c r="J77" i="70"/>
  <c r="J5" i="70"/>
  <c r="J166" i="69"/>
  <c r="J14" i="70"/>
  <c r="J175" i="69"/>
  <c r="I176" i="69"/>
  <c r="I20" i="70"/>
  <c r="I21" i="70" s="1"/>
  <c r="J154" i="69"/>
  <c r="J155" i="69" s="1"/>
  <c r="I35" i="91"/>
  <c r="I82" i="70"/>
  <c r="I89" i="70" s="1"/>
  <c r="I96" i="70" s="1"/>
  <c r="I79" i="70"/>
  <c r="I41" i="91" s="1"/>
  <c r="J73" i="70" l="1"/>
  <c r="J35" i="91" s="1"/>
  <c r="J84" i="70"/>
  <c r="J91" i="70" s="1"/>
  <c r="J98" i="70" s="1"/>
  <c r="J121" i="70" s="1"/>
  <c r="J132" i="70" s="1"/>
  <c r="K132" i="70" s="1"/>
  <c r="M132" i="70" s="1"/>
  <c r="K7" i="91" s="1"/>
  <c r="J85" i="70"/>
  <c r="J92" i="70" s="1"/>
  <c r="J99" i="70" s="1"/>
  <c r="J122" i="70" s="1"/>
  <c r="J133" i="70" s="1"/>
  <c r="K133" i="70" s="1"/>
  <c r="M133" i="70" s="1"/>
  <c r="K8" i="91" s="1"/>
  <c r="K14" i="91"/>
  <c r="F144" i="70"/>
  <c r="J20" i="70"/>
  <c r="J21" i="70" s="1"/>
  <c r="J176" i="69"/>
  <c r="I9" i="91"/>
  <c r="I104" i="70"/>
  <c r="I105" i="70" s="1"/>
  <c r="I125" i="70" s="1"/>
  <c r="J11" i="70"/>
  <c r="J12" i="70" s="1"/>
  <c r="J167" i="69"/>
  <c r="I44" i="91"/>
  <c r="I42" i="91"/>
  <c r="J82" i="70"/>
  <c r="J89" i="70" s="1"/>
  <c r="J96" i="70" s="1"/>
  <c r="I80" i="70"/>
  <c r="J86" i="70"/>
  <c r="J93" i="70" s="1"/>
  <c r="J100" i="70" s="1"/>
  <c r="J123" i="70" s="1"/>
  <c r="J134" i="70" s="1"/>
  <c r="K134" i="70" s="1"/>
  <c r="M134" i="70" s="1"/>
  <c r="J39" i="91"/>
  <c r="K6" i="91"/>
  <c r="F140" i="70"/>
  <c r="J79" i="70" l="1"/>
  <c r="J41" i="91" s="1"/>
  <c r="J42" i="91" s="1"/>
  <c r="F141" i="70"/>
  <c r="G141" i="70" s="1"/>
  <c r="F142" i="70"/>
  <c r="G142" i="70" s="1"/>
  <c r="J104" i="70"/>
  <c r="J105" i="70" s="1"/>
  <c r="J125" i="70" s="1"/>
  <c r="J136" i="70" s="1"/>
  <c r="K136" i="70" s="1"/>
  <c r="M136" i="70" s="1"/>
  <c r="J9" i="91"/>
  <c r="F6" i="91"/>
  <c r="G140" i="70"/>
  <c r="K13" i="91"/>
  <c r="F143" i="70"/>
  <c r="J80" i="70"/>
  <c r="F14" i="91"/>
  <c r="G144" i="70"/>
  <c r="J44" i="91" l="1"/>
  <c r="F8" i="91"/>
  <c r="F7" i="91"/>
  <c r="G143" i="70"/>
  <c r="F13" i="91"/>
  <c r="G14" i="91"/>
  <c r="H144" i="70"/>
  <c r="H140" i="70"/>
  <c r="G6" i="91"/>
  <c r="H142" i="70"/>
  <c r="G8" i="91"/>
  <c r="K10" i="91"/>
  <c r="F145" i="70"/>
  <c r="G7" i="91"/>
  <c r="H141" i="70"/>
  <c r="F10" i="91" l="1"/>
  <c r="G145" i="70"/>
  <c r="H6" i="91"/>
  <c r="I140" i="70"/>
  <c r="I142" i="70"/>
  <c r="H8" i="91"/>
  <c r="I141" i="70"/>
  <c r="H7" i="91"/>
  <c r="H14" i="91"/>
  <c r="I144" i="70"/>
  <c r="G13" i="91"/>
  <c r="H143" i="70"/>
  <c r="I14" i="91" l="1"/>
  <c r="J144" i="70"/>
  <c r="I8" i="91"/>
  <c r="J142" i="70"/>
  <c r="J140" i="70"/>
  <c r="I6" i="91"/>
  <c r="H145" i="70"/>
  <c r="G10" i="91"/>
  <c r="H13" i="91"/>
  <c r="I143" i="70"/>
  <c r="J141" i="70"/>
  <c r="I7" i="91"/>
  <c r="J7" i="91" l="1"/>
  <c r="M141" i="70"/>
  <c r="M142" i="70"/>
  <c r="J8" i="91"/>
  <c r="H10" i="91"/>
  <c r="I145" i="70"/>
  <c r="M140" i="70"/>
  <c r="J6" i="91"/>
  <c r="J143" i="70"/>
  <c r="I13" i="91"/>
  <c r="M144" i="70"/>
  <c r="J14" i="91"/>
  <c r="I10" i="91" l="1"/>
  <c r="J145" i="70"/>
  <c r="J13" i="91"/>
  <c r="M143" i="70"/>
  <c r="M145" i="70" l="1"/>
  <c r="J10" i="91"/>
  <c r="F55" i="82" l="1"/>
  <c r="F240" i="82" s="1"/>
  <c r="F42" i="82"/>
  <c r="F198" i="82" s="1"/>
  <c r="F29" i="82"/>
  <c r="F156" i="82" s="1"/>
  <c r="G156" i="82" l="1"/>
  <c r="F181" i="82"/>
  <c r="F157" i="82"/>
  <c r="G198" i="82"/>
  <c r="F223" i="82"/>
  <c r="F199" i="82"/>
  <c r="G240" i="82"/>
  <c r="F265" i="82"/>
  <c r="F241" i="82"/>
  <c r="G265" i="82" l="1"/>
  <c r="H240" i="82"/>
  <c r="G153" i="82"/>
  <c r="F182" i="82"/>
  <c r="F183" i="82" s="1"/>
  <c r="G195" i="82"/>
  <c r="F224" i="82"/>
  <c r="F225" i="82" s="1"/>
  <c r="H198" i="82"/>
  <c r="G223" i="82"/>
  <c r="G237" i="82"/>
  <c r="F266" i="82"/>
  <c r="F267" i="82" s="1"/>
  <c r="H156" i="82"/>
  <c r="G181" i="82"/>
  <c r="H181" i="82" l="1"/>
  <c r="I156" i="82"/>
  <c r="G197" i="82"/>
  <c r="G222" i="82" s="1"/>
  <c r="G220" i="82"/>
  <c r="G155" i="82"/>
  <c r="G180" i="82" s="1"/>
  <c r="G178" i="82"/>
  <c r="G157" i="82"/>
  <c r="G239" i="82"/>
  <c r="G264" i="82" s="1"/>
  <c r="G262" i="82"/>
  <c r="I240" i="82"/>
  <c r="H265" i="82"/>
  <c r="I198" i="82"/>
  <c r="H223" i="82"/>
  <c r="F68" i="82"/>
  <c r="F16" i="82"/>
  <c r="F114" i="82" s="1"/>
  <c r="G241" i="82" l="1"/>
  <c r="G266" i="82" s="1"/>
  <c r="G267" i="82" s="1"/>
  <c r="G199" i="82"/>
  <c r="H195" i="82" s="1"/>
  <c r="F282" i="82"/>
  <c r="F310" i="82" s="1"/>
  <c r="F347" i="82" s="1"/>
  <c r="F356" i="82" s="1"/>
  <c r="F41" i="83" s="1"/>
  <c r="F46" i="83" s="1"/>
  <c r="F61" i="83" s="1"/>
  <c r="F5" i="84" s="1"/>
  <c r="F139" i="82"/>
  <c r="G114" i="82"/>
  <c r="F115" i="82"/>
  <c r="I223" i="82"/>
  <c r="J198" i="82"/>
  <c r="J223" i="82" s="1"/>
  <c r="G182" i="82"/>
  <c r="G183" i="82" s="1"/>
  <c r="H153" i="82"/>
  <c r="J240" i="82"/>
  <c r="J265" i="82" s="1"/>
  <c r="I265" i="82"/>
  <c r="I181" i="82"/>
  <c r="J156" i="82"/>
  <c r="J181" i="82" s="1"/>
  <c r="G224" i="82" l="1"/>
  <c r="G225" i="82" s="1"/>
  <c r="H237" i="82"/>
  <c r="H239" i="82" s="1"/>
  <c r="H264" i="82" s="1"/>
  <c r="H155" i="82"/>
  <c r="H180" i="82" s="1"/>
  <c r="H178" i="82"/>
  <c r="H114" i="82"/>
  <c r="G282" i="82"/>
  <c r="G310" i="82" s="1"/>
  <c r="G347" i="82" s="1"/>
  <c r="G356" i="82" s="1"/>
  <c r="G41" i="83" s="1"/>
  <c r="G139" i="82"/>
  <c r="F140" i="82"/>
  <c r="F141" i="82" s="1"/>
  <c r="G111" i="82"/>
  <c r="F283" i="82"/>
  <c r="H197" i="82"/>
  <c r="H222" i="82" s="1"/>
  <c r="H220" i="82"/>
  <c r="H262" i="82" l="1"/>
  <c r="H241" i="82"/>
  <c r="I237" i="82" s="1"/>
  <c r="H199" i="82"/>
  <c r="I195" i="82" s="1"/>
  <c r="H157" i="82"/>
  <c r="I153" i="82" s="1"/>
  <c r="H139" i="82"/>
  <c r="I114" i="82"/>
  <c r="H282" i="82"/>
  <c r="H310" i="82" s="1"/>
  <c r="H347" i="82" s="1"/>
  <c r="H356" i="82" s="1"/>
  <c r="H41" i="83" s="1"/>
  <c r="F311" i="82"/>
  <c r="F284" i="82"/>
  <c r="G136" i="82"/>
  <c r="G113" i="82"/>
  <c r="G279" i="82"/>
  <c r="G307" i="82" s="1"/>
  <c r="G344" i="82" s="1"/>
  <c r="H266" i="82"/>
  <c r="H267" i="82" s="1"/>
  <c r="H182" i="82" l="1"/>
  <c r="H183" i="82" s="1"/>
  <c r="H224" i="82"/>
  <c r="H225" i="82" s="1"/>
  <c r="G138" i="82"/>
  <c r="G281" i="82"/>
  <c r="G309" i="82" s="1"/>
  <c r="G346" i="82" s="1"/>
  <c r="G357" i="82" s="1"/>
  <c r="G42" i="83" s="1"/>
  <c r="G46" i="83" s="1"/>
  <c r="G61" i="83" s="1"/>
  <c r="G5" i="84" s="1"/>
  <c r="I178" i="82"/>
  <c r="I155" i="82"/>
  <c r="I180" i="82" s="1"/>
  <c r="I220" i="82"/>
  <c r="I197" i="82"/>
  <c r="I222" i="82" s="1"/>
  <c r="F348" i="82"/>
  <c r="F312" i="82"/>
  <c r="I239" i="82"/>
  <c r="I264" i="82" s="1"/>
  <c r="I262" i="82"/>
  <c r="J114" i="82"/>
  <c r="I282" i="82"/>
  <c r="I310" i="82" s="1"/>
  <c r="I347" i="82" s="1"/>
  <c r="I356" i="82" s="1"/>
  <c r="I41" i="83" s="1"/>
  <c r="I139" i="82"/>
  <c r="G115" i="82"/>
  <c r="I241" i="82" l="1"/>
  <c r="J237" i="82" s="1"/>
  <c r="I157" i="82"/>
  <c r="I182" i="82" s="1"/>
  <c r="I183" i="82" s="1"/>
  <c r="J282" i="82"/>
  <c r="J310" i="82" s="1"/>
  <c r="J347" i="82" s="1"/>
  <c r="J356" i="82" s="1"/>
  <c r="J41" i="83" s="1"/>
  <c r="J139" i="82"/>
  <c r="I266" i="82"/>
  <c r="I267" i="82" s="1"/>
  <c r="H111" i="82"/>
  <c r="G140" i="82"/>
  <c r="G141" i="82" s="1"/>
  <c r="G283" i="82"/>
  <c r="F351" i="82"/>
  <c r="F349" i="82"/>
  <c r="F355" i="82"/>
  <c r="F51" i="83" s="1"/>
  <c r="F56" i="83" s="1"/>
  <c r="F62" i="83" s="1"/>
  <c r="F6" i="84" s="1"/>
  <c r="F25" i="84" s="1"/>
  <c r="I199" i="82"/>
  <c r="J153" i="82" l="1"/>
  <c r="F28" i="84"/>
  <c r="F29" i="84"/>
  <c r="F35" i="84" s="1"/>
  <c r="F44" i="84" s="1"/>
  <c r="F45" i="84" s="1"/>
  <c r="F27" i="84"/>
  <c r="H113" i="82"/>
  <c r="H115" i="82" s="1"/>
  <c r="H136" i="82"/>
  <c r="H279" i="82"/>
  <c r="H307" i="82" s="1"/>
  <c r="H344" i="82" s="1"/>
  <c r="J155" i="82"/>
  <c r="J180" i="82" s="1"/>
  <c r="J178" i="82"/>
  <c r="J195" i="82"/>
  <c r="I224" i="82"/>
  <c r="I225" i="82" s="1"/>
  <c r="J239" i="82"/>
  <c r="J264" i="82" s="1"/>
  <c r="J262" i="82"/>
  <c r="G284" i="82"/>
  <c r="G311" i="82"/>
  <c r="J241" i="82" l="1"/>
  <c r="J266" i="82" s="1"/>
  <c r="J267" i="82" s="1"/>
  <c r="I111" i="82"/>
  <c r="H140" i="82"/>
  <c r="H283" i="82"/>
  <c r="H138" i="82"/>
  <c r="H281" i="82"/>
  <c r="H309" i="82" s="1"/>
  <c r="H346" i="82" s="1"/>
  <c r="H357" i="82" s="1"/>
  <c r="H42" i="83" s="1"/>
  <c r="H46" i="83" s="1"/>
  <c r="H61" i="83" s="1"/>
  <c r="H5" i="84" s="1"/>
  <c r="J197" i="82"/>
  <c r="J222" i="82" s="1"/>
  <c r="J220" i="82"/>
  <c r="F30" i="84"/>
  <c r="F67" i="84"/>
  <c r="F33" i="84"/>
  <c r="F68" i="84" s="1"/>
  <c r="F47" i="84"/>
  <c r="F46" i="84"/>
  <c r="F95" i="84" s="1"/>
  <c r="F110" i="84" s="1"/>
  <c r="G348" i="82"/>
  <c r="G312" i="82"/>
  <c r="J157" i="82"/>
  <c r="J182" i="82" s="1"/>
  <c r="J183" i="82" s="1"/>
  <c r="F34" i="84"/>
  <c r="F55" i="84"/>
  <c r="F56" i="84" s="1"/>
  <c r="G351" i="82" l="1"/>
  <c r="G349" i="82"/>
  <c r="G355" i="82"/>
  <c r="G51" i="83" s="1"/>
  <c r="G56" i="83" s="1"/>
  <c r="G62" i="83" s="1"/>
  <c r="G6" i="84" s="1"/>
  <c r="G25" i="84" s="1"/>
  <c r="F119" i="84"/>
  <c r="F125" i="84"/>
  <c r="F71" i="84"/>
  <c r="F70" i="84"/>
  <c r="F58" i="84"/>
  <c r="F57" i="84"/>
  <c r="F94" i="84" s="1"/>
  <c r="F109" i="84" s="1"/>
  <c r="F36" i="84"/>
  <c r="F37" i="84" s="1"/>
  <c r="F31" i="84"/>
  <c r="H141" i="82"/>
  <c r="H284" i="82"/>
  <c r="H311" i="82"/>
  <c r="J199" i="82"/>
  <c r="J224" i="82" s="1"/>
  <c r="J225" i="82" s="1"/>
  <c r="I113" i="82"/>
  <c r="I115" i="82" s="1"/>
  <c r="I136" i="82"/>
  <c r="I279" i="82"/>
  <c r="I307" i="82" s="1"/>
  <c r="I344" i="82" s="1"/>
  <c r="F76" i="84" l="1"/>
  <c r="F79" i="84" s="1"/>
  <c r="F85" i="84" s="1"/>
  <c r="F92" i="84" s="1"/>
  <c r="F107" i="84" s="1"/>
  <c r="F122" i="84" s="1"/>
  <c r="H348" i="82"/>
  <c r="H312" i="82"/>
  <c r="G28" i="84"/>
  <c r="G27" i="84"/>
  <c r="G29" i="84"/>
  <c r="G35" i="84" s="1"/>
  <c r="G44" i="84" s="1"/>
  <c r="G45" i="84" s="1"/>
  <c r="F20" i="91"/>
  <c r="J111" i="82"/>
  <c r="I140" i="82"/>
  <c r="I283" i="82"/>
  <c r="I138" i="82"/>
  <c r="I281" i="82"/>
  <c r="I309" i="82" s="1"/>
  <c r="I346" i="82" s="1"/>
  <c r="I357" i="82" s="1"/>
  <c r="I42" i="83" s="1"/>
  <c r="I46" i="83" s="1"/>
  <c r="I61" i="83" s="1"/>
  <c r="I5" i="84" s="1"/>
  <c r="F118" i="84"/>
  <c r="F124" i="84"/>
  <c r="F78" i="84" l="1"/>
  <c r="F84" i="84" s="1"/>
  <c r="F93" i="84" s="1"/>
  <c r="F108" i="84" s="1"/>
  <c r="F123" i="84" s="1"/>
  <c r="F116" i="84"/>
  <c r="G46" i="84"/>
  <c r="G95" i="84" s="1"/>
  <c r="G110" i="84" s="1"/>
  <c r="G47" i="84"/>
  <c r="J136" i="82"/>
  <c r="J113" i="82"/>
  <c r="J115" i="82" s="1"/>
  <c r="J279" i="82"/>
  <c r="J307" i="82" s="1"/>
  <c r="J344" i="82" s="1"/>
  <c r="I141" i="82"/>
  <c r="F17" i="91"/>
  <c r="I284" i="82"/>
  <c r="I311" i="82"/>
  <c r="G55" i="84"/>
  <c r="G56" i="84" s="1"/>
  <c r="G34" i="84"/>
  <c r="F19" i="91"/>
  <c r="G33" i="84"/>
  <c r="G68" i="84" s="1"/>
  <c r="G67" i="84"/>
  <c r="G30" i="84"/>
  <c r="H351" i="82"/>
  <c r="H349" i="82"/>
  <c r="H355" i="82"/>
  <c r="H51" i="83" s="1"/>
  <c r="H56" i="83" s="1"/>
  <c r="H62" i="83" s="1"/>
  <c r="H6" i="84" s="1"/>
  <c r="H25" i="84" s="1"/>
  <c r="F117" i="84" l="1"/>
  <c r="J140" i="82"/>
  <c r="J283" i="82"/>
  <c r="F18" i="91"/>
  <c r="J138" i="82"/>
  <c r="J281" i="82"/>
  <c r="J309" i="82" s="1"/>
  <c r="J346" i="82" s="1"/>
  <c r="J357" i="82" s="1"/>
  <c r="J42" i="83" s="1"/>
  <c r="J46" i="83" s="1"/>
  <c r="J61" i="83" s="1"/>
  <c r="J5" i="84" s="1"/>
  <c r="G31" i="84"/>
  <c r="G36" i="84"/>
  <c r="G37" i="84" s="1"/>
  <c r="I312" i="82"/>
  <c r="I348" i="82"/>
  <c r="G58" i="84"/>
  <c r="G57" i="84"/>
  <c r="G94" i="84" s="1"/>
  <c r="G109" i="84" s="1"/>
  <c r="G70" i="84"/>
  <c r="G71" i="84"/>
  <c r="H29" i="84"/>
  <c r="H35" i="84" s="1"/>
  <c r="H44" i="84" s="1"/>
  <c r="H45" i="84" s="1"/>
  <c r="H27" i="84"/>
  <c r="H28" i="84"/>
  <c r="F22" i="91" l="1"/>
  <c r="I351" i="82"/>
  <c r="I349" i="82"/>
  <c r="I355" i="82"/>
  <c r="I51" i="83" s="1"/>
  <c r="I56" i="83" s="1"/>
  <c r="I62" i="83" s="1"/>
  <c r="I6" i="84" s="1"/>
  <c r="I25" i="84" s="1"/>
  <c r="H34" i="84"/>
  <c r="H55" i="84"/>
  <c r="H56" i="84" s="1"/>
  <c r="H30" i="84"/>
  <c r="H67" i="84"/>
  <c r="H33" i="84"/>
  <c r="H68" i="84" s="1"/>
  <c r="H46" i="84"/>
  <c r="H95" i="84" s="1"/>
  <c r="H110" i="84" s="1"/>
  <c r="H47" i="84"/>
  <c r="J311" i="82"/>
  <c r="J284" i="82"/>
  <c r="G76" i="84"/>
  <c r="G78" i="84" s="1"/>
  <c r="G84" i="84" s="1"/>
  <c r="G93" i="84" s="1"/>
  <c r="G108" i="84" s="1"/>
  <c r="J141" i="82"/>
  <c r="J312" i="82" l="1"/>
  <c r="J348" i="82"/>
  <c r="H71" i="84"/>
  <c r="H70" i="84"/>
  <c r="H57" i="84"/>
  <c r="H94" i="84" s="1"/>
  <c r="H109" i="84" s="1"/>
  <c r="H58" i="84"/>
  <c r="I27" i="84"/>
  <c r="I28" i="84"/>
  <c r="I29" i="84"/>
  <c r="I35" i="84" s="1"/>
  <c r="I44" i="84" s="1"/>
  <c r="I45" i="84" s="1"/>
  <c r="G79" i="84"/>
  <c r="G85" i="84" s="1"/>
  <c r="G92" i="84" s="1"/>
  <c r="G107" i="84" s="1"/>
  <c r="H36" i="84"/>
  <c r="H37" i="84" s="1"/>
  <c r="H31" i="84"/>
  <c r="H76" i="84" l="1"/>
  <c r="H79" i="84" s="1"/>
  <c r="H85" i="84" s="1"/>
  <c r="H92" i="84" s="1"/>
  <c r="H107" i="84" s="1"/>
  <c r="I46" i="84"/>
  <c r="I95" i="84" s="1"/>
  <c r="I110" i="84" s="1"/>
  <c r="I47" i="84"/>
  <c r="I34" i="84"/>
  <c r="I55" i="84"/>
  <c r="I56" i="84" s="1"/>
  <c r="J351" i="82"/>
  <c r="J349" i="82"/>
  <c r="J355" i="82"/>
  <c r="J51" i="83" s="1"/>
  <c r="J56" i="83" s="1"/>
  <c r="J62" i="83" s="1"/>
  <c r="J6" i="84" s="1"/>
  <c r="J25" i="84" s="1"/>
  <c r="I67" i="84"/>
  <c r="I33" i="84"/>
  <c r="I68" i="84" s="1"/>
  <c r="I30" i="84"/>
  <c r="H78" i="84" l="1"/>
  <c r="H84" i="84" s="1"/>
  <c r="H93" i="84" s="1"/>
  <c r="H108" i="84" s="1"/>
  <c r="I58" i="84"/>
  <c r="I57" i="84"/>
  <c r="I94" i="84" s="1"/>
  <c r="I109" i="84" s="1"/>
  <c r="J28" i="84"/>
  <c r="J29" i="84"/>
  <c r="J35" i="84" s="1"/>
  <c r="J27" i="84"/>
  <c r="I31" i="84"/>
  <c r="I36" i="84"/>
  <c r="I37" i="84" s="1"/>
  <c r="I71" i="84"/>
  <c r="I70" i="84"/>
  <c r="J44" i="84" l="1"/>
  <c r="J45" i="84" s="1"/>
  <c r="J47" i="84" s="1"/>
  <c r="J33" i="84"/>
  <c r="J68" i="84" s="1"/>
  <c r="J30" i="84"/>
  <c r="J67" i="84"/>
  <c r="J34" i="84"/>
  <c r="J55" i="84"/>
  <c r="J56" i="84" s="1"/>
  <c r="I76" i="84"/>
  <c r="I78" i="84" s="1"/>
  <c r="I84" i="84" s="1"/>
  <c r="I93" i="84" s="1"/>
  <c r="I108" i="84" s="1"/>
  <c r="J46" i="84" l="1"/>
  <c r="J95" i="84" s="1"/>
  <c r="J110" i="84" s="1"/>
  <c r="J119" i="84" s="1"/>
  <c r="K119" i="84" s="1"/>
  <c r="M119" i="84" s="1"/>
  <c r="K20" i="91" s="1"/>
  <c r="J57" i="84"/>
  <c r="J94" i="84" s="1"/>
  <c r="J109" i="84" s="1"/>
  <c r="J118" i="84" s="1"/>
  <c r="K118" i="84" s="1"/>
  <c r="M118" i="84" s="1"/>
  <c r="J58" i="84"/>
  <c r="J31" i="84"/>
  <c r="J36" i="84"/>
  <c r="J37" i="84" s="1"/>
  <c r="J71" i="84"/>
  <c r="J70" i="84"/>
  <c r="I79" i="84"/>
  <c r="I85" i="84" s="1"/>
  <c r="I92" i="84" s="1"/>
  <c r="I107" i="84" s="1"/>
  <c r="J76" i="84" l="1"/>
  <c r="J78" i="84" s="1"/>
  <c r="J84" i="84" s="1"/>
  <c r="J93" i="84" s="1"/>
  <c r="J108" i="84" s="1"/>
  <c r="J117" i="84" s="1"/>
  <c r="K117" i="84" s="1"/>
  <c r="M117" i="84" s="1"/>
  <c r="G123" i="84" s="1"/>
  <c r="G125" i="84"/>
  <c r="H125" i="84" s="1"/>
  <c r="K19" i="91"/>
  <c r="G124" i="84"/>
  <c r="J79" i="84" l="1"/>
  <c r="J85" i="84" s="1"/>
  <c r="J92" i="84" s="1"/>
  <c r="J107" i="84" s="1"/>
  <c r="J116" i="84" s="1"/>
  <c r="K116" i="84" s="1"/>
  <c r="M116" i="84" s="1"/>
  <c r="K17" i="91" s="1"/>
  <c r="K18" i="91"/>
  <c r="G20" i="91"/>
  <c r="I125" i="84"/>
  <c r="H20" i="91"/>
  <c r="H123" i="84"/>
  <c r="G18" i="91"/>
  <c r="H124" i="84"/>
  <c r="G19" i="91"/>
  <c r="G122" i="84" l="1"/>
  <c r="G17" i="91" s="1"/>
  <c r="I123" i="84"/>
  <c r="H18" i="91"/>
  <c r="I124" i="84"/>
  <c r="H19" i="91"/>
  <c r="J125" i="84"/>
  <c r="M125" i="84" s="1"/>
  <c r="I20" i="91"/>
  <c r="H122" i="84" l="1"/>
  <c r="I122" i="84" s="1"/>
  <c r="G22" i="91"/>
  <c r="J20" i="91"/>
  <c r="H17" i="91"/>
  <c r="J124" i="84"/>
  <c r="M124" i="84" s="1"/>
  <c r="I19" i="91"/>
  <c r="I18" i="91"/>
  <c r="J123" i="84"/>
  <c r="M123" i="84" s="1"/>
  <c r="D14" i="69" l="1"/>
  <c r="E54" i="94"/>
  <c r="H22" i="91"/>
  <c r="J19" i="91"/>
  <c r="J18" i="91"/>
  <c r="J122" i="84"/>
  <c r="M122" i="84" s="1"/>
  <c r="I17" i="91"/>
  <c r="I22" i="91" l="1"/>
  <c r="D18" i="69"/>
  <c r="D19" i="69" s="1"/>
  <c r="J17" i="91"/>
  <c r="J22" i="9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<sst xmlns="http://schemas.openxmlformats.org/spreadsheetml/2006/main" count="963" uniqueCount="457">
  <si>
    <t>Sub-total</t>
  </si>
  <si>
    <t>Total</t>
  </si>
  <si>
    <t>WACC</t>
  </si>
  <si>
    <t>FAC</t>
  </si>
  <si>
    <t>NCA</t>
  </si>
  <si>
    <t>Total MCE</t>
  </si>
  <si>
    <t>HG/L</t>
  </si>
  <si>
    <t>Other CCA</t>
  </si>
  <si>
    <t>Lead-in duct</t>
  </si>
  <si>
    <t>Spine duct – single bore</t>
  </si>
  <si>
    <t>Spine duct – 2 bores</t>
  </si>
  <si>
    <t>Spine duct – 3+ bores</t>
  </si>
  <si>
    <t>Joint boxes</t>
  </si>
  <si>
    <t>Manholes</t>
  </si>
  <si>
    <t>Poles</t>
  </si>
  <si>
    <t>NRC</t>
  </si>
  <si>
    <t>Unit costs</t>
  </si>
  <si>
    <t>DP poles - pure</t>
  </si>
  <si>
    <t>DP poles - mixed</t>
  </si>
  <si>
    <t>Feeder poles - pure</t>
  </si>
  <si>
    <t>Feeder poles - mixed</t>
  </si>
  <si>
    <t>Cable poles</t>
  </si>
  <si>
    <t>Value</t>
  </si>
  <si>
    <t>Joint Boxes</t>
  </si>
  <si>
    <t>Date</t>
  </si>
  <si>
    <t>Other COWs</t>
  </si>
  <si>
    <t>Total CCA Costs</t>
  </si>
  <si>
    <t>GRC</t>
  </si>
  <si>
    <t>MCE</t>
  </si>
  <si>
    <t>Volumes</t>
  </si>
  <si>
    <t>Duct</t>
  </si>
  <si>
    <t>Network adjustment costs</t>
  </si>
  <si>
    <t>Single-premise</t>
  </si>
  <si>
    <t>Multi-premise</t>
  </si>
  <si>
    <t>After PIA attachments</t>
  </si>
  <si>
    <t>Unit</t>
  </si>
  <si>
    <t>2018/19</t>
  </si>
  <si>
    <t>2019/20</t>
  </si>
  <si>
    <t>2020/21</t>
  </si>
  <si>
    <t>Cost per home passed</t>
  </si>
  <si>
    <t>Units</t>
  </si>
  <si>
    <t>kms</t>
  </si>
  <si>
    <t>units</t>
  </si>
  <si>
    <t>metres</t>
  </si>
  <si>
    <t>Measure</t>
  </si>
  <si>
    <t>2021/22</t>
  </si>
  <si>
    <t>2022/23</t>
  </si>
  <si>
    <t>2023/24</t>
  </si>
  <si>
    <t>Check</t>
  </si>
  <si>
    <t>Cost per home passed - pole element</t>
  </si>
  <si>
    <t>Cost per home passed - duct element</t>
  </si>
  <si>
    <t>2025/26</t>
  </si>
  <si>
    <t>2024/25</t>
  </si>
  <si>
    <t>Comments</t>
  </si>
  <si>
    <t>Mean NRC</t>
  </si>
  <si>
    <t>Other Dep</t>
  </si>
  <si>
    <t>NRC (main COW)</t>
  </si>
  <si>
    <t>Pay &amp; non-pay costs</t>
  </si>
  <si>
    <t>Duct Opening NRC</t>
  </si>
  <si>
    <t>Net Asset registrations</t>
  </si>
  <si>
    <t>OCM depreciation</t>
  </si>
  <si>
    <t>Price movement</t>
  </si>
  <si>
    <t>Other CCA adjustments</t>
  </si>
  <si>
    <t>Opening GRC</t>
  </si>
  <si>
    <t>Write outs and Other adjs</t>
  </si>
  <si>
    <t>Closing GRC</t>
  </si>
  <si>
    <t>Closing NRC</t>
  </si>
  <si>
    <t>CCA - NRC</t>
  </si>
  <si>
    <t>Forecasting</t>
  </si>
  <si>
    <t>Forecasts</t>
  </si>
  <si>
    <t>Calculated asset life</t>
  </si>
  <si>
    <t>OBR CPI and RPI Forecasts</t>
  </si>
  <si>
    <t>OCM Dep</t>
  </si>
  <si>
    <t>Mean GRC</t>
  </si>
  <si>
    <t>Assume no disposals</t>
  </si>
  <si>
    <t>Assets - GRC</t>
  </si>
  <si>
    <t>Assets - NRC</t>
  </si>
  <si>
    <t>Netwk Adjusts</t>
  </si>
  <si>
    <t>Forecasts of LDD to 2025/26</t>
  </si>
  <si>
    <t>Duct and Chambers Cost Forecasts</t>
  </si>
  <si>
    <t>Outputs for Duct and Chambers Forecasting</t>
  </si>
  <si>
    <t>Assets post 31/3/2018</t>
  </si>
  <si>
    <t>Assets registered post 31/3/2018</t>
  </si>
  <si>
    <t>Total Pre 31/3/2018</t>
  </si>
  <si>
    <t>AICC</t>
  </si>
  <si>
    <t>Mean AICC</t>
  </si>
  <si>
    <t>Pre 97 Other</t>
  </si>
  <si>
    <t>Volume Growth</t>
  </si>
  <si>
    <t>LDD forecasts</t>
  </si>
  <si>
    <t>Final LDD forecasts</t>
  </si>
  <si>
    <t>Assets pre 31/3/2018</t>
  </si>
  <si>
    <t>Assume Zero</t>
  </si>
  <si>
    <t>D&amp;C Attribution Bases</t>
  </si>
  <si>
    <t>Totals</t>
  </si>
  <si>
    <t>Overrecovery Assumptions</t>
  </si>
  <si>
    <t>Current Charges</t>
  </si>
  <si>
    <t>Modelled Charges</t>
  </si>
  <si>
    <t>Homes passed forecasts</t>
  </si>
  <si>
    <t>Outputs for Forecasts</t>
  </si>
  <si>
    <t>Duct network adjustments - Additions</t>
  </si>
  <si>
    <t>Poles network adjustement - Additions</t>
  </si>
  <si>
    <t>All Assets</t>
  </si>
  <si>
    <t>exits</t>
  </si>
  <si>
    <t>Mid Year volume</t>
  </si>
  <si>
    <t>New Assets</t>
  </si>
  <si>
    <t>Life</t>
  </si>
  <si>
    <t>Opening NRC</t>
  </si>
  <si>
    <t>Forecast Unit Costs</t>
  </si>
  <si>
    <t>Cumulative index</t>
  </si>
  <si>
    <t>Indexation Assumptions</t>
  </si>
  <si>
    <t>Forecast Poles Costs</t>
  </si>
  <si>
    <t>Assume flat : mix of BDUK &amp; other assets</t>
  </si>
  <si>
    <t>All Assets inc Network Adjustments</t>
  </si>
  <si>
    <t>Attribute to</t>
  </si>
  <si>
    <t>Facility on pole for Multi-end-user attachment</t>
  </si>
  <si>
    <t>Facility on pole for Single-end-user attachment</t>
  </si>
  <si>
    <t>Pole top equipment</t>
  </si>
  <si>
    <t>Cable up a pole (per cable)</t>
  </si>
  <si>
    <t>Total DP Poles</t>
  </si>
  <si>
    <t>Manifolds Costs</t>
  </si>
  <si>
    <t>Single</t>
  </si>
  <si>
    <t>Multi</t>
  </si>
  <si>
    <t>Total Pure Poles</t>
  </si>
  <si>
    <t>Attachments/Pole</t>
  </si>
  <si>
    <t>All Pure Attachmnts</t>
  </si>
  <si>
    <t>PIA attachments /pole</t>
  </si>
  <si>
    <t>Cable multi attachmnts</t>
  </si>
  <si>
    <t>Total attachments</t>
  </si>
  <si>
    <t>Mixed poles attachement coefficient</t>
  </si>
  <si>
    <t>Total Attachments/pole</t>
  </si>
  <si>
    <t>OR Attachments/pole</t>
  </si>
  <si>
    <t>Type of Pole</t>
  </si>
  <si>
    <t>Forecasts of poles by type and total DP poles</t>
  </si>
  <si>
    <t>Add Network Adjustments</t>
  </si>
  <si>
    <t>Check on closing GRC</t>
  </si>
  <si>
    <t>Check on closing NRC</t>
  </si>
  <si>
    <t>Poles Cost Forecasts</t>
  </si>
  <si>
    <t>Index from 2021/22</t>
  </si>
  <si>
    <t>Published 01/05/2018</t>
  </si>
  <si>
    <t>Published 01/04/2019</t>
  </si>
  <si>
    <r>
      <rPr>
        <sz val="11"/>
        <color theme="1"/>
        <rFont val="Calibri"/>
        <family val="2"/>
      </rPr>
      <t xml:space="preserve">£ </t>
    </r>
    <r>
      <rPr>
        <sz val="11"/>
        <color theme="1"/>
        <rFont val="Calibri"/>
        <family val="2"/>
        <scheme val="minor"/>
      </rPr>
      <t>per pole</t>
    </r>
  </si>
  <si>
    <t>Facility on pole for Single end-user attachment</t>
  </si>
  <si>
    <t>Facility on pole for Multi-end user attachment</t>
  </si>
  <si>
    <r>
      <rPr>
        <sz val="11"/>
        <color theme="1"/>
        <rFont val="Calibri"/>
        <family val="2"/>
      </rPr>
      <t xml:space="preserve">£ </t>
    </r>
    <r>
      <rPr>
        <sz val="11"/>
        <color theme="1"/>
        <rFont val="Calibri"/>
        <family val="2"/>
        <scheme val="minor"/>
      </rPr>
      <t>per connection</t>
    </r>
  </si>
  <si>
    <t>Facility in Lead-in duct</t>
  </si>
  <si>
    <r>
      <rPr>
        <sz val="11"/>
        <color theme="1"/>
        <rFont val="Calibri"/>
        <family val="2"/>
      </rPr>
      <t xml:space="preserve">£ </t>
    </r>
    <r>
      <rPr>
        <sz val="11"/>
        <color theme="1"/>
        <rFont val="Calibri"/>
        <family val="2"/>
        <scheme val="minor"/>
      </rPr>
      <t>per metre</t>
    </r>
  </si>
  <si>
    <t>Facility in Spine duct - 3+ bore</t>
  </si>
  <si>
    <t>Facility in Spine duct - 2 bores</t>
  </si>
  <si>
    <t>Facility in Spine duct - single bore</t>
  </si>
  <si>
    <t>PIA services</t>
  </si>
  <si>
    <t>Footway Boxes</t>
  </si>
  <si>
    <t>£ per entry</t>
  </si>
  <si>
    <t>Published 01/04/2017</t>
  </si>
  <si>
    <t>£ per cable</t>
  </si>
  <si>
    <t>Volumes/lead in</t>
  </si>
  <si>
    <t>Service</t>
  </si>
  <si>
    <t>Years &gt;&gt;&gt;&gt;&gt;</t>
  </si>
  <si>
    <t>Facilities on pole</t>
  </si>
  <si>
    <t>Installed base volumes</t>
  </si>
  <si>
    <t xml:space="preserve">Number of Homes passed </t>
  </si>
  <si>
    <t>Opex</t>
  </si>
  <si>
    <t>Lead-ins</t>
  </si>
  <si>
    <t xml:space="preserve">LDD Costs </t>
  </si>
  <si>
    <t>CPI</t>
  </si>
  <si>
    <t>Duct and Chambers</t>
  </si>
  <si>
    <t>End Year vols</t>
  </si>
  <si>
    <t>Mid Year volumes</t>
  </si>
  <si>
    <t>Duct and Chambers Inputs</t>
  </si>
  <si>
    <t>Historical Prices</t>
  </si>
  <si>
    <t>Volumes for Simplified Underground Lead in service</t>
  </si>
  <si>
    <t xml:space="preserve">Sources and comments: </t>
  </si>
  <si>
    <t>Sources and Comments</t>
  </si>
  <si>
    <t>Description</t>
  </si>
  <si>
    <t>Parameters and Assumptions</t>
  </si>
  <si>
    <t>Information</t>
  </si>
  <si>
    <t xml:space="preserve">Title </t>
  </si>
  <si>
    <t>Objective</t>
  </si>
  <si>
    <t>Status</t>
  </si>
  <si>
    <t>Ready for review</t>
  </si>
  <si>
    <t>Contents</t>
  </si>
  <si>
    <t>Sheet</t>
  </si>
  <si>
    <t>This contents sheet</t>
  </si>
  <si>
    <t>Style Guidelines</t>
  </si>
  <si>
    <t>A guide to the styles used in this workbook</t>
  </si>
  <si>
    <t>The terms and conditions on which OFCOM is making available the model</t>
  </si>
  <si>
    <t>Model map</t>
  </si>
  <si>
    <t>Diagram of the structure of the model</t>
  </si>
  <si>
    <t>Blank divider sheet</t>
  </si>
  <si>
    <t>Sheet key</t>
  </si>
  <si>
    <t>Model map sheet</t>
  </si>
  <si>
    <t>Control &amp; outputs</t>
  </si>
  <si>
    <t>Control panel and model output sheets</t>
  </si>
  <si>
    <t>Inputs</t>
  </si>
  <si>
    <t>Model input sheet, either linked to another workbook or contains hard-coded data</t>
  </si>
  <si>
    <t>Calculations</t>
  </si>
  <si>
    <t>Calculation sheet</t>
  </si>
  <si>
    <t>Divider 1</t>
  </si>
  <si>
    <t>Blank divider sheet level 1</t>
  </si>
  <si>
    <t>Divider 2</t>
  </si>
  <si>
    <t>Blank divider sheet level 2</t>
  </si>
  <si>
    <t>Input cell styles</t>
  </si>
  <si>
    <t>Output</t>
  </si>
  <si>
    <t>Key calculation output in sheet / model</t>
  </si>
  <si>
    <t>Other cell styles</t>
  </si>
  <si>
    <t>Terms and conditions</t>
  </si>
  <si>
    <t>The terms and conditions on which OFCOM is making available the model are set out below.</t>
  </si>
  <si>
    <t>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t>
  </si>
  <si>
    <t>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t>
  </si>
  <si>
    <t>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t>
  </si>
  <si>
    <t>These terms and conditions shall be covered by and construed in accordance with the laws of England and Wales. Any dispute arising under these terms and conditions shall be subject to the exclusive jurisdiction of the Courts of England and Wales.</t>
  </si>
  <si>
    <t>CPI-X Model for PIA services</t>
  </si>
  <si>
    <t>Input data for model</t>
  </si>
  <si>
    <t>Randomized</t>
  </si>
  <si>
    <t>Randomized data +/- 20%</t>
  </si>
  <si>
    <t>Other parameters and assumptions used in the model</t>
  </si>
  <si>
    <t>This sheet calculates forecasts of total capital costs of network adjustments in each year</t>
  </si>
  <si>
    <t>Calculates forecasts of total capital costs of network adjustments in each year</t>
  </si>
  <si>
    <t>Duct and Chambers Volume Forecasts</t>
  </si>
  <si>
    <t>Input</t>
  </si>
  <si>
    <t>Values set to zero</t>
  </si>
  <si>
    <t>Pole volume forecasts</t>
  </si>
  <si>
    <t>Proportions</t>
  </si>
  <si>
    <t>Forecasts of OR manifolds</t>
  </si>
  <si>
    <t xml:space="preserve">Forecasts pole volumes by type of pole, forecasts additional poles each year by COW, foreacasts total pole attachments and attachments/pole over the charge control period </t>
  </si>
  <si>
    <t>Attribute on the basis of LDD MCE</t>
  </si>
  <si>
    <t>Attribute on the basis of OCM depreciation</t>
  </si>
  <si>
    <t>From LDD forecasts</t>
  </si>
  <si>
    <t>Assumptions</t>
  </si>
  <si>
    <t>Base year cost data and consistency check with RAV model (from sheet LDD forecasts)</t>
  </si>
  <si>
    <t>Cost forecasting assumptions</t>
  </si>
  <si>
    <t>Forecast duct and chambers costs</t>
  </si>
  <si>
    <t>Operating Costs</t>
  </si>
  <si>
    <t>Mean Capital Employed</t>
  </si>
  <si>
    <t>Summarise and attribute to components</t>
  </si>
  <si>
    <t>Output panel for next sheet</t>
  </si>
  <si>
    <t>Output panel</t>
  </si>
  <si>
    <t>Forecasts all duct and chambers cost over the charge control period</t>
  </si>
  <si>
    <t>Costs data: Poles GRCs, NRCs and OCM by expiry date and COW</t>
  </si>
  <si>
    <t xml:space="preserve">Input Volumes, forecast unit costs and forecast net additions </t>
  </si>
  <si>
    <t>Forecast Installation Volumes</t>
  </si>
  <si>
    <t>Poles capex forecasts</t>
  </si>
  <si>
    <t>Forecast GRCs, NRCs and OCM dep by COW</t>
  </si>
  <si>
    <t>Forecasts poles network adjustment costs</t>
  </si>
  <si>
    <t>Calculate totals GRCs, NRCs and OCM depreciation and form output panel</t>
  </si>
  <si>
    <t>Forecasts capital costs for poles by COW over the charge control period. Includes forecasts for network adjustment costs</t>
  </si>
  <si>
    <t>Forecasts LDD capital costs over the charge control period, including forecasts for network adjustment costs</t>
  </si>
  <si>
    <t>Forecast poles costs</t>
  </si>
  <si>
    <t>Forecasts all poles costs over the charge control period</t>
  </si>
  <si>
    <t>Costs and volume data and other assumptions</t>
  </si>
  <si>
    <t>Calculate unit costs and charges</t>
  </si>
  <si>
    <t>Raw Charges</t>
  </si>
  <si>
    <t>(rounded to 2sf)</t>
  </si>
  <si>
    <t>Simplified underground lead-in volume assumptions</t>
  </si>
  <si>
    <t>Modelled simplified underground lead-in costs</t>
  </si>
  <si>
    <t>Modelled simplified underground lead-in costs (2sf)</t>
  </si>
  <si>
    <t>Simplified underground lead-in</t>
  </si>
  <si>
    <t>Calculate Xs</t>
  </si>
  <si>
    <t>Start and end prices</t>
  </si>
  <si>
    <t>Start price</t>
  </si>
  <si>
    <t>End price</t>
  </si>
  <si>
    <t>Change as index</t>
  </si>
  <si>
    <t>Implied X</t>
  </si>
  <si>
    <t>Prices in each year</t>
  </si>
  <si>
    <t>Modelled prices to nearest penny</t>
  </si>
  <si>
    <t>Calculates unit costs for all poles components, estimates poles service charges in each year, and calculates required Xs to achieve estimated charges in last year of control period</t>
  </si>
  <si>
    <t>Calculates unit costs for all duct and chambers components, estimates service charges in each year, and calculates required Xs to achieve estimated charges in last year of control period</t>
  </si>
  <si>
    <t>Costs, volumes &amp; other assumptions</t>
  </si>
  <si>
    <t>Duct and chambers forecast unit costs, charges and Xs</t>
  </si>
  <si>
    <t>Modelled charge rounded to nearest penny</t>
  </si>
  <si>
    <t>Unit Cost (per pole)</t>
  </si>
  <si>
    <t>Modelled Charge (per cable up pole)</t>
  </si>
  <si>
    <t>Estimated Openreach attachments</t>
  </si>
  <si>
    <t>Unit Cost (per attachment)</t>
  </si>
  <si>
    <t>Charges as share of unit cost</t>
  </si>
  <si>
    <t>Unit cost (per pole)</t>
  </si>
  <si>
    <t>Summary of Modelled Charges</t>
  </si>
  <si>
    <t>Assume no new registrations</t>
  </si>
  <si>
    <t>Assume no CCA adjustments</t>
  </si>
  <si>
    <t>Assume no write outs or disposals</t>
  </si>
  <si>
    <t>Assume constant</t>
  </si>
  <si>
    <t>Not a part of simplified lead in</t>
  </si>
  <si>
    <t>Simplified underground lead-in proposed price 2019/20</t>
  </si>
  <si>
    <t>Simplified underground lead-in discount factors</t>
  </si>
  <si>
    <t>Leadin_discount</t>
  </si>
  <si>
    <t>Single_bore_discount</t>
  </si>
  <si>
    <t>Junction_box_discount</t>
  </si>
  <si>
    <t>Discounts to remain constant</t>
  </si>
  <si>
    <t>Assume volumes stay constant</t>
  </si>
  <si>
    <t>Opex_eff</t>
  </si>
  <si>
    <t>Opex_CVE</t>
  </si>
  <si>
    <t>Manifold_uplift_ratio</t>
  </si>
  <si>
    <t>duct_asset_life</t>
  </si>
  <si>
    <t>pole_asset_life</t>
  </si>
  <si>
    <t>Single_attach_disc</t>
  </si>
  <si>
    <t>Unit costs are per junction box, costs are in £m</t>
  </si>
  <si>
    <t>Unit costs are per manhole, costs are in £m</t>
  </si>
  <si>
    <t>Million</t>
  </si>
  <si>
    <t>Thousand</t>
  </si>
  <si>
    <t>Attachment Volume</t>
  </si>
  <si>
    <t>Assume allocations are constant over the peiod</t>
  </si>
  <si>
    <t>Fibre assets are not revalued</t>
  </si>
  <si>
    <t>Poles Volume at date</t>
  </si>
  <si>
    <t>Final outputs of proposed prices for each services in each year</t>
  </si>
  <si>
    <t>Unit costs are per metre: volumes in kms, costs in £m</t>
  </si>
  <si>
    <t>Forecast Total Pole Volumes</t>
  </si>
  <si>
    <t>Forecasts of poles by type of pole</t>
  </si>
  <si>
    <t>Attachment Forecasts</t>
  </si>
  <si>
    <t>Forecast attachments through time</t>
  </si>
  <si>
    <t>Proposed control</t>
  </si>
  <si>
    <t>CPI +</t>
  </si>
  <si>
    <t>Poles forecast unit costs, charges and Xs</t>
  </si>
  <si>
    <t>Model Map</t>
  </si>
  <si>
    <t>Published 01/04/2020</t>
  </si>
  <si>
    <t>Other non COW</t>
  </si>
  <si>
    <t>19/20 vols</t>
  </si>
  <si>
    <t>Pole testing forecast</t>
  </si>
  <si>
    <t>Pole testing costs</t>
  </si>
  <si>
    <t>Duct and Chambers 2019/20 Base Year Cost Data</t>
  </si>
  <si>
    <t>Asset life &gt;&gt;&gt;</t>
  </si>
  <si>
    <t>Relevant Asset Inflation</t>
  </si>
  <si>
    <t>All COWs</t>
  </si>
  <si>
    <t>Opex Volume Growth (including disposals)</t>
  </si>
  <si>
    <t>Volume Forecasts from Parameters and Assumptions</t>
  </si>
  <si>
    <t>Estimate 2019/20 mid year</t>
  </si>
  <si>
    <t>Outputs for Poles Cost Forecasting</t>
  </si>
  <si>
    <t>Growth Rate</t>
  </si>
  <si>
    <t>Base year (2019/20) cost data</t>
  </si>
  <si>
    <t>Unit Costs (per cable attachment) - Single</t>
  </si>
  <si>
    <t>Unit Costs (per cable attachment) - Multi</t>
  </si>
  <si>
    <t>Modelled charge (per cable attachment) - Single</t>
  </si>
  <si>
    <t>Modelled charge (per cable attachment) - Multi</t>
  </si>
  <si>
    <t>Modelled charge after discounts  (per cable attachment, nearest p)</t>
  </si>
  <si>
    <t>Network Adjustment Cost forefcasts</t>
  </si>
  <si>
    <t>Duct NA's</t>
  </si>
  <si>
    <t>Poles NA</t>
  </si>
  <si>
    <t>Growth rates</t>
  </si>
  <si>
    <t xml:space="preserve">Forecast mid year volumes for each PIA component </t>
  </si>
  <si>
    <t>NB: joint boxes and manholes in different order on input sheet</t>
  </si>
  <si>
    <t>Assume write outs = OCM depreciation</t>
  </si>
  <si>
    <t>Total post 2018/19</t>
  </si>
  <si>
    <t>Set leads in to be same as Single Bore</t>
  </si>
  <si>
    <t>Weighted  Growth rate</t>
  </si>
  <si>
    <t>Calculate Attributions in Each Year</t>
  </si>
  <si>
    <t>Unit Costs</t>
  </si>
  <si>
    <t>Inflation</t>
  </si>
  <si>
    <t>Revised Standard Cost</t>
  </si>
  <si>
    <t>Attributions</t>
  </si>
  <si>
    <t>Calculate 2018/19 and 2019/20 volumes</t>
  </si>
  <si>
    <t>Calculates volumes for duct and chambers cost components in 19/20 and forecasts these forward over the charge control period as wella s the cost attributions over the period.</t>
  </si>
  <si>
    <t>LDC</t>
  </si>
  <si>
    <t>LFDC</t>
  </si>
  <si>
    <t>LFSC</t>
  </si>
  <si>
    <t>NWR</t>
  </si>
  <si>
    <t>2025/26 calculated using inflation and efficiency assumptions</t>
  </si>
  <si>
    <t>Forecasting the costs of PIA services over the period 2020/21 to 2025/26 for the purpose of setting charge controls</t>
  </si>
  <si>
    <t>5 year CAGR</t>
  </si>
  <si>
    <t>4 year CAGR</t>
  </si>
  <si>
    <t>Indexation check</t>
  </si>
  <si>
    <t>Forecast duct and chambers service prices out to March 2021</t>
  </si>
  <si>
    <t>Set Lead-in volume growth the same as single bore</t>
  </si>
  <si>
    <t>Poles unit cost</t>
  </si>
  <si>
    <t>Forecast poles service prices out to March 2021</t>
  </si>
  <si>
    <t>Index from 2020/21</t>
  </si>
  <si>
    <t>Input volumes and scale to 2019/20 mid year volume</t>
  </si>
  <si>
    <t>Assume grows on the basis of weighted growth rate : mix of BDUK &amp; other assets</t>
  </si>
  <si>
    <t>Assume flat : mix of assets</t>
  </si>
  <si>
    <t>Assume flat : mix of other assets</t>
  </si>
  <si>
    <t xml:space="preserve">Assume flat : mix of assets practically none of which are revalued. </t>
  </si>
  <si>
    <t>Facility on pole</t>
  </si>
  <si>
    <t>Manifold and cable up pole</t>
  </si>
  <si>
    <t>Rough breakdown of poles cost</t>
  </si>
  <si>
    <t>FAC number for duct</t>
  </si>
  <si>
    <t>Uplift to account for chamber products</t>
  </si>
  <si>
    <t>Attachment volumes for single &amp; multi attachements</t>
  </si>
  <si>
    <t>Proportion of attachments that are single</t>
  </si>
  <si>
    <t>Facility on pole for attachments (blended)</t>
  </si>
  <si>
    <r>
      <rPr>
        <sz val="11"/>
        <color theme="1"/>
        <rFont val="Calibri"/>
        <family val="2"/>
      </rPr>
      <t xml:space="preserve">£ </t>
    </r>
    <r>
      <rPr>
        <sz val="11"/>
        <color theme="1"/>
        <rFont val="Calibri"/>
        <family val="2"/>
        <scheme val="minor"/>
      </rPr>
      <t>per pole</t>
    </r>
  </si>
  <si>
    <t>Total attachment costs</t>
  </si>
  <si>
    <t>New registrations post 2021/22 below</t>
  </si>
  <si>
    <t>Fibre COWs not revalued in 2020/21</t>
  </si>
  <si>
    <t>Assets installed up to 1/4/2021</t>
  </si>
  <si>
    <t>Inputs for PIA Charges Model</t>
  </si>
  <si>
    <t>Openreach web-site, Accessed 02/12/2020</t>
  </si>
  <si>
    <t>Post 2018/19 assets</t>
  </si>
  <si>
    <t>Net asset registrations</t>
  </si>
  <si>
    <t>Other post 97 Assets</t>
  </si>
  <si>
    <t>Pre 97 Access</t>
  </si>
  <si>
    <t>RAV- GRC</t>
  </si>
  <si>
    <t>RAV- NRC</t>
  </si>
  <si>
    <t>CCA - GRC</t>
  </si>
  <si>
    <t xml:space="preserve">Duct and Chambers Attributions </t>
  </si>
  <si>
    <t>D&amp;C Shares</t>
  </si>
  <si>
    <t>2019/20 Unit Costs</t>
  </si>
  <si>
    <t>Pole Inputs</t>
  </si>
  <si>
    <t>Installed base by type of pole</t>
  </si>
  <si>
    <t xml:space="preserve">Pole Utilisation Data </t>
  </si>
  <si>
    <t>Single Premise attachments</t>
  </si>
  <si>
    <t>Multi premise attachments</t>
  </si>
  <si>
    <t>All poles</t>
  </si>
  <si>
    <t>Average number of cables up a pole</t>
  </si>
  <si>
    <t>Ratio of manifolds to poles</t>
  </si>
  <si>
    <t>2019/20 Base Year Pole Cost Data</t>
  </si>
  <si>
    <t>Other non-COW</t>
  </si>
  <si>
    <t>Poles Balance Sheets by COW (19/20 Prices)</t>
  </si>
  <si>
    <t>Asset lives</t>
  </si>
  <si>
    <t>Price Movement</t>
  </si>
  <si>
    <t>OCM Depreciation</t>
  </si>
  <si>
    <t>Unit Capital Cost of pole</t>
  </si>
  <si>
    <t>Mutilpliers</t>
  </si>
  <si>
    <t>CVE for operating costs</t>
  </si>
  <si>
    <t xml:space="preserve">Efficiency for operating costs </t>
  </si>
  <si>
    <t>Overrecovery assumptions</t>
  </si>
  <si>
    <t>Discounts on components of simplified underground lead-in post 2021/22</t>
  </si>
  <si>
    <t xml:space="preserve">Lead-in </t>
  </si>
  <si>
    <t>Discount on price for single attachments on poles</t>
  </si>
  <si>
    <t xml:space="preserve">Relevant shares for duct and chambers products </t>
  </si>
  <si>
    <t>Junction boxes: no of sub-ducts entering or exiting/sub-duct crossing</t>
  </si>
  <si>
    <t>Attachment costs</t>
  </si>
  <si>
    <t>Manifold costs</t>
  </si>
  <si>
    <t>Cables up poles costs</t>
  </si>
  <si>
    <t>Poles: Uplift ratio attachments</t>
  </si>
  <si>
    <t xml:space="preserve">Poles: Uplift ratio of manifolds </t>
  </si>
  <si>
    <t>PIA attachments added to pure poles average</t>
  </si>
  <si>
    <t>Inflation Assumptions</t>
  </si>
  <si>
    <t>PIA Asset Inflation  - measure</t>
  </si>
  <si>
    <t>RPI</t>
  </si>
  <si>
    <t>PIA Asset Inflation value</t>
  </si>
  <si>
    <t>Opex Inflation - measure</t>
  </si>
  <si>
    <t>Opex Inflation value</t>
  </si>
  <si>
    <t>Network Adjustments Assumptions</t>
  </si>
  <si>
    <t>Number of homes passed using PIA</t>
  </si>
  <si>
    <t>Pole element</t>
  </si>
  <si>
    <t>Duct and chambers assets</t>
  </si>
  <si>
    <t>years</t>
  </si>
  <si>
    <t>Pole Assets</t>
  </si>
  <si>
    <t>Volume growth, cost and capex forecast assumptions</t>
  </si>
  <si>
    <t>Poles Volume Forecasts</t>
  </si>
  <si>
    <t>Year Start</t>
  </si>
  <si>
    <t>Gross additions</t>
  </si>
  <si>
    <t>Retirements (poles replaced)</t>
  </si>
  <si>
    <t>Year end</t>
  </si>
  <si>
    <t>Capex volumes by COW</t>
  </si>
  <si>
    <t>Pay</t>
  </si>
  <si>
    <t>Non-pay</t>
  </si>
  <si>
    <t>Volume Growth (Installed base)</t>
  </si>
  <si>
    <t>Spine Duct - single bore</t>
  </si>
  <si>
    <t>Spine Duct - 2 bore</t>
  </si>
  <si>
    <t>Spine Duct - 3+ bore</t>
  </si>
  <si>
    <t>Capex</t>
  </si>
  <si>
    <t>LDD Capex Forecasts</t>
  </si>
  <si>
    <t xml:space="preserve">  CPI-X Model for PIA Services : March 2021</t>
  </si>
  <si>
    <t xml:space="preserve"> </t>
  </si>
  <si>
    <t>Attribution of Poles Costs</t>
  </si>
  <si>
    <t>OBR Economic and fiscal outlook November 20</t>
  </si>
  <si>
    <t>Forecast shares</t>
  </si>
  <si>
    <t>Assume shares remain constant</t>
  </si>
  <si>
    <t>All right, title and interest in the provided model (the ‘Model’) constructed in Excel to calculate our values of X for the 2021 WFTMR Statement are owned by OFCOM. Such title and interest is protected by United Kingdom intellectual property laws and international treaty provisions. While you may freely use the Model to understand the calculations used to derive our values of X, it is not to be modified in any way or used for commercial gain or otherwise without the prior written permission of OFCOM.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</si>
</sst>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quot;£&quot;#,##0"/>
    <numFmt numFmtId="7" formatCode="&quot;£&quot;#,##0.00;\-&quot;£&quot;#,##0.00"/>
    <numFmt numFmtId="8" formatCode="&quot;£&quot;#,##0.00;[Red]\-&quot;£&quot;#,##0.00"/>
    <numFmt numFmtId="43" formatCode="_-* #,##0.00_-;\-* #,##0.00_-;_-* &quot;-&quot;??_-;_-@_-"/>
    <numFmt numFmtId="164" formatCode="_-* #,##0_-;\-* #,##0_-;_-* &quot;-&quot;??_-;_-@_-"/>
    <numFmt numFmtId="165" formatCode="0.0%"/>
    <numFmt numFmtId="166" formatCode="#,##0_ ;[Red]\-#,##0\ "/>
    <numFmt numFmtId="167" formatCode="#,##0.00_ ;[Red]\-#,##0.00\ "/>
    <numFmt numFmtId="168" formatCode="0.0"/>
    <numFmt numFmtId="169" formatCode="&quot;£&quot;#,##0.00"/>
    <numFmt numFmtId="170" formatCode="&quot;£&quot;#,##0"/>
    <numFmt numFmtId="171" formatCode="#,##0.00_);[Red]\-#,##0.00_);0.00_);@_)"/>
    <numFmt numFmtId="172" formatCode="_-* #,##0.000_-;\-* #,##0.000_-;_-* &quot;-&quot;??_-;_-@_-"/>
    <numFmt numFmtId="173" formatCode="&quot;£&quot;#,##0.0000"/>
    <numFmt numFmtId="174" formatCode="[$-F800]dddd\,\ mmmm\ dd\,\ yyyy"/>
    <numFmt numFmtId="175" formatCode="0.000%"/>
    <numFmt numFmtId="176" formatCode="&quot;£&quot;#,##0.000&quot;m&quot;"/>
    <numFmt numFmtId="177" formatCode="#,##0.0"/>
    <numFmt numFmtId="178" formatCode="&quot;£&quot;#,##0&quot;m&quot;;[Red]&quot;£&quot;#,##0&quot;m&quot;"/>
    <numFmt numFmtId="179" formatCode="[$£-809]#,##0.0"/>
    <numFmt numFmtId="180" formatCode="&quot;£&quot;#,##0&quot;m&quot;;[Red]\-&quot;£&quot;#,##0&quot;m&quot;;\ &quot;-&quot;"/>
    <numFmt numFmtId="181" formatCode="&quot;£&quot;#,##0.0&quot;m&quot;;[Red]\-&quot;£&quot;#,##0.0&quot;m&quot;;\ &quot;-&quot;"/>
    <numFmt numFmtId="182" formatCode="&quot;£&quot;#,##0.000&quot;m&quot;;[Red]\-&quot;£&quot;#,##0.000&quot;m&quot;;\ &quot;-&quot;"/>
    <numFmt numFmtId="183" formatCode="&quot;£&quot;#,##0.0000;\-&quot;£&quot;#,##0.0000"/>
    <numFmt numFmtId="184" formatCode="&quot;£&quot;#,##0.000&quot;m&quot;;\-&quot;£&quot;#,##0.000&quot;m&quot;;&quot;-&quot;"/>
    <numFmt numFmtId="185" formatCode="&quot;£&quot;#,##0.0;\-&quot;£&quot;#,##0.0"/>
    <numFmt numFmtId="186" formatCode="_-* #,##0.0000_-;\-* #,##0.0000_-;_-* &quot;-&quot;??_-;_-@_-"/>
    <numFmt numFmtId="187" formatCode="&quot;£&quot;#,##0.000;\-&quot;£&quot;#,##0.000"/>
    <numFmt numFmtId="188" formatCode="&quot;£&quot;#,##0.0&quot;m&quot;"/>
    <numFmt numFmtId="189" formatCode="&quot;£&quot;#,##0.0&quot;m&quot;;\-&quot;£&quot;#,##0.0&quot;m&quot;;&quot;-&quot;"/>
    <numFmt numFmtId="190" formatCode="#,##0_);[Red]\-#,##0_);0_);@_)"/>
    <numFmt numFmtId="191" formatCode="#,##0.00;[Red]\-#,##0.00;\-"/>
    <numFmt numFmtId="192" formatCode="#,##0;[Red]\-#,##0;\-"/>
    <numFmt numFmtId="193" formatCode="#,##0.0;[Red]\-#,##0.0;\-"/>
    <numFmt numFmtId="194" formatCode="&quot;Rnd&quot;* &quot;[&quot;General&quot;]&quot;;&quot;Rnd&quot;* &quot;[&quot;\-General&quot;]&quot;"/>
    <numFmt numFmtId="195" formatCode="&quot;£&quot;#,##0.000"/>
    <numFmt numFmtId="196" formatCode="&quot;£&quot;#,##0.00000000;\-&quot;£&quot;#,##0.00000000"/>
    <numFmt numFmtId="197" formatCode="&quot;£&quot;#,##0.00000&quot;m&quot;;[Red]\-&quot;£&quot;#,##0.00000&quot;m&quot;;\ &quot;-&quot;"/>
    <numFmt numFmtId="198" formatCode="&quot;£&quot;#,##0.0000000000"/>
    <numFmt numFmtId="199" formatCode="0.000"/>
  </numFmts>
  <fonts count="67" x14ac:knownFonts="1">
    <font>
      <sz val="11"/>
      <color theme="1"/>
      <name val="Calibri"/>
      <family val="2"/>
      <scheme val="minor"/>
    </font>
    <font>
      <b/>
      <sz val="11"/>
      <color theme="1"/>
      <name val="Calibri"/>
      <family val="2"/>
      <scheme val="minor"/>
    </font>
    <font>
      <sz val="11"/>
      <color theme="1"/>
      <name val="Calibri"/>
      <family val="2"/>
      <scheme val="minor"/>
    </font>
    <font>
      <sz val="9"/>
      <name val="Arial"/>
      <family val="2"/>
    </font>
    <font>
      <b/>
      <sz val="18"/>
      <name val="Arial"/>
      <family val="2"/>
    </font>
    <font>
      <b/>
      <sz val="9"/>
      <name val="Arial"/>
      <family val="2"/>
    </font>
    <font>
      <b/>
      <sz val="14"/>
      <name val="Arial"/>
      <family val="2"/>
    </font>
    <font>
      <b/>
      <sz val="12"/>
      <name val="Arial"/>
      <family val="2"/>
    </font>
    <font>
      <b/>
      <sz val="11"/>
      <color theme="0"/>
      <name val="Calibri"/>
      <family val="2"/>
      <scheme val="minor"/>
    </font>
    <font>
      <sz val="11"/>
      <color theme="0"/>
      <name val="Calibri"/>
      <family val="2"/>
      <scheme val="minor"/>
    </font>
    <font>
      <b/>
      <sz val="14"/>
      <color theme="1"/>
      <name val="Calibri"/>
      <family val="2"/>
      <scheme val="minor"/>
    </font>
    <font>
      <b/>
      <sz val="10"/>
      <color theme="1"/>
      <name val="Calibri"/>
      <family val="2"/>
      <scheme val="minor"/>
    </font>
    <font>
      <i/>
      <sz val="11"/>
      <color rgb="FFFF0000"/>
      <name val="Calibri"/>
      <family val="2"/>
      <scheme val="minor"/>
    </font>
    <font>
      <i/>
      <sz val="9"/>
      <color indexed="16"/>
      <name val="Arial"/>
      <family val="2"/>
    </font>
    <font>
      <sz val="8"/>
      <color indexed="10"/>
      <name val="Arial"/>
      <family val="2"/>
    </font>
    <font>
      <i/>
      <sz val="9"/>
      <color rgb="FF969696"/>
      <name val="Arial"/>
      <family val="2"/>
    </font>
    <font>
      <b/>
      <sz val="12"/>
      <color theme="1"/>
      <name val="Calibri"/>
      <family val="2"/>
      <scheme val="minor"/>
    </font>
    <font>
      <u/>
      <sz val="9"/>
      <color theme="10"/>
      <name val="Arial"/>
      <family val="2"/>
    </font>
    <font>
      <sz val="9"/>
      <color theme="1"/>
      <name val="Calibri"/>
      <family val="2"/>
      <scheme val="minor"/>
    </font>
    <font>
      <b/>
      <sz val="9"/>
      <name val="Calibri"/>
      <family val="2"/>
      <scheme val="minor"/>
    </font>
    <font>
      <sz val="9"/>
      <name val="Calibri"/>
      <family val="2"/>
      <scheme val="minor"/>
    </font>
    <font>
      <b/>
      <sz val="14"/>
      <name val="Calibri"/>
      <family val="2"/>
      <scheme val="minor"/>
    </font>
    <font>
      <b/>
      <sz val="12"/>
      <name val="Calibri"/>
      <family val="2"/>
      <scheme val="minor"/>
    </font>
    <font>
      <sz val="10"/>
      <name val="Calibri"/>
      <family val="2"/>
      <scheme val="minor"/>
    </font>
    <font>
      <b/>
      <sz val="10"/>
      <name val="Calibri"/>
      <family val="2"/>
      <scheme val="minor"/>
    </font>
    <font>
      <sz val="10"/>
      <color theme="1"/>
      <name val="Calibri"/>
      <family val="2"/>
      <scheme val="minor"/>
    </font>
    <font>
      <sz val="9"/>
      <color rgb="FFFF0000"/>
      <name val="Calibri"/>
      <family val="2"/>
      <scheme val="minor"/>
    </font>
    <font>
      <i/>
      <sz val="9"/>
      <color rgb="FFFF0000"/>
      <name val="Calibri"/>
      <family val="2"/>
      <scheme val="minor"/>
    </font>
    <font>
      <sz val="10"/>
      <name val="Arial"/>
      <family val="2"/>
    </font>
    <font>
      <b/>
      <sz val="10"/>
      <color theme="0"/>
      <name val="Calibri"/>
      <family val="2"/>
      <scheme val="minor"/>
    </font>
    <font>
      <sz val="10"/>
      <color theme="0"/>
      <name val="Calibri"/>
      <family val="2"/>
      <scheme val="minor"/>
    </font>
    <font>
      <i/>
      <sz val="10"/>
      <color rgb="FFFF0000"/>
      <name val="Calibri"/>
      <family val="2"/>
      <scheme val="minor"/>
    </font>
    <font>
      <sz val="10"/>
      <color rgb="FFFF0000"/>
      <name val="Calibri"/>
      <family val="2"/>
      <scheme val="minor"/>
    </font>
    <font>
      <sz val="11"/>
      <color theme="1"/>
      <name val="Calibri"/>
      <family val="2"/>
    </font>
    <font>
      <sz val="14"/>
      <name val="Calibri"/>
      <family val="2"/>
      <scheme val="minor"/>
    </font>
    <font>
      <b/>
      <i/>
      <sz val="10"/>
      <color theme="1"/>
      <name val="Calibri"/>
      <family val="2"/>
      <scheme val="minor"/>
    </font>
    <font>
      <i/>
      <sz val="10"/>
      <color theme="1"/>
      <name val="Calibri"/>
      <family val="2"/>
      <scheme val="minor"/>
    </font>
    <font>
      <u/>
      <sz val="10"/>
      <color theme="10"/>
      <name val="Arial"/>
      <family val="2"/>
    </font>
    <font>
      <b/>
      <sz val="16"/>
      <color theme="1"/>
      <name val="Calibri"/>
      <family val="2"/>
      <scheme val="minor"/>
    </font>
    <font>
      <b/>
      <sz val="20"/>
      <color theme="1"/>
      <name val="Calibri"/>
      <family val="2"/>
      <scheme val="minor"/>
    </font>
    <font>
      <i/>
      <sz val="10"/>
      <color rgb="FFC00000"/>
      <name val="Calibri"/>
      <family val="2"/>
      <scheme val="minor"/>
    </font>
    <font>
      <b/>
      <sz val="22"/>
      <name val="Arial"/>
      <family val="2"/>
    </font>
    <font>
      <b/>
      <sz val="10"/>
      <name val="Arial"/>
      <family val="2"/>
    </font>
    <font>
      <sz val="10"/>
      <color theme="0"/>
      <name val="Arial"/>
      <family val="2"/>
    </font>
    <font>
      <i/>
      <sz val="11"/>
      <name val="Calibri"/>
      <family val="2"/>
    </font>
    <font>
      <b/>
      <sz val="22"/>
      <color theme="3"/>
      <name val="Calibri"/>
      <family val="2"/>
      <scheme val="minor"/>
    </font>
    <font>
      <sz val="10"/>
      <color rgb="FF0000FF"/>
      <name val="Arial"/>
      <family val="2"/>
    </font>
    <font>
      <sz val="10"/>
      <color indexed="16"/>
      <name val="Arial"/>
      <family val="2"/>
    </font>
    <font>
      <sz val="12"/>
      <name val="Arial"/>
      <family val="2"/>
    </font>
    <font>
      <sz val="11"/>
      <color rgb="FF0000FF"/>
      <name val="Calibri"/>
      <family val="2"/>
      <scheme val="minor"/>
    </font>
    <font>
      <b/>
      <sz val="10"/>
      <color theme="0"/>
      <name val="Arial"/>
      <family val="2"/>
    </font>
    <font>
      <b/>
      <sz val="16"/>
      <name val="Calibri"/>
      <family val="2"/>
      <scheme val="minor"/>
    </font>
    <font>
      <b/>
      <sz val="11"/>
      <name val="Calibri"/>
      <family val="2"/>
      <scheme val="minor"/>
    </font>
    <font>
      <sz val="16"/>
      <color theme="1"/>
      <name val="Calibri"/>
      <family val="2"/>
      <scheme val="minor"/>
    </font>
    <font>
      <sz val="10"/>
      <name val="Arial"/>
      <family val="2"/>
    </font>
    <font>
      <sz val="8"/>
      <color rgb="FFFF0000"/>
      <name val="Calibri"/>
      <family val="2"/>
      <scheme val="minor"/>
    </font>
    <font>
      <sz val="8"/>
      <name val="Calibri"/>
      <family val="2"/>
      <scheme val="minor"/>
    </font>
    <font>
      <b/>
      <i/>
      <sz val="10"/>
      <color theme="0"/>
      <name val="Calibri"/>
      <family val="2"/>
      <scheme val="minor"/>
    </font>
    <font>
      <i/>
      <sz val="10"/>
      <color theme="0"/>
      <name val="Calibri"/>
      <family val="2"/>
      <scheme val="minor"/>
    </font>
    <font>
      <b/>
      <i/>
      <sz val="12"/>
      <color theme="1"/>
      <name val="Calibri"/>
      <family val="2"/>
      <scheme val="minor"/>
    </font>
    <font>
      <b/>
      <i/>
      <sz val="14"/>
      <color theme="1"/>
      <name val="Calibri"/>
      <family val="2"/>
      <scheme val="minor"/>
    </font>
    <font>
      <b/>
      <i/>
      <sz val="9"/>
      <color theme="1"/>
      <name val="Calibri"/>
      <family val="2"/>
      <scheme val="minor"/>
    </font>
    <font>
      <i/>
      <sz val="10"/>
      <name val="Calibri"/>
      <family val="2"/>
      <scheme val="minor"/>
    </font>
    <font>
      <i/>
      <sz val="8"/>
      <color rgb="FFFF0000"/>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rgb="FFE8D9E8"/>
        <bgColor indexed="64"/>
      </patternFill>
    </fill>
    <fill>
      <gradientFill degree="45">
        <stop position="0">
          <color rgb="FFF7941D"/>
        </stop>
        <stop position="0.5">
          <color rgb="FFFFF200"/>
        </stop>
        <stop position="1">
          <color rgb="FFF7941D"/>
        </stop>
      </gradient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indexed="13"/>
        <bgColor indexed="64"/>
      </patternFill>
    </fill>
    <fill>
      <patternFill patternType="solid">
        <fgColor theme="1"/>
        <bgColor indexed="64"/>
      </patternFill>
    </fill>
    <fill>
      <patternFill patternType="solid">
        <fgColor rgb="FF00B0F0"/>
        <bgColor indexed="64"/>
      </patternFill>
    </fill>
    <fill>
      <patternFill patternType="solid">
        <fgColor theme="0" tint="-0.499984740745262"/>
        <bgColor indexed="64"/>
      </patternFill>
    </fill>
    <fill>
      <patternFill patternType="solid">
        <fgColor rgb="FF7030A0"/>
        <bgColor indexed="64"/>
      </patternFill>
    </fill>
    <fill>
      <patternFill patternType="solid">
        <fgColor rgb="FFC00000"/>
        <bgColor indexed="64"/>
      </patternFill>
    </fill>
    <fill>
      <patternFill patternType="solid">
        <fgColor rgb="FF0070C0"/>
        <bgColor indexed="64"/>
      </patternFill>
    </fill>
    <fill>
      <patternFill patternType="solid">
        <fgColor rgb="FFE7EEF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26"/>
      </patternFill>
    </fill>
    <fill>
      <patternFill patternType="solid">
        <fgColor theme="0" tint="-0.14999847407452621"/>
        <bgColor indexed="26"/>
      </patternFill>
    </fill>
    <fill>
      <patternFill patternType="solid">
        <fgColor theme="0" tint="-0.499984740745262"/>
        <bgColor indexed="26"/>
      </patternFill>
    </fill>
    <fill>
      <patternFill patternType="solid">
        <fgColor rgb="FFFF0000"/>
        <bgColor indexed="64"/>
      </patternFill>
    </fill>
    <fill>
      <gradientFill degree="90">
        <stop position="0">
          <color rgb="FFF7941D"/>
        </stop>
        <stop position="1">
          <color rgb="FFFFF200"/>
        </stop>
      </gradientFill>
    </fill>
    <fill>
      <gradientFill degree="45">
        <stop position="0">
          <color rgb="FFFFFF00"/>
        </stop>
        <stop position="1">
          <color rgb="FFF7941D"/>
        </stop>
      </gradientFill>
    </fill>
    <fill>
      <patternFill patternType="solid">
        <fgColor rgb="FFD9D9D9"/>
        <bgColor indexed="26"/>
      </patternFill>
    </fill>
    <fill>
      <patternFill patternType="solid">
        <fgColor rgb="FFD9D9D9"/>
        <bgColor indexed="64"/>
      </patternFill>
    </fill>
  </fills>
  <borders count="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bottom style="thick">
        <color theme="4"/>
      </bottom>
      <diagonal/>
    </border>
    <border>
      <left style="thin">
        <color rgb="FF0033CC"/>
      </left>
      <right style="thin">
        <color rgb="FF0033CC"/>
      </right>
      <top style="thin">
        <color rgb="FF0033CC"/>
      </top>
      <bottom style="thin">
        <color rgb="FF0033CC"/>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rgb="FFC90044"/>
      </left>
      <right style="thin">
        <color rgb="FFC90044"/>
      </right>
      <top style="thin">
        <color rgb="FFC90044"/>
      </top>
      <bottom style="thin">
        <color rgb="FFC90044"/>
      </bottom>
      <diagonal/>
    </border>
    <border>
      <left style="hair">
        <color indexed="59"/>
      </left>
      <right style="hair">
        <color indexed="59"/>
      </right>
      <top style="hair">
        <color indexed="59"/>
      </top>
      <bottom style="hair">
        <color indexed="59"/>
      </bottom>
      <diagonal/>
    </border>
    <border>
      <left style="hair">
        <color rgb="FF660066"/>
      </left>
      <right style="hair">
        <color rgb="FF660066"/>
      </right>
      <top style="hair">
        <color rgb="FF660066"/>
      </top>
      <bottom style="hair">
        <color rgb="FF660066"/>
      </bottom>
      <diagonal/>
    </border>
    <border>
      <left style="hair">
        <color rgb="FF66CCFF"/>
      </left>
      <right style="hair">
        <color rgb="FF66CCFF"/>
      </right>
      <top style="hair">
        <color rgb="FF66CCFF"/>
      </top>
      <bottom style="hair">
        <color rgb="FF66CCFF"/>
      </bottom>
      <diagonal/>
    </border>
    <border>
      <left style="thin">
        <color rgb="FF66CCFF"/>
      </left>
      <right style="thin">
        <color rgb="FF66CCFF"/>
      </right>
      <top style="thin">
        <color rgb="FF66CCFF"/>
      </top>
      <bottom style="thin">
        <color rgb="FF66CCFF"/>
      </bottom>
      <diagonal/>
    </border>
    <border>
      <left style="hair">
        <color rgb="FFFFC000"/>
      </left>
      <right style="hair">
        <color rgb="FFFFC000"/>
      </right>
      <top style="hair">
        <color rgb="FFFFC000"/>
      </top>
      <bottom style="hair">
        <color rgb="FFFFC000"/>
      </bottom>
      <diagonal/>
    </border>
    <border>
      <left style="thin">
        <color rgb="FFFFC000"/>
      </left>
      <right style="thin">
        <color rgb="FFFFC000"/>
      </right>
      <top style="thin">
        <color rgb="FFFFC000"/>
      </top>
      <bottom style="thin">
        <color rgb="FFFFC000"/>
      </bottom>
      <diagonal/>
    </border>
    <border>
      <left style="hair">
        <color rgb="FF00EA00"/>
      </left>
      <right style="hair">
        <color rgb="FF00EA00"/>
      </right>
      <top style="hair">
        <color rgb="FF00EA00"/>
      </top>
      <bottom style="hair">
        <color rgb="FF00EA00"/>
      </bottom>
      <diagonal/>
    </border>
    <border>
      <left style="thin">
        <color rgb="FF00EA00"/>
      </left>
      <right style="thin">
        <color rgb="FF00EA00"/>
      </right>
      <top style="thin">
        <color rgb="FF00EA00"/>
      </top>
      <bottom style="thin">
        <color rgb="FF00EA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Dashed">
        <color rgb="FFFF0000"/>
      </left>
      <right style="mediumDashed">
        <color rgb="FFFF0000"/>
      </right>
      <top style="mediumDashed">
        <color rgb="FFFF0000"/>
      </top>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mediumDashed">
        <color rgb="FFFF0000"/>
      </bottom>
      <diagonal/>
    </border>
  </borders>
  <cellStyleXfs count="57">
    <xf numFmtId="0" fontId="0" fillId="0" borderId="0"/>
    <xf numFmtId="43" fontId="2" fillId="0" borderId="0" applyFont="0" applyFill="0" applyBorder="0" applyAlignment="0" applyProtection="0"/>
    <xf numFmtId="0" fontId="3" fillId="0" borderId="0" applyProtection="0">
      <alignment vertical="center"/>
    </xf>
    <xf numFmtId="9" fontId="2" fillId="0" borderId="0" applyFont="0" applyFill="0" applyBorder="0" applyAlignment="0" applyProtection="0"/>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horizontal="left" vertical="center"/>
    </xf>
    <xf numFmtId="0" fontId="3" fillId="3" borderId="0" applyNumberFormat="0" applyFont="0" applyBorder="0" applyAlignment="0" applyProtection="0">
      <alignment vertical="center"/>
    </xf>
    <xf numFmtId="0" fontId="3" fillId="0" borderId="0">
      <alignment vertical="center"/>
    </xf>
    <xf numFmtId="0" fontId="3" fillId="0" borderId="6" applyNumberFormat="0" applyAlignment="0">
      <alignment vertical="center"/>
      <protection locked="0"/>
    </xf>
    <xf numFmtId="0" fontId="13" fillId="0" borderId="0" applyNumberFormat="0" applyAlignment="0">
      <alignment vertical="center"/>
    </xf>
    <xf numFmtId="0" fontId="14" fillId="0" borderId="0" applyNumberFormat="0" applyFill="0" applyProtection="0">
      <alignment horizontal="left" vertical="center"/>
    </xf>
    <xf numFmtId="0" fontId="3" fillId="4" borderId="7" applyNumberFormat="0" applyFont="0" applyAlignment="0" applyProtection="0">
      <alignment vertical="center"/>
    </xf>
    <xf numFmtId="0" fontId="14" fillId="0" borderId="0" applyNumberFormat="0" applyFill="0" applyBorder="0" applyAlignment="0" applyProtection="0">
      <alignment vertical="top"/>
    </xf>
    <xf numFmtId="9" fontId="3" fillId="0" borderId="0" applyFont="0" applyFill="0" applyBorder="0" applyAlignment="0" applyProtection="0"/>
    <xf numFmtId="171" fontId="15" fillId="0" borderId="0" applyNumberFormat="0" applyAlignment="0">
      <alignment vertical="center"/>
    </xf>
    <xf numFmtId="43" fontId="2" fillId="0" borderId="0" applyFont="0" applyFill="0" applyBorder="0" applyAlignment="0" applyProtection="0"/>
    <xf numFmtId="0" fontId="3" fillId="8" borderId="0" applyNumberFormat="0" applyFont="0" applyBorder="0" applyAlignment="0" applyProtection="0">
      <alignment vertical="center"/>
    </xf>
    <xf numFmtId="0" fontId="17" fillId="0" borderId="0" applyNumberFormat="0" applyFill="0" applyBorder="0" applyAlignment="0" applyProtection="0">
      <alignment vertical="center"/>
    </xf>
    <xf numFmtId="0" fontId="28" fillId="0" borderId="0"/>
    <xf numFmtId="9" fontId="28" fillId="0" borderId="0" applyFont="0" applyFill="0" applyBorder="0" applyAlignment="0" applyProtection="0"/>
    <xf numFmtId="0" fontId="2" fillId="0" borderId="0"/>
    <xf numFmtId="43" fontId="28" fillId="0" borderId="0" applyFont="0" applyFill="0" applyBorder="0" applyAlignment="0" applyProtection="0"/>
    <xf numFmtId="9" fontId="28" fillId="0" borderId="0" applyFont="0" applyFill="0" applyBorder="0" applyAlignment="0" applyProtection="0"/>
    <xf numFmtId="179" fontId="3" fillId="0" borderId="0">
      <alignment vertical="center"/>
    </xf>
    <xf numFmtId="179" fontId="14" fillId="0" borderId="0" applyNumberFormat="0" applyFill="0" applyBorder="0" applyAlignment="0" applyProtection="0">
      <alignment vertical="top"/>
    </xf>
    <xf numFmtId="179" fontId="17" fillId="0" borderId="0" applyNumberFormat="0" applyFill="0" applyBorder="0" applyAlignment="0" applyProtection="0">
      <alignment vertical="center"/>
    </xf>
    <xf numFmtId="179" fontId="2" fillId="0" borderId="0"/>
    <xf numFmtId="179" fontId="2" fillId="0" borderId="0"/>
    <xf numFmtId="179" fontId="2" fillId="0" borderId="0"/>
    <xf numFmtId="179" fontId="2" fillId="0" borderId="0"/>
    <xf numFmtId="0" fontId="37" fillId="0" borderId="0" applyNumberFormat="0" applyFill="0" applyBorder="0" applyAlignment="0" applyProtection="0"/>
    <xf numFmtId="0" fontId="28" fillId="0" borderId="0">
      <alignment vertical="center"/>
    </xf>
    <xf numFmtId="0" fontId="45" fillId="0" borderId="15" applyNumberFormat="0" applyFill="0" applyAlignment="0" applyProtection="0"/>
    <xf numFmtId="190" fontId="46" fillId="15" borderId="16">
      <alignment vertical="center"/>
    </xf>
    <xf numFmtId="190" fontId="46" fillId="3" borderId="17">
      <alignment vertical="center"/>
    </xf>
    <xf numFmtId="191" fontId="28" fillId="3" borderId="17" applyProtection="0">
      <alignment vertical="center"/>
    </xf>
    <xf numFmtId="191" fontId="28" fillId="16" borderId="18">
      <alignment vertical="center"/>
    </xf>
    <xf numFmtId="191" fontId="28" fillId="17" borderId="18">
      <alignment vertical="center"/>
    </xf>
    <xf numFmtId="192" fontId="47" fillId="0" borderId="19" applyAlignment="0" applyProtection="0">
      <alignment vertical="center"/>
      <protection locked="0"/>
    </xf>
    <xf numFmtId="191" fontId="28" fillId="0" borderId="20">
      <alignment vertical="center"/>
    </xf>
    <xf numFmtId="191" fontId="28" fillId="0" borderId="6">
      <alignment vertical="center"/>
    </xf>
    <xf numFmtId="191" fontId="28" fillId="0" borderId="21" applyProtection="0">
      <alignment vertical="center"/>
    </xf>
    <xf numFmtId="191" fontId="42" fillId="0" borderId="22" applyProtection="0">
      <alignment vertical="center"/>
      <protection locked="0"/>
    </xf>
    <xf numFmtId="191" fontId="28" fillId="0" borderId="23" applyProtection="0">
      <alignment vertical="center"/>
    </xf>
    <xf numFmtId="191" fontId="42" fillId="0" borderId="24">
      <alignment vertical="center"/>
    </xf>
    <xf numFmtId="193" fontId="28" fillId="18" borderId="14">
      <alignment vertical="center"/>
    </xf>
    <xf numFmtId="191" fontId="28" fillId="0" borderId="25" applyProtection="0">
      <alignment vertical="center"/>
      <protection locked="0"/>
    </xf>
    <xf numFmtId="191" fontId="42" fillId="0" borderId="26" applyProtection="0">
      <alignment vertical="center"/>
      <protection locked="0"/>
    </xf>
    <xf numFmtId="194" fontId="49" fillId="4" borderId="7"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54" fillId="0" borderId="0"/>
  </cellStyleXfs>
  <cellXfs count="574">
    <xf numFmtId="0" fontId="0" fillId="0" borderId="0" xfId="0"/>
    <xf numFmtId="0" fontId="0" fillId="0" borderId="0" xfId="0" applyFont="1"/>
    <xf numFmtId="0" fontId="0" fillId="0" borderId="1" xfId="0" applyBorder="1"/>
    <xf numFmtId="0" fontId="0" fillId="0" borderId="0" xfId="0" applyAlignment="1">
      <alignment horizontal="right" vertical="center"/>
    </xf>
    <xf numFmtId="10" fontId="0" fillId="0" borderId="0" xfId="0" applyNumberFormat="1" applyAlignment="1">
      <alignment horizontal="right" vertical="center"/>
    </xf>
    <xf numFmtId="0" fontId="1" fillId="0" borderId="0" xfId="0" applyFont="1"/>
    <xf numFmtId="0" fontId="0" fillId="0" borderId="5" xfId="0" applyBorder="1"/>
    <xf numFmtId="10" fontId="0" fillId="0" borderId="0" xfId="0" applyNumberFormat="1"/>
    <xf numFmtId="0" fontId="0" fillId="0" borderId="0" xfId="0"/>
    <xf numFmtId="0" fontId="10" fillId="0" borderId="0" xfId="0" applyFont="1"/>
    <xf numFmtId="0" fontId="0" fillId="0" borderId="0" xfId="0" applyBorder="1"/>
    <xf numFmtId="0" fontId="0" fillId="0" borderId="0" xfId="0" applyAlignment="1">
      <alignment vertical="center"/>
    </xf>
    <xf numFmtId="0" fontId="16" fillId="0" borderId="0" xfId="0" applyFont="1"/>
    <xf numFmtId="0" fontId="20" fillId="0" borderId="0" xfId="9" applyFont="1">
      <alignment vertical="center"/>
    </xf>
    <xf numFmtId="0" fontId="18" fillId="0" borderId="0" xfId="0" applyFont="1"/>
    <xf numFmtId="0" fontId="20" fillId="0" borderId="0" xfId="9" applyFont="1" applyFill="1">
      <alignment vertical="center"/>
    </xf>
    <xf numFmtId="0" fontId="19" fillId="0" borderId="0" xfId="4" applyFont="1" applyFill="1" applyAlignment="1">
      <alignment vertical="center" wrapText="1"/>
    </xf>
    <xf numFmtId="0" fontId="21" fillId="0" borderId="0" xfId="9" applyFont="1" applyFill="1">
      <alignment vertical="center"/>
    </xf>
    <xf numFmtId="166" fontId="23" fillId="0" borderId="0" xfId="9" applyNumberFormat="1" applyFont="1">
      <alignment vertical="center"/>
    </xf>
    <xf numFmtId="0" fontId="23" fillId="0" borderId="0" xfId="9" applyFont="1">
      <alignment vertical="center"/>
    </xf>
    <xf numFmtId="0" fontId="24" fillId="0" borderId="0" xfId="4" quotePrefix="1" applyFont="1" applyAlignment="1">
      <alignment horizontal="right" vertical="center"/>
    </xf>
    <xf numFmtId="0" fontId="24" fillId="0" borderId="0" xfId="4" applyFont="1" applyAlignment="1">
      <alignment horizontal="right" vertical="center"/>
    </xf>
    <xf numFmtId="0" fontId="26" fillId="0" borderId="0" xfId="9" applyFont="1">
      <alignment vertical="center"/>
    </xf>
    <xf numFmtId="0" fontId="27" fillId="0" borderId="0" xfId="0" applyFont="1"/>
    <xf numFmtId="0" fontId="23" fillId="0" borderId="0" xfId="20" applyFont="1"/>
    <xf numFmtId="0" fontId="24" fillId="0" borderId="0" xfId="20" applyFont="1"/>
    <xf numFmtId="0" fontId="27" fillId="0" borderId="0" xfId="20" applyFont="1"/>
    <xf numFmtId="3" fontId="23" fillId="0" borderId="0" xfId="20" applyNumberFormat="1" applyFont="1"/>
    <xf numFmtId="0" fontId="29" fillId="9" borderId="0" xfId="20" applyFont="1" applyFill="1" applyAlignment="1">
      <alignment horizontal="right"/>
    </xf>
    <xf numFmtId="0" fontId="25" fillId="0" borderId="0" xfId="22" applyFont="1" applyBorder="1"/>
    <xf numFmtId="10" fontId="23" fillId="0" borderId="0" xfId="20" applyNumberFormat="1" applyFont="1"/>
    <xf numFmtId="0" fontId="25" fillId="0" borderId="0" xfId="22" applyFont="1" applyBorder="1" applyAlignment="1">
      <alignment horizontal="left" vertical="center"/>
    </xf>
    <xf numFmtId="10" fontId="23" fillId="0" borderId="0" xfId="20" applyNumberFormat="1" applyFont="1" applyBorder="1"/>
    <xf numFmtId="0" fontId="23" fillId="0" borderId="12" xfId="20" applyFont="1" applyBorder="1"/>
    <xf numFmtId="10" fontId="23" fillId="0" borderId="12" xfId="20" applyNumberFormat="1" applyFont="1" applyBorder="1"/>
    <xf numFmtId="0" fontId="31" fillId="0" borderId="0" xfId="20" applyFont="1"/>
    <xf numFmtId="0" fontId="31" fillId="0" borderId="0" xfId="20" applyFont="1" applyAlignment="1">
      <alignment horizontal="right"/>
    </xf>
    <xf numFmtId="3" fontId="31" fillId="0" borderId="0" xfId="20" applyNumberFormat="1" applyFont="1" applyAlignment="1">
      <alignment horizontal="right"/>
    </xf>
    <xf numFmtId="0" fontId="29" fillId="9" borderId="0" xfId="4" quotePrefix="1" applyFont="1" applyFill="1" applyAlignment="1">
      <alignment horizontal="right" vertical="center"/>
    </xf>
    <xf numFmtId="0" fontId="25" fillId="0" borderId="0" xfId="0" applyFont="1"/>
    <xf numFmtId="0" fontId="32" fillId="0" borderId="0" xfId="0" applyFont="1"/>
    <xf numFmtId="164" fontId="25" fillId="0" borderId="0" xfId="0" applyNumberFormat="1" applyFont="1"/>
    <xf numFmtId="0" fontId="29" fillId="9" borderId="0" xfId="20" applyFont="1" applyFill="1" applyAlignment="1">
      <alignment horizontal="center"/>
    </xf>
    <xf numFmtId="3" fontId="23" fillId="0" borderId="0" xfId="20" applyNumberFormat="1" applyFont="1" applyFill="1"/>
    <xf numFmtId="0" fontId="23" fillId="0" borderId="0" xfId="20" applyFont="1"/>
    <xf numFmtId="0" fontId="29" fillId="9" borderId="0" xfId="20" applyFont="1" applyFill="1" applyAlignment="1">
      <alignment horizontal="right"/>
    </xf>
    <xf numFmtId="0" fontId="24" fillId="0" borderId="0" xfId="20" applyFont="1"/>
    <xf numFmtId="0" fontId="31" fillId="0" borderId="0" xfId="20" applyFont="1"/>
    <xf numFmtId="180" fontId="21" fillId="0" borderId="0" xfId="20" applyNumberFormat="1" applyFont="1"/>
    <xf numFmtId="180" fontId="23" fillId="0" borderId="0" xfId="20" applyNumberFormat="1" applyFont="1"/>
    <xf numFmtId="180" fontId="29" fillId="9" borderId="0" xfId="20" applyNumberFormat="1" applyFont="1" applyFill="1" applyAlignment="1">
      <alignment horizontal="center"/>
    </xf>
    <xf numFmtId="180" fontId="24" fillId="0" borderId="0" xfId="20" applyNumberFormat="1" applyFont="1"/>
    <xf numFmtId="180" fontId="31" fillId="0" borderId="0" xfId="20" applyNumberFormat="1" applyFont="1"/>
    <xf numFmtId="180" fontId="23" fillId="0" borderId="0" xfId="20" applyNumberFormat="1" applyFont="1" applyAlignment="1">
      <alignment horizontal="center"/>
    </xf>
    <xf numFmtId="0" fontId="22" fillId="0" borderId="0" xfId="20" applyFont="1"/>
    <xf numFmtId="0" fontId="34" fillId="0" borderId="0" xfId="20" applyFont="1"/>
    <xf numFmtId="164" fontId="25" fillId="0" borderId="0" xfId="1" applyNumberFormat="1" applyFont="1"/>
    <xf numFmtId="0" fontId="25" fillId="0" borderId="0" xfId="0" applyFont="1" applyBorder="1"/>
    <xf numFmtId="0" fontId="25" fillId="0" borderId="0" xfId="0" applyFont="1" applyAlignment="1">
      <alignment vertical="center"/>
    </xf>
    <xf numFmtId="10" fontId="25" fillId="0" borderId="0" xfId="3" applyNumberFormat="1" applyFont="1"/>
    <xf numFmtId="0" fontId="29" fillId="9" borderId="0" xfId="0" applyFont="1" applyFill="1" applyAlignment="1">
      <alignment horizontal="center" vertical="center"/>
    </xf>
    <xf numFmtId="3" fontId="27" fillId="0" borderId="0" xfId="20" applyNumberFormat="1" applyFont="1" applyAlignment="1">
      <alignment horizontal="right"/>
    </xf>
    <xf numFmtId="177" fontId="27" fillId="0" borderId="0" xfId="20" applyNumberFormat="1" applyFont="1" applyAlignment="1">
      <alignment horizontal="right"/>
    </xf>
    <xf numFmtId="0" fontId="25" fillId="0" borderId="0" xfId="0" applyFont="1" applyAlignment="1">
      <alignment horizontal="center" vertical="center" wrapText="1"/>
    </xf>
    <xf numFmtId="176" fontId="25" fillId="0" borderId="0" xfId="0" applyNumberFormat="1" applyFont="1"/>
    <xf numFmtId="0" fontId="25" fillId="0" borderId="0" xfId="0" applyFont="1" applyFill="1" applyBorder="1"/>
    <xf numFmtId="0" fontId="25" fillId="0" borderId="0" xfId="0" applyFont="1" applyAlignment="1">
      <alignment horizontal="left" vertical="center"/>
    </xf>
    <xf numFmtId="0" fontId="27" fillId="0" borderId="0" xfId="0" applyFont="1" applyAlignment="1">
      <alignment horizontal="left"/>
    </xf>
    <xf numFmtId="181" fontId="23" fillId="0" borderId="0" xfId="20" applyNumberFormat="1" applyFont="1"/>
    <xf numFmtId="182" fontId="23" fillId="0" borderId="0" xfId="20" applyNumberFormat="1" applyFont="1"/>
    <xf numFmtId="0" fontId="31" fillId="0" borderId="0" xfId="0" applyFont="1"/>
    <xf numFmtId="182" fontId="25" fillId="0" borderId="0" xfId="0" applyNumberFormat="1" applyFont="1"/>
    <xf numFmtId="0" fontId="27" fillId="0" borderId="0" xfId="0" applyFont="1" applyAlignment="1">
      <alignment horizontal="right"/>
    </xf>
    <xf numFmtId="0" fontId="18" fillId="0" borderId="0" xfId="0" applyFont="1" applyAlignment="1">
      <alignment horizontal="center"/>
    </xf>
    <xf numFmtId="181" fontId="25" fillId="0" borderId="0" xfId="0" applyNumberFormat="1" applyFont="1"/>
    <xf numFmtId="181" fontId="0" fillId="0" borderId="0" xfId="0" applyNumberFormat="1"/>
    <xf numFmtId="0" fontId="27" fillId="0" borderId="0" xfId="0" applyFont="1" applyAlignment="1">
      <alignment vertical="center" wrapText="1"/>
    </xf>
    <xf numFmtId="181" fontId="25" fillId="0" borderId="5" xfId="0" applyNumberFormat="1" applyFont="1" applyBorder="1"/>
    <xf numFmtId="165" fontId="25" fillId="0" borderId="0" xfId="3" applyNumberFormat="1" applyFont="1"/>
    <xf numFmtId="10" fontId="0" fillId="0" borderId="0" xfId="0" applyNumberFormat="1" applyFont="1"/>
    <xf numFmtId="10" fontId="25" fillId="0" borderId="0" xfId="0" applyNumberFormat="1" applyFont="1"/>
    <xf numFmtId="10" fontId="25" fillId="0" borderId="5" xfId="0" applyNumberFormat="1" applyFont="1" applyBorder="1"/>
    <xf numFmtId="0" fontId="31" fillId="0" borderId="0" xfId="0" applyFont="1" applyAlignment="1">
      <alignment horizontal="right"/>
    </xf>
    <xf numFmtId="172" fontId="25" fillId="0" borderId="0" xfId="0" applyNumberFormat="1" applyFont="1"/>
    <xf numFmtId="172" fontId="25" fillId="0" borderId="0" xfId="0" applyNumberFormat="1" applyFont="1" applyBorder="1"/>
    <xf numFmtId="0" fontId="25" fillId="0" borderId="5" xfId="0" applyFont="1" applyBorder="1"/>
    <xf numFmtId="0" fontId="25" fillId="0" borderId="0" xfId="0" applyFont="1" applyAlignment="1">
      <alignment horizontal="right" vertical="center"/>
    </xf>
    <xf numFmtId="0" fontId="35" fillId="0" borderId="0" xfId="0" applyFont="1"/>
    <xf numFmtId="175" fontId="12" fillId="0" borderId="0" xfId="3" applyNumberFormat="1" applyFont="1"/>
    <xf numFmtId="183" fontId="25" fillId="0" borderId="0" xfId="0" applyNumberFormat="1" applyFont="1"/>
    <xf numFmtId="0" fontId="22" fillId="0" borderId="0" xfId="9" applyFont="1">
      <alignment vertical="center"/>
    </xf>
    <xf numFmtId="180" fontId="27" fillId="0" borderId="0" xfId="20" applyNumberFormat="1" applyFont="1" applyBorder="1"/>
    <xf numFmtId="0" fontId="24" fillId="0" borderId="0" xfId="9" applyFont="1">
      <alignment vertical="center"/>
    </xf>
    <xf numFmtId="164" fontId="25" fillId="0" borderId="5" xfId="0" applyNumberFormat="1" applyFont="1" applyBorder="1"/>
    <xf numFmtId="0" fontId="29" fillId="9" borderId="0" xfId="0" applyFont="1" applyFill="1" applyAlignment="1">
      <alignment horizontal="right"/>
    </xf>
    <xf numFmtId="0" fontId="11" fillId="0" borderId="0" xfId="0" applyFont="1"/>
    <xf numFmtId="2" fontId="31" fillId="0" borderId="0" xfId="0" applyNumberFormat="1" applyFont="1"/>
    <xf numFmtId="0" fontId="36" fillId="0" borderId="0" xfId="0" applyFont="1"/>
    <xf numFmtId="168" fontId="29" fillId="9" borderId="0" xfId="25" applyNumberFormat="1" applyFont="1" applyFill="1" applyBorder="1" applyAlignment="1">
      <alignment horizontal="right" vertical="center"/>
    </xf>
    <xf numFmtId="164" fontId="25" fillId="0" borderId="13" xfId="0" applyNumberFormat="1" applyFont="1" applyBorder="1"/>
    <xf numFmtId="0" fontId="25" fillId="0" borderId="11" xfId="0" applyFont="1" applyBorder="1"/>
    <xf numFmtId="10" fontId="23" fillId="6" borderId="0" xfId="3" applyNumberFormat="1" applyFont="1" applyFill="1" applyBorder="1" applyAlignment="1">
      <alignment vertical="center"/>
    </xf>
    <xf numFmtId="0" fontId="25" fillId="0" borderId="0" xfId="0" applyFont="1" applyAlignment="1">
      <alignment horizontal="right"/>
    </xf>
    <xf numFmtId="0" fontId="25" fillId="0" borderId="0" xfId="0" applyFont="1" applyAlignment="1">
      <alignment horizontal="center"/>
    </xf>
    <xf numFmtId="168" fontId="29" fillId="9" borderId="0" xfId="20" applyNumberFormat="1" applyFont="1" applyFill="1" applyAlignment="1">
      <alignment horizontal="right"/>
    </xf>
    <xf numFmtId="186" fontId="25" fillId="0" borderId="0" xfId="1" applyNumberFormat="1" applyFont="1"/>
    <xf numFmtId="0" fontId="25" fillId="0" borderId="0" xfId="0" applyFont="1" applyAlignment="1">
      <alignment horizontal="center" vertical="center"/>
    </xf>
    <xf numFmtId="10" fontId="25" fillId="0" borderId="0" xfId="0" applyNumberFormat="1" applyFont="1" applyFill="1" applyBorder="1"/>
    <xf numFmtId="7" fontId="25" fillId="0" borderId="0" xfId="0" applyNumberFormat="1" applyFont="1" applyFill="1" applyBorder="1" applyAlignment="1">
      <alignment horizontal="right"/>
    </xf>
    <xf numFmtId="43" fontId="25" fillId="0" borderId="0" xfId="1" applyFont="1"/>
    <xf numFmtId="0" fontId="23" fillId="0" borderId="0" xfId="4" applyFont="1">
      <alignment vertical="center"/>
    </xf>
    <xf numFmtId="0" fontId="32" fillId="6" borderId="0" xfId="0" applyFont="1" applyFill="1"/>
    <xf numFmtId="173" fontId="25" fillId="0" borderId="0" xfId="0" applyNumberFormat="1" applyFont="1"/>
    <xf numFmtId="173" fontId="25" fillId="0" borderId="5" xfId="0" applyNumberFormat="1" applyFont="1" applyBorder="1"/>
    <xf numFmtId="181" fontId="31" fillId="0" borderId="0" xfId="0" applyNumberFormat="1" applyFont="1" applyAlignment="1">
      <alignment horizontal="right"/>
    </xf>
    <xf numFmtId="0" fontId="25" fillId="0" borderId="5" xfId="0" applyFont="1" applyBorder="1" applyAlignment="1">
      <alignment vertical="center"/>
    </xf>
    <xf numFmtId="166" fontId="25" fillId="0" borderId="5" xfId="0" applyNumberFormat="1" applyFont="1" applyBorder="1" applyAlignment="1">
      <alignment vertical="center"/>
    </xf>
    <xf numFmtId="166" fontId="25" fillId="0" borderId="0" xfId="0" applyNumberFormat="1" applyFont="1"/>
    <xf numFmtId="0" fontId="25" fillId="0" borderId="8" xfId="0" applyFont="1" applyBorder="1" applyAlignment="1">
      <alignment vertical="center"/>
    </xf>
    <xf numFmtId="0" fontId="25" fillId="0" borderId="0" xfId="0" applyFont="1" applyBorder="1" applyAlignment="1">
      <alignment vertical="center"/>
    </xf>
    <xf numFmtId="166" fontId="25" fillId="0" borderId="0" xfId="0" applyNumberFormat="1" applyFont="1" applyBorder="1" applyAlignment="1">
      <alignment vertical="center"/>
    </xf>
    <xf numFmtId="166" fontId="25" fillId="0" borderId="5" xfId="0" applyNumberFormat="1" applyFont="1" applyBorder="1"/>
    <xf numFmtId="43" fontId="25" fillId="0" borderId="0" xfId="0" applyNumberFormat="1" applyFont="1"/>
    <xf numFmtId="0" fontId="29" fillId="10" borderId="0" xfId="0" applyFont="1" applyFill="1"/>
    <xf numFmtId="169" fontId="25" fillId="0" borderId="0" xfId="0" applyNumberFormat="1" applyFont="1" applyAlignment="1">
      <alignment horizontal="right"/>
    </xf>
    <xf numFmtId="0" fontId="25" fillId="0" borderId="1" xfId="0" applyFont="1" applyBorder="1"/>
    <xf numFmtId="0" fontId="29" fillId="9" borderId="0" xfId="0" applyFont="1" applyFill="1" applyAlignment="1">
      <alignment vertical="center"/>
    </xf>
    <xf numFmtId="0" fontId="38" fillId="0" borderId="0" xfId="0" applyFont="1"/>
    <xf numFmtId="0" fontId="27" fillId="0" borderId="0" xfId="0" applyFont="1" applyBorder="1"/>
    <xf numFmtId="184" fontId="27" fillId="0" borderId="0" xfId="0" applyNumberFormat="1" applyFont="1" applyBorder="1" applyAlignment="1">
      <alignment horizontal="right"/>
    </xf>
    <xf numFmtId="8" fontId="25" fillId="0" borderId="0" xfId="9" applyNumberFormat="1" applyFont="1" applyFill="1">
      <alignment vertical="center"/>
    </xf>
    <xf numFmtId="9" fontId="25" fillId="0" borderId="0" xfId="3" applyFont="1"/>
    <xf numFmtId="169" fontId="25" fillId="0" borderId="0" xfId="0" applyNumberFormat="1" applyFont="1"/>
    <xf numFmtId="164" fontId="25" fillId="0" borderId="0" xfId="1" applyNumberFormat="1" applyFont="1" applyFill="1" applyBorder="1" applyAlignment="1">
      <alignment horizontal="center"/>
    </xf>
    <xf numFmtId="0" fontId="29" fillId="9" borderId="0" xfId="22" applyFont="1" applyFill="1" applyBorder="1" applyAlignment="1">
      <alignment horizontal="left" vertical="center"/>
    </xf>
    <xf numFmtId="165" fontId="25" fillId="0" borderId="0" xfId="3" applyNumberFormat="1" applyFont="1" applyBorder="1"/>
    <xf numFmtId="0" fontId="25" fillId="0" borderId="0" xfId="0" applyFont="1" applyFill="1" applyAlignment="1"/>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0" fillId="0" borderId="0" xfId="0" applyBorder="1" applyAlignment="1">
      <alignment horizontal="left"/>
    </xf>
    <xf numFmtId="0" fontId="25" fillId="0" borderId="5" xfId="0" applyFont="1" applyFill="1" applyBorder="1" applyAlignment="1">
      <alignment horizontal="left" vertical="center"/>
    </xf>
    <xf numFmtId="176" fontId="25" fillId="0" borderId="5" xfId="0" applyNumberFormat="1" applyFont="1" applyBorder="1"/>
    <xf numFmtId="0" fontId="31" fillId="0" borderId="0" xfId="0" applyFont="1" applyAlignment="1">
      <alignment horizontal="center" vertical="center" wrapText="1"/>
    </xf>
    <xf numFmtId="176" fontId="25" fillId="0" borderId="0" xfId="0" applyNumberFormat="1" applyFont="1" applyFill="1"/>
    <xf numFmtId="0" fontId="25" fillId="0" borderId="5" xfId="0" applyFont="1" applyBorder="1" applyAlignment="1">
      <alignment horizontal="left" vertical="center"/>
    </xf>
    <xf numFmtId="176" fontId="25" fillId="0" borderId="5" xfId="0" applyNumberFormat="1" applyFont="1" applyFill="1" applyBorder="1"/>
    <xf numFmtId="0" fontId="8" fillId="9" borderId="0" xfId="0" applyFont="1" applyFill="1" applyAlignment="1">
      <alignment horizontal="right"/>
    </xf>
    <xf numFmtId="166" fontId="25" fillId="0" borderId="8" xfId="0" applyNumberFormat="1" applyFont="1" applyBorder="1" applyAlignment="1">
      <alignment vertical="center"/>
    </xf>
    <xf numFmtId="10" fontId="25" fillId="0" borderId="0" xfId="0" quotePrefix="1" applyNumberFormat="1" applyFont="1" applyAlignment="1">
      <alignment vertical="center"/>
    </xf>
    <xf numFmtId="164" fontId="0" fillId="0" borderId="0" xfId="0" applyNumberFormat="1" applyFont="1"/>
    <xf numFmtId="0" fontId="29" fillId="9" borderId="0" xfId="0" applyFont="1" applyFill="1"/>
    <xf numFmtId="0" fontId="39" fillId="0" borderId="0" xfId="0" applyFont="1"/>
    <xf numFmtId="14" fontId="29" fillId="9" borderId="0" xfId="0" applyNumberFormat="1" applyFont="1" applyFill="1" applyAlignment="1">
      <alignment horizontal="right" vertical="center" wrapText="1"/>
    </xf>
    <xf numFmtId="0" fontId="29" fillId="9" borderId="0" xfId="0" applyFont="1" applyFill="1" applyAlignment="1">
      <alignment horizontal="center" vertical="center" wrapText="1"/>
    </xf>
    <xf numFmtId="0" fontId="29" fillId="9" borderId="0" xfId="0" applyFont="1" applyFill="1" applyAlignment="1">
      <alignment horizontal="right" vertical="center" wrapText="1"/>
    </xf>
    <xf numFmtId="188" fontId="25" fillId="0" borderId="0" xfId="0" applyNumberFormat="1" applyFont="1"/>
    <xf numFmtId="0" fontId="28" fillId="0" borderId="0" xfId="9" applyFont="1">
      <alignment vertical="center"/>
    </xf>
    <xf numFmtId="0" fontId="23" fillId="0" borderId="0" xfId="9" applyFont="1" applyAlignment="1">
      <alignment horizontal="left" vertical="center"/>
    </xf>
    <xf numFmtId="175" fontId="25" fillId="0" borderId="0" xfId="3" applyNumberFormat="1" applyFont="1"/>
    <xf numFmtId="7" fontId="25" fillId="0" borderId="0" xfId="0" applyNumberFormat="1" applyFont="1" applyAlignment="1">
      <alignment horizontal="right"/>
    </xf>
    <xf numFmtId="0" fontId="11" fillId="0" borderId="0" xfId="0" applyFont="1" applyAlignment="1">
      <alignment vertical="center"/>
    </xf>
    <xf numFmtId="189" fontId="25" fillId="0" borderId="0" xfId="0" applyNumberFormat="1" applyFont="1"/>
    <xf numFmtId="0" fontId="28" fillId="0" borderId="0" xfId="33" applyFont="1" applyAlignment="1">
      <alignment vertical="center"/>
    </xf>
    <xf numFmtId="0" fontId="41" fillId="0" borderId="0" xfId="33" applyFont="1" applyAlignment="1"/>
    <xf numFmtId="0" fontId="28" fillId="0" borderId="0" xfId="33">
      <alignment vertical="center"/>
    </xf>
    <xf numFmtId="0" fontId="28" fillId="0" borderId="0" xfId="33" applyFill="1">
      <alignment vertical="center"/>
    </xf>
    <xf numFmtId="0" fontId="28" fillId="0" borderId="0" xfId="33" applyBorder="1">
      <alignment vertical="center"/>
    </xf>
    <xf numFmtId="0" fontId="28" fillId="0" borderId="0" xfId="33" applyFill="1" applyBorder="1">
      <alignment vertical="center"/>
    </xf>
    <xf numFmtId="0" fontId="28" fillId="0" borderId="0" xfId="33" applyFont="1" applyFill="1">
      <alignment vertical="center"/>
    </xf>
    <xf numFmtId="0" fontId="28" fillId="0" borderId="0" xfId="33" applyFont="1" applyFill="1" applyAlignment="1">
      <alignment vertical="center"/>
    </xf>
    <xf numFmtId="0" fontId="44" fillId="0" borderId="0" xfId="33" applyFont="1">
      <alignment vertical="center"/>
    </xf>
    <xf numFmtId="0" fontId="45" fillId="0" borderId="15" xfId="34" applyFill="1" applyAlignment="1">
      <alignment vertical="center"/>
    </xf>
    <xf numFmtId="0" fontId="5" fillId="0" borderId="0" xfId="33" applyFont="1">
      <alignment vertical="center"/>
    </xf>
    <xf numFmtId="0" fontId="45" fillId="0" borderId="15" xfId="34" applyAlignment="1">
      <alignment vertical="center"/>
    </xf>
    <xf numFmtId="0" fontId="45" fillId="0" borderId="15" xfId="34" applyAlignment="1">
      <alignment horizontal="left" vertical="center"/>
    </xf>
    <xf numFmtId="0" fontId="7" fillId="0" borderId="0" xfId="33" applyFont="1">
      <alignment vertical="center"/>
    </xf>
    <xf numFmtId="0" fontId="48" fillId="0" borderId="0" xfId="33" applyFont="1">
      <alignment vertical="center"/>
    </xf>
    <xf numFmtId="0" fontId="41" fillId="0" borderId="0" xfId="33" applyFont="1" applyAlignment="1">
      <alignment horizontal="left"/>
    </xf>
    <xf numFmtId="0" fontId="43" fillId="0" borderId="0" xfId="33" applyFont="1" applyAlignment="1">
      <alignment vertical="center"/>
    </xf>
    <xf numFmtId="0" fontId="23" fillId="0" borderId="0" xfId="33" applyFont="1" applyAlignment="1">
      <alignment vertical="center"/>
    </xf>
    <xf numFmtId="0" fontId="23" fillId="0" borderId="0" xfId="33" applyFont="1" applyFill="1" applyAlignment="1">
      <alignment vertical="center"/>
    </xf>
    <xf numFmtId="0" fontId="23" fillId="0" borderId="0" xfId="33" applyFont="1">
      <alignment vertical="center"/>
    </xf>
    <xf numFmtId="0" fontId="25" fillId="5" borderId="0" xfId="0" applyFont="1" applyFill="1"/>
    <xf numFmtId="0" fontId="22" fillId="0" borderId="0" xfId="33" applyFont="1" applyFill="1" applyAlignment="1">
      <alignment horizontal="left"/>
    </xf>
    <xf numFmtId="0" fontId="23" fillId="0" borderId="0" xfId="33" applyFont="1" applyFill="1">
      <alignment vertical="center"/>
    </xf>
    <xf numFmtId="0" fontId="23" fillId="0" borderId="0" xfId="33" applyFont="1" applyAlignment="1">
      <alignment horizontal="left" vertical="center" wrapText="1" indent="1"/>
    </xf>
    <xf numFmtId="0" fontId="23" fillId="0" borderId="0" xfId="33" applyFont="1" applyBorder="1">
      <alignment vertical="center"/>
    </xf>
    <xf numFmtId="0" fontId="20" fillId="0" borderId="0" xfId="33" applyFont="1" applyAlignment="1">
      <alignment vertical="center"/>
    </xf>
    <xf numFmtId="180" fontId="23" fillId="0" borderId="0" xfId="20" applyNumberFormat="1" applyFont="1" applyFill="1"/>
    <xf numFmtId="165" fontId="25" fillId="0" borderId="0" xfId="3" applyNumberFormat="1" applyFont="1" applyFill="1"/>
    <xf numFmtId="180" fontId="23" fillId="0" borderId="0" xfId="20" applyNumberFormat="1" applyFont="1" applyFill="1" applyBorder="1"/>
    <xf numFmtId="180" fontId="27" fillId="0" borderId="0" xfId="20" applyNumberFormat="1" applyFont="1" applyBorder="1" applyAlignment="1">
      <alignment horizontal="right"/>
    </xf>
    <xf numFmtId="180" fontId="23" fillId="0" borderId="0" xfId="20" applyNumberFormat="1" applyFont="1" applyBorder="1"/>
    <xf numFmtId="3" fontId="27" fillId="0" borderId="0" xfId="20" applyNumberFormat="1" applyFont="1" applyBorder="1" applyAlignment="1">
      <alignment horizontal="right"/>
    </xf>
    <xf numFmtId="192" fontId="50" fillId="20" borderId="0" xfId="47" applyNumberFormat="1" applyFont="1" applyFill="1" applyBorder="1">
      <alignment vertical="center"/>
    </xf>
    <xf numFmtId="177" fontId="23" fillId="0" borderId="0" xfId="20" applyNumberFormat="1" applyFont="1"/>
    <xf numFmtId="180" fontId="27" fillId="0" borderId="0" xfId="20" applyNumberFormat="1" applyFont="1" applyFill="1" applyBorder="1"/>
    <xf numFmtId="177" fontId="27" fillId="0" borderId="0" xfId="20" applyNumberFormat="1" applyFont="1" applyFill="1" applyBorder="1" applyAlignment="1">
      <alignment horizontal="right"/>
    </xf>
    <xf numFmtId="0" fontId="23" fillId="0" borderId="0" xfId="20" applyFont="1" applyBorder="1"/>
    <xf numFmtId="0" fontId="25" fillId="0" borderId="0" xfId="0" applyFont="1" applyFill="1"/>
    <xf numFmtId="10" fontId="25" fillId="0" borderId="0" xfId="0" applyNumberFormat="1" applyFont="1" applyFill="1"/>
    <xf numFmtId="10" fontId="25" fillId="0" borderId="0" xfId="3" applyNumberFormat="1" applyFont="1" applyFill="1" applyBorder="1" applyAlignment="1">
      <alignment vertical="center"/>
    </xf>
    <xf numFmtId="10" fontId="25" fillId="0" borderId="8" xfId="3" applyNumberFormat="1" applyFont="1" applyFill="1" applyBorder="1" applyAlignment="1">
      <alignment vertical="center"/>
    </xf>
    <xf numFmtId="2" fontId="25" fillId="0" borderId="0" xfId="0" applyNumberFormat="1" applyFont="1" applyFill="1" applyAlignment="1">
      <alignment horizontal="right"/>
    </xf>
    <xf numFmtId="166" fontId="25" fillId="5" borderId="0" xfId="0" applyNumberFormat="1" applyFont="1" applyFill="1"/>
    <xf numFmtId="165" fontId="23" fillId="0" borderId="0" xfId="20" applyNumberFormat="1" applyFont="1" applyFill="1"/>
    <xf numFmtId="165" fontId="25" fillId="0" borderId="0" xfId="1" applyNumberFormat="1" applyFont="1" applyFill="1"/>
    <xf numFmtId="165" fontId="23" fillId="0" borderId="5" xfId="20" applyNumberFormat="1" applyFont="1" applyFill="1" applyBorder="1"/>
    <xf numFmtId="181" fontId="25" fillId="0" borderId="0" xfId="0" applyNumberFormat="1" applyFont="1" applyFill="1"/>
    <xf numFmtId="0" fontId="0" fillId="5" borderId="0" xfId="0" applyFill="1"/>
    <xf numFmtId="10" fontId="0" fillId="5" borderId="0" xfId="0" applyNumberFormat="1" applyFill="1"/>
    <xf numFmtId="176" fontId="25" fillId="0" borderId="0" xfId="0" applyNumberFormat="1" applyFont="1" applyAlignment="1">
      <alignment horizontal="right"/>
    </xf>
    <xf numFmtId="188" fontId="27" fillId="0" borderId="0" xfId="0" applyNumberFormat="1" applyFont="1" applyAlignment="1">
      <alignment horizontal="right"/>
    </xf>
    <xf numFmtId="0" fontId="11" fillId="0" borderId="0" xfId="22" applyFont="1" applyFill="1" applyBorder="1" applyAlignment="1">
      <alignment horizontal="left" vertical="center"/>
    </xf>
    <xf numFmtId="0" fontId="29" fillId="9" borderId="0" xfId="20" applyFont="1" applyFill="1" applyBorder="1" applyAlignment="1">
      <alignment horizontal="center"/>
    </xf>
    <xf numFmtId="0" fontId="25" fillId="0" borderId="0" xfId="22" applyFont="1" applyFill="1" applyBorder="1" applyAlignment="1">
      <alignment horizontal="left" vertical="center"/>
    </xf>
    <xf numFmtId="181" fontId="23" fillId="11" borderId="0" xfId="20" applyNumberFormat="1" applyFont="1" applyFill="1"/>
    <xf numFmtId="0" fontId="51" fillId="0" borderId="0" xfId="20" applyFont="1"/>
    <xf numFmtId="0" fontId="23" fillId="0" borderId="5" xfId="20" applyFont="1" applyBorder="1"/>
    <xf numFmtId="10" fontId="23" fillId="0" borderId="5" xfId="20" applyNumberFormat="1" applyFont="1" applyBorder="1"/>
    <xf numFmtId="10" fontId="25" fillId="0" borderId="5" xfId="3" applyNumberFormat="1" applyFont="1" applyBorder="1"/>
    <xf numFmtId="0" fontId="18" fillId="0" borderId="5" xfId="0" applyFont="1" applyBorder="1" applyAlignment="1">
      <alignment horizontal="center"/>
    </xf>
    <xf numFmtId="0" fontId="1" fillId="0" borderId="0" xfId="22" applyFont="1" applyFill="1" applyBorder="1" applyAlignment="1">
      <alignment horizontal="left" vertical="center"/>
    </xf>
    <xf numFmtId="5" fontId="25" fillId="0" borderId="0" xfId="0" applyNumberFormat="1" applyFont="1"/>
    <xf numFmtId="189" fontId="25" fillId="11" borderId="0" xfId="0" applyNumberFormat="1" applyFont="1" applyFill="1"/>
    <xf numFmtId="189" fontId="31" fillId="0" borderId="0" xfId="0" applyNumberFormat="1" applyFont="1"/>
    <xf numFmtId="189" fontId="31" fillId="0" borderId="0" xfId="0" applyNumberFormat="1" applyFont="1" applyAlignment="1">
      <alignment horizontal="right"/>
    </xf>
    <xf numFmtId="187" fontId="31" fillId="0" borderId="0" xfId="0" applyNumberFormat="1" applyFont="1" applyAlignment="1">
      <alignment horizontal="right"/>
    </xf>
    <xf numFmtId="175" fontId="23" fillId="0" borderId="0" xfId="20" applyNumberFormat="1" applyFont="1" applyBorder="1"/>
    <xf numFmtId="10" fontId="25" fillId="0" borderId="0" xfId="0" applyNumberFormat="1" applyFont="1" applyBorder="1"/>
    <xf numFmtId="9" fontId="25" fillId="0" borderId="0" xfId="0" applyNumberFormat="1" applyFont="1"/>
    <xf numFmtId="10" fontId="25" fillId="0" borderId="0" xfId="0" applyNumberFormat="1" applyFont="1" applyAlignment="1">
      <alignment horizontal="right"/>
    </xf>
    <xf numFmtId="0" fontId="25" fillId="0" borderId="0" xfId="0" applyFont="1" applyAlignment="1">
      <alignment horizontal="left" indent="1"/>
    </xf>
    <xf numFmtId="10" fontId="25" fillId="0" borderId="0" xfId="0" applyNumberFormat="1" applyFont="1" applyAlignment="1">
      <alignment vertical="center"/>
    </xf>
    <xf numFmtId="7" fontId="25" fillId="0" borderId="0" xfId="0" applyNumberFormat="1" applyFont="1"/>
    <xf numFmtId="172" fontId="25" fillId="0" borderId="0" xfId="1" applyNumberFormat="1" applyFont="1"/>
    <xf numFmtId="175" fontId="31" fillId="0" borderId="0" xfId="3" applyNumberFormat="1" applyFont="1"/>
    <xf numFmtId="195" fontId="25" fillId="0" borderId="0" xfId="0" applyNumberFormat="1" applyFont="1"/>
    <xf numFmtId="172" fontId="25" fillId="11" borderId="0" xfId="1" applyNumberFormat="1" applyFont="1" applyFill="1"/>
    <xf numFmtId="10" fontId="25" fillId="5" borderId="0" xfId="0" applyNumberFormat="1" applyFont="1" applyFill="1"/>
    <xf numFmtId="2" fontId="25" fillId="0" borderId="0" xfId="3" applyNumberFormat="1" applyFont="1" applyAlignment="1">
      <alignment horizontal="center"/>
    </xf>
    <xf numFmtId="7" fontId="25" fillId="0" borderId="0" xfId="0" applyNumberFormat="1" applyFont="1" applyFill="1" applyBorder="1" applyAlignment="1">
      <alignment horizontal="center"/>
    </xf>
    <xf numFmtId="169" fontId="25" fillId="0" borderId="0" xfId="0" applyNumberFormat="1" applyFont="1" applyBorder="1" applyAlignment="1">
      <alignment horizontal="right" wrapText="1"/>
    </xf>
    <xf numFmtId="169" fontId="25" fillId="0" borderId="0" xfId="0" applyNumberFormat="1" applyFont="1" applyFill="1" applyBorder="1" applyAlignment="1">
      <alignment horizontal="right" wrapText="1"/>
    </xf>
    <xf numFmtId="7" fontId="25" fillId="0" borderId="0" xfId="0" applyNumberFormat="1" applyFont="1" applyFill="1" applyBorder="1" applyAlignment="1">
      <alignment horizontal="right" wrapText="1"/>
    </xf>
    <xf numFmtId="7" fontId="25" fillId="0" borderId="0" xfId="0" applyNumberFormat="1" applyFont="1" applyBorder="1" applyAlignment="1">
      <alignment horizontal="right" wrapText="1"/>
    </xf>
    <xf numFmtId="7" fontId="25" fillId="0" borderId="0" xfId="0" applyNumberFormat="1" applyFont="1" applyBorder="1" applyAlignment="1">
      <alignment horizontal="right"/>
    </xf>
    <xf numFmtId="7" fontId="25" fillId="0" borderId="0" xfId="0" applyNumberFormat="1" applyFont="1" applyFill="1" applyAlignment="1">
      <alignment horizontal="right"/>
    </xf>
    <xf numFmtId="7" fontId="25" fillId="0" borderId="0" xfId="0" applyNumberFormat="1" applyFont="1" applyBorder="1"/>
    <xf numFmtId="43" fontId="25" fillId="0" borderId="0" xfId="1" applyFont="1" applyFill="1"/>
    <xf numFmtId="2" fontId="25" fillId="0" borderId="0" xfId="3" applyNumberFormat="1" applyFont="1" applyAlignment="1">
      <alignment horizontal="right"/>
    </xf>
    <xf numFmtId="0" fontId="11" fillId="5" borderId="0" xfId="0" applyFont="1" applyFill="1"/>
    <xf numFmtId="7" fontId="25" fillId="5" borderId="0" xfId="0" applyNumberFormat="1" applyFont="1" applyFill="1"/>
    <xf numFmtId="10" fontId="0" fillId="0" borderId="1" xfId="0" applyNumberFormat="1" applyBorder="1"/>
    <xf numFmtId="7" fontId="25" fillId="0" borderId="0" xfId="0" applyNumberFormat="1" applyFont="1" applyFill="1" applyBorder="1" applyAlignment="1"/>
    <xf numFmtId="0" fontId="24" fillId="0" borderId="0" xfId="33" applyFont="1" applyAlignment="1">
      <alignment vertical="center"/>
    </xf>
    <xf numFmtId="0" fontId="28" fillId="0" borderId="0" xfId="33" applyAlignment="1">
      <alignment vertical="center"/>
    </xf>
    <xf numFmtId="10"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25" fillId="0" borderId="0" xfId="0" applyNumberFormat="1" applyFont="1" applyFill="1" applyBorder="1"/>
    <xf numFmtId="181" fontId="25" fillId="0" borderId="0" xfId="0" applyNumberFormat="1" applyFont="1" applyBorder="1"/>
    <xf numFmtId="173" fontId="25" fillId="0" borderId="0" xfId="0" applyNumberFormat="1" applyFont="1" applyFill="1"/>
    <xf numFmtId="181" fontId="31" fillId="0" borderId="0" xfId="0" applyNumberFormat="1" applyFont="1" applyFill="1" applyAlignment="1">
      <alignment horizontal="right"/>
    </xf>
    <xf numFmtId="10" fontId="16" fillId="0" borderId="0" xfId="0" applyNumberFormat="1" applyFont="1"/>
    <xf numFmtId="175" fontId="12" fillId="0" borderId="0" xfId="3" applyNumberFormat="1" applyFont="1" applyFill="1"/>
    <xf numFmtId="169" fontId="25" fillId="0" borderId="0" xfId="0" applyNumberFormat="1" applyFont="1" applyFill="1"/>
    <xf numFmtId="173" fontId="31" fillId="0" borderId="0" xfId="0" applyNumberFormat="1" applyFont="1"/>
    <xf numFmtId="9" fontId="25" fillId="0" borderId="0" xfId="3" applyFont="1" applyFill="1"/>
    <xf numFmtId="0" fontId="29" fillId="0" borderId="0" xfId="0" applyFont="1" applyFill="1" applyAlignment="1">
      <alignment horizontal="center"/>
    </xf>
    <xf numFmtId="7" fontId="25" fillId="0" borderId="0" xfId="1" applyNumberFormat="1" applyFont="1" applyFill="1"/>
    <xf numFmtId="0" fontId="11" fillId="5" borderId="2" xfId="0" applyFont="1" applyFill="1" applyBorder="1" applyAlignment="1">
      <alignment horizontal="right" vertical="center"/>
    </xf>
    <xf numFmtId="7" fontId="25" fillId="0" borderId="0" xfId="0" applyNumberFormat="1" applyFont="1" applyFill="1"/>
    <xf numFmtId="0" fontId="29" fillId="9" borderId="0" xfId="0" applyFont="1" applyFill="1" applyBorder="1" applyAlignment="1">
      <alignment horizontal="right" vertical="center"/>
    </xf>
    <xf numFmtId="0" fontId="23" fillId="0" borderId="0" xfId="33" applyFont="1" applyAlignment="1">
      <alignment vertical="center" wrapText="1"/>
    </xf>
    <xf numFmtId="14" fontId="29" fillId="9" borderId="0" xfId="0" applyNumberFormat="1" applyFont="1" applyFill="1" applyBorder="1" applyAlignment="1">
      <alignment horizontal="right" vertical="center" wrapText="1"/>
    </xf>
    <xf numFmtId="17" fontId="30" fillId="9" borderId="0" xfId="0" applyNumberFormat="1" applyFont="1" applyFill="1" applyBorder="1" applyAlignment="1">
      <alignment horizontal="right" wrapText="1"/>
    </xf>
    <xf numFmtId="0" fontId="11" fillId="0" borderId="0" xfId="0" applyFont="1" applyFill="1"/>
    <xf numFmtId="0" fontId="1" fillId="0" borderId="0" xfId="0" applyFont="1" applyAlignment="1">
      <alignment horizontal="right"/>
    </xf>
    <xf numFmtId="165" fontId="0" fillId="0" borderId="0" xfId="3" applyNumberFormat="1" applyFont="1"/>
    <xf numFmtId="7" fontId="0" fillId="5" borderId="0" xfId="0" applyNumberFormat="1" applyFill="1"/>
    <xf numFmtId="165" fontId="0" fillId="5" borderId="0" xfId="3" applyNumberFormat="1" applyFont="1" applyFill="1"/>
    <xf numFmtId="0" fontId="1" fillId="0" borderId="0" xfId="0" applyFont="1" applyAlignment="1">
      <alignment horizontal="right" vertical="center" wrapText="1"/>
    </xf>
    <xf numFmtId="0" fontId="8" fillId="9" borderId="0" xfId="0" applyFont="1" applyFill="1"/>
    <xf numFmtId="0" fontId="25" fillId="0" borderId="0" xfId="20" applyFont="1" applyFill="1" applyBorder="1" applyAlignment="1">
      <alignment horizontal="right"/>
    </xf>
    <xf numFmtId="17" fontId="29" fillId="9" borderId="0" xfId="0" applyNumberFormat="1" applyFont="1" applyFill="1" applyBorder="1" applyAlignment="1">
      <alignment horizontal="right" wrapText="1"/>
    </xf>
    <xf numFmtId="0" fontId="25" fillId="0" borderId="0" xfId="20" applyFont="1" applyFill="1" applyAlignment="1">
      <alignment horizontal="right"/>
    </xf>
    <xf numFmtId="0" fontId="29" fillId="9" borderId="0" xfId="0" applyFont="1" applyFill="1" applyAlignment="1">
      <alignment horizontal="right" vertical="center"/>
    </xf>
    <xf numFmtId="0" fontId="53" fillId="0" borderId="0" xfId="0" applyFont="1"/>
    <xf numFmtId="0" fontId="30" fillId="12" borderId="0" xfId="33" applyFont="1" applyFill="1" applyAlignment="1">
      <alignment vertical="center"/>
    </xf>
    <xf numFmtId="0" fontId="28" fillId="0" borderId="0" xfId="33" applyFill="1" applyAlignment="1">
      <alignment vertical="center"/>
    </xf>
    <xf numFmtId="0" fontId="25" fillId="2" borderId="0" xfId="33" applyFont="1" applyFill="1" applyAlignment="1">
      <alignment vertical="center"/>
    </xf>
    <xf numFmtId="0" fontId="23" fillId="7" borderId="0" xfId="33" applyFont="1" applyFill="1" applyAlignment="1">
      <alignment vertical="center"/>
    </xf>
    <xf numFmtId="0" fontId="23" fillId="2" borderId="0" xfId="33" applyFont="1" applyFill="1" applyAlignment="1">
      <alignment vertical="center"/>
    </xf>
    <xf numFmtId="0" fontId="23" fillId="21" borderId="0" xfId="33" applyFont="1" applyFill="1" applyAlignment="1">
      <alignment vertical="center"/>
    </xf>
    <xf numFmtId="185" fontId="31" fillId="0" borderId="0" xfId="0" applyNumberFormat="1" applyFont="1" applyAlignment="1">
      <alignment horizontal="left"/>
    </xf>
    <xf numFmtId="0" fontId="45" fillId="0" borderId="15" xfId="34" applyFont="1" applyFill="1" applyAlignment="1">
      <alignment vertical="center"/>
    </xf>
    <xf numFmtId="0" fontId="21" fillId="0" borderId="0" xfId="33" applyFont="1">
      <alignment vertical="center"/>
    </xf>
    <xf numFmtId="0" fontId="24" fillId="0" borderId="0" xfId="33" applyFont="1">
      <alignment vertical="center"/>
    </xf>
    <xf numFmtId="0" fontId="19" fillId="0" borderId="0" xfId="33" applyFont="1">
      <alignment vertical="center"/>
    </xf>
    <xf numFmtId="0" fontId="23" fillId="13" borderId="0" xfId="33" applyFont="1" applyFill="1">
      <alignment vertical="center"/>
    </xf>
    <xf numFmtId="0" fontId="23" fillId="14" borderId="0" xfId="33" applyFont="1" applyFill="1">
      <alignment vertical="center"/>
    </xf>
    <xf numFmtId="0" fontId="23" fillId="2" borderId="0" xfId="33" applyFont="1" applyFill="1">
      <alignment vertical="center"/>
    </xf>
    <xf numFmtId="0" fontId="23" fillId="0" borderId="2" xfId="33" applyFont="1" applyBorder="1">
      <alignment vertical="center"/>
    </xf>
    <xf numFmtId="0" fontId="23" fillId="12" borderId="0" xfId="33" applyFont="1" applyFill="1">
      <alignment vertical="center"/>
    </xf>
    <xf numFmtId="0" fontId="23" fillId="7" borderId="0" xfId="33" applyFont="1" applyFill="1">
      <alignment vertical="center"/>
    </xf>
    <xf numFmtId="0" fontId="23" fillId="0" borderId="0" xfId="33" applyFont="1" applyAlignment="1">
      <alignment horizontal="right" vertical="center"/>
    </xf>
    <xf numFmtId="0" fontId="19" fillId="0" borderId="0" xfId="33" applyFont="1" applyAlignment="1">
      <alignment horizontal="right" vertical="center"/>
    </xf>
    <xf numFmtId="194" fontId="49" fillId="4" borderId="7" xfId="50" applyFont="1" applyFill="1" applyAlignment="1">
      <alignment vertical="center"/>
    </xf>
    <xf numFmtId="192" fontId="29" fillId="20" borderId="14" xfId="47" applyNumberFormat="1" applyFont="1" applyFill="1">
      <alignment vertical="center"/>
    </xf>
    <xf numFmtId="192" fontId="24" fillId="19" borderId="14" xfId="47" applyNumberFormat="1" applyFont="1" applyFill="1">
      <alignment vertical="center"/>
    </xf>
    <xf numFmtId="164" fontId="0" fillId="0" borderId="0" xfId="1" applyNumberFormat="1" applyFont="1"/>
    <xf numFmtId="0" fontId="0" fillId="0" borderId="0" xfId="0"/>
    <xf numFmtId="0" fontId="25" fillId="0" borderId="0" xfId="0" applyFont="1"/>
    <xf numFmtId="0" fontId="26" fillId="0" borderId="0" xfId="0" applyFont="1"/>
    <xf numFmtId="0" fontId="16" fillId="0" borderId="0" xfId="0" applyFont="1"/>
    <xf numFmtId="0" fontId="1" fillId="0" borderId="0" xfId="0" applyFont="1"/>
    <xf numFmtId="0" fontId="0" fillId="0" borderId="0" xfId="0" applyFont="1" applyFill="1"/>
    <xf numFmtId="0" fontId="38" fillId="0" borderId="0" xfId="0" applyFont="1"/>
    <xf numFmtId="0" fontId="25" fillId="0" borderId="9" xfId="0" applyFont="1" applyBorder="1" applyAlignment="1">
      <alignment vertical="center"/>
    </xf>
    <xf numFmtId="0" fontId="25" fillId="0" borderId="10" xfId="0" applyFont="1" applyBorder="1" applyAlignment="1">
      <alignment vertical="center"/>
    </xf>
    <xf numFmtId="0" fontId="25" fillId="0" borderId="5" xfId="0" applyFont="1" applyBorder="1" applyAlignment="1">
      <alignment vertical="center"/>
    </xf>
    <xf numFmtId="0" fontId="11" fillId="0" borderId="0" xfId="0" applyFont="1"/>
    <xf numFmtId="0" fontId="25" fillId="0" borderId="0" xfId="0" applyFont="1" applyAlignment="1">
      <alignment horizontal="center" vertical="center"/>
    </xf>
    <xf numFmtId="0" fontId="0" fillId="0" borderId="0" xfId="0" applyAlignment="1">
      <alignment vertical="center"/>
    </xf>
    <xf numFmtId="10" fontId="25" fillId="0" borderId="0" xfId="0" applyNumberFormat="1" applyFont="1"/>
    <xf numFmtId="0" fontId="12" fillId="0" borderId="0" xfId="0" applyFont="1"/>
    <xf numFmtId="0" fontId="25" fillId="0" borderId="5" xfId="0" applyFont="1" applyBorder="1"/>
    <xf numFmtId="176" fontId="0" fillId="0" borderId="0" xfId="0" applyNumberFormat="1"/>
    <xf numFmtId="164" fontId="25" fillId="0" borderId="0" xfId="0" applyNumberFormat="1" applyFont="1"/>
    <xf numFmtId="0" fontId="31" fillId="0" borderId="0" xfId="0" applyFont="1"/>
    <xf numFmtId="0" fontId="8" fillId="9" borderId="0" xfId="0" applyFont="1" applyFill="1" applyAlignment="1">
      <alignment horizontal="right"/>
    </xf>
    <xf numFmtId="0" fontId="0" fillId="0" borderId="0" xfId="0" applyAlignment="1">
      <alignment horizontal="left"/>
    </xf>
    <xf numFmtId="0" fontId="29" fillId="9" borderId="0" xfId="0" applyFont="1" applyFill="1" applyAlignment="1">
      <alignment horizontal="right"/>
    </xf>
    <xf numFmtId="184" fontId="25" fillId="0" borderId="0" xfId="0" applyNumberFormat="1" applyFont="1"/>
    <xf numFmtId="0" fontId="25" fillId="0" borderId="1" xfId="0" applyFont="1" applyBorder="1"/>
    <xf numFmtId="165" fontId="25" fillId="0" borderId="0" xfId="0" applyNumberFormat="1" applyFont="1"/>
    <xf numFmtId="0" fontId="29" fillId="9" borderId="0" xfId="0" applyFont="1" applyFill="1" applyAlignment="1">
      <alignment horizontal="center" vertical="center"/>
    </xf>
    <xf numFmtId="0" fontId="39" fillId="0" borderId="0" xfId="0" applyFont="1"/>
    <xf numFmtId="14" fontId="29" fillId="9" borderId="0" xfId="0" applyNumberFormat="1" applyFont="1" applyFill="1" applyAlignment="1">
      <alignment horizontal="right" vertical="center" wrapText="1"/>
    </xf>
    <xf numFmtId="10" fontId="1" fillId="0" borderId="0" xfId="0" applyNumberFormat="1" applyFont="1" applyAlignment="1">
      <alignment vertical="center"/>
    </xf>
    <xf numFmtId="0" fontId="29" fillId="9" borderId="0" xfId="0" applyFont="1" applyFill="1" applyAlignment="1">
      <alignment horizontal="left" vertical="center" wrapText="1"/>
    </xf>
    <xf numFmtId="0" fontId="30" fillId="9" borderId="0" xfId="0" applyFont="1" applyFill="1"/>
    <xf numFmtId="0" fontId="29" fillId="9" borderId="0" xfId="0" applyFont="1" applyFill="1" applyAlignment="1">
      <alignment horizontal="center" vertical="center" wrapText="1"/>
    </xf>
    <xf numFmtId="0" fontId="29" fillId="9" borderId="0" xfId="0" applyFont="1" applyFill="1" applyAlignment="1">
      <alignment horizontal="right" vertical="center" wrapText="1"/>
    </xf>
    <xf numFmtId="0" fontId="9" fillId="9" borderId="0" xfId="0" applyFont="1" applyFill="1"/>
    <xf numFmtId="0" fontId="8" fillId="9" borderId="0" xfId="0" applyFont="1" applyFill="1" applyAlignment="1">
      <alignment horizontal="center" vertical="center" wrapText="1"/>
    </xf>
    <xf numFmtId="0" fontId="8" fillId="9" borderId="0" xfId="0" applyFont="1" applyFill="1" applyAlignment="1">
      <alignment horizontal="center" wrapText="1"/>
    </xf>
    <xf numFmtId="188" fontId="25" fillId="0" borderId="0" xfId="0" applyNumberFormat="1" applyFont="1"/>
    <xf numFmtId="166" fontId="12" fillId="0" borderId="1" xfId="18" applyNumberFormat="1" applyFont="1" applyFill="1" applyBorder="1" applyAlignment="1">
      <alignment horizontal="right" vertical="center"/>
    </xf>
    <xf numFmtId="166" fontId="27" fillId="0" borderId="1" xfId="18" applyNumberFormat="1" applyFont="1" applyFill="1" applyBorder="1" applyAlignment="1">
      <alignment horizontal="right" vertical="center"/>
    </xf>
    <xf numFmtId="166" fontId="31" fillId="0" borderId="1" xfId="18" applyNumberFormat="1" applyFont="1" applyFill="1" applyBorder="1" applyAlignment="1">
      <alignment horizontal="right" vertical="center"/>
    </xf>
    <xf numFmtId="189" fontId="25" fillId="0" borderId="0" xfId="0" applyNumberFormat="1" applyFont="1"/>
    <xf numFmtId="0" fontId="25" fillId="0" borderId="2" xfId="0" applyFont="1" applyBorder="1"/>
    <xf numFmtId="0" fontId="25" fillId="0" borderId="2" xfId="0" applyFont="1" applyBorder="1" applyAlignment="1">
      <alignment horizontal="center" vertical="center"/>
    </xf>
    <xf numFmtId="0" fontId="55" fillId="0" borderId="0" xfId="0" applyFont="1"/>
    <xf numFmtId="0" fontId="38"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165" fontId="0" fillId="0" borderId="0" xfId="0" applyNumberFormat="1"/>
    <xf numFmtId="165" fontId="0" fillId="0" borderId="5" xfId="0" applyNumberFormat="1" applyBorder="1"/>
    <xf numFmtId="0" fontId="0" fillId="0" borderId="2" xfId="0" applyBorder="1"/>
    <xf numFmtId="174" fontId="25" fillId="0" borderId="0" xfId="0" applyNumberFormat="1" applyFont="1"/>
    <xf numFmtId="174" fontId="25" fillId="0" borderId="2" xfId="0" applyNumberFormat="1" applyFont="1" applyBorder="1"/>
    <xf numFmtId="174" fontId="0" fillId="0" borderId="0" xfId="0" applyNumberFormat="1"/>
    <xf numFmtId="168" fontId="29" fillId="9" borderId="0" xfId="25" applyNumberFormat="1" applyFont="1" applyFill="1" applyAlignment="1">
      <alignment horizontal="left" vertical="center" indent="1"/>
    </xf>
    <xf numFmtId="179" fontId="23" fillId="0" borderId="0" xfId="25" applyFont="1" applyAlignment="1">
      <alignment horizontal="left" vertical="center"/>
    </xf>
    <xf numFmtId="0" fontId="0" fillId="0" borderId="0" xfId="0" applyFill="1"/>
    <xf numFmtId="174" fontId="25" fillId="0" borderId="0" xfId="1" applyNumberFormat="1" applyFont="1"/>
    <xf numFmtId="189" fontId="25" fillId="0" borderId="0" xfId="0" applyNumberFormat="1" applyFont="1" applyFill="1"/>
    <xf numFmtId="172" fontId="25" fillId="0" borderId="0" xfId="1" applyNumberFormat="1" applyFont="1" applyFill="1"/>
    <xf numFmtId="166" fontId="31" fillId="0" borderId="0" xfId="18" applyNumberFormat="1" applyFont="1" applyFill="1" applyBorder="1" applyAlignment="1">
      <alignment horizontal="right" vertical="center"/>
    </xf>
    <xf numFmtId="174" fontId="25" fillId="0" borderId="2" xfId="1" applyNumberFormat="1" applyFont="1" applyFill="1" applyBorder="1"/>
    <xf numFmtId="9" fontId="0" fillId="0" borderId="0" xfId="3" applyFont="1"/>
    <xf numFmtId="10" fontId="25" fillId="0" borderId="0" xfId="3" applyNumberFormat="1" applyFont="1" applyFill="1"/>
    <xf numFmtId="0" fontId="25" fillId="0" borderId="2" xfId="0" applyNumberFormat="1" applyFont="1" applyBorder="1" applyAlignment="1">
      <alignment horizontal="center"/>
    </xf>
    <xf numFmtId="165" fontId="25" fillId="0" borderId="0" xfId="3" applyNumberFormat="1" applyFont="1" applyFill="1" applyAlignment="1">
      <alignment horizontal="right"/>
    </xf>
    <xf numFmtId="165" fontId="25" fillId="0" borderId="0" xfId="3" applyNumberFormat="1" applyFont="1" applyFill="1" applyBorder="1" applyAlignment="1">
      <alignment horizontal="right"/>
    </xf>
    <xf numFmtId="0" fontId="29" fillId="0" borderId="0" xfId="0" applyFont="1" applyFill="1" applyAlignment="1">
      <alignment horizontal="right"/>
    </xf>
    <xf numFmtId="180" fontId="29" fillId="0" borderId="0" xfId="20" applyNumberFormat="1" applyFont="1" applyFill="1" applyAlignment="1">
      <alignment horizontal="right"/>
    </xf>
    <xf numFmtId="0" fontId="23" fillId="0" borderId="0" xfId="20" applyFont="1" applyFill="1"/>
    <xf numFmtId="180" fontId="29" fillId="0" borderId="0" xfId="20" applyNumberFormat="1" applyFont="1" applyFill="1" applyAlignment="1">
      <alignment horizontal="center"/>
    </xf>
    <xf numFmtId="0" fontId="23" fillId="0" borderId="0" xfId="20" applyFont="1" applyFill="1" applyBorder="1"/>
    <xf numFmtId="3" fontId="23" fillId="0" borderId="0" xfId="20" applyNumberFormat="1" applyFont="1" applyFill="1" applyBorder="1"/>
    <xf numFmtId="178" fontId="23" fillId="0" borderId="0" xfId="20" applyNumberFormat="1" applyFont="1" applyFill="1" applyBorder="1"/>
    <xf numFmtId="167" fontId="25" fillId="0" borderId="0" xfId="0" applyNumberFormat="1" applyFont="1"/>
    <xf numFmtId="10" fontId="25" fillId="0" borderId="0" xfId="0" applyNumberFormat="1" applyFont="1" applyBorder="1" applyAlignment="1">
      <alignment horizontal="center"/>
    </xf>
    <xf numFmtId="0" fontId="25" fillId="0" borderId="13" xfId="0" applyNumberFormat="1" applyFont="1" applyBorder="1" applyAlignment="1">
      <alignment horizontal="center"/>
    </xf>
    <xf numFmtId="168" fontId="29" fillId="9" borderId="2" xfId="25" applyNumberFormat="1" applyFont="1" applyFill="1" applyBorder="1" applyAlignment="1">
      <alignment horizontal="left" vertical="center" indent="1"/>
    </xf>
    <xf numFmtId="10" fontId="25" fillId="0" borderId="0" xfId="3" applyNumberFormat="1" applyFont="1" applyFill="1" applyAlignment="1">
      <alignment horizontal="right"/>
    </xf>
    <xf numFmtId="164" fontId="29" fillId="10" borderId="0" xfId="0" applyNumberFormat="1" applyFont="1" applyFill="1" applyAlignment="1">
      <alignment vertical="center"/>
    </xf>
    <xf numFmtId="184" fontId="25" fillId="0" borderId="0" xfId="0" applyNumberFormat="1" applyFont="1" applyFill="1"/>
    <xf numFmtId="0" fontId="0" fillId="10" borderId="0" xfId="0" applyFill="1"/>
    <xf numFmtId="164" fontId="29" fillId="9" borderId="0" xfId="0" applyNumberFormat="1" applyFont="1" applyFill="1"/>
    <xf numFmtId="0" fontId="25" fillId="0" borderId="0" xfId="0" applyFont="1" applyAlignment="1">
      <alignment horizontal="left"/>
    </xf>
    <xf numFmtId="0" fontId="0" fillId="9" borderId="0" xfId="0" applyFill="1"/>
    <xf numFmtId="0" fontId="30" fillId="10" borderId="0" xfId="0" applyFont="1" applyFill="1" applyAlignment="1">
      <alignment horizontal="center" wrapText="1"/>
    </xf>
    <xf numFmtId="184" fontId="31" fillId="0" borderId="0" xfId="0" applyNumberFormat="1" applyFont="1"/>
    <xf numFmtId="184" fontId="31" fillId="0" borderId="0" xfId="0" applyNumberFormat="1" applyFont="1" applyAlignment="1">
      <alignment horizontal="right"/>
    </xf>
    <xf numFmtId="0" fontId="0" fillId="0" borderId="12" xfId="0" applyBorder="1"/>
    <xf numFmtId="164" fontId="23" fillId="0" borderId="0" xfId="1" applyNumberFormat="1" applyFont="1" applyBorder="1" applyAlignment="1">
      <alignment vertical="center"/>
    </xf>
    <xf numFmtId="164" fontId="31" fillId="0" borderId="0" xfId="1" applyNumberFormat="1" applyFont="1" applyBorder="1" applyAlignment="1">
      <alignment vertical="center"/>
    </xf>
    <xf numFmtId="0" fontId="25" fillId="0" borderId="2" xfId="0" applyFont="1" applyBorder="1" applyAlignment="1">
      <alignment horizontal="center"/>
    </xf>
    <xf numFmtId="164" fontId="31" fillId="0" borderId="0" xfId="0" applyNumberFormat="1" applyFont="1"/>
    <xf numFmtId="184" fontId="25" fillId="0" borderId="5" xfId="0" applyNumberFormat="1" applyFont="1" applyBorder="1"/>
    <xf numFmtId="184" fontId="25" fillId="11" borderId="0" xfId="0" applyNumberFormat="1" applyFont="1" applyFill="1"/>
    <xf numFmtId="182" fontId="27" fillId="0" borderId="0" xfId="20" applyNumberFormat="1" applyFont="1" applyFill="1"/>
    <xf numFmtId="181" fontId="27" fillId="0" borderId="0" xfId="0" applyNumberFormat="1" applyFont="1"/>
    <xf numFmtId="0" fontId="59" fillId="0" borderId="0" xfId="0" applyFont="1"/>
    <xf numFmtId="0" fontId="60" fillId="0" borderId="0" xfId="0" applyFont="1"/>
    <xf numFmtId="0" fontId="61" fillId="0" borderId="0" xfId="0" applyFont="1"/>
    <xf numFmtId="170" fontId="23" fillId="0" borderId="0" xfId="9" applyNumberFormat="1" applyFont="1" applyFill="1">
      <alignment vertical="center"/>
    </xf>
    <xf numFmtId="14" fontId="29" fillId="9" borderId="0" xfId="0" applyNumberFormat="1" applyFont="1" applyFill="1" applyAlignment="1">
      <alignment horizontal="right"/>
    </xf>
    <xf numFmtId="181" fontId="23" fillId="0" borderId="0" xfId="20" applyNumberFormat="1" applyFont="1" applyFill="1" applyBorder="1"/>
    <xf numFmtId="181" fontId="27" fillId="0" borderId="0" xfId="20" applyNumberFormat="1" applyFont="1" applyBorder="1" applyAlignment="1">
      <alignment horizontal="right"/>
    </xf>
    <xf numFmtId="181" fontId="23" fillId="0" borderId="0" xfId="20" applyNumberFormat="1" applyFont="1" applyBorder="1"/>
    <xf numFmtId="0" fontId="63" fillId="0" borderId="0" xfId="0" applyFont="1"/>
    <xf numFmtId="0" fontId="64" fillId="0" borderId="0" xfId="0" applyFont="1"/>
    <xf numFmtId="0" fontId="64" fillId="0" borderId="0" xfId="0" applyFont="1" applyFill="1"/>
    <xf numFmtId="182" fontId="23" fillId="0" borderId="0" xfId="20" applyNumberFormat="1" applyFont="1" applyFill="1"/>
    <xf numFmtId="182" fontId="50" fillId="20" borderId="0" xfId="47" applyNumberFormat="1" applyFont="1" applyFill="1" applyBorder="1">
      <alignment vertical="center"/>
    </xf>
    <xf numFmtId="0" fontId="29" fillId="10" borderId="0" xfId="20" applyFont="1" applyFill="1"/>
    <xf numFmtId="0" fontId="30" fillId="10" borderId="0" xfId="20" applyFont="1" applyFill="1"/>
    <xf numFmtId="10" fontId="25" fillId="0" borderId="0" xfId="3" applyNumberFormat="1" applyFont="1" applyFill="1" applyBorder="1" applyAlignment="1">
      <alignment horizontal="right" vertical="center"/>
    </xf>
    <xf numFmtId="0" fontId="1" fillId="0" borderId="2" xfId="22" applyFont="1" applyFill="1" applyBorder="1" applyAlignment="1">
      <alignment horizontal="center"/>
    </xf>
    <xf numFmtId="10" fontId="52" fillId="0" borderId="0" xfId="20" applyNumberFormat="1" applyFont="1" applyBorder="1" applyAlignment="1">
      <alignment vertical="center"/>
    </xf>
    <xf numFmtId="182" fontId="25" fillId="0" borderId="5" xfId="0" applyNumberFormat="1" applyFont="1" applyBorder="1"/>
    <xf numFmtId="182" fontId="31" fillId="0" borderId="0" xfId="0" applyNumberFormat="1" applyFont="1" applyAlignment="1">
      <alignment horizontal="right"/>
    </xf>
    <xf numFmtId="0" fontId="29" fillId="9" borderId="0" xfId="0" applyFont="1" applyFill="1" applyAlignment="1">
      <alignment horizontal="center" wrapText="1"/>
    </xf>
    <xf numFmtId="183" fontId="31" fillId="0" borderId="0" xfId="0" applyNumberFormat="1" applyFont="1" applyAlignment="1">
      <alignment horizontal="left"/>
    </xf>
    <xf numFmtId="14" fontId="8" fillId="9" borderId="0" xfId="0" applyNumberFormat="1" applyFont="1" applyFill="1" applyAlignment="1">
      <alignment horizontal="right"/>
    </xf>
    <xf numFmtId="196" fontId="31" fillId="0" borderId="0" xfId="0" applyNumberFormat="1" applyFont="1" applyAlignment="1">
      <alignment horizontal="left"/>
    </xf>
    <xf numFmtId="182" fontId="25" fillId="0" borderId="0" xfId="20" applyNumberFormat="1" applyFont="1" applyFill="1"/>
    <xf numFmtId="182" fontId="23" fillId="6" borderId="0" xfId="20" applyNumberFormat="1" applyFont="1" applyFill="1"/>
    <xf numFmtId="197" fontId="23" fillId="0" borderId="0" xfId="20" applyNumberFormat="1" applyFont="1"/>
    <xf numFmtId="5" fontId="0" fillId="0" borderId="0" xfId="0" applyNumberFormat="1" applyFont="1"/>
    <xf numFmtId="5" fontId="0" fillId="0" borderId="0" xfId="0" applyNumberFormat="1"/>
    <xf numFmtId="189" fontId="0" fillId="0" borderId="0" xfId="0" applyNumberFormat="1" applyFont="1"/>
    <xf numFmtId="189" fontId="0" fillId="0" borderId="0" xfId="0" applyNumberFormat="1"/>
    <xf numFmtId="0" fontId="0" fillId="0" borderId="5" xfId="0" applyFont="1" applyBorder="1"/>
    <xf numFmtId="10" fontId="25" fillId="0" borderId="0" xfId="22" applyNumberFormat="1" applyFont="1" applyFill="1" applyBorder="1" applyAlignment="1">
      <alignment horizontal="left" vertical="center"/>
    </xf>
    <xf numFmtId="10" fontId="25" fillId="0" borderId="0" xfId="22" applyNumberFormat="1" applyFont="1" applyAlignment="1">
      <alignment horizontal="left" vertical="center"/>
    </xf>
    <xf numFmtId="10" fontId="25" fillId="0" borderId="5" xfId="22" applyNumberFormat="1" applyFont="1" applyBorder="1" applyAlignment="1">
      <alignment horizontal="left" vertical="center"/>
    </xf>
    <xf numFmtId="0" fontId="11" fillId="0" borderId="5" xfId="22" applyFont="1" applyFill="1" applyBorder="1" applyAlignment="1">
      <alignment horizontal="left" vertical="center"/>
    </xf>
    <xf numFmtId="165" fontId="23" fillId="0" borderId="0" xfId="20" applyNumberFormat="1" applyFont="1"/>
    <xf numFmtId="165" fontId="23" fillId="0" borderId="5" xfId="20" applyNumberFormat="1" applyFont="1" applyBorder="1"/>
    <xf numFmtId="165" fontId="25" fillId="0" borderId="0" xfId="1" applyNumberFormat="1" applyFont="1"/>
    <xf numFmtId="168" fontId="29" fillId="0" borderId="0" xfId="25" applyNumberFormat="1" applyFont="1" applyFill="1" applyAlignment="1">
      <alignment horizontal="left" vertical="center" indent="1"/>
    </xf>
    <xf numFmtId="165" fontId="25" fillId="0" borderId="2" xfId="3" applyNumberFormat="1" applyFont="1" applyFill="1" applyBorder="1" applyAlignment="1">
      <alignment horizontal="center"/>
    </xf>
    <xf numFmtId="175" fontId="25" fillId="5" borderId="3" xfId="3" applyNumberFormat="1" applyFont="1" applyFill="1" applyBorder="1" applyAlignment="1">
      <alignment horizontal="right"/>
    </xf>
    <xf numFmtId="0" fontId="29" fillId="9" borderId="0" xfId="0" applyFont="1" applyFill="1" applyAlignment="1">
      <alignment horizontal="left"/>
    </xf>
    <xf numFmtId="2" fontId="0" fillId="0" borderId="0" xfId="0" applyNumberFormat="1"/>
    <xf numFmtId="192" fontId="23" fillId="19" borderId="14" xfId="47" applyNumberFormat="1" applyFont="1" applyFill="1">
      <alignment vertical="center"/>
    </xf>
    <xf numFmtId="182" fontId="23" fillId="19" borderId="14" xfId="47" applyNumberFormat="1" applyFont="1" applyFill="1">
      <alignment vertical="center"/>
    </xf>
    <xf numFmtId="0" fontId="62" fillId="0" borderId="0" xfId="20" applyFont="1" applyFill="1"/>
    <xf numFmtId="182" fontId="23" fillId="0" borderId="0" xfId="20" applyNumberFormat="1" applyFont="1" applyFill="1" applyBorder="1"/>
    <xf numFmtId="9" fontId="0" fillId="0" borderId="0" xfId="0" applyNumberFormat="1"/>
    <xf numFmtId="10" fontId="0" fillId="0" borderId="5" xfId="0" applyNumberFormat="1" applyBorder="1"/>
    <xf numFmtId="0" fontId="25" fillId="0" borderId="0" xfId="0" applyFont="1" applyBorder="1" applyAlignment="1">
      <alignment horizontal="center"/>
    </xf>
    <xf numFmtId="0" fontId="23" fillId="0" borderId="0" xfId="20" applyFont="1" applyBorder="1" applyAlignment="1">
      <alignment horizontal="center"/>
    </xf>
    <xf numFmtId="0" fontId="30" fillId="0" borderId="0" xfId="0" applyFont="1" applyFill="1" applyBorder="1"/>
    <xf numFmtId="0" fontId="25" fillId="0" borderId="0" xfId="0" applyFont="1" applyFill="1" applyBorder="1" applyAlignment="1">
      <alignment horizontal="center" vertical="center"/>
    </xf>
    <xf numFmtId="169" fontId="25" fillId="0" borderId="2" xfId="0" applyNumberFormat="1" applyFont="1" applyFill="1" applyBorder="1" applyAlignment="1">
      <alignment horizontal="right"/>
    </xf>
    <xf numFmtId="176" fontId="25" fillId="0" borderId="2" xfId="0" applyNumberFormat="1" applyFont="1" applyFill="1" applyBorder="1"/>
    <xf numFmtId="184" fontId="25" fillId="0" borderId="2" xfId="0" applyNumberFormat="1" applyFont="1" applyFill="1" applyBorder="1"/>
    <xf numFmtId="189" fontId="25" fillId="0" borderId="2" xfId="0" applyNumberFormat="1" applyFont="1" applyFill="1" applyBorder="1"/>
    <xf numFmtId="176" fontId="64" fillId="0" borderId="0" xfId="0" applyNumberFormat="1" applyFont="1"/>
    <xf numFmtId="176" fontId="63" fillId="0" borderId="0" xfId="0" applyNumberFormat="1" applyFont="1" applyAlignment="1">
      <alignment horizontal="right"/>
    </xf>
    <xf numFmtId="184" fontId="26" fillId="0" borderId="0" xfId="0" applyNumberFormat="1" applyFont="1"/>
    <xf numFmtId="0" fontId="25" fillId="0" borderId="0" xfId="0" applyNumberFormat="1" applyFont="1" applyFill="1" applyBorder="1" applyAlignment="1">
      <alignment horizontal="center"/>
    </xf>
    <xf numFmtId="0" fontId="31" fillId="0" borderId="0" xfId="0" applyFont="1" applyBorder="1"/>
    <xf numFmtId="0" fontId="25" fillId="0" borderId="0" xfId="0" applyNumberFormat="1" applyFont="1" applyBorder="1" applyAlignment="1">
      <alignment horizontal="center"/>
    </xf>
    <xf numFmtId="0" fontId="31" fillId="0" borderId="28" xfId="0" applyFont="1" applyBorder="1"/>
    <xf numFmtId="0" fontId="31" fillId="0" borderId="3" xfId="0" applyFont="1" applyBorder="1"/>
    <xf numFmtId="0" fontId="31" fillId="0" borderId="4" xfId="0" applyFont="1" applyBorder="1"/>
    <xf numFmtId="0" fontId="40" fillId="0" borderId="0" xfId="0" applyFont="1" applyBorder="1"/>
    <xf numFmtId="0" fontId="36" fillId="0" borderId="0" xfId="0" applyFont="1" applyBorder="1"/>
    <xf numFmtId="166" fontId="25" fillId="0" borderId="0" xfId="0" applyNumberFormat="1" applyFont="1" applyBorder="1"/>
    <xf numFmtId="10" fontId="25" fillId="0" borderId="2" xfId="3" applyNumberFormat="1" applyFont="1" applyBorder="1"/>
    <xf numFmtId="198" fontId="25" fillId="0" borderId="0" xfId="0" applyNumberFormat="1" applyFont="1"/>
    <xf numFmtId="195" fontId="0" fillId="0" borderId="0" xfId="0" applyNumberFormat="1"/>
    <xf numFmtId="176" fontId="23" fillId="22" borderId="29" xfId="0" applyNumberFormat="1" applyFont="1" applyFill="1" applyBorder="1"/>
    <xf numFmtId="176" fontId="23" fillId="22" borderId="30" xfId="0" applyNumberFormat="1" applyFont="1" applyFill="1" applyBorder="1"/>
    <xf numFmtId="0" fontId="25" fillId="0" borderId="32" xfId="0" applyFont="1" applyBorder="1"/>
    <xf numFmtId="188" fontId="25" fillId="0" borderId="32" xfId="0" applyNumberFormat="1" applyFont="1" applyBorder="1"/>
    <xf numFmtId="165" fontId="23" fillId="22" borderId="29" xfId="3" applyNumberFormat="1" applyFont="1" applyFill="1" applyBorder="1"/>
    <xf numFmtId="0" fontId="0" fillId="0" borderId="0" xfId="0" applyFill="1" applyBorder="1"/>
    <xf numFmtId="0" fontId="65" fillId="0" borderId="0" xfId="0" applyFont="1" applyFill="1" applyBorder="1" applyAlignment="1">
      <alignment horizontal="left"/>
    </xf>
    <xf numFmtId="0" fontId="66" fillId="0" borderId="0" xfId="0" applyFont="1" applyFill="1" applyBorder="1"/>
    <xf numFmtId="189" fontId="66" fillId="0" borderId="0" xfId="0" applyNumberFormat="1" applyFont="1" applyFill="1" applyBorder="1"/>
    <xf numFmtId="0" fontId="63" fillId="0" borderId="0" xfId="0" applyFont="1" applyFill="1" applyBorder="1"/>
    <xf numFmtId="176" fontId="25" fillId="0" borderId="32" xfId="0" applyNumberFormat="1" applyFont="1" applyBorder="1"/>
    <xf numFmtId="184" fontId="25" fillId="0" borderId="4" xfId="0" applyNumberFormat="1" applyFont="1" applyFill="1" applyBorder="1"/>
    <xf numFmtId="7" fontId="23" fillId="22" borderId="30" xfId="1" applyNumberFormat="1" applyFont="1" applyFill="1" applyBorder="1"/>
    <xf numFmtId="0" fontId="0" fillId="0" borderId="32" xfId="0" applyBorder="1"/>
    <xf numFmtId="0" fontId="0" fillId="0" borderId="33" xfId="0" applyBorder="1"/>
    <xf numFmtId="0" fontId="0" fillId="0" borderId="34" xfId="0" applyBorder="1"/>
    <xf numFmtId="164" fontId="23" fillId="22" borderId="29" xfId="1" applyNumberFormat="1" applyFont="1" applyFill="1" applyBorder="1" applyAlignment="1">
      <alignment vertical="center"/>
    </xf>
    <xf numFmtId="164" fontId="23" fillId="22" borderId="35" xfId="1" applyNumberFormat="1" applyFont="1" applyFill="1" applyBorder="1" applyAlignment="1">
      <alignment vertical="center"/>
    </xf>
    <xf numFmtId="164" fontId="23" fillId="22" borderId="31" xfId="1" applyNumberFormat="1" applyFont="1" applyFill="1" applyBorder="1" applyAlignment="1">
      <alignment vertical="center"/>
    </xf>
    <xf numFmtId="164" fontId="23" fillId="22" borderId="30" xfId="1" applyNumberFormat="1" applyFont="1" applyFill="1" applyBorder="1" applyAlignment="1">
      <alignment vertical="center"/>
    </xf>
    <xf numFmtId="164" fontId="25" fillId="0" borderId="27" xfId="1" applyNumberFormat="1" applyFont="1" applyFill="1" applyBorder="1"/>
    <xf numFmtId="5" fontId="23" fillId="22" borderId="30" xfId="1" applyNumberFormat="1" applyFont="1" applyFill="1" applyBorder="1"/>
    <xf numFmtId="10" fontId="25" fillId="0" borderId="36" xfId="3" applyNumberFormat="1" applyFont="1" applyFill="1" applyBorder="1" applyAlignment="1">
      <alignment vertical="center"/>
    </xf>
    <xf numFmtId="164" fontId="25" fillId="0" borderId="28" xfId="1" applyNumberFormat="1" applyFont="1" applyFill="1" applyBorder="1"/>
    <xf numFmtId="164" fontId="25" fillId="0" borderId="37" xfId="1" applyNumberFormat="1" applyFont="1" applyFill="1" applyBorder="1"/>
    <xf numFmtId="0" fontId="25" fillId="0" borderId="36" xfId="0" applyFont="1" applyBorder="1"/>
    <xf numFmtId="10" fontId="23" fillId="22" borderId="30" xfId="3" applyNumberFormat="1" applyFont="1" applyFill="1" applyBorder="1"/>
    <xf numFmtId="165" fontId="23" fillId="22" borderId="30" xfId="3" applyNumberFormat="1" applyFont="1" applyFill="1" applyBorder="1"/>
    <xf numFmtId="164" fontId="23" fillId="0" borderId="2" xfId="1" applyNumberFormat="1" applyFont="1" applyFill="1" applyBorder="1" applyAlignment="1">
      <alignment vertical="center"/>
    </xf>
    <xf numFmtId="164" fontId="25" fillId="0" borderId="2" xfId="1" applyNumberFormat="1" applyFont="1" applyFill="1" applyBorder="1" applyAlignment="1">
      <alignment horizontal="center"/>
    </xf>
    <xf numFmtId="184" fontId="25" fillId="23" borderId="29" xfId="0" applyNumberFormat="1" applyFont="1" applyFill="1" applyBorder="1"/>
    <xf numFmtId="184" fontId="25" fillId="23" borderId="30" xfId="0" applyNumberFormat="1" applyFont="1" applyFill="1" applyBorder="1"/>
    <xf numFmtId="10" fontId="25" fillId="0" borderId="2" xfId="0" applyNumberFormat="1" applyFont="1" applyFill="1" applyBorder="1" applyAlignment="1">
      <alignment horizontal="center"/>
    </xf>
    <xf numFmtId="10" fontId="25" fillId="0" borderId="13" xfId="0" applyNumberFormat="1" applyFont="1" applyFill="1" applyBorder="1" applyAlignment="1">
      <alignment horizontal="center"/>
    </xf>
    <xf numFmtId="0" fontId="25" fillId="0" borderId="2" xfId="0" applyNumberFormat="1" applyFont="1" applyFill="1" applyBorder="1" applyAlignment="1">
      <alignment horizontal="center"/>
    </xf>
    <xf numFmtId="0" fontId="25" fillId="0" borderId="13" xfId="0" applyNumberFormat="1" applyFont="1" applyFill="1" applyBorder="1" applyAlignment="1">
      <alignment horizontal="center"/>
    </xf>
    <xf numFmtId="0" fontId="24" fillId="0" borderId="0" xfId="4" quotePrefix="1" applyFont="1" applyFill="1" applyAlignment="1">
      <alignment horizontal="right" vertical="center"/>
    </xf>
    <xf numFmtId="164" fontId="25" fillId="0" borderId="0" xfId="1" applyNumberFormat="1" applyFont="1" applyFill="1"/>
    <xf numFmtId="172" fontId="25" fillId="0" borderId="0" xfId="0" applyNumberFormat="1" applyFont="1" applyFill="1"/>
    <xf numFmtId="172" fontId="25" fillId="0" borderId="0" xfId="0" applyNumberFormat="1" applyFont="1" applyFill="1" applyBorder="1"/>
    <xf numFmtId="9" fontId="25" fillId="0" borderId="0" xfId="0" applyNumberFormat="1" applyFont="1" applyFill="1"/>
    <xf numFmtId="0" fontId="29" fillId="0" borderId="0" xfId="0" applyFont="1" applyFill="1" applyAlignment="1">
      <alignment horizontal="right" vertical="center"/>
    </xf>
    <xf numFmtId="183" fontId="25" fillId="0" borderId="0" xfId="0" applyNumberFormat="1" applyFont="1" applyFill="1"/>
    <xf numFmtId="10" fontId="0" fillId="0" borderId="1" xfId="0" applyNumberFormat="1" applyFill="1" applyBorder="1"/>
    <xf numFmtId="195" fontId="25" fillId="0" borderId="0" xfId="0" applyNumberFormat="1" applyFont="1" applyFill="1"/>
    <xf numFmtId="0" fontId="0" fillId="0" borderId="1" xfId="0" applyFill="1" applyBorder="1"/>
    <xf numFmtId="165" fontId="25" fillId="0" borderId="0" xfId="3" applyNumberFormat="1" applyFont="1" applyFill="1" applyAlignment="1">
      <alignment horizontal="center"/>
    </xf>
    <xf numFmtId="181" fontId="25" fillId="0" borderId="0" xfId="0" applyNumberFormat="1" applyFont="1" applyFill="1" applyBorder="1"/>
    <xf numFmtId="166" fontId="25" fillId="0" borderId="0" xfId="0" applyNumberFormat="1" applyFont="1" applyFill="1"/>
    <xf numFmtId="181" fontId="31" fillId="0" borderId="0" xfId="0" applyNumberFormat="1" applyFont="1" applyFill="1" applyBorder="1" applyAlignment="1">
      <alignment horizontal="right"/>
    </xf>
    <xf numFmtId="173" fontId="25" fillId="0" borderId="0" xfId="0" applyNumberFormat="1" applyFont="1" applyFill="1" applyBorder="1"/>
    <xf numFmtId="181" fontId="23" fillId="0" borderId="0" xfId="20" applyNumberFormat="1" applyFont="1" applyFill="1"/>
    <xf numFmtId="0" fontId="31" fillId="0" borderId="0" xfId="0" applyFont="1" applyFill="1"/>
    <xf numFmtId="0" fontId="29" fillId="0" borderId="0" xfId="0" applyFont="1" applyFill="1"/>
    <xf numFmtId="0" fontId="58" fillId="0" borderId="0" xfId="0" applyFont="1" applyFill="1"/>
    <xf numFmtId="2" fontId="25" fillId="0" borderId="2" xfId="0" applyNumberFormat="1" applyFont="1" applyFill="1" applyBorder="1" applyAlignment="1">
      <alignment horizontal="center"/>
    </xf>
    <xf numFmtId="0" fontId="25" fillId="0" borderId="0" xfId="0" applyFont="1" applyFill="1" applyAlignment="1">
      <alignment horizontal="center"/>
    </xf>
    <xf numFmtId="165" fontId="23" fillId="0" borderId="0" xfId="3" applyNumberFormat="1" applyFont="1" applyFill="1" applyBorder="1" applyAlignment="1" applyProtection="1">
      <alignment horizontal="center" vertical="center"/>
      <protection locked="0"/>
    </xf>
    <xf numFmtId="10" fontId="25" fillId="0" borderId="0" xfId="0" applyNumberFormat="1" applyFont="1" applyFill="1" applyAlignment="1">
      <alignment horizontal="center"/>
    </xf>
    <xf numFmtId="8" fontId="23" fillId="0" borderId="6" xfId="10" applyNumberFormat="1" applyFont="1" applyFill="1" applyAlignment="1">
      <alignment horizontal="center" vertical="center"/>
      <protection locked="0"/>
    </xf>
    <xf numFmtId="165" fontId="25" fillId="0" borderId="0" xfId="3" applyNumberFormat="1" applyFont="1" applyFill="1" applyBorder="1" applyAlignment="1">
      <alignment horizontal="center"/>
    </xf>
    <xf numFmtId="0" fontId="0" fillId="0" borderId="2" xfId="0" applyFill="1" applyBorder="1"/>
    <xf numFmtId="184" fontId="25" fillId="0" borderId="38" xfId="0" applyNumberFormat="1" applyFont="1" applyFill="1" applyBorder="1"/>
    <xf numFmtId="43" fontId="25" fillId="0" borderId="2" xfId="1" applyNumberFormat="1" applyFont="1" applyFill="1" applyBorder="1"/>
    <xf numFmtId="0" fontId="27" fillId="0" borderId="0" xfId="0" applyFont="1" applyFill="1" applyAlignment="1">
      <alignment horizontal="left"/>
    </xf>
    <xf numFmtId="192" fontId="50" fillId="0" borderId="0" xfId="47" applyNumberFormat="1" applyFont="1" applyFill="1" applyBorder="1">
      <alignment vertical="center"/>
    </xf>
    <xf numFmtId="0" fontId="16" fillId="0" borderId="0" xfId="0" applyFont="1" applyFill="1"/>
    <xf numFmtId="0" fontId="23" fillId="0" borderId="0" xfId="9" applyFont="1" applyFill="1">
      <alignment vertical="center"/>
    </xf>
    <xf numFmtId="164" fontId="25" fillId="0" borderId="0" xfId="0" applyNumberFormat="1" applyFont="1" applyFill="1" applyAlignment="1">
      <alignment vertical="center"/>
    </xf>
    <xf numFmtId="164" fontId="25" fillId="0" borderId="0" xfId="0" applyNumberFormat="1" applyFont="1" applyFill="1"/>
    <xf numFmtId="192" fontId="23" fillId="0" borderId="14" xfId="47" applyNumberFormat="1" applyFont="1" applyFill="1">
      <alignment vertical="center"/>
    </xf>
    <xf numFmtId="10" fontId="23" fillId="19" borderId="14" xfId="3" applyNumberFormat="1" applyFont="1" applyFill="1" applyBorder="1" applyAlignment="1">
      <alignment vertical="center"/>
    </xf>
    <xf numFmtId="10" fontId="23" fillId="24" borderId="14" xfId="3" applyNumberFormat="1" applyFont="1" applyFill="1" applyBorder="1" applyAlignment="1">
      <alignment vertical="center"/>
    </xf>
    <xf numFmtId="7" fontId="25" fillId="5" borderId="2" xfId="0" applyNumberFormat="1" applyFont="1" applyFill="1" applyBorder="1"/>
    <xf numFmtId="0" fontId="25" fillId="5" borderId="2" xfId="0" applyFont="1" applyFill="1" applyBorder="1"/>
    <xf numFmtId="10" fontId="25" fillId="5" borderId="2" xfId="3" applyNumberFormat="1" applyFont="1" applyFill="1" applyBorder="1" applyAlignment="1">
      <alignment horizontal="right"/>
    </xf>
    <xf numFmtId="164" fontId="25" fillId="25" borderId="2" xfId="0" applyNumberFormat="1" applyFont="1" applyFill="1" applyBorder="1"/>
    <xf numFmtId="10" fontId="25" fillId="25" borderId="2" xfId="3" applyNumberFormat="1" applyFont="1" applyFill="1" applyBorder="1"/>
    <xf numFmtId="166" fontId="25" fillId="5" borderId="2" xfId="0" applyNumberFormat="1" applyFont="1" applyFill="1" applyBorder="1"/>
    <xf numFmtId="164" fontId="25" fillId="5" borderId="2" xfId="1" applyNumberFormat="1" applyFont="1" applyFill="1" applyBorder="1"/>
    <xf numFmtId="43" fontId="25" fillId="5" borderId="2" xfId="0" applyNumberFormat="1" applyFont="1" applyFill="1" applyBorder="1"/>
    <xf numFmtId="181" fontId="23" fillId="5" borderId="2" xfId="20" applyNumberFormat="1" applyFont="1" applyFill="1" applyBorder="1"/>
    <xf numFmtId="0" fontId="22" fillId="0" borderId="0" xfId="20" applyFont="1" applyFill="1"/>
    <xf numFmtId="0" fontId="12" fillId="0" borderId="0" xfId="0" applyFont="1" applyFill="1"/>
    <xf numFmtId="181" fontId="25" fillId="25" borderId="2" xfId="0" applyNumberFormat="1" applyFont="1" applyFill="1" applyBorder="1"/>
    <xf numFmtId="0" fontId="25" fillId="0" borderId="13" xfId="0" applyFont="1" applyBorder="1"/>
    <xf numFmtId="166" fontId="23" fillId="23" borderId="30" xfId="9" applyNumberFormat="1" applyFont="1" applyFill="1" applyBorder="1">
      <alignment vertical="center"/>
    </xf>
    <xf numFmtId="166" fontId="23" fillId="23" borderId="31" xfId="9" applyNumberFormat="1" applyFont="1" applyFill="1" applyBorder="1">
      <alignment vertical="center"/>
    </xf>
    <xf numFmtId="199" fontId="25" fillId="23" borderId="29" xfId="0" applyNumberFormat="1" applyFont="1" applyFill="1" applyBorder="1" applyAlignment="1">
      <alignment horizontal="right"/>
    </xf>
    <xf numFmtId="199" fontId="25" fillId="23" borderId="30" xfId="0" applyNumberFormat="1" applyFont="1" applyFill="1" applyBorder="1" applyAlignment="1">
      <alignment horizontal="right"/>
    </xf>
    <xf numFmtId="0" fontId="48" fillId="0" borderId="0" xfId="33" applyFont="1" applyFill="1" applyAlignment="1">
      <alignment horizontal="left" vertical="top" wrapText="1"/>
    </xf>
    <xf numFmtId="0" fontId="48" fillId="0" borderId="0" xfId="33" applyFont="1" applyAlignment="1">
      <alignment horizontal="left" vertical="top" wrapText="1"/>
    </xf>
    <xf numFmtId="0" fontId="30" fillId="10" borderId="0" xfId="0" applyFont="1" applyFill="1" applyAlignment="1">
      <alignment horizontal="center" wrapText="1"/>
    </xf>
    <xf numFmtId="0" fontId="57" fillId="0" borderId="0" xfId="0" applyFont="1" applyFill="1" applyAlignment="1">
      <alignment horizontal="center"/>
    </xf>
  </cellXfs>
  <cellStyles count="57">
    <cellStyle name="Blank input" xfId="42" xr:uid="{0A3E76C2-510A-46E4-BD37-4602C55453A4}"/>
    <cellStyle name="Checksum" xfId="16" xr:uid="{83242FC6-0BD6-4AD3-BC9D-DC1CF327FC2C}"/>
    <cellStyle name="Comma" xfId="1" builtinId="3"/>
    <cellStyle name="Comma 10 2 5" xfId="23" xr:uid="{7A2EC367-7A8E-454C-8189-2A440651FA5F}"/>
    <cellStyle name="Comma 10 2 5 2" xfId="54" xr:uid="{956812B1-8726-4EC3-BA6D-1A7E704FD99B}"/>
    <cellStyle name="Comma 2" xfId="17" xr:uid="{2542B072-4D0B-4BC5-9C28-BD17CA3A10DE}"/>
    <cellStyle name="Comma 2 2" xfId="53" xr:uid="{7BE5E23C-5688-48B9-88C2-9E272D0C1431}"/>
    <cellStyle name="Comma 3" xfId="51" xr:uid="{0D84D34C-4D5B-4470-B3EC-6D64AE53768F}"/>
    <cellStyle name="Comma 4" xfId="52" xr:uid="{A09FC177-95D3-4CB4-B369-09136F29A6C0}"/>
    <cellStyle name="Data label" xfId="39" xr:uid="{FCB7E03C-E817-4454-BCC6-BC16A07A574B}"/>
    <cellStyle name="External link" xfId="38" xr:uid="{9E50B21F-2AC5-433C-B342-816863E47695}"/>
    <cellStyle name="H1" xfId="5" xr:uid="{EF95FB66-59AB-4A28-990E-283559175357}"/>
    <cellStyle name="H2" xfId="6" xr:uid="{F8A2996E-0503-43A5-A6EE-010565AE44C7}"/>
    <cellStyle name="H3" xfId="7" xr:uid="{21EF7D56-C15F-4BDB-B351-2B1F1376706E}"/>
    <cellStyle name="H4" xfId="4" xr:uid="{F032F2AE-DFBE-41F7-B917-30E0D1A917F4}"/>
    <cellStyle name="Heading 1 2" xfId="34" xr:uid="{55BEBE9B-237D-4946-BCD7-C4C65BDA862F}"/>
    <cellStyle name="Highlight" xfId="18" xr:uid="{2C9CA402-ED7D-42F7-A4C1-DEBA56B8BA2B}"/>
    <cellStyle name="Hyperlink 2" xfId="19" xr:uid="{4CDCD291-6AF6-4BA0-A412-5BA609AFD75B}"/>
    <cellStyle name="Hyperlink 3" xfId="27" xr:uid="{94093152-2AD9-40BB-84C5-C3C51C539E9C}"/>
    <cellStyle name="Hyperlink 4" xfId="32" xr:uid="{FDEFB9FD-A70D-41D0-8ECC-9781D57331A5}"/>
    <cellStyle name="Input data" xfId="41" xr:uid="{A9982CD8-24C6-49C5-B915-F417A578E00A}"/>
    <cellStyle name="Input label link" xfId="40" xr:uid="{B830FCC3-15AC-4213-94DD-B2557BBCFB6E}"/>
    <cellStyle name="Input parameter" xfId="10" xr:uid="{53A31C98-275E-4DD2-ACA8-7B6A28D2A2B5}"/>
    <cellStyle name="List" xfId="48" xr:uid="{EC44E1D7-266F-437D-BBA1-64D0E74AD486}"/>
    <cellStyle name="List total" xfId="49" xr:uid="{A2B3D164-EF85-4A33-8A54-BB8A5CF5305B}"/>
    <cellStyle name="Model calc" xfId="43" xr:uid="{507CE4DB-B484-459C-92E4-F17E75AC9BA4}"/>
    <cellStyle name="Model calc total" xfId="44" xr:uid="{069D6C54-E89D-43BE-84C8-1AF7113A61A1}"/>
    <cellStyle name="Model output" xfId="47" xr:uid="{306F1E7F-0343-4D46-A270-326A025815A8}"/>
    <cellStyle name="Model variable" xfId="35" xr:uid="{87808804-F8E1-44D9-8CD6-DF7D8575FC44}"/>
    <cellStyle name="Name" xfId="11" xr:uid="{2AEB9D4A-FB55-4DE1-9F2E-D51CE9B1A29D}"/>
    <cellStyle name="Normal" xfId="0" builtinId="0"/>
    <cellStyle name="Normal 2" xfId="9" xr:uid="{87523E52-0DD4-43DB-9F2E-48B72A1E7449}"/>
    <cellStyle name="Normal 2 2" xfId="22" xr:uid="{30F4CBF2-B904-4797-954B-9B727BE86D97}"/>
    <cellStyle name="Normal 2 3" xfId="33" xr:uid="{72E67BD7-974B-4A10-8ACE-5CA9D66796E5}"/>
    <cellStyle name="Normal 2 3 2" xfId="55" xr:uid="{FD70C1D6-A759-4349-B208-A2952DB5BEBE}"/>
    <cellStyle name="Normal 3" xfId="20" xr:uid="{ADA65B93-7061-4C62-9D27-1538B62AA566}"/>
    <cellStyle name="Normal 4" xfId="25" xr:uid="{3318C08C-88BC-4191-BFF5-5E1700D185D0}"/>
    <cellStyle name="Normal 5" xfId="56" xr:uid="{28D3490D-B37B-4479-8B63-561D41364174}"/>
    <cellStyle name="Normal 67" xfId="28" xr:uid="{7970C59A-000E-44DE-B96A-BD47F50C57B2}"/>
    <cellStyle name="Normal 85" xfId="31" xr:uid="{BDF475DF-A728-42F7-8EDF-C94D3800AB9F}"/>
    <cellStyle name="Normal 86" xfId="29" xr:uid="{ECEABA9E-761F-4C49-9A6E-4BD529B8EC4C}"/>
    <cellStyle name="Normal 87" xfId="30" xr:uid="{91F8DB94-B9F0-4417-9A5E-7FC8FCAF515B}"/>
    <cellStyle name="NoteOrSource" xfId="14" xr:uid="{2E42F843-0C7F-4FF5-AFC9-2D42E856EA25}"/>
    <cellStyle name="NoteOrSource 2" xfId="26" xr:uid="{F40AD940-871B-45B7-8007-98156D210226}"/>
    <cellStyle name="Ofcom input" xfId="37" xr:uid="{639A8415-9D9C-42D9-B2DE-7C5FFE24CD02}"/>
    <cellStyle name="Ofcom input 2" xfId="36" xr:uid="{0045CAD0-D5A2-4443-A5CC-7069729E5F4C}"/>
    <cellStyle name="Ofcom Output" xfId="8" xr:uid="{97B8D58D-95E1-499E-A113-3E54CA712ECA}"/>
    <cellStyle name="OfcomConfidential" xfId="13" xr:uid="{44659A0B-682F-4637-9838-8BC2D2DC07E9}"/>
    <cellStyle name="Percent" xfId="3" builtinId="5"/>
    <cellStyle name="Percent [0%]" xfId="24" xr:uid="{9383B232-60F0-453D-A05F-41CA843AAC39}"/>
    <cellStyle name="Percent 2" xfId="15" xr:uid="{191E4311-D451-4A68-8A78-B812E1A991AC}"/>
    <cellStyle name="Percent 3" xfId="21" xr:uid="{5941099C-616B-4C23-B6D4-5F094C6B4FF5}"/>
    <cellStyle name="Randomized" xfId="50" xr:uid="{759A2875-7E9C-4D35-8F24-43CF534B7C16}"/>
    <cellStyle name="Source" xfId="12" xr:uid="{5D4FCDC2-237E-475F-82D0-445E8DE19201}"/>
    <cellStyle name="Summary calc" xfId="45" xr:uid="{4C5EE935-F115-4FAC-86E7-BECC0213168E}"/>
    <cellStyle name="Summary calc total" xfId="46" xr:uid="{69C5999F-E4C9-43A7-9B50-2B7554C83203}"/>
    <cellStyle name="Unhighlight" xfId="2" xr:uid="{AF1659A6-805D-40CB-BFC4-76ADD3BEF9E4}"/>
  </cellStyles>
  <dxfs count="0"/>
  <tableStyles count="0" defaultTableStyle="TableStyleMedium2" defaultPivotStyle="PivotStyleLight16"/>
  <colors>
    <mruColors>
      <color rgb="FFD9D9D9"/>
      <color rgb="FFA5A5A5"/>
      <color rgb="FFFFF200"/>
      <color rgb="FFF7941D"/>
      <color rgb="FFFFC000"/>
      <color rgb="FF255E91"/>
      <color rgb="FF436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88832</xdr:colOff>
      <xdr:row>2</xdr:row>
      <xdr:rowOff>19050</xdr:rowOff>
    </xdr:to>
    <xdr:pic>
      <xdr:nvPicPr>
        <xdr:cNvPr id="2" name="Picture 66">
          <a:extLst>
            <a:ext uri="{FF2B5EF4-FFF2-40B4-BE49-F238E27FC236}">
              <a16:creationId xmlns:a16="http://schemas.microsoft.com/office/drawing/2014/main" id="{2DD3D2F7-619E-4403-B741-C08339DECF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381250"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52098</xdr:colOff>
      <xdr:row>2</xdr:row>
      <xdr:rowOff>57726</xdr:rowOff>
    </xdr:from>
    <xdr:to>
      <xdr:col>18</xdr:col>
      <xdr:colOff>483533</xdr:colOff>
      <xdr:row>41</xdr:row>
      <xdr:rowOff>115455</xdr:rowOff>
    </xdr:to>
    <xdr:pic>
      <xdr:nvPicPr>
        <xdr:cNvPr id="2" name="Picture 1">
          <a:extLst>
            <a:ext uri="{FF2B5EF4-FFF2-40B4-BE49-F238E27FC236}">
              <a16:creationId xmlns:a16="http://schemas.microsoft.com/office/drawing/2014/main" id="{4359B597-4206-40D2-A06C-75B7F2D6D5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910" y="648276"/>
          <a:ext cx="12699636" cy="7239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FC3F-7E9C-4B91-9552-9C355BA0C153}">
  <sheetPr codeName="Sheet13">
    <outlinePr summaryBelow="0"/>
    <pageSetUpPr autoPageBreaks="0"/>
  </sheetPr>
  <dimension ref="A1:D83"/>
  <sheetViews>
    <sheetView workbookViewId="0">
      <selection activeCell="B9" sqref="B9"/>
    </sheetView>
  </sheetViews>
  <sheetFormatPr defaultColWidth="12.86328125" defaultRowHeight="12.75" x14ac:dyDescent="0.45"/>
  <cols>
    <col min="1" max="1" width="32.86328125" style="162" customWidth="1"/>
    <col min="2" max="2" width="138.3984375" style="162" bestFit="1" customWidth="1"/>
    <col min="3" max="3" width="10.59765625" style="162" customWidth="1"/>
    <col min="4" max="4" width="37.3984375" style="162" customWidth="1"/>
    <col min="5" max="16384" width="12.86328125" style="164"/>
  </cols>
  <sheetData>
    <row r="1" spans="1:4" ht="12" customHeight="1" x14ac:dyDescent="0.75">
      <c r="A1" s="178"/>
      <c r="D1" s="163"/>
    </row>
    <row r="2" spans="1:4" ht="42" customHeight="1" x14ac:dyDescent="0.75">
      <c r="A2" s="164"/>
      <c r="B2" s="177" t="s">
        <v>450</v>
      </c>
      <c r="C2" s="177"/>
      <c r="D2" s="164"/>
    </row>
    <row r="3" spans="1:4" ht="7.5" customHeight="1" x14ac:dyDescent="0.45">
      <c r="A3" s="164"/>
      <c r="B3" s="164"/>
      <c r="C3" s="164"/>
      <c r="D3" s="164"/>
    </row>
    <row r="4" spans="1:4" s="165" customFormat="1" ht="15.75" x14ac:dyDescent="0.5">
      <c r="A4" s="183" t="s">
        <v>174</v>
      </c>
      <c r="B4" s="184"/>
      <c r="C4" s="184"/>
      <c r="D4" s="164"/>
    </row>
    <row r="5" spans="1:4" ht="6" customHeight="1" x14ac:dyDescent="0.45">
      <c r="A5" s="181"/>
      <c r="B5" s="181"/>
      <c r="C5" s="181"/>
      <c r="D5" s="164"/>
    </row>
    <row r="6" spans="1:4" ht="17.45" customHeight="1" x14ac:dyDescent="0.45">
      <c r="A6" s="273" t="s">
        <v>175</v>
      </c>
      <c r="B6" s="186" t="s">
        <v>210</v>
      </c>
      <c r="C6" s="186"/>
      <c r="D6" s="164"/>
    </row>
    <row r="7" spans="1:4" ht="17.45" customHeight="1" x14ac:dyDescent="0.45">
      <c r="A7" s="273" t="s">
        <v>176</v>
      </c>
      <c r="B7" s="179" t="s">
        <v>354</v>
      </c>
      <c r="C7" s="179"/>
      <c r="D7" s="164"/>
    </row>
    <row r="8" spans="1:4" ht="17.45" customHeight="1" x14ac:dyDescent="0.45">
      <c r="A8" s="273" t="s">
        <v>177</v>
      </c>
      <c r="B8" s="180" t="s">
        <v>178</v>
      </c>
      <c r="C8" s="180"/>
      <c r="D8" s="167"/>
    </row>
    <row r="9" spans="1:4" ht="13.15" x14ac:dyDescent="0.45">
      <c r="A9" s="185"/>
      <c r="B9" s="187"/>
      <c r="C9" s="187"/>
      <c r="D9" s="164"/>
    </row>
    <row r="10" spans="1:4" s="165" customFormat="1" ht="15.75" x14ac:dyDescent="0.5">
      <c r="A10" s="183" t="s">
        <v>179</v>
      </c>
      <c r="D10" s="164"/>
    </row>
    <row r="11" spans="1:4" ht="13.15" x14ac:dyDescent="0.45">
      <c r="A11" s="181"/>
      <c r="B11" s="181"/>
      <c r="C11" s="181"/>
      <c r="D11" s="164"/>
    </row>
    <row r="12" spans="1:4" s="256" customFormat="1" ht="18.95" customHeight="1" x14ac:dyDescent="0.45">
      <c r="A12" s="255" t="s">
        <v>180</v>
      </c>
      <c r="B12" s="255" t="s">
        <v>172</v>
      </c>
      <c r="C12" s="255"/>
      <c r="D12" s="255"/>
    </row>
    <row r="13" spans="1:4" s="256" customFormat="1" ht="18.95" customHeight="1" x14ac:dyDescent="0.45">
      <c r="A13" s="179" t="str">
        <f ca="1">MID(CELL("filename",A10),FIND("]",CELL("filename",A10))+1,255)</f>
        <v>Contents</v>
      </c>
      <c r="B13" s="179" t="s">
        <v>181</v>
      </c>
      <c r="C13" s="179"/>
      <c r="D13" s="179"/>
    </row>
    <row r="14" spans="1:4" s="256" customFormat="1" ht="18.95" customHeight="1" x14ac:dyDescent="0.45">
      <c r="A14" s="179" t="str">
        <f ca="1">MID(CELL("filename",'Style Guidelines'!A1),FIND("]",CELL("filename",'Style Guidelines'!A1))+1,255)</f>
        <v>Style Guidelines</v>
      </c>
      <c r="B14" s="179" t="s">
        <v>183</v>
      </c>
      <c r="C14" s="179"/>
      <c r="D14" s="179"/>
    </row>
    <row r="15" spans="1:4" s="256" customFormat="1" ht="18.95" customHeight="1" x14ac:dyDescent="0.45">
      <c r="A15" s="179" t="str">
        <f ca="1">MID(CELL("filename",'Terms and Conditions'!A1),FIND("]",CELL("filename",'Terms and Conditions'!A1))+1,255)</f>
        <v>Terms and Conditions</v>
      </c>
      <c r="B15" s="179" t="s">
        <v>184</v>
      </c>
      <c r="C15" s="179"/>
      <c r="D15" s="179"/>
    </row>
    <row r="16" spans="1:4" s="256" customFormat="1" ht="18.95" customHeight="1" x14ac:dyDescent="0.45">
      <c r="A16" s="293" t="str">
        <f ca="1">MID(CELL("filename",'Model Map'!A1),FIND("]",CELL("filename",'Model Map'!A1))+1,255)</f>
        <v>Model Map</v>
      </c>
      <c r="B16" s="293" t="s">
        <v>186</v>
      </c>
      <c r="C16" s="179"/>
      <c r="D16" s="179"/>
    </row>
    <row r="17" spans="1:4" s="289" customFormat="1" ht="18.95" customHeight="1" x14ac:dyDescent="0.45">
      <c r="A17" s="288" t="str">
        <f ca="1">MID(CELL("filename",'Input data and assumptions&gt;&gt;&gt;'!A1),FIND("]",CELL("filename",'Input data and assumptions&gt;&gt;&gt;'!A1))+1,255)</f>
        <v>Input data and assumptions&gt;&gt;&gt;</v>
      </c>
      <c r="B17" s="288" t="s">
        <v>187</v>
      </c>
      <c r="C17" s="179"/>
      <c r="D17" s="180"/>
    </row>
    <row r="18" spans="1:4" s="256" customFormat="1" ht="18.95" customHeight="1" x14ac:dyDescent="0.45">
      <c r="A18" s="290" t="str">
        <f ca="1">MID(CELL("filename",'Input data'!A1),FIND("]",CELL("filename",'Input data'!A1))+1,255)</f>
        <v>Input data</v>
      </c>
      <c r="B18" s="292" t="s">
        <v>211</v>
      </c>
      <c r="C18" s="179"/>
      <c r="D18" s="180"/>
    </row>
    <row r="19" spans="1:4" s="256" customFormat="1" ht="18.95" customHeight="1" x14ac:dyDescent="0.45">
      <c r="A19" s="290" t="str">
        <f ca="1">MID(CELL("filename",'Parameters and Assumptions'!A1),FIND("]",CELL("filename",'Parameters and Assumptions'!A1))+1,255)</f>
        <v>Parameters and Assumptions</v>
      </c>
      <c r="B19" s="292" t="s">
        <v>214</v>
      </c>
      <c r="C19" s="179"/>
      <c r="D19" s="180"/>
    </row>
    <row r="20" spans="1:4" s="256" customFormat="1" ht="18.95" customHeight="1" x14ac:dyDescent="0.45">
      <c r="A20" s="288" t="str">
        <f ca="1">MID(CELL("filename",'Calculation Sheets&gt;&gt;&gt;&gt;'!A1),FIND("]",CELL("filename",'Calculation Sheets&gt;&gt;&gt;&gt;'!A1))+1,255)</f>
        <v>Calculation Sheets&gt;&gt;&gt;&gt;</v>
      </c>
      <c r="B20" s="288" t="s">
        <v>187</v>
      </c>
      <c r="C20" s="179"/>
      <c r="D20" s="179"/>
    </row>
    <row r="21" spans="1:4" s="256" customFormat="1" ht="18.95" customHeight="1" x14ac:dyDescent="0.45">
      <c r="A21" s="179" t="str">
        <f ca="1">MID(CELL("filename",'Network Adjs'!A1),FIND("]",CELL("filename",'Network Adjs'!A1))+1,255)</f>
        <v>Network Adjs</v>
      </c>
      <c r="B21" s="179" t="s">
        <v>216</v>
      </c>
      <c r="C21" s="179"/>
      <c r="D21" s="179"/>
    </row>
    <row r="22" spans="1:4" s="256" customFormat="1" ht="18.95" customHeight="1" x14ac:dyDescent="0.45">
      <c r="A22" s="291" t="str">
        <f ca="1">MID(CELL("filename",'Duct and Chambers&gt;&gt;&gt;'!A1),FIND("]",CELL("filename",'Duct and Chambers&gt;&gt;&gt;'!A1))+1,255)</f>
        <v>Duct and Chambers&gt;&gt;&gt;</v>
      </c>
      <c r="B22" s="291" t="s">
        <v>187</v>
      </c>
      <c r="C22" s="179"/>
      <c r="D22" s="179"/>
    </row>
    <row r="23" spans="1:4" s="256" customFormat="1" ht="18.95" customHeight="1" x14ac:dyDescent="0.45">
      <c r="A23" s="180" t="str">
        <f ca="1">MID(CELL("filename",'D&amp;C Vols'!A1),FIND("]",CELL("filename",'D&amp;C Vols'!A1))+1,255)</f>
        <v>D&amp;C Vols</v>
      </c>
      <c r="B23" s="180" t="s">
        <v>348</v>
      </c>
      <c r="C23" s="179"/>
      <c r="D23" s="179"/>
    </row>
    <row r="24" spans="1:4" s="256" customFormat="1" ht="18.95" customHeight="1" x14ac:dyDescent="0.45">
      <c r="A24" s="180" t="str">
        <f ca="1">MID(CELL("filename",'LDD forecasts'!A1),FIND("]",CELL("filename",'LDD forecasts'!A1))+1,255)</f>
        <v>LDD forecasts</v>
      </c>
      <c r="B24" s="180" t="s">
        <v>245</v>
      </c>
      <c r="C24" s="179"/>
      <c r="D24" s="179"/>
    </row>
    <row r="25" spans="1:4" s="256" customFormat="1" ht="18.95" customHeight="1" x14ac:dyDescent="0.45">
      <c r="A25" s="180" t="str">
        <f ca="1">MID(CELL("filename",'D&amp;C Cost Forecasts'!A1),FIND("]",CELL("filename",'D&amp;C Cost Forecasts'!A1))+1,255)</f>
        <v>D&amp;C Cost Forecasts</v>
      </c>
      <c r="B25" s="180" t="s">
        <v>236</v>
      </c>
      <c r="C25" s="179"/>
      <c r="D25" s="179"/>
    </row>
    <row r="26" spans="1:4" s="256" customFormat="1" ht="18.95" customHeight="1" x14ac:dyDescent="0.45">
      <c r="A26" s="180" t="str">
        <f ca="1">MID(CELL("filename",'D&amp;C Forecast UCs, Charges &amp; Xs'!A1),FIND("]",CELL("filename",'D&amp;C Forecast UCs, Charges &amp; Xs'!A1))+1,255)</f>
        <v>D&amp;C Forecast UCs, Charges &amp; Xs</v>
      </c>
      <c r="B26" s="180" t="s">
        <v>265</v>
      </c>
      <c r="C26" s="179"/>
      <c r="D26" s="179"/>
    </row>
    <row r="27" spans="1:4" s="256" customFormat="1" ht="18.95" customHeight="1" x14ac:dyDescent="0.45">
      <c r="A27" s="291" t="str">
        <f ca="1">MID(CELL("filename",'Poles&gt;&gt;&gt;'!A1),FIND("]",CELL("filename",'Poles&gt;&gt;&gt;'!A1))+1,255)</f>
        <v>Poles&gt;&gt;&gt;</v>
      </c>
      <c r="B27" s="291" t="s">
        <v>187</v>
      </c>
      <c r="C27" s="179"/>
      <c r="D27" s="179"/>
    </row>
    <row r="28" spans="1:4" s="256" customFormat="1" ht="18.95" customHeight="1" x14ac:dyDescent="0.45">
      <c r="A28" s="180" t="str">
        <f ca="1">MID(CELL("filename",'Pole volume forecasts'!A1),FIND("]",CELL("filename",'Pole volume forecasts'!A1))+1,255)</f>
        <v>Pole volume forecasts</v>
      </c>
      <c r="B28" s="179" t="s">
        <v>223</v>
      </c>
      <c r="C28" s="179"/>
      <c r="D28" s="179"/>
    </row>
    <row r="29" spans="1:4" s="256" customFormat="1" ht="18.95" customHeight="1" x14ac:dyDescent="0.45">
      <c r="A29" s="180" t="str">
        <f ca="1">MID(CELL("filename",'Poles main COW Forecasts'!A1),FIND("]",CELL("filename",'Poles main COW Forecasts'!A1))+1,255)</f>
        <v>Poles main COW Forecasts</v>
      </c>
      <c r="B29" s="179" t="s">
        <v>244</v>
      </c>
      <c r="C29" s="179"/>
      <c r="D29" s="179"/>
    </row>
    <row r="30" spans="1:4" s="256" customFormat="1" ht="18.95" customHeight="1" x14ac:dyDescent="0.45">
      <c r="A30" s="180" t="str">
        <f ca="1">MID(CELL("filename",'Poles costs forecasts'!A1),FIND("]",CELL("filename",'Poles costs forecasts'!A1))+1,255)</f>
        <v>Poles costs forecasts</v>
      </c>
      <c r="B30" s="179" t="s">
        <v>247</v>
      </c>
      <c r="C30" s="179"/>
      <c r="D30" s="179"/>
    </row>
    <row r="31" spans="1:4" s="256" customFormat="1" ht="18.95" customHeight="1" x14ac:dyDescent="0.45">
      <c r="A31" s="180" t="str">
        <f ca="1">MID(CELL("filename",'Poles Fcast UCs, Charges &amp; Xs'!A1),FIND("]",CELL("filename",'Poles costs forecasts'!A2))+1,255)</f>
        <v>Poles Fcast UCs, Charges &amp; Xs</v>
      </c>
      <c r="B31" s="180" t="s">
        <v>264</v>
      </c>
      <c r="C31" s="179"/>
      <c r="D31" s="179"/>
    </row>
    <row r="32" spans="1:4" s="256" customFormat="1" ht="18.95" customHeight="1" x14ac:dyDescent="0.45">
      <c r="A32" s="288" t="str">
        <f ca="1">MID(CELL("filename",'Model Output&gt;&gt;&gt;'!A1),FIND("]",CELL("filename",'Model Output&gt;&gt;&gt;'!A1))+1,255)</f>
        <v>Model Output&gt;&gt;&gt;</v>
      </c>
      <c r="B32" s="288" t="s">
        <v>187</v>
      </c>
      <c r="C32" s="179"/>
      <c r="D32" s="179"/>
    </row>
    <row r="33" spans="1:4" s="256" customFormat="1" ht="18.95" customHeight="1" x14ac:dyDescent="0.45">
      <c r="A33" s="180" t="str">
        <f ca="1">MID(CELL("filename",'Model outputs'!A1),FIND("]",CELL("filename",'Model outputs'!A1))+1,255)</f>
        <v>Model outputs</v>
      </c>
      <c r="B33" s="179" t="s">
        <v>302</v>
      </c>
      <c r="C33" s="179"/>
      <c r="D33" s="179"/>
    </row>
    <row r="34" spans="1:4" ht="13.15" x14ac:dyDescent="0.45">
      <c r="C34" s="179"/>
      <c r="D34" s="179"/>
    </row>
    <row r="35" spans="1:4" ht="13.15" x14ac:dyDescent="0.45">
      <c r="A35" s="184"/>
      <c r="D35" s="179"/>
    </row>
    <row r="36" spans="1:4" ht="13.15" x14ac:dyDescent="0.45">
      <c r="A36" s="184"/>
      <c r="D36" s="179"/>
    </row>
    <row r="45" spans="1:4" s="162" customFormat="1" x14ac:dyDescent="0.45"/>
    <row r="46" spans="1:4" s="162" customFormat="1" x14ac:dyDescent="0.45"/>
    <row r="47" spans="1:4" s="162" customFormat="1" x14ac:dyDescent="0.45"/>
    <row r="48" spans="1:4" s="162" customFormat="1" x14ac:dyDescent="0.45"/>
    <row r="49" s="162" customFormat="1" x14ac:dyDescent="0.45"/>
    <row r="50" s="162" customFormat="1" x14ac:dyDescent="0.45"/>
    <row r="51" s="162" customFormat="1" x14ac:dyDescent="0.45"/>
    <row r="52" s="162" customFormat="1" x14ac:dyDescent="0.45"/>
    <row r="53" s="162" customFormat="1" x14ac:dyDescent="0.45"/>
    <row r="54" s="162" customFormat="1" x14ac:dyDescent="0.45"/>
    <row r="55" s="162" customFormat="1" x14ac:dyDescent="0.45"/>
    <row r="56" s="162" customFormat="1" x14ac:dyDescent="0.45"/>
    <row r="57" s="162" customFormat="1" x14ac:dyDescent="0.45"/>
    <row r="58" s="162" customFormat="1" x14ac:dyDescent="0.45"/>
    <row r="59" s="162" customFormat="1" x14ac:dyDescent="0.45"/>
    <row r="60" s="162" customFormat="1" x14ac:dyDescent="0.45"/>
    <row r="66" spans="1:4" s="168" customFormat="1" x14ac:dyDescent="0.45">
      <c r="A66" s="169"/>
      <c r="B66" s="169"/>
      <c r="C66" s="169"/>
      <c r="D66" s="169"/>
    </row>
    <row r="67" spans="1:4" s="168" customFormat="1" x14ac:dyDescent="0.45">
      <c r="A67" s="169"/>
      <c r="B67" s="169"/>
      <c r="C67" s="169"/>
      <c r="D67" s="169"/>
    </row>
    <row r="68" spans="1:4" s="168" customFormat="1" x14ac:dyDescent="0.45">
      <c r="A68" s="169"/>
      <c r="B68" s="169"/>
      <c r="C68" s="169"/>
      <c r="D68" s="169"/>
    </row>
    <row r="69" spans="1:4" s="168" customFormat="1" x14ac:dyDescent="0.45">
      <c r="A69" s="169"/>
      <c r="B69" s="169"/>
      <c r="C69" s="169"/>
      <c r="D69" s="169"/>
    </row>
    <row r="70" spans="1:4" s="168" customFormat="1" x14ac:dyDescent="0.45">
      <c r="A70" s="169"/>
      <c r="B70" s="169"/>
      <c r="C70" s="169"/>
      <c r="D70" s="169"/>
    </row>
    <row r="71" spans="1:4" x14ac:dyDescent="0.45">
      <c r="A71" s="169"/>
      <c r="B71" s="169"/>
      <c r="C71" s="169"/>
      <c r="D71" s="169"/>
    </row>
    <row r="72" spans="1:4" x14ac:dyDescent="0.45">
      <c r="A72" s="169"/>
      <c r="B72" s="169"/>
      <c r="C72" s="169"/>
      <c r="D72" s="169"/>
    </row>
    <row r="73" spans="1:4" x14ac:dyDescent="0.45">
      <c r="A73" s="169"/>
      <c r="B73" s="169"/>
      <c r="C73" s="169"/>
      <c r="D73" s="169"/>
    </row>
    <row r="74" spans="1:4" x14ac:dyDescent="0.45">
      <c r="A74" s="169"/>
      <c r="B74" s="169"/>
      <c r="C74" s="169"/>
      <c r="D74" s="169"/>
    </row>
    <row r="75" spans="1:4" x14ac:dyDescent="0.45">
      <c r="A75" s="169"/>
      <c r="B75" s="169"/>
      <c r="C75" s="169"/>
      <c r="D75" s="169"/>
    </row>
    <row r="76" spans="1:4" x14ac:dyDescent="0.45">
      <c r="A76" s="169"/>
      <c r="B76" s="169"/>
      <c r="C76" s="169"/>
      <c r="D76" s="169"/>
    </row>
    <row r="77" spans="1:4" s="162" customFormat="1" x14ac:dyDescent="0.45">
      <c r="A77" s="169"/>
      <c r="B77" s="169"/>
      <c r="C77" s="169"/>
      <c r="D77" s="169"/>
    </row>
    <row r="78" spans="1:4" s="162" customFormat="1" x14ac:dyDescent="0.45">
      <c r="A78" s="169"/>
      <c r="B78" s="169"/>
      <c r="C78" s="169"/>
      <c r="D78" s="169"/>
    </row>
    <row r="79" spans="1:4" s="162" customFormat="1" x14ac:dyDescent="0.45">
      <c r="A79" s="169"/>
      <c r="B79" s="169"/>
      <c r="C79" s="169"/>
      <c r="D79" s="169"/>
    </row>
    <row r="80" spans="1:4" s="162" customFormat="1" x14ac:dyDescent="0.45">
      <c r="A80" s="169"/>
      <c r="B80" s="169"/>
      <c r="C80" s="169"/>
      <c r="D80" s="169"/>
    </row>
    <row r="81" spans="1:4" s="162" customFormat="1" x14ac:dyDescent="0.45">
      <c r="A81" s="169"/>
      <c r="B81" s="169"/>
      <c r="C81" s="169"/>
      <c r="D81" s="169"/>
    </row>
    <row r="82" spans="1:4" s="162" customFormat="1" x14ac:dyDescent="0.45">
      <c r="A82" s="169"/>
      <c r="B82" s="169"/>
      <c r="C82" s="169"/>
      <c r="D82" s="169"/>
    </row>
    <row r="83" spans="1:4" x14ac:dyDescent="0.45">
      <c r="A83" s="169"/>
      <c r="B83" s="169"/>
      <c r="C83" s="169"/>
      <c r="D83" s="169"/>
    </row>
  </sheetData>
  <dataValidations count="1">
    <dataValidation type="list" allowBlank="1" showInputMessage="1" promptTitle="Input Parameter" prompt="Select from list" sqref="B8:C8" xr:uid="{6E975848-4B1C-4544-858D-552A95E9452F}">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scale="60" orientation="portrait" horizontalDpi="4294967292" verticalDpi="4294967292" r:id="rId1"/>
  <headerFooter alignWithMargins="0">
    <oddHeader>&amp;L&amp;"Calibri"&amp;12&amp;K000000Classification: HIGHLY SENSITIVE&amp;1#</oddHeader>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C2CB-818F-46AE-AE72-9A30C7758DEA}">
  <sheetPr codeName="Sheet1">
    <pageSetUpPr autoPageBreaks="0" fitToPage="1"/>
  </sheetPr>
  <dimension ref="A1:F32"/>
  <sheetViews>
    <sheetView tabSelected="1" workbookViewId="0">
      <selection activeCell="G20" sqref="G20"/>
    </sheetView>
  </sheetViews>
  <sheetFormatPr defaultColWidth="12.86328125" defaultRowHeight="12.75" x14ac:dyDescent="0.45"/>
  <cols>
    <col min="1" max="1" width="2" style="164" customWidth="1"/>
    <col min="2" max="2" width="28" style="164" customWidth="1"/>
    <col min="3" max="3" width="13.3984375" style="164" customWidth="1"/>
    <col min="4" max="4" width="11.86328125" style="164" customWidth="1"/>
    <col min="5" max="7" width="12.86328125" style="164" customWidth="1"/>
    <col min="8" max="16384" width="12.86328125" style="164"/>
  </cols>
  <sheetData>
    <row r="1" spans="1:6" ht="14.25" x14ac:dyDescent="0.45">
      <c r="A1" s="170"/>
      <c r="B1" s="165"/>
      <c r="C1" s="165"/>
      <c r="D1" s="165"/>
      <c r="E1" s="165"/>
      <c r="F1" s="166"/>
    </row>
    <row r="2" spans="1:6" s="171" customFormat="1" ht="40.5" customHeight="1" thickBot="1" x14ac:dyDescent="0.5">
      <c r="A2" s="295" t="s">
        <v>182</v>
      </c>
      <c r="B2" s="295"/>
    </row>
    <row r="3" spans="1:6" ht="13.5" thickTop="1" x14ac:dyDescent="0.45">
      <c r="A3" s="181"/>
      <c r="B3" s="181"/>
    </row>
    <row r="4" spans="1:6" ht="18" x14ac:dyDescent="0.45">
      <c r="A4" s="296" t="s">
        <v>188</v>
      </c>
      <c r="B4" s="181"/>
    </row>
    <row r="5" spans="1:6" ht="12.75" customHeight="1" x14ac:dyDescent="0.45">
      <c r="A5" s="296"/>
      <c r="B5" s="181"/>
    </row>
    <row r="6" spans="1:6" ht="13.15" x14ac:dyDescent="0.45">
      <c r="A6" s="181"/>
      <c r="B6" s="297" t="s">
        <v>185</v>
      </c>
      <c r="C6" s="299"/>
      <c r="E6" s="181" t="s">
        <v>189</v>
      </c>
    </row>
    <row r="7" spans="1:6" ht="13.15" x14ac:dyDescent="0.45">
      <c r="A7" s="181"/>
      <c r="B7" s="297"/>
      <c r="C7" s="181"/>
      <c r="E7" s="181"/>
    </row>
    <row r="8" spans="1:6" ht="13.15" x14ac:dyDescent="0.45">
      <c r="A8" s="181"/>
      <c r="B8" s="297" t="s">
        <v>190</v>
      </c>
      <c r="C8" s="300"/>
      <c r="E8" s="181" t="s">
        <v>191</v>
      </c>
    </row>
    <row r="9" spans="1:6" ht="13.15" x14ac:dyDescent="0.45">
      <c r="A9" s="181"/>
      <c r="B9" s="297"/>
      <c r="C9" s="181"/>
      <c r="E9" s="181"/>
    </row>
    <row r="10" spans="1:6" ht="13.15" x14ac:dyDescent="0.45">
      <c r="A10" s="181"/>
      <c r="B10" s="297" t="s">
        <v>192</v>
      </c>
      <c r="C10" s="301"/>
      <c r="E10" s="181" t="s">
        <v>193</v>
      </c>
    </row>
    <row r="11" spans="1:6" ht="13.15" x14ac:dyDescent="0.45">
      <c r="A11" s="181"/>
      <c r="B11" s="297"/>
      <c r="C11" s="181"/>
      <c r="E11" s="181"/>
    </row>
    <row r="12" spans="1:6" ht="13.15" x14ac:dyDescent="0.45">
      <c r="A12" s="181"/>
      <c r="B12" s="297" t="s">
        <v>194</v>
      </c>
      <c r="C12" s="302"/>
      <c r="E12" s="181" t="s">
        <v>195</v>
      </c>
    </row>
    <row r="13" spans="1:6" ht="13.15" x14ac:dyDescent="0.45">
      <c r="A13" s="181"/>
      <c r="B13" s="297"/>
      <c r="C13" s="181"/>
      <c r="E13" s="181"/>
    </row>
    <row r="14" spans="1:6" ht="13.15" x14ac:dyDescent="0.45">
      <c r="A14" s="181"/>
      <c r="B14" s="297" t="s">
        <v>196</v>
      </c>
      <c r="C14" s="303"/>
      <c r="E14" s="181" t="s">
        <v>197</v>
      </c>
    </row>
    <row r="15" spans="1:6" ht="13.15" x14ac:dyDescent="0.45">
      <c r="A15" s="181"/>
      <c r="B15" s="297"/>
      <c r="C15" s="181"/>
      <c r="E15" s="181"/>
    </row>
    <row r="16" spans="1:6" ht="13.15" x14ac:dyDescent="0.45">
      <c r="A16" s="181"/>
      <c r="B16" s="297" t="s">
        <v>198</v>
      </c>
      <c r="C16" s="304"/>
      <c r="E16" s="181" t="s">
        <v>199</v>
      </c>
    </row>
    <row r="17" spans="1:5" ht="13.15" x14ac:dyDescent="0.45">
      <c r="A17" s="181"/>
      <c r="B17" s="181"/>
      <c r="C17" s="181"/>
      <c r="E17" s="181"/>
    </row>
    <row r="18" spans="1:5" ht="13.15" x14ac:dyDescent="0.45">
      <c r="A18" s="181"/>
      <c r="B18" s="181"/>
      <c r="C18" s="181"/>
      <c r="E18" s="181"/>
    </row>
    <row r="19" spans="1:5" ht="18" x14ac:dyDescent="0.45">
      <c r="A19" s="296" t="s">
        <v>200</v>
      </c>
      <c r="B19" s="181"/>
      <c r="C19" s="305"/>
      <c r="E19" s="181"/>
    </row>
    <row r="20" spans="1:5" ht="13.5" thickBot="1" x14ac:dyDescent="0.5">
      <c r="A20" s="298"/>
      <c r="B20" s="298"/>
      <c r="C20" s="306"/>
      <c r="D20" s="172"/>
      <c r="E20" s="297"/>
    </row>
    <row r="21" spans="1:5" ht="14.65" thickBot="1" x14ac:dyDescent="0.5">
      <c r="A21" s="181"/>
      <c r="B21" s="297" t="s">
        <v>212</v>
      </c>
      <c r="C21" s="307">
        <v>100</v>
      </c>
      <c r="D21" s="11"/>
      <c r="E21" s="58" t="s">
        <v>213</v>
      </c>
    </row>
    <row r="22" spans="1:5" ht="13.15" x14ac:dyDescent="0.45">
      <c r="A22" s="181"/>
      <c r="B22" s="181"/>
      <c r="C22" s="181"/>
      <c r="E22" s="181"/>
    </row>
    <row r="23" spans="1:5" ht="13.15" x14ac:dyDescent="0.45">
      <c r="A23" s="181"/>
      <c r="B23" s="297" t="s">
        <v>218</v>
      </c>
      <c r="C23" s="308">
        <v>0</v>
      </c>
      <c r="E23" s="181" t="s">
        <v>219</v>
      </c>
    </row>
    <row r="24" spans="1:5" ht="13.15" x14ac:dyDescent="0.45">
      <c r="A24" s="181"/>
      <c r="B24" s="181"/>
      <c r="C24" s="181"/>
      <c r="E24" s="181"/>
    </row>
    <row r="25" spans="1:5" ht="18" x14ac:dyDescent="0.45">
      <c r="A25" s="296" t="s">
        <v>203</v>
      </c>
      <c r="B25" s="181"/>
      <c r="C25" s="181"/>
      <c r="E25" s="181"/>
    </row>
    <row r="26" spans="1:5" ht="13.15" x14ac:dyDescent="0.45">
      <c r="A26" s="181"/>
      <c r="B26" s="181"/>
      <c r="C26" s="181"/>
      <c r="E26" s="181"/>
    </row>
    <row r="27" spans="1:5" ht="13.15" x14ac:dyDescent="0.45">
      <c r="A27" s="181"/>
      <c r="B27" s="297" t="s">
        <v>201</v>
      </c>
      <c r="C27" s="309">
        <v>100</v>
      </c>
      <c r="E27" s="181" t="s">
        <v>202</v>
      </c>
    </row>
    <row r="32" spans="1:5" x14ac:dyDescent="0.45">
      <c r="C32" s="165"/>
    </row>
  </sheetData>
  <pageMargins left="0.70866141732283472" right="0.70866141732283472" top="0.51181102362204722" bottom="0.51181102362204722" header="0.51181102362204722" footer="0.35433070866141736"/>
  <pageSetup paperSize="9" orientation="landscape" verticalDpi="4294967292" r:id="rId1"/>
  <headerFooter alignWithMargins="0">
    <oddHeader>&amp;L&amp;"Calibri"&amp;12&amp;K000000Classification: HIGHLY SENSITIVE&amp;1#</oddHeader>
    <oddFooter>&amp;L&amp;A :page&amp;P&amp;COfcom Confidential&amp;R&amp;D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2544-FF10-471F-8721-D55A9B97962D}">
  <sheetPr codeName="Sheet3"/>
  <dimension ref="A1:AF14"/>
  <sheetViews>
    <sheetView workbookViewId="0">
      <selection activeCell="Q6" sqref="Q6"/>
    </sheetView>
  </sheetViews>
  <sheetFormatPr defaultColWidth="9" defaultRowHeight="12.75" x14ac:dyDescent="0.45"/>
  <cols>
    <col min="1" max="16384" width="9" style="164"/>
  </cols>
  <sheetData>
    <row r="1" spans="1:32" ht="14.25" x14ac:dyDescent="0.45">
      <c r="A1" s="170"/>
      <c r="B1" s="165"/>
      <c r="C1" s="165"/>
      <c r="D1" s="165"/>
      <c r="E1" s="165"/>
      <c r="F1" s="166"/>
      <c r="W1" s="166"/>
      <c r="AF1" s="166"/>
    </row>
    <row r="2" spans="1:32" ht="37.5" customHeight="1" thickBot="1" x14ac:dyDescent="0.5">
      <c r="A2" s="174" t="s">
        <v>204</v>
      </c>
      <c r="B2" s="173"/>
      <c r="C2" s="173"/>
      <c r="D2" s="174"/>
      <c r="E2" s="173"/>
      <c r="F2" s="173"/>
      <c r="G2" s="173"/>
      <c r="H2" s="173"/>
      <c r="I2" s="173"/>
      <c r="J2" s="173"/>
      <c r="K2" s="173"/>
      <c r="L2" s="173"/>
      <c r="M2" s="173"/>
      <c r="N2" s="173"/>
      <c r="O2" s="173"/>
      <c r="P2" s="173"/>
    </row>
    <row r="3" spans="1:32" ht="13.15" thickTop="1" x14ac:dyDescent="0.45"/>
    <row r="4" spans="1:32" ht="15" x14ac:dyDescent="0.45">
      <c r="A4" s="175" t="s">
        <v>205</v>
      </c>
    </row>
    <row r="6" spans="1:32" ht="81" customHeight="1" x14ac:dyDescent="0.45">
      <c r="A6" s="570" t="s">
        <v>456</v>
      </c>
      <c r="B6" s="570"/>
      <c r="C6" s="570"/>
      <c r="D6" s="570"/>
      <c r="E6" s="570"/>
      <c r="F6" s="570"/>
      <c r="G6" s="570"/>
      <c r="H6" s="570"/>
      <c r="I6" s="570"/>
      <c r="J6" s="570"/>
      <c r="K6" s="570"/>
      <c r="L6" s="570"/>
      <c r="M6" s="570"/>
      <c r="N6" s="570"/>
      <c r="O6" s="570"/>
      <c r="P6" s="570"/>
    </row>
    <row r="7" spans="1:32" ht="15" x14ac:dyDescent="0.45">
      <c r="A7" s="176"/>
      <c r="B7" s="176"/>
      <c r="C7" s="176"/>
      <c r="D7" s="176"/>
      <c r="E7" s="176"/>
      <c r="F7" s="176"/>
      <c r="G7" s="176"/>
      <c r="H7" s="176"/>
      <c r="I7" s="176"/>
      <c r="J7" s="176"/>
      <c r="K7" s="176"/>
      <c r="L7" s="176"/>
    </row>
    <row r="8" spans="1:32" ht="66.75" customHeight="1" x14ac:dyDescent="0.45">
      <c r="A8" s="571" t="s">
        <v>206</v>
      </c>
      <c r="B8" s="571"/>
      <c r="C8" s="571"/>
      <c r="D8" s="571"/>
      <c r="E8" s="571"/>
      <c r="F8" s="571"/>
      <c r="G8" s="571"/>
      <c r="H8" s="571"/>
      <c r="I8" s="571"/>
      <c r="J8" s="571"/>
      <c r="K8" s="571"/>
      <c r="L8" s="571"/>
      <c r="M8" s="571"/>
      <c r="N8" s="571"/>
      <c r="O8" s="571"/>
      <c r="P8" s="571"/>
    </row>
    <row r="9" spans="1:32" ht="15" x14ac:dyDescent="0.45">
      <c r="A9" s="176"/>
      <c r="B9" s="176"/>
      <c r="C9" s="176"/>
      <c r="D9" s="176"/>
      <c r="E9" s="176"/>
      <c r="F9" s="176"/>
      <c r="G9" s="176"/>
      <c r="H9" s="176"/>
      <c r="I9" s="176"/>
      <c r="J9" s="176"/>
      <c r="K9" s="176"/>
      <c r="L9" s="176"/>
    </row>
    <row r="10" spans="1:32" ht="57" customHeight="1" x14ac:dyDescent="0.45">
      <c r="A10" s="571" t="s">
        <v>207</v>
      </c>
      <c r="B10" s="571"/>
      <c r="C10" s="571"/>
      <c r="D10" s="571"/>
      <c r="E10" s="571"/>
      <c r="F10" s="571"/>
      <c r="G10" s="571"/>
      <c r="H10" s="571"/>
      <c r="I10" s="571"/>
      <c r="J10" s="571"/>
      <c r="K10" s="571"/>
      <c r="L10" s="571"/>
      <c r="M10" s="571"/>
      <c r="N10" s="571"/>
      <c r="O10" s="571"/>
      <c r="P10" s="571"/>
    </row>
    <row r="11" spans="1:32" ht="15" x14ac:dyDescent="0.45">
      <c r="A11" s="176"/>
      <c r="B11" s="176"/>
      <c r="C11" s="176"/>
      <c r="D11" s="176"/>
      <c r="E11" s="176"/>
      <c r="F11" s="176"/>
      <c r="G11" s="176"/>
      <c r="H11" s="176"/>
      <c r="I11" s="176"/>
      <c r="J11" s="176"/>
      <c r="K11" s="176"/>
      <c r="L11" s="176"/>
    </row>
    <row r="12" spans="1:32" ht="53.25" customHeight="1" x14ac:dyDescent="0.45">
      <c r="A12" s="571" t="s">
        <v>208</v>
      </c>
      <c r="B12" s="571"/>
      <c r="C12" s="571"/>
      <c r="D12" s="571"/>
      <c r="E12" s="571"/>
      <c r="F12" s="571"/>
      <c r="G12" s="571"/>
      <c r="H12" s="571"/>
      <c r="I12" s="571"/>
      <c r="J12" s="571"/>
      <c r="K12" s="571"/>
      <c r="L12" s="571"/>
      <c r="M12" s="571"/>
      <c r="N12" s="571"/>
      <c r="O12" s="571"/>
      <c r="P12" s="571"/>
    </row>
    <row r="14" spans="1:32" ht="46.5" customHeight="1" x14ac:dyDescent="0.45">
      <c r="A14" s="571" t="s">
        <v>209</v>
      </c>
      <c r="B14" s="571"/>
      <c r="C14" s="571"/>
      <c r="D14" s="571"/>
      <c r="E14" s="571"/>
      <c r="F14" s="571"/>
      <c r="G14" s="571"/>
      <c r="H14" s="571"/>
      <c r="I14" s="571"/>
      <c r="J14" s="571"/>
      <c r="K14" s="571"/>
      <c r="L14" s="571"/>
      <c r="M14" s="571"/>
      <c r="N14" s="571"/>
      <c r="O14" s="571"/>
      <c r="P14" s="571"/>
    </row>
  </sheetData>
  <mergeCells count="5">
    <mergeCell ref="A6:P6"/>
    <mergeCell ref="A8:P8"/>
    <mergeCell ref="A10:P10"/>
    <mergeCell ref="A12:P12"/>
    <mergeCell ref="A14:P14"/>
  </mergeCells>
  <pageMargins left="0.7" right="0.7" top="0.75" bottom="0.75" header="0.3" footer="0.3"/>
  <pageSetup paperSize="9" orientation="portrait" r:id="rId1"/>
  <headerFooter>
    <oddHeader>&amp;L&amp;"Calibri"&amp;12&amp;K000000Classification: HIGHLY SENSITIVE&amp;1#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A9D4-F9CA-4B58-8170-00C102DEFCE7}">
  <sheetPr codeName="Sheet2">
    <tabColor rgb="FFFF0000"/>
  </sheetPr>
  <dimension ref="A1:A2"/>
  <sheetViews>
    <sheetView zoomScale="88" zoomScaleNormal="88" workbookViewId="0">
      <selection activeCell="D2" sqref="D2"/>
    </sheetView>
  </sheetViews>
  <sheetFormatPr defaultColWidth="9" defaultRowHeight="14.25" x14ac:dyDescent="0.45"/>
  <cols>
    <col min="1" max="10" width="11" style="8" customWidth="1"/>
    <col min="11" max="16384" width="9" style="8"/>
  </cols>
  <sheetData>
    <row r="1" spans="1:1" ht="25.5" x14ac:dyDescent="0.75">
      <c r="A1" s="151" t="s">
        <v>311</v>
      </c>
    </row>
    <row r="2" spans="1:1" ht="21" x14ac:dyDescent="0.65">
      <c r="A2" s="287"/>
    </row>
  </sheetData>
  <pageMargins left="0.7" right="0.7" top="0.75" bottom="0.75" header="0.3" footer="0.3"/>
  <pageSetup paperSize="9" orientation="portrait" r:id="rId1"/>
  <headerFooter>
    <oddHeader>&amp;L&amp;"Calibri"&amp;12&amp;K000000Classification: HIGHLY SENSITIVE&amp;1#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13B6-6284-4D21-8045-D1CC56AEC4C5}">
  <sheetPr codeName="Sheet4">
    <tabColor rgb="FF7030A0"/>
  </sheetPr>
  <dimension ref="A1"/>
  <sheetViews>
    <sheetView workbookViewId="0">
      <selection activeCell="H49" sqref="H49"/>
    </sheetView>
  </sheetViews>
  <sheetFormatPr defaultRowHeight="14.25" x14ac:dyDescent="0.45"/>
  <sheetData/>
  <pageMargins left="0.7" right="0.7" top="0.75" bottom="0.75" header="0.3" footer="0.3"/>
  <pageSetup paperSize="9" orientation="portrait" r:id="rId1"/>
  <headerFooter>
    <oddHeader>&amp;L&amp;"Calibri"&amp;12&amp;K000000Classification: HIGHLY SENSITIVE&amp;1#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BCD4-597E-48A0-ACA7-9FCFF9D9B77D}">
  <sheetPr codeName="Sheet5">
    <tabColor rgb="FFFFFF00"/>
  </sheetPr>
  <dimension ref="A1:N245"/>
  <sheetViews>
    <sheetView topLeftCell="A233" zoomScale="96" zoomScaleNormal="96" workbookViewId="0">
      <selection activeCell="L186" sqref="L186"/>
    </sheetView>
  </sheetViews>
  <sheetFormatPr defaultColWidth="8.86328125" defaultRowHeight="14.25" x14ac:dyDescent="0.45"/>
  <cols>
    <col min="1" max="1" width="17.86328125" style="311" customWidth="1"/>
    <col min="2" max="2" width="18.73046875" style="311" customWidth="1"/>
    <col min="3" max="3" width="12.3984375" style="311" customWidth="1"/>
    <col min="4" max="4" width="14.1328125" style="311" customWidth="1"/>
    <col min="5" max="5" width="14" style="311" customWidth="1"/>
    <col min="6" max="7" width="10.59765625" style="311" customWidth="1"/>
    <col min="8" max="8" width="12.1328125" style="311" customWidth="1"/>
    <col min="9" max="11" width="10.59765625" style="311" customWidth="1"/>
    <col min="12" max="12" width="10.3984375" style="311" customWidth="1"/>
    <col min="13" max="13" width="87.86328125" style="312" customWidth="1"/>
    <col min="14" max="14" width="9.59765625" style="311" customWidth="1"/>
    <col min="15" max="16384" width="8.86328125" style="311"/>
  </cols>
  <sheetData>
    <row r="1" spans="1:13" ht="25.5" x14ac:dyDescent="0.75">
      <c r="A1" s="337" t="s">
        <v>381</v>
      </c>
      <c r="M1" s="329" t="s">
        <v>170</v>
      </c>
    </row>
    <row r="2" spans="1:13" s="312" customFormat="1" ht="9" customHeight="1" x14ac:dyDescent="0.4"/>
    <row r="3" spans="1:13" ht="21" x14ac:dyDescent="0.45">
      <c r="A3" s="355" t="s">
        <v>168</v>
      </c>
    </row>
    <row r="4" spans="1:13" ht="26.25" x14ac:dyDescent="0.45">
      <c r="B4" s="323"/>
      <c r="C4" s="323"/>
      <c r="D4" s="338" t="s">
        <v>152</v>
      </c>
      <c r="E4" s="338" t="s">
        <v>138</v>
      </c>
      <c r="F4" s="338" t="s">
        <v>139</v>
      </c>
      <c r="G4" s="338" t="s">
        <v>312</v>
      </c>
    </row>
    <row r="5" spans="1:13" x14ac:dyDescent="0.45">
      <c r="A5" s="339" t="s">
        <v>164</v>
      </c>
      <c r="B5" s="323"/>
      <c r="C5" s="323"/>
      <c r="D5" s="323"/>
      <c r="E5" s="323"/>
      <c r="F5" s="323"/>
      <c r="G5" s="323"/>
      <c r="H5" s="323"/>
      <c r="I5" s="323"/>
    </row>
    <row r="6" spans="1:13" x14ac:dyDescent="0.45">
      <c r="A6" s="324" t="s">
        <v>8</v>
      </c>
      <c r="B6" s="312"/>
      <c r="C6" s="312"/>
      <c r="D6" s="461">
        <v>0.84</v>
      </c>
      <c r="E6" s="461">
        <v>0.55000000000000004</v>
      </c>
      <c r="F6" s="461">
        <v>0.56000000000000005</v>
      </c>
      <c r="G6" s="461">
        <v>0.56000000000000005</v>
      </c>
      <c r="M6" s="471" t="s">
        <v>382</v>
      </c>
    </row>
    <row r="7" spans="1:13" x14ac:dyDescent="0.45">
      <c r="A7" s="324" t="s">
        <v>9</v>
      </c>
      <c r="B7" s="312"/>
      <c r="C7" s="312"/>
      <c r="D7" s="461">
        <v>0.6</v>
      </c>
      <c r="E7" s="461">
        <v>0.28000000000000003</v>
      </c>
      <c r="F7" s="461">
        <v>0.28000000000000003</v>
      </c>
      <c r="G7" s="461">
        <v>0.28999999999999998</v>
      </c>
      <c r="M7" s="472"/>
    </row>
    <row r="8" spans="1:13" x14ac:dyDescent="0.45">
      <c r="A8" s="324" t="s">
        <v>10</v>
      </c>
      <c r="B8" s="312"/>
      <c r="C8" s="312"/>
      <c r="D8" s="461">
        <v>0.43</v>
      </c>
      <c r="E8" s="461">
        <v>0.18</v>
      </c>
      <c r="F8" s="461">
        <v>0.18</v>
      </c>
      <c r="G8" s="461">
        <v>0.18</v>
      </c>
      <c r="M8" s="472"/>
    </row>
    <row r="9" spans="1:13" x14ac:dyDescent="0.45">
      <c r="A9" s="324" t="s">
        <v>11</v>
      </c>
      <c r="B9" s="312"/>
      <c r="C9" s="312"/>
      <c r="D9" s="461">
        <v>0.37</v>
      </c>
      <c r="E9" s="461">
        <v>0.13</v>
      </c>
      <c r="F9" s="461">
        <v>0.13</v>
      </c>
      <c r="G9" s="461">
        <v>0.13</v>
      </c>
      <c r="M9" s="472"/>
    </row>
    <row r="10" spans="1:13" x14ac:dyDescent="0.45">
      <c r="A10" s="324" t="s">
        <v>12</v>
      </c>
      <c r="B10" s="312"/>
      <c r="C10" s="312"/>
      <c r="D10" s="461">
        <v>5.1100000000000003</v>
      </c>
      <c r="E10" s="461">
        <v>2.0099999999999998</v>
      </c>
      <c r="F10" s="461">
        <v>2.0499999999999998</v>
      </c>
      <c r="G10" s="461">
        <v>2.08</v>
      </c>
      <c r="M10" s="472"/>
    </row>
    <row r="11" spans="1:13" x14ac:dyDescent="0.45">
      <c r="A11" s="324" t="s">
        <v>13</v>
      </c>
      <c r="B11" s="312"/>
      <c r="C11" s="312"/>
      <c r="D11" s="461">
        <v>11.18</v>
      </c>
      <c r="E11" s="461">
        <v>8.34</v>
      </c>
      <c r="F11" s="461">
        <v>8.5399999999999991</v>
      </c>
      <c r="G11" s="461">
        <v>8.66</v>
      </c>
      <c r="M11" s="472"/>
    </row>
    <row r="12" spans="1:13" x14ac:dyDescent="0.45">
      <c r="A12" s="315" t="s">
        <v>14</v>
      </c>
      <c r="D12" s="366"/>
      <c r="E12" s="366"/>
      <c r="F12" s="366"/>
      <c r="G12" s="366"/>
      <c r="M12" s="472"/>
    </row>
    <row r="13" spans="1:13" x14ac:dyDescent="0.45">
      <c r="A13" s="324" t="s">
        <v>114</v>
      </c>
      <c r="B13" s="312"/>
      <c r="C13" s="312"/>
      <c r="D13" s="461">
        <v>15.48</v>
      </c>
      <c r="E13" s="461">
        <v>11.13</v>
      </c>
      <c r="F13" s="461">
        <v>11.39</v>
      </c>
      <c r="G13" s="461">
        <v>11.56</v>
      </c>
      <c r="M13" s="472"/>
    </row>
    <row r="14" spans="1:13" x14ac:dyDescent="0.45">
      <c r="A14" s="324" t="s">
        <v>115</v>
      </c>
      <c r="B14" s="312"/>
      <c r="C14" s="312"/>
      <c r="D14" s="461">
        <v>8.85</v>
      </c>
      <c r="E14" s="461">
        <v>4.76</v>
      </c>
      <c r="F14" s="461">
        <v>4.87</v>
      </c>
      <c r="G14" s="461">
        <v>4.9400000000000004</v>
      </c>
      <c r="M14" s="472"/>
    </row>
    <row r="15" spans="1:13" x14ac:dyDescent="0.45">
      <c r="A15" s="324" t="s">
        <v>116</v>
      </c>
      <c r="B15" s="312"/>
      <c r="C15" s="312"/>
      <c r="D15" s="461">
        <v>3.72</v>
      </c>
      <c r="E15" s="461">
        <v>3.45</v>
      </c>
      <c r="F15" s="461">
        <v>3.53</v>
      </c>
      <c r="G15" s="461">
        <v>3.58</v>
      </c>
      <c r="M15" s="472"/>
    </row>
    <row r="16" spans="1:13" x14ac:dyDescent="0.45">
      <c r="A16" s="324" t="s">
        <v>117</v>
      </c>
      <c r="B16" s="312"/>
      <c r="C16" s="312"/>
      <c r="D16" s="461">
        <v>2.39</v>
      </c>
      <c r="E16" s="461">
        <v>2.25</v>
      </c>
      <c r="F16" s="461">
        <v>2.2999999999999998</v>
      </c>
      <c r="G16" s="461">
        <v>2.33</v>
      </c>
      <c r="M16" s="473"/>
    </row>
    <row r="17" spans="1:13" s="312" customFormat="1" ht="9" customHeight="1" thickBot="1" x14ac:dyDescent="0.45">
      <c r="A17" s="334"/>
      <c r="B17" s="334"/>
      <c r="C17" s="334"/>
      <c r="D17" s="350"/>
      <c r="E17" s="334"/>
      <c r="F17" s="334"/>
      <c r="G17" s="334"/>
      <c r="H17" s="334"/>
      <c r="I17" s="334"/>
      <c r="J17" s="334"/>
      <c r="K17" s="334"/>
      <c r="L17" s="334"/>
      <c r="M17" s="334"/>
    </row>
    <row r="18" spans="1:13" s="312" customFormat="1" ht="9" customHeight="1" x14ac:dyDescent="0.4">
      <c r="D18" s="370"/>
    </row>
    <row r="19" spans="1:13" ht="15.75" x14ac:dyDescent="0.45">
      <c r="A19" s="356" t="s">
        <v>169</v>
      </c>
      <c r="M19" s="469"/>
    </row>
    <row r="20" spans="1:13" x14ac:dyDescent="0.45">
      <c r="M20" s="57"/>
    </row>
    <row r="21" spans="1:13" ht="14.65" thickBot="1" x14ac:dyDescent="0.5">
      <c r="A21" s="340" t="s">
        <v>155</v>
      </c>
      <c r="B21" s="341"/>
      <c r="C21" s="312"/>
      <c r="D21" s="342" t="s">
        <v>154</v>
      </c>
      <c r="E21" s="340" t="s">
        <v>44</v>
      </c>
      <c r="M21" s="57"/>
    </row>
    <row r="22" spans="1:13" ht="14.65" thickBot="1" x14ac:dyDescent="0.5">
      <c r="A22" s="312" t="s">
        <v>8</v>
      </c>
      <c r="B22" s="312"/>
      <c r="C22" s="312"/>
      <c r="D22" s="568">
        <v>11.330265589952468</v>
      </c>
      <c r="E22" s="565" t="s">
        <v>43</v>
      </c>
      <c r="M22" s="57"/>
    </row>
    <row r="23" spans="1:13" ht="14.65" thickBot="1" x14ac:dyDescent="0.5">
      <c r="A23" s="312" t="s">
        <v>9</v>
      </c>
      <c r="B23" s="312"/>
      <c r="C23" s="312"/>
      <c r="D23" s="568">
        <v>10.362464591979981</v>
      </c>
      <c r="E23" s="565" t="s">
        <v>43</v>
      </c>
      <c r="M23" s="57"/>
    </row>
    <row r="24" spans="1:13" ht="14.65" thickBot="1" x14ac:dyDescent="0.5">
      <c r="A24" s="312" t="s">
        <v>23</v>
      </c>
      <c r="B24" s="312"/>
      <c r="C24" s="312"/>
      <c r="D24" s="569">
        <v>0.40689955202738448</v>
      </c>
      <c r="E24" s="565" t="s">
        <v>102</v>
      </c>
      <c r="M24" s="57"/>
    </row>
    <row r="25" spans="1:13" s="312" customFormat="1" ht="9" customHeight="1" thickBot="1" x14ac:dyDescent="0.45">
      <c r="A25" s="334"/>
      <c r="B25" s="334"/>
      <c r="C25" s="334"/>
      <c r="D25" s="350"/>
      <c r="E25" s="334"/>
      <c r="F25" s="334"/>
      <c r="G25" s="334"/>
      <c r="H25" s="334"/>
      <c r="I25" s="334"/>
      <c r="J25" s="334"/>
      <c r="K25" s="334"/>
      <c r="L25" s="334"/>
      <c r="M25" s="334"/>
    </row>
    <row r="26" spans="1:13" s="312" customFormat="1" ht="9" customHeight="1" x14ac:dyDescent="0.4">
      <c r="D26" s="370"/>
    </row>
    <row r="27" spans="1:13" ht="21" x14ac:dyDescent="0.65">
      <c r="A27" s="317" t="s">
        <v>167</v>
      </c>
    </row>
    <row r="28" spans="1:13" s="312" customFormat="1" ht="9" customHeight="1" x14ac:dyDescent="0.45">
      <c r="A28" s="321"/>
      <c r="F28" s="311"/>
      <c r="G28" s="311"/>
      <c r="H28" s="311"/>
      <c r="I28" s="311"/>
    </row>
    <row r="29" spans="1:13" x14ac:dyDescent="0.45">
      <c r="A29" s="321"/>
      <c r="B29" s="312"/>
      <c r="D29" s="312"/>
      <c r="E29" s="312"/>
      <c r="M29" s="329"/>
    </row>
    <row r="30" spans="1:13" ht="15.75" x14ac:dyDescent="0.5">
      <c r="A30" s="314" t="s">
        <v>158</v>
      </c>
      <c r="B30" s="312"/>
      <c r="C30" s="336" t="s">
        <v>40</v>
      </c>
      <c r="D30" s="411" t="s">
        <v>36</v>
      </c>
      <c r="E30" s="411" t="s">
        <v>37</v>
      </c>
      <c r="M30" s="469"/>
    </row>
    <row r="31" spans="1:13" s="312" customFormat="1" ht="9" customHeight="1" thickBot="1" x14ac:dyDescent="0.5">
      <c r="G31" s="311"/>
      <c r="H31" s="311"/>
      <c r="I31" s="311"/>
      <c r="M31" s="469"/>
    </row>
    <row r="32" spans="1:13" ht="14.65" thickBot="1" x14ac:dyDescent="0.5">
      <c r="A32" s="312" t="s">
        <v>161</v>
      </c>
      <c r="B32" s="312"/>
      <c r="C32" s="353" t="s">
        <v>41</v>
      </c>
      <c r="D32" s="500"/>
      <c r="E32" s="496">
        <v>94351.152461195001</v>
      </c>
      <c r="M32" s="469"/>
    </row>
    <row r="33" spans="1:13" ht="14.65" thickBot="1" x14ac:dyDescent="0.5">
      <c r="A33" s="312" t="s">
        <v>9</v>
      </c>
      <c r="B33" s="312"/>
      <c r="C33" s="353" t="s">
        <v>41</v>
      </c>
      <c r="D33" s="496">
        <v>357954.53649564541</v>
      </c>
      <c r="E33" s="496">
        <v>268295.15797532897</v>
      </c>
      <c r="M33" s="469"/>
    </row>
    <row r="34" spans="1:13" ht="14.65" thickBot="1" x14ac:dyDescent="0.5">
      <c r="A34" s="312" t="s">
        <v>10</v>
      </c>
      <c r="B34" s="312"/>
      <c r="C34" s="353" t="s">
        <v>41</v>
      </c>
      <c r="D34" s="496">
        <v>61881.334930162047</v>
      </c>
      <c r="E34" s="496">
        <v>67478.174252834084</v>
      </c>
      <c r="M34" s="469"/>
    </row>
    <row r="35" spans="1:13" ht="14.65" thickBot="1" x14ac:dyDescent="0.5">
      <c r="A35" s="312" t="s">
        <v>11</v>
      </c>
      <c r="B35" s="312"/>
      <c r="C35" s="353" t="s">
        <v>41</v>
      </c>
      <c r="D35" s="496">
        <v>58476.299444270197</v>
      </c>
      <c r="E35" s="496">
        <v>63814.732602673641</v>
      </c>
      <c r="M35" s="469"/>
    </row>
    <row r="36" spans="1:13" ht="14.65" thickBot="1" x14ac:dyDescent="0.5">
      <c r="A36" s="312" t="s">
        <v>12</v>
      </c>
      <c r="B36" s="312"/>
      <c r="C36" s="353" t="s">
        <v>42</v>
      </c>
      <c r="D36" s="496">
        <v>5692564.7875887668</v>
      </c>
      <c r="E36" s="496">
        <v>6762470.5334877493</v>
      </c>
      <c r="M36" s="469"/>
    </row>
    <row r="37" spans="1:13" ht="14.65" thickBot="1" x14ac:dyDescent="0.5">
      <c r="A37" s="312" t="s">
        <v>13</v>
      </c>
      <c r="B37" s="312"/>
      <c r="C37" s="353" t="s">
        <v>42</v>
      </c>
      <c r="D37" s="499">
        <v>207674.96199585355</v>
      </c>
      <c r="E37" s="499">
        <v>184587.35932946205</v>
      </c>
      <c r="M37" s="469"/>
    </row>
    <row r="38" spans="1:13" s="312" customFormat="1" ht="9" customHeight="1" thickBot="1" x14ac:dyDescent="0.45">
      <c r="A38" s="334"/>
      <c r="B38" s="334"/>
      <c r="C38" s="334"/>
      <c r="D38" s="350"/>
      <c r="E38" s="334"/>
      <c r="F38" s="334"/>
      <c r="G38" s="334"/>
      <c r="H38" s="334"/>
      <c r="I38" s="334"/>
      <c r="J38" s="334"/>
      <c r="K38" s="334"/>
      <c r="L38" s="334"/>
      <c r="M38" s="334"/>
    </row>
    <row r="39" spans="1:13" s="312" customFormat="1" ht="9" customHeight="1" x14ac:dyDescent="0.4">
      <c r="C39" s="322"/>
      <c r="D39" s="56"/>
    </row>
    <row r="40" spans="1:13" ht="15.75" x14ac:dyDescent="0.45">
      <c r="A40" s="356" t="s">
        <v>317</v>
      </c>
      <c r="E40" s="330" t="s">
        <v>37</v>
      </c>
      <c r="M40" s="469"/>
    </row>
    <row r="41" spans="1:13" ht="9" customHeight="1" thickBot="1" x14ac:dyDescent="0.5">
      <c r="M41" s="469"/>
    </row>
    <row r="42" spans="1:13" ht="14.65" thickBot="1" x14ac:dyDescent="0.5">
      <c r="A42" s="312" t="s">
        <v>57</v>
      </c>
      <c r="B42" s="312"/>
      <c r="C42" s="312"/>
      <c r="D42" s="312"/>
      <c r="E42" s="480">
        <v>75.671756177341933</v>
      </c>
      <c r="G42" s="372"/>
      <c r="M42" s="469"/>
    </row>
    <row r="43" spans="1:13" ht="14.65" thickBot="1" x14ac:dyDescent="0.5">
      <c r="A43" s="312" t="s">
        <v>72</v>
      </c>
      <c r="B43" s="312"/>
      <c r="C43" s="312"/>
      <c r="D43" s="312"/>
      <c r="E43" s="480">
        <v>245.92932235870362</v>
      </c>
      <c r="G43" s="372"/>
      <c r="M43" s="469"/>
    </row>
    <row r="44" spans="1:13" ht="14.65" thickBot="1" x14ac:dyDescent="0.5">
      <c r="A44" s="312" t="s">
        <v>6</v>
      </c>
      <c r="B44" s="312"/>
      <c r="C44" s="312"/>
      <c r="D44" s="312"/>
      <c r="E44" s="480">
        <v>-150.68058010001423</v>
      </c>
      <c r="G44" s="372"/>
      <c r="M44" s="469"/>
    </row>
    <row r="45" spans="1:13" ht="14.65" thickBot="1" x14ac:dyDescent="0.5">
      <c r="A45" s="312" t="s">
        <v>7</v>
      </c>
      <c r="B45" s="312"/>
      <c r="C45" s="312"/>
      <c r="D45" s="312"/>
      <c r="E45" s="480">
        <v>0.72599792338371272</v>
      </c>
      <c r="G45" s="372"/>
      <c r="M45" s="469"/>
    </row>
    <row r="46" spans="1:13" ht="14.65" thickBot="1" x14ac:dyDescent="0.5">
      <c r="A46" s="326" t="s">
        <v>55</v>
      </c>
      <c r="B46" s="326"/>
      <c r="C46" s="326"/>
      <c r="D46" s="326"/>
      <c r="E46" s="481">
        <v>4.0374335419964789</v>
      </c>
      <c r="G46" s="372"/>
      <c r="M46" s="469"/>
    </row>
    <row r="47" spans="1:13" x14ac:dyDescent="0.45">
      <c r="A47" s="312" t="s">
        <v>26</v>
      </c>
      <c r="B47" s="312"/>
      <c r="C47" s="312"/>
      <c r="D47" s="312"/>
      <c r="E47" s="347">
        <f>SUM(E42:E46)</f>
        <v>175.68392990141149</v>
      </c>
      <c r="F47" s="354"/>
      <c r="G47" s="372"/>
      <c r="M47" s="469"/>
    </row>
    <row r="48" spans="1:13" x14ac:dyDescent="0.45">
      <c r="A48" s="312"/>
      <c r="B48" s="312"/>
      <c r="C48" s="312"/>
      <c r="D48" s="312"/>
      <c r="E48" s="347"/>
      <c r="G48" s="372" t="s">
        <v>451</v>
      </c>
      <c r="M48" s="469"/>
    </row>
    <row r="49" spans="1:13" ht="14.65" thickBot="1" x14ac:dyDescent="0.5">
      <c r="A49" s="312" t="s">
        <v>28</v>
      </c>
      <c r="B49" s="312"/>
      <c r="C49" s="312"/>
      <c r="D49" s="312"/>
      <c r="E49" s="347"/>
      <c r="G49" s="372"/>
      <c r="M49" s="469"/>
    </row>
    <row r="50" spans="1:13" ht="14.65" thickBot="1" x14ac:dyDescent="0.5">
      <c r="A50" s="312" t="s">
        <v>56</v>
      </c>
      <c r="B50" s="312"/>
      <c r="C50" s="312"/>
      <c r="D50" s="312"/>
      <c r="E50" s="480">
        <v>4932.7837803144739</v>
      </c>
      <c r="G50" s="372"/>
      <c r="M50" s="57"/>
    </row>
    <row r="51" spans="1:13" ht="14.65" thickBot="1" x14ac:dyDescent="0.5">
      <c r="A51" s="312" t="s">
        <v>25</v>
      </c>
      <c r="B51" s="312"/>
      <c r="C51" s="312"/>
      <c r="D51" s="312"/>
      <c r="E51" s="480">
        <v>-120.26030711066723</v>
      </c>
      <c r="G51" s="372"/>
      <c r="M51" s="57"/>
    </row>
    <row r="52" spans="1:13" ht="14.65" thickBot="1" x14ac:dyDescent="0.5">
      <c r="A52" s="312" t="s">
        <v>313</v>
      </c>
      <c r="B52" s="312"/>
      <c r="C52" s="312"/>
      <c r="D52" s="312"/>
      <c r="E52" s="480">
        <v>14.590538797893524</v>
      </c>
      <c r="G52" s="372"/>
      <c r="M52" s="57"/>
    </row>
    <row r="53" spans="1:13" ht="14.65" thickBot="1" x14ac:dyDescent="0.5">
      <c r="A53" s="326" t="s">
        <v>4</v>
      </c>
      <c r="B53" s="326"/>
      <c r="C53" s="326"/>
      <c r="D53" s="326"/>
      <c r="E53" s="480">
        <v>23.740349099495411</v>
      </c>
      <c r="G53" s="372"/>
      <c r="M53" s="57"/>
    </row>
    <row r="54" spans="1:13" x14ac:dyDescent="0.45">
      <c r="A54" s="312" t="s">
        <v>5</v>
      </c>
      <c r="B54" s="312"/>
      <c r="C54" s="312"/>
      <c r="D54" s="312"/>
      <c r="E54" s="483">
        <f>SUM(E50:E53)</f>
        <v>4850.8543611011964</v>
      </c>
      <c r="F54" s="415"/>
      <c r="G54" s="372"/>
      <c r="M54" s="57"/>
    </row>
    <row r="55" spans="1:13" ht="9" customHeight="1" x14ac:dyDescent="0.45">
      <c r="E55" s="327"/>
      <c r="M55" s="57"/>
    </row>
    <row r="56" spans="1:13" ht="14.65" thickBot="1" x14ac:dyDescent="0.5">
      <c r="A56" s="315" t="s">
        <v>162</v>
      </c>
      <c r="D56" s="429" t="s">
        <v>36</v>
      </c>
      <c r="E56" s="429" t="s">
        <v>37</v>
      </c>
      <c r="H56" s="366"/>
      <c r="M56" s="469"/>
    </row>
    <row r="57" spans="1:13" ht="14.65" thickBot="1" x14ac:dyDescent="0.5">
      <c r="A57" s="312" t="s">
        <v>84</v>
      </c>
      <c r="B57" s="312"/>
      <c r="D57" s="480">
        <v>26.793747013530734</v>
      </c>
      <c r="E57" s="480">
        <v>40.651549398899078</v>
      </c>
      <c r="H57" s="366"/>
      <c r="M57" s="469"/>
    </row>
    <row r="58" spans="1:13" x14ac:dyDescent="0.45">
      <c r="A58" s="312"/>
      <c r="B58" s="312"/>
      <c r="C58" s="312"/>
      <c r="D58" s="482"/>
      <c r="E58" s="482"/>
      <c r="F58" s="312"/>
      <c r="H58" s="366"/>
      <c r="M58" s="469"/>
    </row>
    <row r="59" spans="1:13" ht="14.65" thickBot="1" x14ac:dyDescent="0.5">
      <c r="A59" s="312"/>
      <c r="B59" s="312"/>
      <c r="C59" s="312"/>
      <c r="D59" s="312"/>
      <c r="E59" s="330" t="s">
        <v>37</v>
      </c>
      <c r="F59" s="312"/>
      <c r="H59" s="366"/>
      <c r="M59" s="469"/>
    </row>
    <row r="60" spans="1:13" ht="14.65" thickBot="1" x14ac:dyDescent="0.5">
      <c r="A60" s="312" t="s">
        <v>383</v>
      </c>
      <c r="B60" s="312" t="s">
        <v>63</v>
      </c>
      <c r="C60" s="312"/>
      <c r="D60" s="312"/>
      <c r="E60" s="510">
        <v>379.4233856980324</v>
      </c>
      <c r="F60" s="312"/>
      <c r="H60" s="366"/>
      <c r="M60" s="469"/>
    </row>
    <row r="61" spans="1:13" ht="14.65" thickBot="1" x14ac:dyDescent="0.5">
      <c r="A61" s="312" t="s">
        <v>27</v>
      </c>
      <c r="B61" s="312" t="s">
        <v>384</v>
      </c>
      <c r="C61" s="312"/>
      <c r="D61" s="312"/>
      <c r="E61" s="510">
        <v>273.69329579555512</v>
      </c>
      <c r="F61" s="312"/>
      <c r="H61" s="366"/>
      <c r="M61" s="469"/>
    </row>
    <row r="62" spans="1:13" ht="14.65" thickBot="1" x14ac:dyDescent="0.5">
      <c r="A62" s="312"/>
      <c r="B62" s="312" t="s">
        <v>61</v>
      </c>
      <c r="C62" s="312"/>
      <c r="D62" s="312"/>
      <c r="E62" s="510">
        <v>9.8815167341923704</v>
      </c>
      <c r="F62" s="312"/>
      <c r="H62" s="366"/>
      <c r="M62" s="469"/>
    </row>
    <row r="63" spans="1:13" ht="14.65" thickBot="1" x14ac:dyDescent="0.5">
      <c r="A63" s="312"/>
      <c r="B63" s="312" t="s">
        <v>64</v>
      </c>
      <c r="C63" s="312"/>
      <c r="D63" s="312"/>
      <c r="E63" s="511">
        <v>0</v>
      </c>
      <c r="F63" s="312"/>
      <c r="H63" s="366"/>
      <c r="M63" s="469"/>
    </row>
    <row r="64" spans="1:13" x14ac:dyDescent="0.45">
      <c r="A64" s="312"/>
      <c r="B64" s="312" t="s">
        <v>65</v>
      </c>
      <c r="C64" s="312"/>
      <c r="D64" s="312"/>
      <c r="E64" s="462">
        <f>SUM(E60:E63)</f>
        <v>662.99819822777988</v>
      </c>
      <c r="F64" s="415"/>
      <c r="H64" s="366"/>
      <c r="M64" s="469"/>
    </row>
    <row r="65" spans="1:13" s="416" customFormat="1" ht="13.5" thickBot="1" x14ac:dyDescent="0.45">
      <c r="B65" s="415"/>
      <c r="E65" s="465"/>
      <c r="H65" s="417"/>
      <c r="M65" s="469"/>
    </row>
    <row r="66" spans="1:13" ht="14.65" thickBot="1" x14ac:dyDescent="0.5">
      <c r="A66" s="312" t="s">
        <v>383</v>
      </c>
      <c r="B66" s="312" t="s">
        <v>58</v>
      </c>
      <c r="C66" s="312"/>
      <c r="D66" s="312"/>
      <c r="E66" s="510">
        <v>318.78766431839227</v>
      </c>
      <c r="F66" s="312"/>
      <c r="H66" s="366"/>
      <c r="M66" s="469"/>
    </row>
    <row r="67" spans="1:13" ht="14.65" thickBot="1" x14ac:dyDescent="0.5">
      <c r="A67" s="312" t="s">
        <v>15</v>
      </c>
      <c r="B67" s="312" t="s">
        <v>59</v>
      </c>
      <c r="C67" s="312"/>
      <c r="D67" s="312"/>
      <c r="E67" s="542">
        <f>E61</f>
        <v>273.69329579555512</v>
      </c>
      <c r="F67" s="57"/>
      <c r="H67" s="366"/>
      <c r="M67" s="469"/>
    </row>
    <row r="68" spans="1:13" ht="14.65" thickBot="1" x14ac:dyDescent="0.5">
      <c r="A68" s="312"/>
      <c r="B68" s="312" t="s">
        <v>60</v>
      </c>
      <c r="C68" s="312"/>
      <c r="D68" s="312"/>
      <c r="E68" s="510">
        <v>-9.7808752743959424</v>
      </c>
      <c r="F68" s="312"/>
      <c r="H68" s="366"/>
      <c r="M68" s="469"/>
    </row>
    <row r="69" spans="1:13" ht="14.65" thickBot="1" x14ac:dyDescent="0.5">
      <c r="A69" s="312"/>
      <c r="B69" s="312" t="s">
        <v>61</v>
      </c>
      <c r="C69" s="312"/>
      <c r="D69" s="312"/>
      <c r="E69" s="510">
        <v>10.588479260349272</v>
      </c>
      <c r="F69" s="312"/>
      <c r="H69" s="366"/>
      <c r="M69" s="469"/>
    </row>
    <row r="70" spans="1:13" ht="14.65" thickBot="1" x14ac:dyDescent="0.5">
      <c r="A70" s="312"/>
      <c r="B70" s="312" t="s">
        <v>62</v>
      </c>
      <c r="C70" s="312"/>
      <c r="D70" s="312"/>
      <c r="E70" s="511">
        <v>0</v>
      </c>
      <c r="F70" s="312"/>
      <c r="H70" s="366"/>
      <c r="M70" s="469"/>
    </row>
    <row r="71" spans="1:13" x14ac:dyDescent="0.45">
      <c r="A71" s="312"/>
      <c r="B71" s="312" t="s">
        <v>66</v>
      </c>
      <c r="C71" s="312"/>
      <c r="D71" s="312"/>
      <c r="E71" s="462">
        <f>SUM(E66:E70)</f>
        <v>593.28856409990067</v>
      </c>
      <c r="F71" s="415"/>
      <c r="H71" s="366"/>
      <c r="M71" s="469"/>
    </row>
    <row r="72" spans="1:13" s="416" customFormat="1" ht="13.5" thickBot="1" x14ac:dyDescent="0.45">
      <c r="B72" s="415"/>
      <c r="E72" s="466"/>
      <c r="H72" s="417"/>
      <c r="M72" s="469"/>
    </row>
    <row r="73" spans="1:13" ht="14.65" thickBot="1" x14ac:dyDescent="0.5">
      <c r="A73" s="312" t="s">
        <v>385</v>
      </c>
      <c r="B73" s="312" t="s">
        <v>63</v>
      </c>
      <c r="C73" s="312"/>
      <c r="D73" s="312"/>
      <c r="E73" s="510">
        <v>4774.4349434803253</v>
      </c>
      <c r="F73" s="312"/>
      <c r="M73" s="469"/>
    </row>
    <row r="74" spans="1:13" ht="14.65" thickBot="1" x14ac:dyDescent="0.5">
      <c r="A74" s="312" t="s">
        <v>27</v>
      </c>
      <c r="B74" s="312" t="s">
        <v>384</v>
      </c>
      <c r="C74" s="312"/>
      <c r="D74" s="312"/>
      <c r="E74" s="510">
        <v>0</v>
      </c>
      <c r="F74" s="312"/>
      <c r="M74" s="469"/>
    </row>
    <row r="75" spans="1:13" ht="14.65" thickBot="1" x14ac:dyDescent="0.5">
      <c r="A75" s="312"/>
      <c r="B75" s="312" t="s">
        <v>61</v>
      </c>
      <c r="C75" s="312"/>
      <c r="D75" s="312"/>
      <c r="E75" s="510">
        <v>116.71703251309394</v>
      </c>
      <c r="F75" s="312"/>
      <c r="M75" s="469"/>
    </row>
    <row r="76" spans="1:13" ht="14.65" thickBot="1" x14ac:dyDescent="0.5">
      <c r="A76" s="312"/>
      <c r="B76" s="312" t="s">
        <v>64</v>
      </c>
      <c r="C76" s="312"/>
      <c r="D76" s="312"/>
      <c r="E76" s="511">
        <v>-4.0313695647263526</v>
      </c>
      <c r="F76" s="312"/>
      <c r="M76" s="469"/>
    </row>
    <row r="77" spans="1:13" x14ac:dyDescent="0.45">
      <c r="A77" s="312"/>
      <c r="B77" s="312" t="s">
        <v>65</v>
      </c>
      <c r="C77" s="312"/>
      <c r="D77" s="312"/>
      <c r="E77" s="462">
        <f>SUM(E73:E76)</f>
        <v>4887.1206064286926</v>
      </c>
      <c r="F77" s="415"/>
      <c r="M77" s="469"/>
    </row>
    <row r="78" spans="1:13" s="416" customFormat="1" ht="13.5" thickBot="1" x14ac:dyDescent="0.45">
      <c r="B78" s="415"/>
      <c r="E78" s="466"/>
      <c r="M78" s="469"/>
    </row>
    <row r="79" spans="1:13" ht="14.65" thickBot="1" x14ac:dyDescent="0.5">
      <c r="A79" s="312" t="s">
        <v>385</v>
      </c>
      <c r="B79" s="312" t="s">
        <v>58</v>
      </c>
      <c r="C79" s="312"/>
      <c r="D79" s="312"/>
      <c r="E79" s="510">
        <v>3305.148673633189</v>
      </c>
      <c r="F79" s="312"/>
      <c r="M79" s="469"/>
    </row>
    <row r="80" spans="1:13" ht="14.65" thickBot="1" x14ac:dyDescent="0.5">
      <c r="A80" s="312" t="s">
        <v>15</v>
      </c>
      <c r="B80" s="312" t="s">
        <v>59</v>
      </c>
      <c r="C80" s="312"/>
      <c r="D80" s="312"/>
      <c r="E80" s="510">
        <v>0</v>
      </c>
      <c r="F80" s="312"/>
      <c r="M80" s="469"/>
    </row>
    <row r="81" spans="1:13" ht="14.65" thickBot="1" x14ac:dyDescent="0.5">
      <c r="A81" s="312"/>
      <c r="B81" s="312" t="s">
        <v>60</v>
      </c>
      <c r="C81" s="312"/>
      <c r="D81" s="312"/>
      <c r="E81" s="510">
        <v>-128.66286171642304</v>
      </c>
      <c r="F81" s="312"/>
      <c r="M81" s="469"/>
    </row>
    <row r="82" spans="1:13" ht="14.65" thickBot="1" x14ac:dyDescent="0.5">
      <c r="A82" s="312"/>
      <c r="B82" s="312" t="s">
        <v>61</v>
      </c>
      <c r="C82" s="312"/>
      <c r="D82" s="312"/>
      <c r="E82" s="510">
        <v>95.444332670989041</v>
      </c>
      <c r="F82" s="312"/>
      <c r="M82" s="469"/>
    </row>
    <row r="83" spans="1:13" ht="14.65" thickBot="1" x14ac:dyDescent="0.5">
      <c r="A83" s="312"/>
      <c r="B83" s="312" t="s">
        <v>62</v>
      </c>
      <c r="C83" s="312"/>
      <c r="D83" s="312"/>
      <c r="E83" s="511">
        <v>-2.8957572496175765</v>
      </c>
      <c r="F83" s="312"/>
      <c r="M83" s="469"/>
    </row>
    <row r="84" spans="1:13" x14ac:dyDescent="0.45">
      <c r="A84" s="312"/>
      <c r="B84" s="312" t="s">
        <v>66</v>
      </c>
      <c r="C84" s="312"/>
      <c r="D84" s="312"/>
      <c r="E84" s="462">
        <f>SUM(E79:E83)</f>
        <v>3269.0343873381375</v>
      </c>
      <c r="F84" s="415"/>
      <c r="M84" s="469"/>
    </row>
    <row r="85" spans="1:13" s="416" customFormat="1" ht="13.5" thickBot="1" x14ac:dyDescent="0.45">
      <c r="B85" s="415"/>
      <c r="E85" s="466"/>
      <c r="M85" s="469"/>
    </row>
    <row r="86" spans="1:13" ht="14.65" thickBot="1" x14ac:dyDescent="0.5">
      <c r="A86" s="312" t="s">
        <v>386</v>
      </c>
      <c r="B86" s="312" t="s">
        <v>63</v>
      </c>
      <c r="C86" s="312"/>
      <c r="D86" s="312"/>
      <c r="E86" s="510">
        <v>4558.8746342848826</v>
      </c>
      <c r="F86" s="312"/>
      <c r="M86" s="469"/>
    </row>
    <row r="87" spans="1:13" ht="14.65" thickBot="1" x14ac:dyDescent="0.5">
      <c r="A87" s="312" t="s">
        <v>387</v>
      </c>
      <c r="B87" s="312" t="s">
        <v>384</v>
      </c>
      <c r="C87" s="312"/>
      <c r="D87" s="312"/>
      <c r="E87" s="510">
        <v>-9.4560747146606454E-5</v>
      </c>
      <c r="F87" s="312"/>
      <c r="M87" s="469"/>
    </row>
    <row r="88" spans="1:13" ht="14.65" thickBot="1" x14ac:dyDescent="0.5">
      <c r="A88" s="312"/>
      <c r="B88" s="312" t="s">
        <v>61</v>
      </c>
      <c r="C88" s="312"/>
      <c r="D88" s="312"/>
      <c r="E88" s="510">
        <v>102.60408828474283</v>
      </c>
      <c r="F88" s="312"/>
      <c r="M88" s="469"/>
    </row>
    <row r="89" spans="1:13" ht="14.65" thickBot="1" x14ac:dyDescent="0.5">
      <c r="A89" s="312"/>
      <c r="B89" s="312" t="s">
        <v>64</v>
      </c>
      <c r="C89" s="312"/>
      <c r="D89" s="312"/>
      <c r="E89" s="511">
        <v>1.1068446636199951E-4</v>
      </c>
      <c r="F89" s="312"/>
      <c r="M89" s="469"/>
    </row>
    <row r="90" spans="1:13" x14ac:dyDescent="0.45">
      <c r="A90" s="312"/>
      <c r="B90" s="312" t="s">
        <v>65</v>
      </c>
      <c r="C90" s="312"/>
      <c r="D90" s="312"/>
      <c r="E90" s="462">
        <f>SUM(E86:E89)</f>
        <v>4661.4787386933449</v>
      </c>
      <c r="F90" s="415"/>
      <c r="M90" s="469"/>
    </row>
    <row r="91" spans="1:13" s="416" customFormat="1" ht="13.5" thickBot="1" x14ac:dyDescent="0.45">
      <c r="B91" s="415"/>
      <c r="E91" s="466"/>
      <c r="M91" s="469"/>
    </row>
    <row r="92" spans="1:13" ht="14.65" thickBot="1" x14ac:dyDescent="0.5">
      <c r="A92" s="312" t="s">
        <v>386</v>
      </c>
      <c r="B92" s="312" t="s">
        <v>58</v>
      </c>
      <c r="C92" s="312"/>
      <c r="D92" s="312"/>
      <c r="E92" s="510">
        <v>699.87590560205933</v>
      </c>
      <c r="F92" s="312"/>
      <c r="M92" s="469"/>
    </row>
    <row r="93" spans="1:13" ht="14.65" thickBot="1" x14ac:dyDescent="0.5">
      <c r="A93" s="312" t="s">
        <v>388</v>
      </c>
      <c r="B93" s="312" t="s">
        <v>59</v>
      </c>
      <c r="C93" s="312"/>
      <c r="D93" s="312"/>
      <c r="E93" s="510">
        <v>-1.0369832992553711E-4</v>
      </c>
      <c r="F93" s="312"/>
      <c r="M93" s="469"/>
    </row>
    <row r="94" spans="1:13" ht="14.65" thickBot="1" x14ac:dyDescent="0.5">
      <c r="A94" s="312"/>
      <c r="B94" s="312" t="s">
        <v>60</v>
      </c>
      <c r="C94" s="312"/>
      <c r="D94" s="312"/>
      <c r="E94" s="510">
        <v>-82.348923339724536</v>
      </c>
      <c r="F94" s="312"/>
      <c r="M94" s="469"/>
    </row>
    <row r="95" spans="1:13" ht="14.65" thickBot="1" x14ac:dyDescent="0.5">
      <c r="A95" s="312"/>
      <c r="B95" s="312" t="s">
        <v>61</v>
      </c>
      <c r="C95" s="312"/>
      <c r="D95" s="312"/>
      <c r="E95" s="510">
        <v>20.593584732999801</v>
      </c>
      <c r="F95" s="312"/>
      <c r="G95" s="485"/>
      <c r="H95" s="485"/>
      <c r="I95" s="485"/>
      <c r="M95" s="469"/>
    </row>
    <row r="96" spans="1:13" ht="14.65" thickBot="1" x14ac:dyDescent="0.5">
      <c r="A96" s="312"/>
      <c r="B96" s="312" t="s">
        <v>62</v>
      </c>
      <c r="C96" s="312"/>
      <c r="D96" s="312"/>
      <c r="E96" s="511">
        <v>1.049078679084778E-4</v>
      </c>
      <c r="F96" s="312"/>
      <c r="G96" s="485"/>
      <c r="H96" s="485"/>
      <c r="I96" s="485"/>
      <c r="M96" s="469"/>
    </row>
    <row r="97" spans="1:13" x14ac:dyDescent="0.45">
      <c r="A97" s="312"/>
      <c r="B97" s="312" t="s">
        <v>66</v>
      </c>
      <c r="C97" s="312"/>
      <c r="D97" s="312"/>
      <c r="E97" s="462">
        <f>SUM(E92:E96)</f>
        <v>638.1205682048726</v>
      </c>
      <c r="F97" s="415"/>
      <c r="G97" s="486"/>
      <c r="H97" s="486"/>
      <c r="I97" s="486"/>
      <c r="M97" s="469"/>
    </row>
    <row r="98" spans="1:13" s="416" customFormat="1" ht="13.5" thickBot="1" x14ac:dyDescent="0.45">
      <c r="B98" s="415"/>
      <c r="E98" s="466"/>
      <c r="G98" s="487"/>
      <c r="H98" s="487"/>
      <c r="I98" s="487"/>
      <c r="M98" s="469"/>
    </row>
    <row r="99" spans="1:13" ht="14.65" thickBot="1" x14ac:dyDescent="0.5">
      <c r="A99" s="312" t="s">
        <v>86</v>
      </c>
      <c r="B99" s="312" t="s">
        <v>63</v>
      </c>
      <c r="C99" s="312"/>
      <c r="D99" s="312"/>
      <c r="E99" s="510">
        <v>1969.2502834609984</v>
      </c>
      <c r="F99" s="312"/>
      <c r="G99" s="488"/>
      <c r="H99" s="488"/>
      <c r="I99" s="489"/>
      <c r="M99" s="469"/>
    </row>
    <row r="100" spans="1:13" ht="14.65" thickBot="1" x14ac:dyDescent="0.5">
      <c r="A100" s="312" t="s">
        <v>389</v>
      </c>
      <c r="B100" s="312" t="s">
        <v>384</v>
      </c>
      <c r="C100" s="312"/>
      <c r="D100" s="312"/>
      <c r="E100" s="510">
        <v>0</v>
      </c>
      <c r="F100" s="312"/>
      <c r="G100" s="488"/>
      <c r="H100" s="488"/>
      <c r="I100" s="489"/>
      <c r="M100" s="469"/>
    </row>
    <row r="101" spans="1:13" ht="14.65" thickBot="1" x14ac:dyDescent="0.5">
      <c r="A101" s="312"/>
      <c r="B101" s="312" t="s">
        <v>61</v>
      </c>
      <c r="C101" s="312"/>
      <c r="D101" s="312"/>
      <c r="E101" s="510">
        <v>44.57043689710617</v>
      </c>
      <c r="F101" s="312"/>
      <c r="G101" s="488"/>
      <c r="H101" s="488"/>
      <c r="I101" s="489"/>
      <c r="M101" s="469"/>
    </row>
    <row r="102" spans="1:13" ht="14.65" thickBot="1" x14ac:dyDescent="0.5">
      <c r="A102" s="312"/>
      <c r="B102" s="312" t="s">
        <v>64</v>
      </c>
      <c r="C102" s="312"/>
      <c r="D102" s="312"/>
      <c r="E102" s="511">
        <v>0</v>
      </c>
      <c r="F102" s="312"/>
      <c r="G102" s="488"/>
      <c r="H102" s="488"/>
      <c r="I102" s="489"/>
      <c r="M102" s="469"/>
    </row>
    <row r="103" spans="1:13" x14ac:dyDescent="0.45">
      <c r="A103" s="312"/>
      <c r="B103" s="312" t="s">
        <v>65</v>
      </c>
      <c r="C103" s="312"/>
      <c r="D103" s="312"/>
      <c r="E103" s="462">
        <f>SUM(E99:E102)</f>
        <v>2013.8207203581046</v>
      </c>
      <c r="F103" s="415"/>
      <c r="G103" s="488"/>
      <c r="H103" s="488"/>
      <c r="I103" s="489"/>
      <c r="M103" s="469"/>
    </row>
    <row r="104" spans="1:13" s="416" customFormat="1" ht="13.5" thickBot="1" x14ac:dyDescent="0.45">
      <c r="B104" s="415"/>
      <c r="E104" s="466"/>
      <c r="G104" s="487"/>
      <c r="H104" s="488"/>
      <c r="I104" s="489"/>
      <c r="M104" s="469"/>
    </row>
    <row r="105" spans="1:13" ht="14.65" thickBot="1" x14ac:dyDescent="0.5">
      <c r="A105" s="312" t="s">
        <v>86</v>
      </c>
      <c r="B105" s="312" t="s">
        <v>58</v>
      </c>
      <c r="C105" s="312"/>
      <c r="D105" s="312"/>
      <c r="E105" s="510">
        <v>383.90884867172241</v>
      </c>
      <c r="F105" s="312"/>
      <c r="G105" s="488"/>
      <c r="H105" s="488"/>
      <c r="I105" s="489"/>
      <c r="M105" s="469"/>
    </row>
    <row r="106" spans="1:13" ht="14.65" thickBot="1" x14ac:dyDescent="0.5">
      <c r="A106" s="312" t="s">
        <v>67</v>
      </c>
      <c r="B106" s="312" t="s">
        <v>59</v>
      </c>
      <c r="C106" s="312"/>
      <c r="D106" s="312"/>
      <c r="E106" s="510">
        <v>0</v>
      </c>
      <c r="F106" s="312"/>
      <c r="G106" s="488"/>
      <c r="H106" s="488"/>
      <c r="I106" s="489"/>
      <c r="M106" s="469"/>
    </row>
    <row r="107" spans="1:13" ht="14.65" thickBot="1" x14ac:dyDescent="0.5">
      <c r="A107" s="312"/>
      <c r="B107" s="312" t="s">
        <v>60</v>
      </c>
      <c r="C107" s="312"/>
      <c r="D107" s="312"/>
      <c r="E107" s="510">
        <v>-44.831052769565581</v>
      </c>
      <c r="F107" s="312"/>
      <c r="G107" s="488"/>
      <c r="H107" s="488"/>
      <c r="I107" s="489"/>
      <c r="M107" s="469"/>
    </row>
    <row r="108" spans="1:13" ht="14.65" thickBot="1" x14ac:dyDescent="0.5">
      <c r="A108" s="312"/>
      <c r="B108" s="312" t="s">
        <v>61</v>
      </c>
      <c r="C108" s="312"/>
      <c r="D108" s="312"/>
      <c r="E108" s="510">
        <v>10.402389181675911</v>
      </c>
      <c r="F108" s="312"/>
      <c r="G108" s="488"/>
      <c r="H108" s="488"/>
      <c r="I108" s="489"/>
      <c r="M108" s="469"/>
    </row>
    <row r="109" spans="1:13" ht="14.65" thickBot="1" x14ac:dyDescent="0.5">
      <c r="A109" s="312"/>
      <c r="B109" s="312" t="s">
        <v>62</v>
      </c>
      <c r="C109" s="312"/>
      <c r="D109" s="312"/>
      <c r="E109" s="511">
        <v>0</v>
      </c>
      <c r="F109" s="312"/>
      <c r="G109" s="488"/>
      <c r="H109" s="488"/>
      <c r="I109" s="489"/>
      <c r="M109" s="469"/>
    </row>
    <row r="110" spans="1:13" x14ac:dyDescent="0.45">
      <c r="A110" s="312"/>
      <c r="B110" s="312" t="s">
        <v>66</v>
      </c>
      <c r="C110" s="312"/>
      <c r="D110" s="312"/>
      <c r="E110" s="462">
        <f>SUM(E105:E109)</f>
        <v>349.48018508383274</v>
      </c>
      <c r="F110" s="415"/>
      <c r="G110" s="488"/>
      <c r="H110" s="488"/>
      <c r="I110" s="489"/>
      <c r="M110" s="469"/>
    </row>
    <row r="111" spans="1:13" ht="9" customHeight="1" thickBot="1" x14ac:dyDescent="0.5">
      <c r="A111" s="2"/>
      <c r="B111" s="2"/>
      <c r="C111" s="2"/>
      <c r="D111" s="349"/>
      <c r="E111" s="2"/>
      <c r="F111" s="2"/>
      <c r="G111" s="2"/>
      <c r="H111" s="2"/>
      <c r="I111" s="2"/>
      <c r="J111" s="2"/>
      <c r="K111" s="2"/>
      <c r="L111" s="2"/>
      <c r="M111" s="2"/>
    </row>
    <row r="112" spans="1:13" ht="9" customHeight="1" x14ac:dyDescent="0.45">
      <c r="M112" s="329"/>
    </row>
    <row r="113" spans="1:13" ht="18" x14ac:dyDescent="0.45">
      <c r="A113" s="357" t="s">
        <v>390</v>
      </c>
      <c r="C113" s="366"/>
      <c r="E113" s="366"/>
      <c r="M113" s="329"/>
    </row>
    <row r="114" spans="1:13" ht="9" customHeight="1" x14ac:dyDescent="0.45">
      <c r="M114" s="329"/>
    </row>
    <row r="115" spans="1:13" ht="28.9" thickBot="1" x14ac:dyDescent="0.5">
      <c r="A115" s="344" t="s">
        <v>391</v>
      </c>
      <c r="B115" s="344"/>
      <c r="C115" s="345" t="s">
        <v>90</v>
      </c>
      <c r="D115" s="344"/>
      <c r="E115" s="346" t="s">
        <v>392</v>
      </c>
      <c r="M115" s="329"/>
    </row>
    <row r="116" spans="1:13" ht="14.65" thickBot="1" x14ac:dyDescent="0.5">
      <c r="A116" s="311" t="s">
        <v>8</v>
      </c>
      <c r="C116" s="477">
        <v>9.3522440828465225E-2</v>
      </c>
      <c r="D116" s="358"/>
      <c r="E116" s="501">
        <v>40530.394349314942</v>
      </c>
      <c r="M116" s="469"/>
    </row>
    <row r="117" spans="1:13" ht="14.65" thickBot="1" x14ac:dyDescent="0.5">
      <c r="A117" s="311" t="s">
        <v>9</v>
      </c>
      <c r="C117" s="477">
        <v>0.36632568438600105</v>
      </c>
      <c r="D117" s="358"/>
      <c r="E117" s="501">
        <v>48061.938370100601</v>
      </c>
      <c r="M117" s="469"/>
    </row>
    <row r="118" spans="1:13" ht="14.65" thickBot="1" x14ac:dyDescent="0.5">
      <c r="A118" s="311" t="s">
        <v>10</v>
      </c>
      <c r="C118" s="477">
        <v>9.6567223901176141E-2</v>
      </c>
      <c r="D118" s="358"/>
      <c r="E118" s="501">
        <v>68842.527453241899</v>
      </c>
      <c r="M118" s="469"/>
    </row>
    <row r="119" spans="1:13" ht="14.65" thickBot="1" x14ac:dyDescent="0.5">
      <c r="A119" s="311" t="s">
        <v>11</v>
      </c>
      <c r="C119" s="477">
        <v>0.15289390493367422</v>
      </c>
      <c r="D119" s="358"/>
      <c r="E119" s="501">
        <v>72056.948528034089</v>
      </c>
      <c r="M119" s="469"/>
    </row>
    <row r="120" spans="1:13" ht="14.65" thickBot="1" x14ac:dyDescent="0.5">
      <c r="A120" s="311" t="s">
        <v>12</v>
      </c>
      <c r="C120" s="477">
        <v>0.17397355666977582</v>
      </c>
      <c r="D120" s="358"/>
      <c r="E120" s="501">
        <v>983.74402582588198</v>
      </c>
      <c r="M120" s="469"/>
    </row>
    <row r="121" spans="1:13" ht="14.65" thickBot="1" x14ac:dyDescent="0.5">
      <c r="A121" s="6" t="s">
        <v>13</v>
      </c>
      <c r="B121" s="6"/>
      <c r="C121" s="477">
        <v>0.11671718928090756</v>
      </c>
      <c r="D121" s="359"/>
      <c r="E121" s="501">
        <v>18621.806458220308</v>
      </c>
      <c r="M121" s="469"/>
    </row>
    <row r="122" spans="1:13" x14ac:dyDescent="0.45">
      <c r="A122" s="311" t="s">
        <v>0</v>
      </c>
      <c r="C122" s="335">
        <f>SUM(C116:C121)</f>
        <v>1</v>
      </c>
      <c r="D122" s="358"/>
      <c r="E122" s="335"/>
      <c r="M122" s="469"/>
    </row>
    <row r="123" spans="1:13" ht="9" customHeight="1" thickBot="1" x14ac:dyDescent="0.5">
      <c r="A123" s="2"/>
      <c r="B123" s="2"/>
      <c r="C123" s="2"/>
      <c r="D123" s="349"/>
      <c r="E123" s="2"/>
      <c r="F123" s="2"/>
      <c r="G123" s="2"/>
      <c r="H123" s="2"/>
      <c r="I123" s="2"/>
      <c r="J123" s="2"/>
      <c r="K123" s="2"/>
      <c r="L123" s="2"/>
      <c r="M123" s="2"/>
    </row>
    <row r="124" spans="1:13" ht="9" customHeight="1" x14ac:dyDescent="0.45">
      <c r="M124" s="329"/>
    </row>
    <row r="125" spans="1:13" ht="21" x14ac:dyDescent="0.65">
      <c r="A125" s="317" t="s">
        <v>393</v>
      </c>
      <c r="M125" s="329"/>
    </row>
    <row r="126" spans="1:13" ht="9" customHeight="1" x14ac:dyDescent="0.45">
      <c r="M126" s="329"/>
    </row>
    <row r="127" spans="1:13" ht="15.75" x14ac:dyDescent="0.5">
      <c r="A127" s="314" t="s">
        <v>394</v>
      </c>
      <c r="B127" s="312"/>
      <c r="C127" s="312"/>
      <c r="E127" s="325"/>
      <c r="M127" s="469"/>
    </row>
    <row r="128" spans="1:13" ht="14.65" thickBot="1" x14ac:dyDescent="0.5">
      <c r="A128" s="312"/>
      <c r="B128" s="312"/>
      <c r="C128" s="312"/>
      <c r="E128" s="312"/>
      <c r="M128" s="469"/>
    </row>
    <row r="129" spans="1:13" ht="14.65" thickBot="1" x14ac:dyDescent="0.5">
      <c r="A129" s="318" t="s">
        <v>17</v>
      </c>
      <c r="B129" s="58"/>
      <c r="C129" s="58"/>
      <c r="D129" s="312"/>
      <c r="E129" s="484">
        <v>0.23480072133202656</v>
      </c>
      <c r="F129" s="312"/>
      <c r="M129" s="469"/>
    </row>
    <row r="130" spans="1:13" ht="14.65" thickBot="1" x14ac:dyDescent="0.5">
      <c r="A130" s="318" t="s">
        <v>18</v>
      </c>
      <c r="B130" s="58"/>
      <c r="C130" s="58"/>
      <c r="D130" s="312"/>
      <c r="E130" s="484">
        <v>0.11600186161067262</v>
      </c>
      <c r="M130" s="469"/>
    </row>
    <row r="131" spans="1:13" ht="14.65" thickBot="1" x14ac:dyDescent="0.5">
      <c r="A131" s="318" t="s">
        <v>19</v>
      </c>
      <c r="B131" s="58"/>
      <c r="C131" s="58"/>
      <c r="D131" s="312"/>
      <c r="E131" s="484">
        <v>0.30672641275194967</v>
      </c>
      <c r="M131" s="469"/>
    </row>
    <row r="132" spans="1:13" ht="14.65" thickBot="1" x14ac:dyDescent="0.5">
      <c r="A132" s="318" t="s">
        <v>20</v>
      </c>
      <c r="B132" s="58"/>
      <c r="C132" s="58"/>
      <c r="D132" s="312"/>
      <c r="E132" s="484">
        <v>0.11761409086278587</v>
      </c>
      <c r="M132" s="469"/>
    </row>
    <row r="133" spans="1:13" ht="14.65" thickBot="1" x14ac:dyDescent="0.5">
      <c r="A133" s="319" t="s">
        <v>21</v>
      </c>
      <c r="B133" s="320"/>
      <c r="C133" s="320"/>
      <c r="D133" s="320"/>
      <c r="E133" s="484">
        <v>0.22485691344256523</v>
      </c>
      <c r="M133" s="469"/>
    </row>
    <row r="134" spans="1:13" x14ac:dyDescent="0.45">
      <c r="A134" s="319" t="s">
        <v>1</v>
      </c>
      <c r="B134" s="320"/>
      <c r="C134" s="320"/>
      <c r="D134" s="320"/>
      <c r="E134" s="502">
        <f>SUM(E129:E133)</f>
        <v>0.99999999999999989</v>
      </c>
      <c r="M134" s="469"/>
    </row>
    <row r="135" spans="1:13" ht="9" customHeight="1" thickBot="1" x14ac:dyDescent="0.5">
      <c r="A135" s="334"/>
      <c r="B135" s="334"/>
      <c r="C135" s="334"/>
      <c r="D135" s="334"/>
      <c r="E135" s="334"/>
      <c r="F135" s="334"/>
      <c r="G135" s="334"/>
      <c r="H135" s="334"/>
      <c r="I135" s="334"/>
      <c r="J135" s="334"/>
      <c r="K135" s="334"/>
      <c r="L135" s="334"/>
      <c r="M135" s="2"/>
    </row>
    <row r="136" spans="1:13" ht="9" customHeight="1" x14ac:dyDescent="0.45">
      <c r="M136" s="329"/>
    </row>
    <row r="137" spans="1:13" ht="15.75" x14ac:dyDescent="0.45">
      <c r="A137" s="356" t="s">
        <v>395</v>
      </c>
      <c r="M137" s="329"/>
    </row>
    <row r="138" spans="1:13" ht="9" customHeight="1" x14ac:dyDescent="0.45">
      <c r="D138" s="331"/>
      <c r="M138" s="329"/>
    </row>
    <row r="139" spans="1:13" ht="14.65" thickBot="1" x14ac:dyDescent="0.5">
      <c r="A139" s="340" t="s">
        <v>131</v>
      </c>
      <c r="D139" s="343" t="s">
        <v>22</v>
      </c>
      <c r="E139" s="342" t="s">
        <v>24</v>
      </c>
      <c r="F139" s="340" t="s">
        <v>44</v>
      </c>
      <c r="G139" s="340"/>
      <c r="M139" s="329"/>
    </row>
    <row r="140" spans="1:13" ht="14.65" thickBot="1" x14ac:dyDescent="0.5">
      <c r="A140" s="312" t="s">
        <v>17</v>
      </c>
      <c r="D140" s="496">
        <v>9370082.0140145291</v>
      </c>
      <c r="E140" s="371">
        <v>43922</v>
      </c>
      <c r="F140" s="352" t="s">
        <v>396</v>
      </c>
      <c r="G140" s="360"/>
      <c r="M140" s="469"/>
    </row>
    <row r="141" spans="1:13" x14ac:dyDescent="0.45">
      <c r="A141" s="312"/>
      <c r="D141" s="504">
        <v>0</v>
      </c>
      <c r="E141" s="371">
        <v>43922</v>
      </c>
      <c r="F141" s="352" t="s">
        <v>397</v>
      </c>
      <c r="G141" s="360"/>
      <c r="M141" s="469"/>
    </row>
    <row r="142" spans="1:13" ht="14.65" thickBot="1" x14ac:dyDescent="0.5">
      <c r="A142" s="312"/>
      <c r="D142" s="312"/>
      <c r="E142" s="361"/>
      <c r="F142" s="312"/>
      <c r="M142" s="469"/>
    </row>
    <row r="143" spans="1:13" ht="14.65" thickBot="1" x14ac:dyDescent="0.5">
      <c r="A143" s="312" t="s">
        <v>18</v>
      </c>
      <c r="D143" s="496">
        <v>2835707.5685779573</v>
      </c>
      <c r="E143" s="362">
        <v>43922</v>
      </c>
      <c r="F143" s="352" t="s">
        <v>396</v>
      </c>
      <c r="G143" s="360"/>
      <c r="M143" s="469"/>
    </row>
    <row r="144" spans="1:13" ht="14.65" thickBot="1" x14ac:dyDescent="0.5">
      <c r="A144" s="312"/>
      <c r="D144" s="499">
        <v>548431.6044396162</v>
      </c>
      <c r="E144" s="362">
        <v>43922</v>
      </c>
      <c r="F144" s="352" t="s">
        <v>397</v>
      </c>
      <c r="G144" s="360"/>
      <c r="M144" s="469"/>
    </row>
    <row r="145" spans="1:13" ht="14.65" thickBot="1" x14ac:dyDescent="0.5">
      <c r="A145" s="312"/>
      <c r="D145" s="312"/>
      <c r="E145" s="361"/>
      <c r="F145" s="312"/>
      <c r="M145" s="469"/>
    </row>
    <row r="146" spans="1:13" ht="14.65" thickBot="1" x14ac:dyDescent="0.5">
      <c r="A146" s="312" t="s">
        <v>19</v>
      </c>
      <c r="D146" s="496">
        <v>3326527.3687788486</v>
      </c>
      <c r="E146" s="362">
        <v>43922</v>
      </c>
      <c r="F146" s="352" t="s">
        <v>396</v>
      </c>
      <c r="G146" s="360"/>
      <c r="M146" s="469"/>
    </row>
    <row r="147" spans="1:13" x14ac:dyDescent="0.45">
      <c r="A147" s="312"/>
      <c r="D147" s="504">
        <v>0</v>
      </c>
      <c r="E147" s="362">
        <v>43922</v>
      </c>
      <c r="F147" s="352" t="s">
        <v>397</v>
      </c>
      <c r="G147" s="360"/>
      <c r="M147" s="469"/>
    </row>
    <row r="148" spans="1:13" ht="14.65" thickBot="1" x14ac:dyDescent="0.5">
      <c r="A148" s="312"/>
      <c r="D148" s="312"/>
      <c r="E148" s="361"/>
      <c r="F148" s="312"/>
      <c r="M148" s="469"/>
    </row>
    <row r="149" spans="1:13" ht="14.65" thickBot="1" x14ac:dyDescent="0.5">
      <c r="A149" s="312" t="s">
        <v>20</v>
      </c>
      <c r="D149" s="496">
        <v>1510570.48817153</v>
      </c>
      <c r="E149" s="362">
        <v>43922</v>
      </c>
      <c r="F149" s="352" t="s">
        <v>396</v>
      </c>
      <c r="G149" s="360"/>
      <c r="M149" s="469"/>
    </row>
    <row r="150" spans="1:13" ht="14.65" thickBot="1" x14ac:dyDescent="0.5">
      <c r="A150" s="312"/>
      <c r="D150" s="496">
        <v>796651.01995391841</v>
      </c>
      <c r="E150" s="362">
        <v>43922</v>
      </c>
      <c r="F150" s="352" t="s">
        <v>397</v>
      </c>
      <c r="G150" s="360"/>
      <c r="M150" s="469"/>
    </row>
    <row r="151" spans="1:13" x14ac:dyDescent="0.45">
      <c r="A151" s="312"/>
      <c r="D151" s="505"/>
      <c r="E151" s="361"/>
      <c r="F151" s="312"/>
      <c r="M151" s="469"/>
    </row>
    <row r="152" spans="1:13" ht="14.65" thickBot="1" x14ac:dyDescent="0.5">
      <c r="A152" s="312" t="s">
        <v>21</v>
      </c>
      <c r="D152" s="503">
        <v>0</v>
      </c>
      <c r="E152" s="362">
        <v>43922</v>
      </c>
      <c r="F152" s="352" t="s">
        <v>396</v>
      </c>
      <c r="G152" s="360"/>
      <c r="M152" s="469"/>
    </row>
    <row r="153" spans="1:13" ht="14.65" thickBot="1" x14ac:dyDescent="0.5">
      <c r="A153" s="312"/>
      <c r="D153" s="499">
        <v>1236484.6049938917</v>
      </c>
      <c r="E153" s="362">
        <v>43922</v>
      </c>
      <c r="F153" s="352" t="s">
        <v>397</v>
      </c>
      <c r="G153" s="360"/>
      <c r="M153" s="469"/>
    </row>
    <row r="154" spans="1:13" x14ac:dyDescent="0.45">
      <c r="A154" s="312"/>
      <c r="D154" s="312"/>
      <c r="E154" s="361"/>
      <c r="F154" s="312"/>
      <c r="M154" s="329"/>
    </row>
    <row r="155" spans="1:13" x14ac:dyDescent="0.45">
      <c r="A155" s="312" t="s">
        <v>398</v>
      </c>
      <c r="D155" s="543">
        <v>0.28999999999999998</v>
      </c>
      <c r="E155" s="362"/>
      <c r="F155" s="352" t="s">
        <v>399</v>
      </c>
      <c r="G155" s="360"/>
      <c r="M155" s="329"/>
    </row>
    <row r="156" spans="1:13" ht="14.65" thickBot="1" x14ac:dyDescent="0.5">
      <c r="E156" s="363"/>
      <c r="M156" s="329"/>
    </row>
    <row r="157" spans="1:13" ht="14.65" thickBot="1" x14ac:dyDescent="0.5">
      <c r="A157" s="312" t="s">
        <v>400</v>
      </c>
      <c r="B157" s="312"/>
      <c r="D157" s="506">
        <v>0.44274519374868471</v>
      </c>
      <c r="M157" s="329"/>
    </row>
    <row r="158" spans="1:13" ht="9" customHeight="1" thickBot="1" x14ac:dyDescent="0.5">
      <c r="A158" s="2"/>
      <c r="B158" s="2"/>
      <c r="C158" s="2"/>
      <c r="D158" s="349"/>
      <c r="E158" s="2"/>
      <c r="F158" s="2"/>
      <c r="G158" s="2"/>
      <c r="H158" s="2"/>
      <c r="I158" s="2"/>
      <c r="J158" s="2"/>
      <c r="K158" s="2"/>
      <c r="L158" s="2"/>
      <c r="M158" s="2"/>
    </row>
    <row r="159" spans="1:13" ht="9" customHeight="1" x14ac:dyDescent="0.45">
      <c r="M159" s="329"/>
    </row>
    <row r="160" spans="1:13" ht="15.75" x14ac:dyDescent="0.45">
      <c r="A160" s="356" t="s">
        <v>401</v>
      </c>
      <c r="E160" s="330" t="s">
        <v>37</v>
      </c>
      <c r="M160" s="469"/>
    </row>
    <row r="161" spans="1:13" ht="9" customHeight="1" thickBot="1" x14ac:dyDescent="0.5">
      <c r="M161" s="469"/>
    </row>
    <row r="162" spans="1:13" ht="14.65" thickBot="1" x14ac:dyDescent="0.5">
      <c r="A162" s="312" t="s">
        <v>57</v>
      </c>
      <c r="B162" s="312"/>
      <c r="C162" s="312"/>
      <c r="D162" s="312"/>
      <c r="E162" s="480">
        <v>21.694489762830734</v>
      </c>
      <c r="M162" s="469"/>
    </row>
    <row r="163" spans="1:13" ht="14.65" thickBot="1" x14ac:dyDescent="0.5">
      <c r="A163" s="312" t="s">
        <v>72</v>
      </c>
      <c r="B163" s="312"/>
      <c r="C163" s="312"/>
      <c r="D163" s="312"/>
      <c r="E163" s="480">
        <v>23.262108432340622</v>
      </c>
      <c r="G163" s="327"/>
      <c r="M163" s="469"/>
    </row>
    <row r="164" spans="1:13" ht="14.65" thickBot="1" x14ac:dyDescent="0.5">
      <c r="A164" s="312" t="s">
        <v>6</v>
      </c>
      <c r="B164" s="312"/>
      <c r="C164" s="312"/>
      <c r="D164" s="312"/>
      <c r="E164" s="480">
        <v>-3.7785779251813887</v>
      </c>
      <c r="M164" s="469"/>
    </row>
    <row r="165" spans="1:13" ht="14.65" thickBot="1" x14ac:dyDescent="0.5">
      <c r="A165" s="312" t="s">
        <v>7</v>
      </c>
      <c r="B165" s="312"/>
      <c r="C165" s="312"/>
      <c r="D165" s="312"/>
      <c r="E165" s="480">
        <v>2.0965322099208832</v>
      </c>
      <c r="M165" s="469"/>
    </row>
    <row r="166" spans="1:13" ht="14.65" thickBot="1" x14ac:dyDescent="0.5">
      <c r="A166" s="326" t="s">
        <v>55</v>
      </c>
      <c r="B166" s="326"/>
      <c r="C166" s="326"/>
      <c r="D166" s="326"/>
      <c r="E166" s="481">
        <v>6.4512199371218681</v>
      </c>
      <c r="M166" s="469"/>
    </row>
    <row r="167" spans="1:13" x14ac:dyDescent="0.45">
      <c r="A167" s="312" t="s">
        <v>26</v>
      </c>
      <c r="B167" s="312"/>
      <c r="C167" s="312"/>
      <c r="D167" s="312"/>
      <c r="E167" s="64">
        <f>SUM(E162:E166)</f>
        <v>49.725772417032715</v>
      </c>
      <c r="F167" s="313"/>
      <c r="M167" s="469"/>
    </row>
    <row r="168" spans="1:13" ht="14.65" thickBot="1" x14ac:dyDescent="0.5">
      <c r="A168" s="312"/>
      <c r="B168" s="312"/>
      <c r="C168" s="312"/>
      <c r="D168" s="312"/>
      <c r="E168" s="347"/>
      <c r="M168" s="469"/>
    </row>
    <row r="169" spans="1:13" ht="14.65" thickBot="1" x14ac:dyDescent="0.5">
      <c r="A169" s="312" t="s">
        <v>56</v>
      </c>
      <c r="B169" s="312"/>
      <c r="C169" s="312"/>
      <c r="D169" s="312"/>
      <c r="E169" s="480">
        <v>151.03958996143342</v>
      </c>
      <c r="M169" s="469"/>
    </row>
    <row r="170" spans="1:13" ht="14.65" thickBot="1" x14ac:dyDescent="0.5">
      <c r="A170" s="312" t="s">
        <v>25</v>
      </c>
      <c r="B170" s="312"/>
      <c r="C170" s="312"/>
      <c r="D170" s="312"/>
      <c r="E170" s="480">
        <v>9.5500535436630241</v>
      </c>
      <c r="M170" s="469"/>
    </row>
    <row r="171" spans="1:13" ht="14.65" thickBot="1" x14ac:dyDescent="0.5">
      <c r="A171" s="312" t="s">
        <v>402</v>
      </c>
      <c r="B171" s="312"/>
      <c r="C171" s="312"/>
      <c r="D171" s="312"/>
      <c r="E171" s="480">
        <v>4.9567793567371368</v>
      </c>
      <c r="M171" s="469"/>
    </row>
    <row r="172" spans="1:13" ht="14.65" thickBot="1" x14ac:dyDescent="0.5">
      <c r="A172" s="326" t="s">
        <v>4</v>
      </c>
      <c r="B172" s="326"/>
      <c r="C172" s="326"/>
      <c r="D172" s="326"/>
      <c r="E172" s="480">
        <v>-5.1709869879555708</v>
      </c>
      <c r="M172" s="469"/>
    </row>
    <row r="173" spans="1:13" x14ac:dyDescent="0.45">
      <c r="A173" s="312" t="s">
        <v>5</v>
      </c>
      <c r="B173" s="312"/>
      <c r="C173" s="312"/>
      <c r="D173" s="312"/>
      <c r="E173" s="490">
        <f>SUM(E169:E172)</f>
        <v>160.37543587387802</v>
      </c>
      <c r="F173" s="313"/>
      <c r="M173" s="469"/>
    </row>
    <row r="174" spans="1:13" ht="9" customHeight="1" thickBot="1" x14ac:dyDescent="0.5">
      <c r="A174" s="2"/>
      <c r="B174" s="2"/>
      <c r="C174" s="2"/>
      <c r="D174" s="348"/>
      <c r="E174" s="2"/>
      <c r="F174" s="2"/>
      <c r="G174" s="2"/>
      <c r="H174" s="2"/>
      <c r="I174" s="2"/>
      <c r="J174" s="2"/>
      <c r="K174" s="2"/>
      <c r="L174" s="2"/>
      <c r="M174" s="2"/>
    </row>
    <row r="175" spans="1:13" ht="9" customHeight="1" x14ac:dyDescent="0.45">
      <c r="M175" s="329"/>
    </row>
    <row r="176" spans="1:13" ht="18" x14ac:dyDescent="0.55000000000000004">
      <c r="A176" s="9" t="s">
        <v>403</v>
      </c>
      <c r="B176" s="312"/>
      <c r="C176" s="312"/>
      <c r="D176" s="312"/>
      <c r="E176" s="572" t="s">
        <v>380</v>
      </c>
      <c r="F176" s="572">
        <v>0</v>
      </c>
      <c r="G176" s="572">
        <v>0</v>
      </c>
      <c r="I176" s="395" t="s">
        <v>404</v>
      </c>
      <c r="J176" s="395"/>
      <c r="M176" s="469"/>
    </row>
    <row r="177" spans="1:13" ht="14.65" thickBot="1" x14ac:dyDescent="0.5">
      <c r="A177" s="389" t="s">
        <v>349</v>
      </c>
      <c r="B177" s="312"/>
      <c r="C177" s="312"/>
      <c r="D177" s="312"/>
      <c r="E177" s="286" t="s">
        <v>37</v>
      </c>
      <c r="F177" s="286" t="s">
        <v>38</v>
      </c>
      <c r="G177" s="286" t="s">
        <v>45</v>
      </c>
      <c r="I177" s="286" t="s">
        <v>37</v>
      </c>
      <c r="J177" s="286" t="s">
        <v>38</v>
      </c>
      <c r="M177" s="469"/>
    </row>
    <row r="178" spans="1:13" ht="14.65" thickBot="1" x14ac:dyDescent="0.5">
      <c r="A178" s="312" t="s">
        <v>63</v>
      </c>
      <c r="B178" s="312"/>
      <c r="C178" s="312"/>
      <c r="D178" s="312"/>
      <c r="E178" s="480">
        <v>378.61089423445702</v>
      </c>
      <c r="F178" s="333"/>
      <c r="G178" s="312"/>
      <c r="I178" s="541">
        <v>18</v>
      </c>
      <c r="J178" s="541">
        <v>18</v>
      </c>
      <c r="M178" s="469"/>
    </row>
    <row r="179" spans="1:13" ht="14.65" thickBot="1" x14ac:dyDescent="0.5">
      <c r="A179" s="312" t="s">
        <v>104</v>
      </c>
      <c r="B179" s="312"/>
      <c r="C179" s="312"/>
      <c r="D179" s="312"/>
      <c r="E179" s="480">
        <v>19.750520888650417</v>
      </c>
      <c r="F179" s="333"/>
      <c r="G179" s="312"/>
      <c r="M179" s="469"/>
    </row>
    <row r="180" spans="1:13" ht="14.65" thickBot="1" x14ac:dyDescent="0.5">
      <c r="A180" s="312" t="s">
        <v>61</v>
      </c>
      <c r="B180" s="312"/>
      <c r="C180" s="312"/>
      <c r="D180" s="312"/>
      <c r="E180" s="480">
        <v>10.323325299253463</v>
      </c>
      <c r="F180" s="333"/>
      <c r="G180" s="312"/>
      <c r="M180" s="469"/>
    </row>
    <row r="181" spans="1:13" ht="14.65" thickBot="1" x14ac:dyDescent="0.5">
      <c r="A181" s="312" t="s">
        <v>64</v>
      </c>
      <c r="B181" s="312"/>
      <c r="C181" s="312"/>
      <c r="D181" s="312"/>
      <c r="E181" s="481">
        <v>-33.197916942703721</v>
      </c>
      <c r="F181" s="481">
        <v>-42.960422612857819</v>
      </c>
      <c r="G181" s="312"/>
      <c r="M181" s="469"/>
    </row>
    <row r="182" spans="1:13" x14ac:dyDescent="0.45">
      <c r="A182" s="312" t="s">
        <v>65</v>
      </c>
      <c r="B182" s="312"/>
      <c r="C182" s="312"/>
      <c r="D182" s="312"/>
      <c r="E182" s="491">
        <f>SUM(E178:E181)</f>
        <v>375.48682347965718</v>
      </c>
      <c r="F182" s="467"/>
      <c r="G182" s="312"/>
      <c r="M182" s="469"/>
    </row>
    <row r="183" spans="1:13" ht="14.65" thickBot="1" x14ac:dyDescent="0.5">
      <c r="E183" s="437"/>
      <c r="F183" s="312"/>
      <c r="G183" s="312"/>
      <c r="M183" s="469"/>
    </row>
    <row r="184" spans="1:13" ht="14.65" thickBot="1" x14ac:dyDescent="0.5">
      <c r="A184" s="312" t="s">
        <v>106</v>
      </c>
      <c r="B184" s="312"/>
      <c r="C184" s="312"/>
      <c r="D184" s="312"/>
      <c r="E184" s="480">
        <v>190.16627843820572</v>
      </c>
      <c r="F184" s="333"/>
      <c r="G184" s="312"/>
      <c r="M184" s="469"/>
    </row>
    <row r="185" spans="1:13" ht="14.65" thickBot="1" x14ac:dyDescent="0.5">
      <c r="A185" s="312" t="s">
        <v>104</v>
      </c>
      <c r="B185" s="312"/>
      <c r="C185" s="312"/>
      <c r="D185" s="312"/>
      <c r="E185" s="480">
        <v>18.556909540829658</v>
      </c>
      <c r="F185" s="333"/>
      <c r="G185" s="312"/>
      <c r="M185" s="469"/>
    </row>
    <row r="186" spans="1:13" ht="14.65" thickBot="1" x14ac:dyDescent="0.5">
      <c r="A186" s="312" t="s">
        <v>405</v>
      </c>
      <c r="B186" s="312"/>
      <c r="C186" s="312"/>
      <c r="D186" s="312"/>
      <c r="E186" s="480">
        <v>3.7178972839951516</v>
      </c>
      <c r="F186" s="333"/>
      <c r="G186" s="312"/>
      <c r="M186" s="469"/>
    </row>
    <row r="187" spans="1:13" ht="14.65" thickBot="1" x14ac:dyDescent="0.5">
      <c r="A187" s="312" t="s">
        <v>406</v>
      </c>
      <c r="B187" s="312"/>
      <c r="C187" s="312"/>
      <c r="D187" s="312"/>
      <c r="E187" s="481">
        <v>-25.131530250463484</v>
      </c>
      <c r="F187" s="481">
        <v>-19.265021710579397</v>
      </c>
      <c r="G187" s="481">
        <v>-3.7018755741548541</v>
      </c>
      <c r="M187" s="469"/>
    </row>
    <row r="188" spans="1:13" x14ac:dyDescent="0.45">
      <c r="A188" s="312" t="s">
        <v>66</v>
      </c>
      <c r="B188" s="312"/>
      <c r="C188" s="312"/>
      <c r="D188" s="312"/>
      <c r="E188" s="464">
        <f>SUM(E184:E187)</f>
        <v>187.30955501256705</v>
      </c>
      <c r="F188" s="313"/>
      <c r="G188" s="312"/>
      <c r="M188" s="469"/>
    </row>
    <row r="189" spans="1:13" x14ac:dyDescent="0.45">
      <c r="M189" s="469"/>
    </row>
    <row r="190" spans="1:13" ht="14.65" thickBot="1" x14ac:dyDescent="0.5">
      <c r="A190" s="389" t="s">
        <v>350</v>
      </c>
      <c r="B190" s="312"/>
      <c r="C190" s="312"/>
      <c r="D190" s="312"/>
      <c r="E190" s="286" t="s">
        <v>37</v>
      </c>
      <c r="F190" s="286" t="s">
        <v>38</v>
      </c>
      <c r="G190" s="286" t="s">
        <v>45</v>
      </c>
      <c r="I190" s="286" t="s">
        <v>37</v>
      </c>
      <c r="J190" s="286" t="s">
        <v>38</v>
      </c>
      <c r="M190" s="469"/>
    </row>
    <row r="191" spans="1:13" ht="14.65" thickBot="1" x14ac:dyDescent="0.5">
      <c r="A191" s="312" t="s">
        <v>63</v>
      </c>
      <c r="B191" s="312"/>
      <c r="C191" s="312"/>
      <c r="D191" s="312"/>
      <c r="E191" s="480">
        <v>19.790395083832742</v>
      </c>
      <c r="F191" s="333"/>
      <c r="G191" s="312"/>
      <c r="I191" s="541">
        <v>20</v>
      </c>
      <c r="J191" s="541">
        <v>20</v>
      </c>
      <c r="M191" s="469"/>
    </row>
    <row r="192" spans="1:13" ht="14.65" thickBot="1" x14ac:dyDescent="0.5">
      <c r="A192" s="312" t="s">
        <v>104</v>
      </c>
      <c r="B192" s="312"/>
      <c r="C192" s="312"/>
      <c r="D192" s="312"/>
      <c r="E192" s="480">
        <v>6.9638791993713385</v>
      </c>
      <c r="F192" s="333"/>
      <c r="G192" s="312"/>
      <c r="M192" s="469"/>
    </row>
    <row r="193" spans="1:13" ht="14.65" thickBot="1" x14ac:dyDescent="0.5">
      <c r="A193" s="312" t="s">
        <v>61</v>
      </c>
      <c r="B193" s="312"/>
      <c r="C193" s="312"/>
      <c r="D193" s="312"/>
      <c r="E193" s="480">
        <v>0</v>
      </c>
      <c r="F193" s="333"/>
      <c r="G193" s="312"/>
      <c r="M193" s="469"/>
    </row>
    <row r="194" spans="1:13" ht="14.65" thickBot="1" x14ac:dyDescent="0.5">
      <c r="A194" s="312" t="s">
        <v>64</v>
      </c>
      <c r="B194" s="312"/>
      <c r="C194" s="312"/>
      <c r="D194" s="312"/>
      <c r="E194" s="481">
        <v>-0.34964267055988313</v>
      </c>
      <c r="F194" s="481">
        <v>-0.30981011878252029</v>
      </c>
      <c r="G194" s="312"/>
      <c r="M194" s="469"/>
    </row>
    <row r="195" spans="1:13" x14ac:dyDescent="0.45">
      <c r="A195" s="312" t="s">
        <v>65</v>
      </c>
      <c r="B195" s="312"/>
      <c r="C195" s="312"/>
      <c r="D195" s="312"/>
      <c r="E195" s="463">
        <f>SUM(E191:E194)</f>
        <v>26.404631612644195</v>
      </c>
      <c r="F195" s="467"/>
      <c r="G195" s="312"/>
      <c r="M195" s="469"/>
    </row>
    <row r="196" spans="1:13" ht="14.65" thickBot="1" x14ac:dyDescent="0.5">
      <c r="F196" s="312"/>
      <c r="G196" s="312"/>
      <c r="M196" s="469"/>
    </row>
    <row r="197" spans="1:13" ht="14.65" thickBot="1" x14ac:dyDescent="0.5">
      <c r="A197" s="312" t="s">
        <v>106</v>
      </c>
      <c r="B197" s="312"/>
      <c r="C197" s="312"/>
      <c r="D197" s="312"/>
      <c r="E197" s="480">
        <v>19.210383661651612</v>
      </c>
      <c r="F197" s="333"/>
      <c r="G197" s="312"/>
      <c r="M197" s="469"/>
    </row>
    <row r="198" spans="1:13" ht="14.65" thickBot="1" x14ac:dyDescent="0.5">
      <c r="A198" s="312" t="s">
        <v>104</v>
      </c>
      <c r="B198" s="312"/>
      <c r="C198" s="312"/>
      <c r="D198" s="312"/>
      <c r="E198" s="480">
        <v>6.759657219939232</v>
      </c>
      <c r="F198" s="333"/>
      <c r="G198" s="312"/>
      <c r="M198" s="469"/>
    </row>
    <row r="199" spans="1:13" ht="14.65" thickBot="1" x14ac:dyDescent="0.5">
      <c r="A199" s="312" t="s">
        <v>405</v>
      </c>
      <c r="B199" s="312"/>
      <c r="C199" s="312"/>
      <c r="D199" s="312"/>
      <c r="E199" s="480">
        <v>-8.8943049669265757E-3</v>
      </c>
      <c r="F199" s="333"/>
      <c r="G199" s="312"/>
      <c r="M199" s="469"/>
    </row>
    <row r="200" spans="1:13" ht="14.65" thickBot="1" x14ac:dyDescent="0.5">
      <c r="A200" s="312" t="s">
        <v>406</v>
      </c>
      <c r="B200" s="312"/>
      <c r="C200" s="312"/>
      <c r="D200" s="312"/>
      <c r="E200" s="481">
        <v>-1.1340385189247133</v>
      </c>
      <c r="F200" s="481">
        <v>-1.5455597187995911</v>
      </c>
      <c r="G200" s="481">
        <v>-0.58097668878555297</v>
      </c>
      <c r="M200" s="469"/>
    </row>
    <row r="201" spans="1:13" x14ac:dyDescent="0.45">
      <c r="A201" s="312" t="s">
        <v>66</v>
      </c>
      <c r="B201" s="312"/>
      <c r="C201" s="312"/>
      <c r="D201" s="312"/>
      <c r="E201" s="463">
        <f>SUM(E197:E200)</f>
        <v>24.827108057699206</v>
      </c>
      <c r="F201" s="313"/>
      <c r="G201" s="312"/>
      <c r="M201" s="469"/>
    </row>
    <row r="202" spans="1:13" x14ac:dyDescent="0.45">
      <c r="M202" s="469"/>
    </row>
    <row r="203" spans="1:13" ht="14.65" thickBot="1" x14ac:dyDescent="0.5">
      <c r="A203" s="389" t="s">
        <v>351</v>
      </c>
      <c r="B203" s="312"/>
      <c r="C203" s="312"/>
      <c r="D203" s="312"/>
      <c r="E203" s="286" t="s">
        <v>37</v>
      </c>
      <c r="F203" s="286" t="s">
        <v>38</v>
      </c>
      <c r="G203" s="286" t="s">
        <v>45</v>
      </c>
      <c r="I203" s="286" t="s">
        <v>37</v>
      </c>
      <c r="J203" s="286" t="s">
        <v>38</v>
      </c>
      <c r="M203" s="469"/>
    </row>
    <row r="204" spans="1:13" ht="14.65" thickBot="1" x14ac:dyDescent="0.5">
      <c r="A204" s="312" t="s">
        <v>63</v>
      </c>
      <c r="B204" s="312"/>
      <c r="C204" s="312"/>
      <c r="D204" s="312"/>
      <c r="E204" s="480">
        <v>2.4283231840181352</v>
      </c>
      <c r="F204" s="333"/>
      <c r="G204" s="312"/>
      <c r="I204" s="541">
        <v>20</v>
      </c>
      <c r="J204" s="541">
        <v>20</v>
      </c>
      <c r="M204" s="469"/>
    </row>
    <row r="205" spans="1:13" ht="14.65" thickBot="1" x14ac:dyDescent="0.5">
      <c r="A205" s="312" t="s">
        <v>104</v>
      </c>
      <c r="B205" s="312"/>
      <c r="C205" s="312"/>
      <c r="D205" s="312"/>
      <c r="E205" s="480">
        <v>0.62127086162567136</v>
      </c>
      <c r="F205" s="333"/>
      <c r="G205" s="312"/>
      <c r="M205" s="469"/>
    </row>
    <row r="206" spans="1:13" ht="14.65" thickBot="1" x14ac:dyDescent="0.5">
      <c r="A206" s="312" t="s">
        <v>61</v>
      </c>
      <c r="B206" s="312"/>
      <c r="C206" s="312"/>
      <c r="D206" s="312"/>
      <c r="E206" s="480">
        <v>0</v>
      </c>
      <c r="F206" s="333"/>
      <c r="G206" s="312"/>
      <c r="M206" s="469"/>
    </row>
    <row r="207" spans="1:13" ht="14.65" thickBot="1" x14ac:dyDescent="0.5">
      <c r="A207" s="312" t="s">
        <v>64</v>
      </c>
      <c r="B207" s="312"/>
      <c r="C207" s="312"/>
      <c r="D207" s="312"/>
      <c r="E207" s="481">
        <v>-5.6215355300903323E-3</v>
      </c>
      <c r="F207" s="481">
        <v>-4.1025897407531734E-3</v>
      </c>
      <c r="G207" s="312"/>
      <c r="M207" s="469"/>
    </row>
    <row r="208" spans="1:13" x14ac:dyDescent="0.45">
      <c r="A208" s="312" t="s">
        <v>65</v>
      </c>
      <c r="B208" s="312"/>
      <c r="C208" s="312"/>
      <c r="D208" s="312"/>
      <c r="E208" s="463">
        <f>SUM(E204:E207)</f>
        <v>3.0439725101137163</v>
      </c>
      <c r="F208" s="313"/>
      <c r="G208" s="312"/>
      <c r="M208" s="469"/>
    </row>
    <row r="209" spans="1:13" ht="14.65" thickBot="1" x14ac:dyDescent="0.5">
      <c r="F209" s="312"/>
      <c r="G209" s="312"/>
      <c r="M209" s="469"/>
    </row>
    <row r="210" spans="1:13" ht="14.65" thickBot="1" x14ac:dyDescent="0.5">
      <c r="A210" s="312" t="s">
        <v>106</v>
      </c>
      <c r="B210" s="312"/>
      <c r="C210" s="312"/>
      <c r="D210" s="312"/>
      <c r="E210" s="480">
        <v>1.9750515347504616</v>
      </c>
      <c r="F210" s="333"/>
      <c r="G210" s="312"/>
      <c r="M210" s="469"/>
    </row>
    <row r="211" spans="1:13" ht="14.65" thickBot="1" x14ac:dyDescent="0.5">
      <c r="A211" s="312" t="s">
        <v>104</v>
      </c>
      <c r="B211" s="312"/>
      <c r="C211" s="312"/>
      <c r="D211" s="312"/>
      <c r="E211" s="480">
        <v>0.49936592102050781</v>
      </c>
      <c r="F211" s="333"/>
      <c r="G211" s="312"/>
      <c r="M211" s="469"/>
    </row>
    <row r="212" spans="1:13" ht="14.65" thickBot="1" x14ac:dyDescent="0.5">
      <c r="A212" s="312" t="s">
        <v>405</v>
      </c>
      <c r="B212" s="312"/>
      <c r="C212" s="312"/>
      <c r="D212" s="312"/>
      <c r="E212" s="480">
        <v>-1.0537487745285035E-4</v>
      </c>
      <c r="F212" s="333"/>
      <c r="G212" s="312"/>
      <c r="M212" s="469"/>
    </row>
    <row r="213" spans="1:13" ht="14.65" thickBot="1" x14ac:dyDescent="0.5">
      <c r="A213" s="312" t="s">
        <v>406</v>
      </c>
      <c r="B213" s="312"/>
      <c r="C213" s="312"/>
      <c r="D213" s="312"/>
      <c r="E213" s="481">
        <v>-0.11635657105922699</v>
      </c>
      <c r="F213" s="481">
        <v>-0.16045491651296614</v>
      </c>
      <c r="G213" s="481">
        <v>-5.2188903245925906E-2</v>
      </c>
      <c r="M213" s="469"/>
    </row>
    <row r="214" spans="1:13" x14ac:dyDescent="0.45">
      <c r="A214" s="312" t="s">
        <v>66</v>
      </c>
      <c r="B214" s="312"/>
      <c r="C214" s="312"/>
      <c r="D214" s="312"/>
      <c r="E214" s="463">
        <f>SUM(E210:E213)</f>
        <v>2.3579555098342895</v>
      </c>
      <c r="F214" s="313"/>
      <c r="G214" s="312"/>
      <c r="M214" s="469"/>
    </row>
    <row r="215" spans="1:13" x14ac:dyDescent="0.45">
      <c r="M215" s="469"/>
    </row>
    <row r="216" spans="1:13" ht="14.65" thickBot="1" x14ac:dyDescent="0.5">
      <c r="A216" s="389" t="s">
        <v>352</v>
      </c>
      <c r="B216" s="312"/>
      <c r="C216" s="312"/>
      <c r="D216" s="312"/>
      <c r="E216" s="286" t="s">
        <v>37</v>
      </c>
      <c r="F216" s="286" t="s">
        <v>38</v>
      </c>
      <c r="G216" s="286" t="s">
        <v>45</v>
      </c>
      <c r="I216" s="286" t="s">
        <v>37</v>
      </c>
      <c r="J216" s="286" t="s">
        <v>38</v>
      </c>
      <c r="M216" s="469"/>
    </row>
    <row r="217" spans="1:13" ht="14.65" thickBot="1" x14ac:dyDescent="0.5">
      <c r="A217" s="312" t="s">
        <v>63</v>
      </c>
      <c r="B217" s="312"/>
      <c r="C217" s="312"/>
      <c r="D217" s="312"/>
      <c r="E217" s="480">
        <v>21.631506279451845</v>
      </c>
      <c r="F217" s="333"/>
      <c r="G217" s="312"/>
      <c r="I217" s="541">
        <v>10</v>
      </c>
      <c r="J217" s="541">
        <v>10</v>
      </c>
      <c r="M217" s="469"/>
    </row>
    <row r="218" spans="1:13" ht="14.65" thickBot="1" x14ac:dyDescent="0.5">
      <c r="A218" s="312" t="s">
        <v>104</v>
      </c>
      <c r="B218" s="312"/>
      <c r="C218" s="312"/>
      <c r="D218" s="312"/>
      <c r="E218" s="480">
        <v>1.0194711413240434</v>
      </c>
      <c r="F218" s="333"/>
      <c r="G218" s="312"/>
      <c r="M218" s="469"/>
    </row>
    <row r="219" spans="1:13" ht="14.65" thickBot="1" x14ac:dyDescent="0.5">
      <c r="A219" s="312" t="s">
        <v>61</v>
      </c>
      <c r="B219" s="312"/>
      <c r="C219" s="312"/>
      <c r="D219" s="312"/>
      <c r="E219" s="480">
        <v>0.45818228513479231</v>
      </c>
      <c r="F219" s="333"/>
      <c r="G219" s="312"/>
      <c r="M219" s="469"/>
    </row>
    <row r="220" spans="1:13" ht="14.65" thickBot="1" x14ac:dyDescent="0.5">
      <c r="A220" s="312" t="s">
        <v>64</v>
      </c>
      <c r="B220" s="312"/>
      <c r="C220" s="312"/>
      <c r="D220" s="312"/>
      <c r="E220" s="481">
        <v>-2.1875882829666136</v>
      </c>
      <c r="F220" s="481">
        <v>-2.5581471782398224</v>
      </c>
      <c r="G220" s="312"/>
      <c r="M220" s="469"/>
    </row>
    <row r="221" spans="1:13" x14ac:dyDescent="0.45">
      <c r="A221" s="312" t="s">
        <v>65</v>
      </c>
      <c r="B221" s="312"/>
      <c r="C221" s="312"/>
      <c r="D221" s="312"/>
      <c r="E221" s="463">
        <f>SUM(E217:E220)</f>
        <v>20.921571422944069</v>
      </c>
      <c r="F221" s="313"/>
      <c r="G221" s="312"/>
      <c r="M221" s="469"/>
    </row>
    <row r="222" spans="1:13" ht="14.65" thickBot="1" x14ac:dyDescent="0.5">
      <c r="F222" s="312"/>
      <c r="G222" s="312"/>
      <c r="M222" s="469"/>
    </row>
    <row r="223" spans="1:13" ht="14.65" thickBot="1" x14ac:dyDescent="0.5">
      <c r="A223" s="312" t="s">
        <v>106</v>
      </c>
      <c r="B223" s="312"/>
      <c r="C223" s="312"/>
      <c r="D223" s="312"/>
      <c r="E223" s="480">
        <v>7.1953243286609654</v>
      </c>
      <c r="F223" s="333"/>
      <c r="G223" s="312"/>
      <c r="M223" s="469"/>
    </row>
    <row r="224" spans="1:13" ht="14.65" thickBot="1" x14ac:dyDescent="0.5">
      <c r="A224" s="312" t="s">
        <v>104</v>
      </c>
      <c r="B224" s="312"/>
      <c r="C224" s="312"/>
      <c r="D224" s="312"/>
      <c r="E224" s="480">
        <v>1.1648009819483758</v>
      </c>
      <c r="F224" s="333"/>
      <c r="G224" s="312"/>
      <c r="M224" s="469"/>
    </row>
    <row r="225" spans="1:13" ht="14.65" thickBot="1" x14ac:dyDescent="0.5">
      <c r="A225" s="312" t="s">
        <v>405</v>
      </c>
      <c r="B225" s="312"/>
      <c r="C225" s="312"/>
      <c r="D225" s="312"/>
      <c r="E225" s="480">
        <v>9.9533243255615231E-2</v>
      </c>
      <c r="F225" s="333"/>
      <c r="G225" s="312"/>
      <c r="M225" s="469"/>
    </row>
    <row r="226" spans="1:13" ht="14.65" thickBot="1" x14ac:dyDescent="0.5">
      <c r="A226" s="312" t="s">
        <v>406</v>
      </c>
      <c r="B226" s="312"/>
      <c r="C226" s="312"/>
      <c r="D226" s="312"/>
      <c r="E226" s="481">
        <v>-1.373799140548706</v>
      </c>
      <c r="F226" s="481">
        <v>-1.3918492095756532</v>
      </c>
      <c r="G226" s="481">
        <v>-0.16875756254196167</v>
      </c>
      <c r="M226" s="469"/>
    </row>
    <row r="227" spans="1:13" x14ac:dyDescent="0.45">
      <c r="A227" s="312" t="s">
        <v>66</v>
      </c>
      <c r="B227" s="312"/>
      <c r="C227" s="312"/>
      <c r="D227" s="312"/>
      <c r="E227" s="463">
        <f>SUM(E223:E226)</f>
        <v>7.0858594133162507</v>
      </c>
      <c r="F227" s="313"/>
      <c r="G227" s="312"/>
      <c r="M227" s="469"/>
    </row>
    <row r="228" spans="1:13" x14ac:dyDescent="0.45">
      <c r="M228" s="469"/>
    </row>
    <row r="229" spans="1:13" x14ac:dyDescent="0.45">
      <c r="A229" s="389" t="s">
        <v>1</v>
      </c>
      <c r="B229" s="312"/>
      <c r="C229" s="312"/>
      <c r="D229" s="312"/>
      <c r="E229" s="286" t="s">
        <v>37</v>
      </c>
      <c r="F229" s="286" t="s">
        <v>38</v>
      </c>
      <c r="G229" s="286" t="s">
        <v>45</v>
      </c>
      <c r="M229" s="469"/>
    </row>
    <row r="230" spans="1:13" x14ac:dyDescent="0.45">
      <c r="A230" s="312" t="s">
        <v>63</v>
      </c>
      <c r="B230" s="312"/>
      <c r="C230" s="312"/>
      <c r="D230" s="312"/>
      <c r="E230" s="463">
        <f>SUM(E178,E191,E204,E217)</f>
        <v>422.46111878175975</v>
      </c>
      <c r="F230" s="199"/>
      <c r="G230" s="312"/>
      <c r="M230" s="469"/>
    </row>
    <row r="231" spans="1:13" x14ac:dyDescent="0.45">
      <c r="A231" s="312" t="s">
        <v>104</v>
      </c>
      <c r="B231" s="312"/>
      <c r="C231" s="312"/>
      <c r="D231" s="312"/>
      <c r="E231" s="463">
        <f t="shared" ref="E231:F233" si="0">SUM(E179,E192,E205,E218)</f>
        <v>28.355142090971469</v>
      </c>
      <c r="F231" s="199"/>
      <c r="G231" s="312"/>
      <c r="M231" s="469"/>
    </row>
    <row r="232" spans="1:13" x14ac:dyDescent="0.45">
      <c r="A232" s="312" t="s">
        <v>61</v>
      </c>
      <c r="B232" s="312"/>
      <c r="C232" s="312"/>
      <c r="D232" s="312"/>
      <c r="E232" s="463">
        <f t="shared" si="0"/>
        <v>10.781507584388256</v>
      </c>
      <c r="F232" s="199"/>
      <c r="G232" s="312"/>
      <c r="M232" s="469"/>
    </row>
    <row r="233" spans="1:13" x14ac:dyDescent="0.45">
      <c r="A233" s="312" t="s">
        <v>64</v>
      </c>
      <c r="B233" s="312"/>
      <c r="C233" s="312"/>
      <c r="D233" s="312"/>
      <c r="E233" s="463">
        <f t="shared" si="0"/>
        <v>-35.740769431760306</v>
      </c>
      <c r="F233" s="463">
        <f t="shared" si="0"/>
        <v>-45.832482499620916</v>
      </c>
      <c r="G233" s="312"/>
      <c r="M233" s="469"/>
    </row>
    <row r="234" spans="1:13" x14ac:dyDescent="0.45">
      <c r="A234" s="312" t="s">
        <v>65</v>
      </c>
      <c r="B234" s="312"/>
      <c r="C234" s="312"/>
      <c r="D234" s="312"/>
      <c r="E234" s="463">
        <f>SUM(E230:E233)</f>
        <v>425.85699902535913</v>
      </c>
      <c r="F234" s="313" t="b">
        <f>E234=SUM(E182,E195,E208,E221)</f>
        <v>1</v>
      </c>
      <c r="G234" s="312"/>
      <c r="M234" s="469"/>
    </row>
    <row r="235" spans="1:13" x14ac:dyDescent="0.45">
      <c r="F235" s="312"/>
      <c r="G235" s="312"/>
      <c r="M235" s="469"/>
    </row>
    <row r="236" spans="1:13" x14ac:dyDescent="0.45">
      <c r="A236" s="312" t="s">
        <v>106</v>
      </c>
      <c r="B236" s="312"/>
      <c r="C236" s="312"/>
      <c r="D236" s="312"/>
      <c r="E236" s="463">
        <f>SUM(E184,E197,E210,E223)</f>
        <v>218.54703796326876</v>
      </c>
      <c r="F236" s="199"/>
      <c r="G236" s="199"/>
      <c r="M236" s="469"/>
    </row>
    <row r="237" spans="1:13" x14ac:dyDescent="0.45">
      <c r="A237" s="312" t="s">
        <v>104</v>
      </c>
      <c r="B237" s="312"/>
      <c r="C237" s="312"/>
      <c r="D237" s="312"/>
      <c r="E237" s="463">
        <f t="shared" ref="E237:G239" si="1">SUM(E185,E198,E211,E224)</f>
        <v>26.980733663737773</v>
      </c>
      <c r="F237" s="199"/>
      <c r="G237" s="199"/>
      <c r="M237" s="469"/>
    </row>
    <row r="238" spans="1:13" x14ac:dyDescent="0.45">
      <c r="A238" s="312" t="s">
        <v>405</v>
      </c>
      <c r="B238" s="312"/>
      <c r="C238" s="312"/>
      <c r="D238" s="312"/>
      <c r="E238" s="463">
        <f t="shared" si="1"/>
        <v>3.8084308474063877</v>
      </c>
      <c r="F238" s="199"/>
      <c r="G238" s="199"/>
      <c r="M238" s="469"/>
    </row>
    <row r="239" spans="1:13" x14ac:dyDescent="0.45">
      <c r="A239" s="312" t="s">
        <v>406</v>
      </c>
      <c r="B239" s="312"/>
      <c r="C239" s="312"/>
      <c r="D239" s="312"/>
      <c r="E239" s="463">
        <f t="shared" si="1"/>
        <v>-27.755724480996129</v>
      </c>
      <c r="F239" s="463">
        <f t="shared" si="1"/>
        <v>-22.362885555467606</v>
      </c>
      <c r="G239" s="463">
        <f t="shared" si="1"/>
        <v>-4.5037987287282952</v>
      </c>
      <c r="M239" s="469"/>
    </row>
    <row r="240" spans="1:13" x14ac:dyDescent="0.45">
      <c r="A240" s="312" t="s">
        <v>66</v>
      </c>
      <c r="B240" s="312"/>
      <c r="C240" s="312"/>
      <c r="D240" s="312"/>
      <c r="E240" s="463">
        <f>SUM(E236:E239)</f>
        <v>221.58047799341679</v>
      </c>
      <c r="F240" s="313" t="b">
        <f>E240=SUM(E188,E201,E214,E227)</f>
        <v>1</v>
      </c>
      <c r="G240" s="312"/>
      <c r="M240" s="469"/>
    </row>
    <row r="241" spans="1:14" ht="9.4" customHeight="1" thickBot="1" x14ac:dyDescent="0.5">
      <c r="A241" s="398"/>
      <c r="B241" s="398"/>
      <c r="C241" s="398"/>
      <c r="D241" s="398"/>
      <c r="E241" s="398"/>
      <c r="F241" s="398"/>
      <c r="G241" s="398"/>
      <c r="H241" s="398"/>
      <c r="I241" s="398"/>
      <c r="J241" s="398"/>
      <c r="K241" s="398"/>
      <c r="L241" s="398"/>
      <c r="M241" s="398"/>
      <c r="N241" s="398"/>
    </row>
    <row r="242" spans="1:14" ht="9" customHeight="1" thickTop="1" x14ac:dyDescent="0.45">
      <c r="M242" s="329"/>
    </row>
    <row r="243" spans="1:14" ht="14.65" thickBot="1" x14ac:dyDescent="0.5">
      <c r="E243" s="286" t="s">
        <v>37</v>
      </c>
      <c r="M243" s="329"/>
    </row>
    <row r="244" spans="1:14" ht="14.65" thickBot="1" x14ac:dyDescent="0.5">
      <c r="A244" s="311" t="s">
        <v>407</v>
      </c>
      <c r="D244" s="495"/>
      <c r="E244" s="492">
        <v>752.28747927017207</v>
      </c>
      <c r="F244" s="494"/>
      <c r="M244" s="329"/>
    </row>
    <row r="245" spans="1:14" x14ac:dyDescent="0.45">
      <c r="E245" s="493"/>
    </row>
  </sheetData>
  <mergeCells count="1">
    <mergeCell ref="E176:G176"/>
  </mergeCells>
  <phoneticPr fontId="56" type="noConversion"/>
  <printOptions horizontalCentered="1" verticalCentered="1"/>
  <pageMargins left="0.19685039370078741" right="0.19685039370078741" top="0.39370078740157483" bottom="0.39370078740157483" header="0.19685039370078741" footer="0.19685039370078741"/>
  <pageSetup paperSize="9" scale="60" orientation="landscape" r:id="rId1"/>
  <headerFooter>
    <oddHeader xml:space="preserve">&amp;Cpage &amp;P of &amp;N&amp;R&amp;D &amp;T&amp;L&amp;"Calibri"&amp;12&amp;K000000Classification: HIGHLY SENSITIVE&amp;1#_x000D_&amp;"Calibri"&amp;11&amp;K000000File: &amp;F Sheet: &amp;A 
</oddHeader>
  </headerFooter>
  <rowBreaks count="3" manualBreakCount="3">
    <brk id="55" max="16383" man="1"/>
    <brk id="123" max="16383" man="1"/>
    <brk id="1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9253-48C0-4910-8C72-FDC5297BD876}">
  <sheetPr codeName="Sheet6">
    <tabColor rgb="FFFFFF00"/>
  </sheetPr>
  <dimension ref="A1:T154"/>
  <sheetViews>
    <sheetView zoomScaleNormal="100" workbookViewId="0">
      <selection activeCell="J37" sqref="J37"/>
    </sheetView>
  </sheetViews>
  <sheetFormatPr defaultColWidth="8.86328125" defaultRowHeight="13.15" x14ac:dyDescent="0.4"/>
  <cols>
    <col min="1" max="1" width="10.1328125" style="14" customWidth="1"/>
    <col min="2" max="2" width="27.1328125" style="14" bestFit="1" customWidth="1"/>
    <col min="3" max="3" width="16.86328125" style="14" bestFit="1" customWidth="1"/>
    <col min="4" max="4" width="12.265625" style="14" bestFit="1" customWidth="1"/>
    <col min="5" max="5" width="11.1328125" style="14" customWidth="1"/>
    <col min="6" max="8" width="12.265625" style="14" bestFit="1" customWidth="1"/>
    <col min="9" max="9" width="10.1328125" style="14" bestFit="1" customWidth="1"/>
    <col min="10" max="11" width="10" style="14" bestFit="1" customWidth="1"/>
    <col min="12" max="12" width="2" style="14" customWidth="1"/>
    <col min="13" max="13" width="73.73046875" style="475" bestFit="1" customWidth="1"/>
    <col min="14" max="16384" width="8.86328125" style="14"/>
  </cols>
  <sheetData>
    <row r="1" spans="1:19" ht="18" x14ac:dyDescent="0.55000000000000004">
      <c r="A1" s="9" t="s">
        <v>173</v>
      </c>
      <c r="M1" s="474" t="s">
        <v>171</v>
      </c>
      <c r="N1" s="311"/>
    </row>
    <row r="2" spans="1:19" ht="14.25" x14ac:dyDescent="0.45">
      <c r="N2" s="311"/>
    </row>
    <row r="3" spans="1:19" ht="14.25" x14ac:dyDescent="0.45">
      <c r="C3" s="446"/>
      <c r="D3" s="364" t="s">
        <v>37</v>
      </c>
      <c r="E3" s="364" t="s">
        <v>38</v>
      </c>
      <c r="F3" s="364" t="s">
        <v>45</v>
      </c>
      <c r="G3" s="364" t="s">
        <v>46</v>
      </c>
      <c r="H3" s="364" t="s">
        <v>47</v>
      </c>
      <c r="I3" s="364" t="s">
        <v>52</v>
      </c>
      <c r="J3" s="364" t="s">
        <v>51</v>
      </c>
      <c r="M3" s="469"/>
      <c r="N3" s="311"/>
    </row>
    <row r="4" spans="1:19" ht="14.25" x14ac:dyDescent="0.45">
      <c r="A4" s="312" t="s">
        <v>2</v>
      </c>
      <c r="B4" s="312"/>
      <c r="C4" s="540"/>
      <c r="D4" s="447">
        <v>8.1000000000000003E-2</v>
      </c>
      <c r="E4" s="447">
        <v>7.0000000000000007E-2</v>
      </c>
      <c r="F4" s="447">
        <v>7.0000000000000007E-2</v>
      </c>
      <c r="G4" s="447">
        <v>7.0000000000000007E-2</v>
      </c>
      <c r="H4" s="447">
        <v>7.0000000000000007E-2</v>
      </c>
      <c r="I4" s="447">
        <v>7.0000000000000007E-2</v>
      </c>
      <c r="J4" s="447">
        <v>7.0000000000000007E-2</v>
      </c>
      <c r="L4" s="312"/>
      <c r="M4" s="469"/>
      <c r="N4" s="311"/>
      <c r="R4" s="312"/>
      <c r="S4" s="97"/>
    </row>
    <row r="5" spans="1:19" ht="14.25" x14ac:dyDescent="0.45">
      <c r="A5" s="312"/>
      <c r="B5" s="312"/>
      <c r="C5" s="312"/>
      <c r="D5" s="312"/>
      <c r="G5" s="40"/>
      <c r="I5" s="40"/>
      <c r="J5" s="312"/>
      <c r="K5" s="312"/>
      <c r="L5" s="312"/>
      <c r="M5" s="469"/>
      <c r="N5" s="311"/>
    </row>
    <row r="6" spans="1:19" ht="14.25" x14ac:dyDescent="0.45">
      <c r="A6" s="312" t="s">
        <v>408</v>
      </c>
      <c r="B6" s="312" t="s">
        <v>296</v>
      </c>
      <c r="C6" s="312"/>
      <c r="D6" s="509">
        <v>1000000</v>
      </c>
      <c r="E6" s="329" t="s">
        <v>296</v>
      </c>
      <c r="G6" s="40"/>
      <c r="I6" s="40"/>
      <c r="J6" s="312"/>
      <c r="K6" s="312"/>
      <c r="L6" s="312"/>
      <c r="M6" s="469"/>
      <c r="N6" s="311"/>
    </row>
    <row r="7" spans="1:19" ht="14.25" x14ac:dyDescent="0.45">
      <c r="A7" s="312"/>
      <c r="B7" s="312" t="s">
        <v>297</v>
      </c>
      <c r="C7" s="312"/>
      <c r="D7" s="509">
        <v>1000</v>
      </c>
      <c r="E7" s="329" t="s">
        <v>297</v>
      </c>
      <c r="G7" s="40"/>
      <c r="I7" s="40"/>
      <c r="J7" s="312"/>
      <c r="K7" s="312"/>
      <c r="L7" s="312"/>
      <c r="M7" s="469"/>
      <c r="N7" s="311"/>
    </row>
    <row r="8" spans="1:19" ht="14.25" x14ac:dyDescent="0.45">
      <c r="A8" s="312"/>
      <c r="B8" s="312"/>
      <c r="C8" s="312"/>
      <c r="D8" s="103"/>
      <c r="E8" s="312"/>
      <c r="F8" s="312"/>
      <c r="G8" s="40"/>
      <c r="H8" s="40"/>
      <c r="I8" s="40"/>
      <c r="J8" s="312"/>
      <c r="K8" s="312"/>
      <c r="L8" s="312"/>
      <c r="M8" s="469"/>
      <c r="N8" s="311"/>
    </row>
    <row r="9" spans="1:19" ht="14.25" x14ac:dyDescent="0.45">
      <c r="A9" s="312" t="s">
        <v>409</v>
      </c>
      <c r="B9" s="312"/>
      <c r="C9" s="312"/>
      <c r="D9" s="535">
        <v>0.74</v>
      </c>
      <c r="E9" s="329" t="s">
        <v>289</v>
      </c>
      <c r="F9" s="312"/>
      <c r="G9" s="312"/>
      <c r="H9" s="40"/>
      <c r="I9" s="111"/>
      <c r="J9" s="312"/>
      <c r="K9" s="312"/>
      <c r="L9" s="312"/>
      <c r="M9" s="469"/>
      <c r="N9" s="311"/>
    </row>
    <row r="10" spans="1:19" ht="14.25" x14ac:dyDescent="0.45">
      <c r="A10" s="312" t="s">
        <v>410</v>
      </c>
      <c r="B10" s="312"/>
      <c r="C10" s="312"/>
      <c r="D10" s="512">
        <v>3.5000000000000003E-2</v>
      </c>
      <c r="E10" s="329" t="s">
        <v>288</v>
      </c>
      <c r="F10" s="312"/>
      <c r="G10" s="312"/>
      <c r="H10" s="40"/>
      <c r="I10" s="40"/>
      <c r="J10" s="312"/>
      <c r="K10" s="312"/>
      <c r="L10" s="312"/>
      <c r="M10" s="469"/>
      <c r="N10" s="311"/>
    </row>
    <row r="11" spans="1:19" ht="14.25" x14ac:dyDescent="0.45">
      <c r="A11" s="312"/>
      <c r="B11" s="312"/>
      <c r="C11" s="312"/>
      <c r="D11" s="536"/>
      <c r="F11" s="312"/>
      <c r="G11" s="312"/>
      <c r="H11" s="40"/>
      <c r="I11" s="40"/>
      <c r="J11" s="312"/>
      <c r="K11" s="312"/>
      <c r="L11" s="312"/>
      <c r="M11" s="469"/>
      <c r="N11" s="311"/>
    </row>
    <row r="12" spans="1:19" ht="14.25" x14ac:dyDescent="0.45">
      <c r="A12" s="312" t="s">
        <v>411</v>
      </c>
      <c r="B12" s="312"/>
      <c r="C12" s="312"/>
      <c r="D12" s="536"/>
      <c r="F12" s="312"/>
      <c r="G12" s="312"/>
      <c r="H12" s="40"/>
      <c r="I12" s="40"/>
      <c r="J12" s="312"/>
      <c r="K12" s="312"/>
      <c r="L12" s="312"/>
      <c r="M12" s="469"/>
      <c r="N12" s="311"/>
    </row>
    <row r="13" spans="1:19" ht="14.25" x14ac:dyDescent="0.45">
      <c r="A13" s="312"/>
      <c r="B13" s="312" t="s">
        <v>12</v>
      </c>
      <c r="C13" s="312"/>
      <c r="D13" s="512">
        <v>0</v>
      </c>
      <c r="F13" s="312"/>
      <c r="G13" s="312"/>
      <c r="H13" s="40"/>
      <c r="I13" s="40"/>
      <c r="J13" s="312"/>
      <c r="K13" s="312"/>
      <c r="L13" s="312"/>
      <c r="M13" s="469"/>
      <c r="N13" s="311"/>
    </row>
    <row r="14" spans="1:19" ht="14.25" x14ac:dyDescent="0.45">
      <c r="A14" s="312"/>
      <c r="B14" s="312" t="s">
        <v>13</v>
      </c>
      <c r="C14" s="312"/>
      <c r="D14" s="512">
        <v>0</v>
      </c>
      <c r="F14" s="312"/>
      <c r="G14" s="312"/>
      <c r="H14" s="40"/>
      <c r="I14" s="40"/>
      <c r="J14" s="312"/>
      <c r="K14" s="312"/>
      <c r="L14" s="312"/>
      <c r="M14" s="469"/>
      <c r="N14" s="311"/>
    </row>
    <row r="15" spans="1:19" ht="14.25" x14ac:dyDescent="0.45">
      <c r="A15" s="312"/>
      <c r="B15" s="312"/>
      <c r="C15" s="312"/>
      <c r="D15" s="199"/>
      <c r="F15" s="312"/>
      <c r="G15" s="312"/>
      <c r="H15" s="312"/>
      <c r="I15" s="40"/>
      <c r="J15" s="312"/>
      <c r="K15" s="312"/>
      <c r="L15" s="312"/>
      <c r="M15" s="469"/>
      <c r="N15" s="311"/>
    </row>
    <row r="16" spans="1:19" ht="14.25" x14ac:dyDescent="0.45">
      <c r="A16" s="312" t="s">
        <v>412</v>
      </c>
      <c r="B16" s="312"/>
      <c r="C16" s="312"/>
      <c r="D16" s="199"/>
      <c r="E16" s="312"/>
      <c r="F16" s="312"/>
      <c r="G16" s="312"/>
      <c r="H16" s="312"/>
      <c r="I16" s="40"/>
      <c r="J16" s="312"/>
      <c r="K16" s="312"/>
      <c r="L16" s="312"/>
      <c r="M16" s="469"/>
      <c r="N16" s="311"/>
      <c r="R16" s="312"/>
      <c r="S16" s="97"/>
    </row>
    <row r="17" spans="1:20" ht="14.25" x14ac:dyDescent="0.45">
      <c r="A17" s="312"/>
      <c r="B17" s="312" t="s">
        <v>413</v>
      </c>
      <c r="C17" s="312"/>
      <c r="D17" s="512">
        <v>0.1</v>
      </c>
      <c r="E17" s="329" t="s">
        <v>283</v>
      </c>
      <c r="G17" s="312"/>
      <c r="H17" s="312"/>
      <c r="I17" s="312"/>
      <c r="J17" s="312"/>
      <c r="K17" s="312"/>
      <c r="L17" s="312"/>
      <c r="M17" s="469"/>
      <c r="N17" s="311"/>
      <c r="R17" s="312"/>
      <c r="S17" s="97"/>
    </row>
    <row r="18" spans="1:20" ht="14.25" x14ac:dyDescent="0.45">
      <c r="A18" s="312"/>
      <c r="B18" s="324" t="s">
        <v>9</v>
      </c>
      <c r="C18" s="312"/>
      <c r="D18" s="512">
        <v>0</v>
      </c>
      <c r="E18" s="329" t="s">
        <v>284</v>
      </c>
      <c r="G18" s="312"/>
      <c r="H18" s="312"/>
      <c r="I18" s="312"/>
      <c r="J18" s="312"/>
      <c r="K18" s="312"/>
      <c r="L18" s="312"/>
      <c r="M18" s="469"/>
      <c r="N18" s="311"/>
      <c r="R18" s="312"/>
      <c r="S18" s="97"/>
    </row>
    <row r="19" spans="1:20" ht="14.25" x14ac:dyDescent="0.45">
      <c r="A19" s="312"/>
      <c r="B19" s="312" t="s">
        <v>12</v>
      </c>
      <c r="C19" s="312"/>
      <c r="D19" s="512">
        <v>0</v>
      </c>
      <c r="E19" s="329" t="s">
        <v>285</v>
      </c>
      <c r="G19" s="312"/>
      <c r="H19" s="312"/>
      <c r="I19" s="312"/>
      <c r="J19" s="312"/>
      <c r="K19" s="312"/>
      <c r="L19" s="312"/>
      <c r="M19" s="469"/>
      <c r="N19" s="311"/>
      <c r="R19" s="312"/>
      <c r="S19" s="97"/>
    </row>
    <row r="20" spans="1:20" ht="14.25" x14ac:dyDescent="0.45">
      <c r="A20" s="312"/>
      <c r="B20" s="312"/>
      <c r="C20" s="312"/>
      <c r="D20" s="199"/>
      <c r="F20" s="312"/>
      <c r="G20" s="312"/>
      <c r="H20" s="312"/>
      <c r="I20" s="312"/>
      <c r="J20" s="312"/>
      <c r="K20" s="312"/>
      <c r="L20" s="312"/>
      <c r="M20" s="469"/>
      <c r="N20" s="311"/>
      <c r="S20" s="312"/>
      <c r="T20" s="97"/>
    </row>
    <row r="21" spans="1:20" ht="14.25" x14ac:dyDescent="0.45">
      <c r="A21" s="312" t="s">
        <v>414</v>
      </c>
      <c r="B21" s="312"/>
      <c r="C21" s="312"/>
      <c r="D21" s="512">
        <v>0.1</v>
      </c>
      <c r="E21" s="329" t="s">
        <v>293</v>
      </c>
      <c r="G21" s="312"/>
      <c r="H21" s="312"/>
      <c r="I21" s="312"/>
      <c r="J21" s="312"/>
      <c r="K21" s="312"/>
      <c r="L21" s="312"/>
      <c r="M21" s="469"/>
      <c r="N21" s="311"/>
      <c r="R21" s="312"/>
      <c r="S21" s="97"/>
    </row>
    <row r="22" spans="1:20" ht="14.25" x14ac:dyDescent="0.45">
      <c r="A22" s="312"/>
      <c r="B22" s="312"/>
      <c r="C22" s="312"/>
      <c r="D22" s="199"/>
      <c r="F22" s="312"/>
      <c r="G22" s="312"/>
      <c r="H22" s="312"/>
      <c r="I22" s="312"/>
      <c r="J22" s="312"/>
      <c r="K22" s="312"/>
      <c r="L22" s="312"/>
      <c r="M22" s="469"/>
      <c r="N22" s="311"/>
      <c r="S22" s="312"/>
      <c r="T22" s="97"/>
    </row>
    <row r="23" spans="1:20" ht="14.25" x14ac:dyDescent="0.45">
      <c r="A23" s="324" t="s">
        <v>415</v>
      </c>
      <c r="B23" s="102"/>
      <c r="C23" s="102"/>
      <c r="D23" s="376"/>
      <c r="E23" s="312"/>
      <c r="G23" s="312"/>
      <c r="H23" s="312"/>
      <c r="I23" s="312"/>
      <c r="J23" s="312"/>
      <c r="K23" s="312"/>
      <c r="L23" s="312"/>
      <c r="M23" s="469"/>
      <c r="N23" s="311"/>
      <c r="R23" s="312"/>
      <c r="S23" s="97"/>
    </row>
    <row r="24" spans="1:20" ht="14.25" x14ac:dyDescent="0.45">
      <c r="B24" s="312" t="s">
        <v>161</v>
      </c>
      <c r="C24" s="312"/>
      <c r="D24" s="512">
        <v>1</v>
      </c>
      <c r="E24" s="312"/>
      <c r="G24" s="312"/>
      <c r="H24" s="312"/>
      <c r="I24" s="312"/>
      <c r="J24" s="312"/>
      <c r="K24" s="312"/>
      <c r="L24" s="312"/>
      <c r="M24" s="469"/>
      <c r="N24" s="311"/>
      <c r="R24" s="312"/>
      <c r="S24" s="97"/>
    </row>
    <row r="25" spans="1:20" ht="14.25" x14ac:dyDescent="0.45">
      <c r="B25" s="312" t="s">
        <v>9</v>
      </c>
      <c r="C25" s="312"/>
      <c r="D25" s="512">
        <v>0.5</v>
      </c>
      <c r="E25" s="312"/>
      <c r="G25" s="312"/>
      <c r="H25" s="312"/>
      <c r="I25" s="312"/>
      <c r="J25" s="312"/>
      <c r="K25" s="312"/>
      <c r="L25" s="312"/>
      <c r="M25" s="469"/>
      <c r="N25" s="311"/>
      <c r="R25" s="312"/>
      <c r="S25" s="97"/>
    </row>
    <row r="26" spans="1:20" ht="14.25" x14ac:dyDescent="0.45">
      <c r="B26" s="312" t="s">
        <v>10</v>
      </c>
      <c r="C26" s="312"/>
      <c r="D26" s="512">
        <v>0.25</v>
      </c>
      <c r="E26" s="312"/>
      <c r="G26" s="312"/>
      <c r="H26" s="312"/>
      <c r="I26" s="312"/>
      <c r="J26" s="312"/>
      <c r="K26" s="312"/>
      <c r="L26" s="312"/>
      <c r="M26" s="469"/>
      <c r="N26" s="311"/>
      <c r="R26" s="312"/>
      <c r="S26" s="97"/>
    </row>
    <row r="27" spans="1:20" ht="14.25" x14ac:dyDescent="0.45">
      <c r="B27" s="312" t="s">
        <v>11</v>
      </c>
      <c r="C27" s="312"/>
      <c r="D27" s="512">
        <v>0.1</v>
      </c>
      <c r="E27" s="312"/>
      <c r="G27" s="312"/>
      <c r="H27" s="312"/>
      <c r="I27" s="312"/>
      <c r="J27" s="312"/>
      <c r="K27" s="312"/>
      <c r="L27" s="312"/>
      <c r="M27" s="469"/>
      <c r="N27" s="311"/>
      <c r="R27" s="312"/>
      <c r="S27" s="97"/>
    </row>
    <row r="28" spans="1:20" ht="14.25" x14ac:dyDescent="0.45">
      <c r="B28" s="312" t="s">
        <v>12</v>
      </c>
      <c r="C28" s="312"/>
      <c r="D28" s="512">
        <v>0.15</v>
      </c>
      <c r="E28" s="312"/>
      <c r="G28" s="312"/>
      <c r="H28" s="312"/>
      <c r="I28" s="312"/>
      <c r="J28" s="312"/>
      <c r="K28" s="312"/>
      <c r="L28" s="312"/>
      <c r="M28" s="469"/>
      <c r="N28" s="311"/>
      <c r="R28" s="312"/>
      <c r="S28" s="97"/>
    </row>
    <row r="29" spans="1:20" ht="14.25" x14ac:dyDescent="0.45">
      <c r="A29" s="324"/>
      <c r="B29" s="312" t="s">
        <v>13</v>
      </c>
      <c r="C29" s="312"/>
      <c r="D29" s="512">
        <v>3.3000000000000002E-2</v>
      </c>
      <c r="E29" s="312"/>
      <c r="G29" s="312"/>
      <c r="H29" s="312"/>
      <c r="I29" s="312"/>
      <c r="J29" s="312"/>
      <c r="K29" s="312"/>
      <c r="L29" s="312"/>
      <c r="M29" s="469"/>
      <c r="N29" s="311"/>
      <c r="R29" s="312"/>
      <c r="S29" s="97"/>
    </row>
    <row r="30" spans="1:20" ht="14.25" x14ac:dyDescent="0.45">
      <c r="A30" s="324"/>
      <c r="B30" s="312"/>
      <c r="C30" s="312"/>
      <c r="D30" s="537"/>
      <c r="E30" s="312"/>
      <c r="G30" s="312"/>
      <c r="H30" s="312"/>
      <c r="I30" s="312"/>
      <c r="J30" s="312"/>
      <c r="K30" s="312"/>
      <c r="L30" s="312"/>
      <c r="M30" s="469"/>
      <c r="N30" s="311"/>
      <c r="R30" s="312"/>
      <c r="S30" s="97"/>
    </row>
    <row r="31" spans="1:20" ht="14.25" x14ac:dyDescent="0.45">
      <c r="A31" s="312" t="s">
        <v>416</v>
      </c>
      <c r="B31" s="312"/>
      <c r="C31" s="312"/>
      <c r="D31" s="514">
        <v>3</v>
      </c>
      <c r="F31" s="312"/>
      <c r="G31" s="312"/>
      <c r="H31" s="312"/>
      <c r="I31" s="312"/>
      <c r="J31" s="312"/>
      <c r="K31" s="312"/>
      <c r="L31" s="312"/>
      <c r="M31" s="469"/>
      <c r="N31" s="311"/>
      <c r="S31" s="312"/>
      <c r="T31" s="97"/>
    </row>
    <row r="32" spans="1:20" ht="14.25" x14ac:dyDescent="0.45">
      <c r="A32" s="312"/>
      <c r="B32" s="312"/>
      <c r="C32" s="312"/>
      <c r="D32" s="312"/>
      <c r="E32" s="312"/>
      <c r="F32" s="312"/>
      <c r="G32" s="312"/>
      <c r="H32" s="312"/>
      <c r="I32" s="312"/>
      <c r="J32" s="312"/>
      <c r="K32" s="312"/>
      <c r="L32" s="312"/>
      <c r="M32" s="469"/>
      <c r="N32" s="311"/>
    </row>
    <row r="33" spans="1:14" ht="14.25" x14ac:dyDescent="0.45">
      <c r="A33" s="312" t="s">
        <v>452</v>
      </c>
      <c r="B33" s="312"/>
      <c r="C33" s="312" t="s">
        <v>417</v>
      </c>
      <c r="D33" s="512">
        <v>0.9</v>
      </c>
      <c r="F33" s="312"/>
      <c r="G33" s="312"/>
      <c r="H33" s="312"/>
      <c r="I33" s="312"/>
      <c r="J33" s="312"/>
      <c r="K33" s="312"/>
      <c r="L33" s="312"/>
      <c r="M33" s="469"/>
      <c r="N33" s="311"/>
    </row>
    <row r="34" spans="1:14" ht="14.25" x14ac:dyDescent="0.45">
      <c r="A34" s="312"/>
      <c r="B34" s="312"/>
      <c r="C34" s="312" t="s">
        <v>418</v>
      </c>
      <c r="D34" s="512">
        <v>7.0000000000000007E-2</v>
      </c>
      <c r="F34" s="312"/>
      <c r="G34" s="312"/>
      <c r="H34" s="312"/>
      <c r="I34" s="312"/>
      <c r="J34" s="312"/>
      <c r="K34" s="312"/>
      <c r="L34" s="312"/>
      <c r="M34" s="469"/>
      <c r="N34" s="311"/>
    </row>
    <row r="35" spans="1:14" ht="14.25" x14ac:dyDescent="0.45">
      <c r="A35" s="312"/>
      <c r="B35" s="312"/>
      <c r="C35" s="312" t="s">
        <v>419</v>
      </c>
      <c r="D35" s="512">
        <v>0.03</v>
      </c>
      <c r="F35" s="312"/>
      <c r="G35" s="312"/>
      <c r="H35" s="312"/>
      <c r="I35" s="312"/>
      <c r="J35" s="312"/>
      <c r="K35" s="312"/>
      <c r="L35" s="312"/>
      <c r="M35" s="469"/>
      <c r="N35" s="311"/>
    </row>
    <row r="36" spans="1:14" ht="14.25" x14ac:dyDescent="0.45">
      <c r="A36" s="312"/>
      <c r="B36" s="312"/>
      <c r="C36" s="312" t="s">
        <v>1</v>
      </c>
      <c r="D36" s="538">
        <f>SUM(D33:D35)</f>
        <v>1</v>
      </c>
      <c r="F36" s="312"/>
      <c r="G36" s="312"/>
      <c r="H36" s="312"/>
      <c r="I36" s="312"/>
      <c r="J36" s="312"/>
      <c r="K36" s="312"/>
      <c r="L36" s="312"/>
      <c r="M36" s="469"/>
      <c r="N36" s="311"/>
    </row>
    <row r="37" spans="1:14" ht="14.25" x14ac:dyDescent="0.45">
      <c r="A37" s="312"/>
      <c r="B37" s="312"/>
      <c r="C37" s="312"/>
      <c r="D37" s="199"/>
      <c r="E37" s="312"/>
      <c r="F37" s="312"/>
      <c r="G37" s="312"/>
      <c r="H37" s="312"/>
      <c r="I37" s="312"/>
      <c r="J37" s="312"/>
      <c r="K37" s="312"/>
      <c r="L37" s="312"/>
      <c r="M37" s="469"/>
      <c r="N37" s="311"/>
    </row>
    <row r="38" spans="1:14" ht="14.25" x14ac:dyDescent="0.45">
      <c r="A38" s="58" t="s">
        <v>420</v>
      </c>
      <c r="B38" s="312"/>
      <c r="C38" s="312"/>
      <c r="D38" s="535">
        <v>1.8</v>
      </c>
      <c r="F38" s="312"/>
      <c r="G38" s="312"/>
      <c r="H38" s="312"/>
      <c r="I38" s="312"/>
      <c r="J38" s="312"/>
      <c r="K38" s="312"/>
      <c r="L38" s="312"/>
      <c r="M38" s="469"/>
      <c r="N38" s="311"/>
    </row>
    <row r="39" spans="1:14" ht="14.25" x14ac:dyDescent="0.45">
      <c r="A39" s="312" t="s">
        <v>421</v>
      </c>
      <c r="B39" s="312"/>
      <c r="C39" s="312"/>
      <c r="D39" s="535">
        <v>1</v>
      </c>
      <c r="E39" s="329" t="s">
        <v>290</v>
      </c>
      <c r="F39" s="312"/>
      <c r="G39" s="312"/>
      <c r="H39" s="312"/>
      <c r="I39" s="312"/>
      <c r="J39" s="312"/>
      <c r="K39" s="312"/>
      <c r="L39" s="312"/>
      <c r="M39" s="469"/>
      <c r="N39" s="311"/>
    </row>
    <row r="40" spans="1:14" ht="14.25" x14ac:dyDescent="0.45">
      <c r="A40" s="312"/>
      <c r="B40" s="312"/>
      <c r="C40" s="312"/>
      <c r="D40" s="199"/>
      <c r="E40" s="312"/>
      <c r="F40" s="312"/>
      <c r="G40" s="312"/>
      <c r="H40" s="312"/>
      <c r="I40" s="312"/>
      <c r="J40" s="312"/>
      <c r="K40" s="312"/>
      <c r="L40" s="312"/>
      <c r="M40" s="469"/>
      <c r="N40" s="311"/>
    </row>
    <row r="41" spans="1:14" ht="14.25" x14ac:dyDescent="0.45">
      <c r="A41" s="19" t="s">
        <v>422</v>
      </c>
      <c r="B41" s="156"/>
      <c r="C41" s="110" t="s">
        <v>32</v>
      </c>
      <c r="D41" s="514">
        <v>0</v>
      </c>
      <c r="F41" s="312"/>
      <c r="G41" s="312"/>
      <c r="H41" s="312"/>
      <c r="I41" s="312"/>
      <c r="J41" s="312"/>
      <c r="K41" s="312"/>
      <c r="L41" s="312"/>
      <c r="M41" s="469"/>
      <c r="N41" s="311"/>
    </row>
    <row r="42" spans="1:14" ht="14.25" x14ac:dyDescent="0.45">
      <c r="A42" s="312"/>
      <c r="B42" s="156"/>
      <c r="C42" s="110" t="s">
        <v>33</v>
      </c>
      <c r="D42" s="514">
        <v>1</v>
      </c>
      <c r="F42" s="312"/>
      <c r="G42" s="312"/>
      <c r="H42" s="312"/>
      <c r="I42" s="312"/>
      <c r="J42" s="312"/>
      <c r="K42" s="312"/>
      <c r="L42" s="312"/>
      <c r="M42" s="469"/>
      <c r="N42" s="311"/>
    </row>
    <row r="43" spans="1:14" ht="14.25" x14ac:dyDescent="0.45">
      <c r="M43" s="469"/>
      <c r="N43" s="311"/>
    </row>
    <row r="44" spans="1:14" ht="14.25" x14ac:dyDescent="0.45">
      <c r="M44" s="469"/>
      <c r="N44" s="311"/>
    </row>
    <row r="45" spans="1:14" ht="18" x14ac:dyDescent="0.45">
      <c r="A45" s="357" t="s">
        <v>423</v>
      </c>
      <c r="B45" s="312"/>
      <c r="C45" s="387" t="s">
        <v>36</v>
      </c>
      <c r="D45" s="364" t="s">
        <v>37</v>
      </c>
      <c r="E45" s="364" t="s">
        <v>38</v>
      </c>
      <c r="F45" s="364" t="s">
        <v>45</v>
      </c>
      <c r="G45" s="364" t="s">
        <v>46</v>
      </c>
      <c r="H45" s="364" t="s">
        <v>47</v>
      </c>
      <c r="I45" s="364" t="s">
        <v>52</v>
      </c>
      <c r="J45" s="364" t="s">
        <v>51</v>
      </c>
      <c r="L45" s="311"/>
      <c r="M45" s="469" t="s">
        <v>453</v>
      </c>
      <c r="N45" s="311"/>
    </row>
    <row r="46" spans="1:14" ht="14.25" x14ac:dyDescent="0.45">
      <c r="A46" s="365" t="s">
        <v>424</v>
      </c>
      <c r="B46" s="312"/>
      <c r="C46" s="374" t="s">
        <v>425</v>
      </c>
      <c r="D46" s="386" t="s">
        <v>425</v>
      </c>
      <c r="E46" s="374" t="s">
        <v>425</v>
      </c>
      <c r="F46" s="374" t="s">
        <v>425</v>
      </c>
      <c r="G46" s="374" t="s">
        <v>425</v>
      </c>
      <c r="H46" s="374" t="s">
        <v>425</v>
      </c>
      <c r="I46" s="374" t="s">
        <v>425</v>
      </c>
      <c r="J46" s="374" t="s">
        <v>425</v>
      </c>
      <c r="L46" s="311"/>
      <c r="M46" s="469"/>
      <c r="N46" s="311"/>
    </row>
    <row r="47" spans="1:14" ht="14.25" x14ac:dyDescent="0.45">
      <c r="A47" s="365" t="s">
        <v>426</v>
      </c>
      <c r="B47" s="312"/>
      <c r="C47" s="512">
        <v>3.0555639767970044E-2</v>
      </c>
      <c r="D47" s="513">
        <v>2.5884636593194843E-2</v>
      </c>
      <c r="E47" s="512">
        <v>1.1073457872565307E-2</v>
      </c>
      <c r="F47" s="512">
        <v>1.3661503705174605E-2</v>
      </c>
      <c r="G47" s="512">
        <v>1.8241004518661841E-2</v>
      </c>
      <c r="H47" s="512">
        <v>2.7241532208208463E-2</v>
      </c>
      <c r="I47" s="512">
        <v>3.0231103283176353E-2</v>
      </c>
      <c r="J47" s="512">
        <v>2.9722096204275905E-2</v>
      </c>
      <c r="L47" s="311"/>
      <c r="M47" s="469"/>
      <c r="N47" s="311"/>
    </row>
    <row r="48" spans="1:14" ht="14.25" x14ac:dyDescent="0.45">
      <c r="A48" s="312" t="s">
        <v>427</v>
      </c>
      <c r="B48" s="312"/>
      <c r="C48" s="514" t="s">
        <v>163</v>
      </c>
      <c r="D48" s="515" t="s">
        <v>163</v>
      </c>
      <c r="E48" s="514" t="s">
        <v>163</v>
      </c>
      <c r="F48" s="514" t="s">
        <v>163</v>
      </c>
      <c r="G48" s="514" t="s">
        <v>163</v>
      </c>
      <c r="H48" s="514" t="s">
        <v>163</v>
      </c>
      <c r="I48" s="514" t="s">
        <v>163</v>
      </c>
      <c r="J48" s="514" t="s">
        <v>163</v>
      </c>
      <c r="L48" s="311"/>
      <c r="M48" s="469"/>
      <c r="N48" s="311"/>
    </row>
    <row r="49" spans="1:15" ht="14.25" x14ac:dyDescent="0.45">
      <c r="A49" s="312" t="s">
        <v>428</v>
      </c>
      <c r="B49" s="312"/>
      <c r="C49" s="512">
        <v>2.2675853187585693E-2</v>
      </c>
      <c r="D49" s="513">
        <v>1.7392938670509173E-2</v>
      </c>
      <c r="E49" s="512">
        <v>5.8444858245327858E-3</v>
      </c>
      <c r="F49" s="512">
        <v>1.3816272579449063E-2</v>
      </c>
      <c r="G49" s="512">
        <v>1.5942729226603669E-2</v>
      </c>
      <c r="H49" s="512">
        <v>1.7723776612699194E-2</v>
      </c>
      <c r="I49" s="512">
        <v>1.9481889923258722E-2</v>
      </c>
      <c r="J49" s="512">
        <v>2.0000000000000018E-2</v>
      </c>
      <c r="L49" s="311"/>
      <c r="M49" s="469"/>
      <c r="N49" s="311"/>
    </row>
    <row r="50" spans="1:15" ht="14.25" x14ac:dyDescent="0.45">
      <c r="A50" s="312" t="s">
        <v>163</v>
      </c>
      <c r="B50" s="312"/>
      <c r="C50" s="512">
        <v>2.2675853187585693E-2</v>
      </c>
      <c r="D50" s="513">
        <v>1.7392938670509173E-2</v>
      </c>
      <c r="E50" s="512">
        <v>5.8444858245327858E-3</v>
      </c>
      <c r="F50" s="512">
        <v>1.3816272579449063E-2</v>
      </c>
      <c r="G50" s="512">
        <v>1.5942729226603669E-2</v>
      </c>
      <c r="H50" s="512">
        <v>1.7723776612699194E-2</v>
      </c>
      <c r="I50" s="512">
        <v>1.9481889923258722E-2</v>
      </c>
      <c r="J50" s="512">
        <v>2.0000000000000018E-2</v>
      </c>
      <c r="L50" s="311"/>
      <c r="M50" s="469"/>
      <c r="N50" s="311"/>
    </row>
    <row r="51" spans="1:15" ht="14.25" x14ac:dyDescent="0.45">
      <c r="L51" s="311"/>
      <c r="M51" s="469"/>
      <c r="N51" s="311"/>
    </row>
    <row r="52" spans="1:15" s="311" customFormat="1" ht="18" x14ac:dyDescent="0.55000000000000004">
      <c r="A52" s="9" t="s">
        <v>429</v>
      </c>
      <c r="B52" s="13"/>
      <c r="C52" s="13"/>
      <c r="D52" s="13"/>
      <c r="E52" s="13"/>
      <c r="G52" s="13"/>
      <c r="H52" s="13"/>
      <c r="I52" s="13"/>
      <c r="J52" s="13"/>
      <c r="K52" s="13"/>
      <c r="M52" s="469"/>
    </row>
    <row r="53" spans="1:15" s="311" customFormat="1" ht="15.75" x14ac:dyDescent="0.45">
      <c r="A53" s="90"/>
      <c r="B53" s="13"/>
      <c r="C53" s="13"/>
      <c r="D53" s="13"/>
      <c r="E53" s="13"/>
      <c r="F53" s="92"/>
      <c r="G53" s="13"/>
      <c r="H53" s="13"/>
      <c r="I53" s="13"/>
      <c r="J53" s="13"/>
      <c r="K53" s="13"/>
      <c r="M53" s="469"/>
    </row>
    <row r="54" spans="1:15" ht="14.65" thickBot="1" x14ac:dyDescent="0.5">
      <c r="A54" s="312"/>
      <c r="D54" s="38" t="s">
        <v>37</v>
      </c>
      <c r="E54" s="38" t="s">
        <v>38</v>
      </c>
      <c r="F54" s="38" t="s">
        <v>45</v>
      </c>
      <c r="G54" s="38" t="s">
        <v>46</v>
      </c>
      <c r="H54" s="38" t="s">
        <v>47</v>
      </c>
      <c r="I54" s="38" t="s">
        <v>52</v>
      </c>
      <c r="J54" s="38" t="s">
        <v>51</v>
      </c>
      <c r="L54" s="312"/>
      <c r="M54" s="469"/>
      <c r="N54" s="311"/>
      <c r="O54" s="19"/>
    </row>
    <row r="55" spans="1:15" s="311" customFormat="1" ht="16.149999999999999" thickBot="1" x14ac:dyDescent="0.5">
      <c r="A55" s="90"/>
      <c r="B55" s="157" t="s">
        <v>430</v>
      </c>
      <c r="D55" s="567">
        <v>0</v>
      </c>
      <c r="E55" s="567">
        <v>298627.40535863023</v>
      </c>
      <c r="F55" s="567">
        <v>615421.55533793068</v>
      </c>
      <c r="G55" s="567">
        <v>877774.63793626521</v>
      </c>
      <c r="H55" s="567">
        <v>360528.80251407623</v>
      </c>
      <c r="I55" s="567">
        <v>414141.06013178825</v>
      </c>
      <c r="J55" s="566">
        <v>332186.26292943954</v>
      </c>
      <c r="K55" s="14"/>
      <c r="M55" s="469"/>
    </row>
    <row r="56" spans="1:15" s="311" customFormat="1" ht="15.75" x14ac:dyDescent="0.45">
      <c r="A56" s="90"/>
      <c r="K56" s="14"/>
      <c r="M56" s="469"/>
    </row>
    <row r="57" spans="1:15" ht="14.25" x14ac:dyDescent="0.45">
      <c r="A57" s="110" t="s">
        <v>39</v>
      </c>
      <c r="C57" s="19" t="s">
        <v>1</v>
      </c>
      <c r="D57" s="539">
        <v>67.741024753546881</v>
      </c>
      <c r="F57" s="312"/>
      <c r="G57" s="312"/>
      <c r="H57" s="312"/>
      <c r="I57" s="312"/>
      <c r="J57" s="312"/>
      <c r="K57" s="312"/>
      <c r="L57" s="312"/>
      <c r="M57" s="469"/>
      <c r="N57" s="311"/>
    </row>
    <row r="58" spans="1:15" ht="14.25" x14ac:dyDescent="0.45">
      <c r="A58" s="19"/>
      <c r="C58" s="19" t="s">
        <v>431</v>
      </c>
      <c r="D58" s="539">
        <v>16.663742113251359</v>
      </c>
      <c r="F58" s="312"/>
      <c r="G58" s="312"/>
      <c r="H58" s="312"/>
      <c r="I58" s="312"/>
      <c r="J58" s="312"/>
      <c r="K58" s="312"/>
      <c r="L58" s="312"/>
      <c r="M58" s="469"/>
      <c r="N58" s="311"/>
    </row>
    <row r="59" spans="1:15" ht="14.25" x14ac:dyDescent="0.45">
      <c r="A59" s="19"/>
      <c r="C59" s="312"/>
      <c r="D59" s="103"/>
      <c r="F59" s="312"/>
      <c r="G59" s="312"/>
      <c r="H59" s="312"/>
      <c r="I59" s="312"/>
      <c r="J59" s="312"/>
      <c r="K59" s="312"/>
      <c r="L59" s="312"/>
      <c r="M59" s="469"/>
      <c r="N59" s="311"/>
    </row>
    <row r="60" spans="1:15" ht="14.25" x14ac:dyDescent="0.45">
      <c r="A60" s="110" t="s">
        <v>404</v>
      </c>
      <c r="B60" s="19" t="s">
        <v>432</v>
      </c>
      <c r="C60" s="312" t="s">
        <v>433</v>
      </c>
      <c r="D60" s="514">
        <v>40</v>
      </c>
      <c r="E60" s="329" t="s">
        <v>291</v>
      </c>
      <c r="G60" s="312"/>
      <c r="H60" s="312"/>
      <c r="I60" s="312"/>
      <c r="J60" s="312"/>
      <c r="K60" s="312"/>
      <c r="L60" s="312"/>
      <c r="M60" s="469"/>
      <c r="N60" s="311"/>
    </row>
    <row r="61" spans="1:15" ht="14.25" x14ac:dyDescent="0.45">
      <c r="A61" s="312"/>
      <c r="B61" s="19" t="s">
        <v>434</v>
      </c>
      <c r="C61" s="312" t="s">
        <v>433</v>
      </c>
      <c r="D61" s="514">
        <v>40</v>
      </c>
      <c r="E61" s="329" t="s">
        <v>292</v>
      </c>
      <c r="G61" s="312"/>
      <c r="H61" s="312"/>
      <c r="I61" s="312"/>
      <c r="J61" s="312"/>
      <c r="K61" s="312"/>
      <c r="L61" s="312"/>
      <c r="M61" s="469"/>
      <c r="N61" s="311"/>
    </row>
    <row r="62" spans="1:15" ht="14.25" x14ac:dyDescent="0.45">
      <c r="M62" s="469"/>
      <c r="N62" s="311"/>
    </row>
    <row r="63" spans="1:15" ht="14.25" x14ac:dyDescent="0.45">
      <c r="M63" s="469"/>
      <c r="N63" s="311"/>
    </row>
    <row r="64" spans="1:15" ht="18" x14ac:dyDescent="0.55000000000000004">
      <c r="A64" s="9" t="s">
        <v>435</v>
      </c>
      <c r="B64" s="311"/>
      <c r="C64" s="322"/>
      <c r="D64" s="56"/>
      <c r="E64" s="311"/>
      <c r="F64" s="311"/>
      <c r="M64" s="469"/>
      <c r="N64" s="311"/>
    </row>
    <row r="65" spans="1:14" ht="14.25" x14ac:dyDescent="0.45">
      <c r="M65" s="469"/>
      <c r="N65" s="311"/>
    </row>
    <row r="66" spans="1:14" s="311" customFormat="1" ht="15.75" x14ac:dyDescent="0.5">
      <c r="A66" s="407" t="s">
        <v>436</v>
      </c>
      <c r="B66" s="312"/>
      <c r="C66" s="57"/>
      <c r="D66" s="468"/>
      <c r="E66" s="469"/>
      <c r="M66" s="469"/>
    </row>
    <row r="67" spans="1:14" s="311" customFormat="1" ht="14.25" x14ac:dyDescent="0.45">
      <c r="A67" s="87"/>
      <c r="B67" s="312"/>
      <c r="C67" s="312"/>
      <c r="D67" s="148"/>
      <c r="E67" s="329"/>
      <c r="M67" s="469"/>
    </row>
    <row r="68" spans="1:14" s="311" customFormat="1" ht="14.65" thickBot="1" x14ac:dyDescent="0.5">
      <c r="A68" s="87"/>
      <c r="B68" s="312"/>
      <c r="C68" s="312"/>
      <c r="D68" s="45" t="s">
        <v>37</v>
      </c>
      <c r="E68" s="45" t="s">
        <v>38</v>
      </c>
      <c r="F68" s="45" t="s">
        <v>45</v>
      </c>
      <c r="G68" s="45" t="s">
        <v>46</v>
      </c>
      <c r="H68" s="45" t="s">
        <v>47</v>
      </c>
      <c r="I68" s="45" t="s">
        <v>52</v>
      </c>
      <c r="J68" s="45" t="s">
        <v>51</v>
      </c>
      <c r="M68" s="469"/>
    </row>
    <row r="69" spans="1:14" s="311" customFormat="1" ht="14.65" thickBot="1" x14ac:dyDescent="0.5">
      <c r="B69" s="311" t="s">
        <v>437</v>
      </c>
      <c r="C69" s="312"/>
      <c r="D69" s="496">
        <v>4634482.7607225552</v>
      </c>
      <c r="E69" s="508">
        <f>D72</f>
        <v>4642807.7233462203</v>
      </c>
      <c r="F69" s="508">
        <f t="shared" ref="F69:J69" si="0">E72</f>
        <v>4683423.0413598875</v>
      </c>
      <c r="G69" s="508">
        <f t="shared" si="0"/>
        <v>4711358.0500950599</v>
      </c>
      <c r="H69" s="508">
        <f t="shared" si="0"/>
        <v>4750278.4474358587</v>
      </c>
      <c r="I69" s="508">
        <f t="shared" si="0"/>
        <v>4787659.6675358303</v>
      </c>
      <c r="J69" s="508">
        <f t="shared" si="0"/>
        <v>4819456.1674478455</v>
      </c>
      <c r="K69" s="329"/>
      <c r="M69" s="469"/>
    </row>
    <row r="70" spans="1:14" s="311" customFormat="1" ht="14.65" thickBot="1" x14ac:dyDescent="0.5">
      <c r="B70" s="311" t="s">
        <v>438</v>
      </c>
      <c r="C70" s="312"/>
      <c r="D70" s="497">
        <v>35623.152284032098</v>
      </c>
      <c r="E70" s="497">
        <v>92479.485090899354</v>
      </c>
      <c r="F70" s="497">
        <v>82875.217374273954</v>
      </c>
      <c r="G70" s="497">
        <v>90773.000462071606</v>
      </c>
      <c r="H70" s="497">
        <v>80449.87548061907</v>
      </c>
      <c r="I70" s="497">
        <v>63976.681429951313</v>
      </c>
      <c r="J70" s="496">
        <v>62360.678702565812</v>
      </c>
      <c r="K70" s="329"/>
      <c r="M70" s="469"/>
    </row>
    <row r="71" spans="1:14" s="311" customFormat="1" ht="14.65" thickBot="1" x14ac:dyDescent="0.5">
      <c r="B71" s="311" t="s">
        <v>439</v>
      </c>
      <c r="C71" s="312"/>
      <c r="D71" s="498">
        <v>-27298.189660366304</v>
      </c>
      <c r="E71" s="498">
        <v>-51864.167077231847</v>
      </c>
      <c r="F71" s="498">
        <v>-54940.208639101344</v>
      </c>
      <c r="G71" s="498">
        <v>-51852.603121273532</v>
      </c>
      <c r="H71" s="498">
        <v>-43068.655380647433</v>
      </c>
      <c r="I71" s="498">
        <v>-32180.181517936609</v>
      </c>
      <c r="J71" s="499">
        <v>-42732.625390470515</v>
      </c>
      <c r="K71" s="329"/>
      <c r="M71" s="469"/>
    </row>
    <row r="72" spans="1:14" s="311" customFormat="1" ht="14.25" x14ac:dyDescent="0.45">
      <c r="B72" s="311" t="s">
        <v>440</v>
      </c>
      <c r="C72" s="312"/>
      <c r="D72" s="508">
        <f>SUM(D69:D71)</f>
        <v>4642807.7233462203</v>
      </c>
      <c r="E72" s="508">
        <f t="shared" ref="E72:J72" si="1">SUM(E69:E71)</f>
        <v>4683423.0413598875</v>
      </c>
      <c r="F72" s="508">
        <f t="shared" si="1"/>
        <v>4711358.0500950599</v>
      </c>
      <c r="G72" s="508">
        <f t="shared" si="1"/>
        <v>4750278.4474358587</v>
      </c>
      <c r="H72" s="508">
        <f t="shared" si="1"/>
        <v>4787659.6675358303</v>
      </c>
      <c r="I72" s="508">
        <f t="shared" si="1"/>
        <v>4819456.1674478455</v>
      </c>
      <c r="J72" s="508">
        <f t="shared" si="1"/>
        <v>4839084.2207599403</v>
      </c>
      <c r="K72" s="329"/>
      <c r="M72" s="469"/>
    </row>
    <row r="73" spans="1:14" s="311" customFormat="1" ht="14.25" x14ac:dyDescent="0.45">
      <c r="C73" s="312"/>
      <c r="E73" s="399"/>
      <c r="F73" s="399"/>
      <c r="G73" s="399"/>
      <c r="H73" s="399"/>
      <c r="I73" s="399"/>
      <c r="J73" s="399"/>
      <c r="K73" s="329"/>
      <c r="M73" s="469"/>
    </row>
    <row r="74" spans="1:14" s="311" customFormat="1" ht="14.65" thickBot="1" x14ac:dyDescent="0.5">
      <c r="B74" s="311" t="s">
        <v>441</v>
      </c>
      <c r="C74" s="312"/>
      <c r="E74" s="399"/>
      <c r="F74" s="399"/>
      <c r="G74" s="399"/>
      <c r="H74" s="399"/>
      <c r="I74" s="399"/>
      <c r="J74" s="399"/>
      <c r="K74" s="329"/>
      <c r="M74" s="469"/>
    </row>
    <row r="75" spans="1:14" s="311" customFormat="1" ht="14.65" thickBot="1" x14ac:dyDescent="0.5">
      <c r="B75" s="311" t="s">
        <v>349</v>
      </c>
      <c r="C75" s="312"/>
      <c r="D75" s="497">
        <v>21608.420126079764</v>
      </c>
      <c r="E75" s="497">
        <v>52614.710510936966</v>
      </c>
      <c r="F75" s="497">
        <v>56982.050775700838</v>
      </c>
      <c r="G75" s="497">
        <v>60890.492286746136</v>
      </c>
      <c r="H75" s="497">
        <v>48645.362093575575</v>
      </c>
      <c r="I75" s="497">
        <v>40003.857480282801</v>
      </c>
      <c r="J75" s="496">
        <v>36324.107737450409</v>
      </c>
      <c r="K75" s="329"/>
      <c r="M75" s="469"/>
    </row>
    <row r="76" spans="1:14" s="311" customFormat="1" ht="14.65" thickBot="1" x14ac:dyDescent="0.5">
      <c r="B76" s="311" t="s">
        <v>350</v>
      </c>
      <c r="C76" s="312"/>
      <c r="D76" s="497">
        <v>12249.124868627185</v>
      </c>
      <c r="E76" s="497">
        <v>12281.965303927136</v>
      </c>
      <c r="F76" s="497">
        <v>13225.624771590561</v>
      </c>
      <c r="G76" s="497">
        <v>18330.920768420721</v>
      </c>
      <c r="H76" s="497">
        <v>16969.902698202288</v>
      </c>
      <c r="I76" s="497">
        <v>15608.690303546273</v>
      </c>
      <c r="J76" s="496">
        <v>14810.434060171896</v>
      </c>
      <c r="K76" s="329"/>
      <c r="M76" s="469"/>
    </row>
    <row r="77" spans="1:14" s="311" customFormat="1" ht="14.65" thickBot="1" x14ac:dyDescent="0.5">
      <c r="B77" s="311" t="s">
        <v>351</v>
      </c>
      <c r="C77" s="312"/>
      <c r="D77" s="497">
        <v>786.02507842258126</v>
      </c>
      <c r="E77" s="497">
        <v>1845.9472965672178</v>
      </c>
      <c r="F77" s="497">
        <v>2735.4856629609135</v>
      </c>
      <c r="G77" s="497">
        <v>3592.1156906754904</v>
      </c>
      <c r="H77" s="497">
        <v>3753.3498321622874</v>
      </c>
      <c r="I77" s="497">
        <v>4344.6981786286224</v>
      </c>
      <c r="J77" s="496">
        <v>3078.7181292215196</v>
      </c>
      <c r="K77" s="329"/>
      <c r="M77" s="469"/>
    </row>
    <row r="78" spans="1:14" s="311" customFormat="1" ht="14.65" thickBot="1" x14ac:dyDescent="0.5">
      <c r="B78" s="311" t="s">
        <v>352</v>
      </c>
      <c r="C78" s="312"/>
      <c r="D78" s="498">
        <v>1336.6105556957962</v>
      </c>
      <c r="E78" s="498">
        <v>1396.8501035686402</v>
      </c>
      <c r="F78" s="498">
        <v>1377.2412710607093</v>
      </c>
      <c r="G78" s="498">
        <v>1381.3742873017138</v>
      </c>
      <c r="H78" s="498">
        <v>1115.523774334838</v>
      </c>
      <c r="I78" s="498">
        <v>927.74146572050154</v>
      </c>
      <c r="J78" s="499">
        <v>1141.9746969892624</v>
      </c>
      <c r="K78" s="329"/>
      <c r="M78" s="469"/>
    </row>
    <row r="79" spans="1:14" s="311" customFormat="1" ht="14.25" x14ac:dyDescent="0.45">
      <c r="C79" s="312"/>
      <c r="D79" s="400"/>
      <c r="E79" s="400"/>
      <c r="F79" s="400"/>
      <c r="G79" s="400"/>
      <c r="H79" s="400"/>
      <c r="I79" s="400"/>
      <c r="J79" s="400"/>
      <c r="K79" s="329"/>
      <c r="M79" s="469"/>
    </row>
    <row r="80" spans="1:14" s="311" customFormat="1" ht="14.25" x14ac:dyDescent="0.45">
      <c r="A80" s="312"/>
      <c r="B80" s="312"/>
      <c r="C80" s="312"/>
      <c r="D80" s="385"/>
      <c r="E80" s="329"/>
      <c r="M80" s="469"/>
    </row>
    <row r="81" spans="1:14" ht="14.25" customHeight="1" thickBot="1" x14ac:dyDescent="0.55000000000000004">
      <c r="A81" s="407" t="s">
        <v>315</v>
      </c>
      <c r="D81" s="45" t="s">
        <v>37</v>
      </c>
      <c r="E81" s="45" t="s">
        <v>38</v>
      </c>
      <c r="F81" s="45" t="s">
        <v>45</v>
      </c>
      <c r="G81" s="45" t="s">
        <v>46</v>
      </c>
      <c r="H81" s="45" t="s">
        <v>47</v>
      </c>
      <c r="I81" s="45" t="s">
        <v>52</v>
      </c>
      <c r="M81" s="469"/>
      <c r="N81" s="311"/>
    </row>
    <row r="82" spans="1:14" ht="14.65" thickBot="1" x14ac:dyDescent="0.5">
      <c r="C82" s="14" t="s">
        <v>442</v>
      </c>
      <c r="D82" s="480">
        <v>18.556245333709715</v>
      </c>
      <c r="E82" s="480">
        <v>23.729451061403751</v>
      </c>
      <c r="F82" s="480">
        <v>20.204495175981524</v>
      </c>
      <c r="G82" s="480">
        <v>17.647364355146884</v>
      </c>
      <c r="H82" s="480">
        <v>22.423618642044069</v>
      </c>
      <c r="I82" s="480">
        <v>20.144619702296254</v>
      </c>
      <c r="M82" s="469"/>
      <c r="N82" s="311"/>
    </row>
    <row r="83" spans="1:14" ht="14.65" thickBot="1" x14ac:dyDescent="0.5">
      <c r="C83" s="14" t="s">
        <v>443</v>
      </c>
      <c r="D83" s="481">
        <v>0.86438912399291989</v>
      </c>
      <c r="E83" s="481">
        <v>0.99867839597940444</v>
      </c>
      <c r="F83" s="481">
        <v>0.84774926261901851</v>
      </c>
      <c r="G83" s="481">
        <v>0.98251742528200148</v>
      </c>
      <c r="H83" s="481">
        <v>1.0337123430776596</v>
      </c>
      <c r="I83" s="481">
        <v>1.1178186077570915</v>
      </c>
      <c r="M83" s="469"/>
      <c r="N83" s="311"/>
    </row>
    <row r="84" spans="1:14" ht="14.25" x14ac:dyDescent="0.45">
      <c r="M84" s="469"/>
      <c r="N84" s="311"/>
    </row>
    <row r="85" spans="1:14" ht="14.25" x14ac:dyDescent="0.45">
      <c r="M85" s="469"/>
      <c r="N85" s="311"/>
    </row>
    <row r="86" spans="1:14" ht="18" x14ac:dyDescent="0.55000000000000004">
      <c r="A86" s="408" t="s">
        <v>164</v>
      </c>
      <c r="C86" s="312"/>
      <c r="D86" s="470"/>
      <c r="E86" s="329"/>
      <c r="M86" s="469"/>
      <c r="N86" s="311"/>
    </row>
    <row r="87" spans="1:14" ht="14.25" x14ac:dyDescent="0.45">
      <c r="M87" s="469"/>
      <c r="N87" s="311"/>
    </row>
    <row r="88" spans="1:14" ht="14.65" thickBot="1" x14ac:dyDescent="0.5">
      <c r="B88" s="409" t="s">
        <v>444</v>
      </c>
      <c r="D88" s="45" t="s">
        <v>37</v>
      </c>
      <c r="E88" s="45" t="s">
        <v>38</v>
      </c>
      <c r="F88" s="45" t="s">
        <v>45</v>
      </c>
      <c r="G88" s="45" t="s">
        <v>46</v>
      </c>
      <c r="H88" s="45" t="s">
        <v>47</v>
      </c>
      <c r="I88" s="45" t="s">
        <v>52</v>
      </c>
      <c r="J88" s="45" t="s">
        <v>51</v>
      </c>
      <c r="M88" s="469"/>
      <c r="N88" s="311"/>
    </row>
    <row r="89" spans="1:14" ht="14.65" thickBot="1" x14ac:dyDescent="0.5">
      <c r="A89" s="312"/>
      <c r="B89" s="312" t="s">
        <v>445</v>
      </c>
      <c r="C89" s="312"/>
      <c r="D89" s="484">
        <v>5.9631783917142777E-3</v>
      </c>
      <c r="E89" s="484">
        <v>7.0673707177404356E-3</v>
      </c>
      <c r="F89" s="484">
        <v>8.9887908141565442E-3</v>
      </c>
      <c r="G89" s="484">
        <v>1.1094357169042796E-2</v>
      </c>
      <c r="H89" s="484">
        <v>1.3577766415786311E-2</v>
      </c>
      <c r="I89" s="484">
        <v>1.3673573978262245E-2</v>
      </c>
      <c r="J89" s="484">
        <v>1.0452639533521161E-2</v>
      </c>
      <c r="M89" s="469"/>
      <c r="N89" s="311"/>
    </row>
    <row r="90" spans="1:14" ht="14.65" thickBot="1" x14ac:dyDescent="0.5">
      <c r="A90" s="312"/>
      <c r="B90" s="312" t="s">
        <v>446</v>
      </c>
      <c r="C90" s="312"/>
      <c r="D90" s="484">
        <v>1.0771772596963425E-3</v>
      </c>
      <c r="E90" s="484">
        <v>6.7157045609570539E-4</v>
      </c>
      <c r="F90" s="484">
        <v>4.6562809934973281E-4</v>
      </c>
      <c r="G90" s="484">
        <v>6.0552988346721415E-4</v>
      </c>
      <c r="H90" s="484">
        <v>5.1949895295429259E-4</v>
      </c>
      <c r="I90" s="484">
        <v>7.4235025796371118E-4</v>
      </c>
      <c r="J90" s="484">
        <v>6.6221307997256832E-4</v>
      </c>
      <c r="M90" s="469"/>
      <c r="N90" s="311"/>
    </row>
    <row r="91" spans="1:14" ht="14.65" thickBot="1" x14ac:dyDescent="0.5">
      <c r="A91" s="312"/>
      <c r="B91" s="312" t="s">
        <v>447</v>
      </c>
      <c r="C91" s="312"/>
      <c r="D91" s="484">
        <v>3.1734852702114326E-4</v>
      </c>
      <c r="E91" s="484">
        <v>1.4196060579061624E-4</v>
      </c>
      <c r="F91" s="484">
        <v>6.0908333920755616E-5</v>
      </c>
      <c r="G91" s="484">
        <v>4.6627138762570071E-5</v>
      </c>
      <c r="H91" s="484">
        <v>6.057398180780074E-5</v>
      </c>
      <c r="I91" s="484">
        <v>4.5526773249468928E-5</v>
      </c>
      <c r="J91" s="484">
        <v>3.9411687433870793E-5</v>
      </c>
      <c r="M91" s="469"/>
      <c r="N91" s="311"/>
    </row>
    <row r="92" spans="1:14" ht="14.65" thickBot="1" x14ac:dyDescent="0.5">
      <c r="A92" s="312"/>
      <c r="B92" s="312" t="s">
        <v>13</v>
      </c>
      <c r="C92" s="312"/>
      <c r="D92" s="484">
        <v>3.1148510945960784E-4</v>
      </c>
      <c r="E92" s="484">
        <v>1.6020280199797933E-4</v>
      </c>
      <c r="F92" s="484">
        <v>1.6177969252714924E-5</v>
      </c>
      <c r="G92" s="484">
        <v>4.3610942612290574E-5</v>
      </c>
      <c r="H92" s="484">
        <v>5.1742297077386034E-5</v>
      </c>
      <c r="I92" s="484">
        <v>4.5967455223580527E-5</v>
      </c>
      <c r="J92" s="484">
        <v>4.533348564706064E-5</v>
      </c>
      <c r="M92" s="469"/>
      <c r="N92" s="311"/>
    </row>
    <row r="93" spans="1:14" ht="14.65" thickBot="1" x14ac:dyDescent="0.5">
      <c r="A93" s="312"/>
      <c r="B93" s="312" t="s">
        <v>12</v>
      </c>
      <c r="C93" s="312"/>
      <c r="D93" s="507">
        <v>3.4871824087135844E-3</v>
      </c>
      <c r="E93" s="507">
        <v>3.2715520747897426E-3</v>
      </c>
      <c r="F93" s="507">
        <v>5.739327991094288E-3</v>
      </c>
      <c r="G93" s="507">
        <v>7.3560474426451533E-3</v>
      </c>
      <c r="H93" s="507">
        <v>7.8816594830651201E-3</v>
      </c>
      <c r="I93" s="507">
        <v>9.1867993506837154E-3</v>
      </c>
      <c r="J93" s="507">
        <v>7.896865639677883E-3</v>
      </c>
      <c r="M93" s="469"/>
      <c r="N93" s="311"/>
    </row>
    <row r="94" spans="1:14" ht="14.25" x14ac:dyDescent="0.45">
      <c r="A94" s="312"/>
      <c r="B94" s="312"/>
      <c r="C94" s="312"/>
      <c r="D94" s="148"/>
      <c r="E94" s="329"/>
      <c r="F94" s="311"/>
      <c r="G94" s="311"/>
      <c r="H94" s="311"/>
      <c r="I94" s="311"/>
      <c r="J94" s="311"/>
      <c r="M94" s="469"/>
      <c r="N94" s="311"/>
    </row>
    <row r="95" spans="1:14" ht="14.65" thickBot="1" x14ac:dyDescent="0.5">
      <c r="A95" s="312"/>
      <c r="B95" s="409" t="s">
        <v>448</v>
      </c>
      <c r="C95" s="312"/>
      <c r="D95" s="148"/>
      <c r="E95" s="329"/>
      <c r="F95" s="311"/>
      <c r="G95" s="311"/>
      <c r="H95" s="311"/>
      <c r="I95" s="311"/>
      <c r="J95" s="311"/>
      <c r="M95" s="469"/>
      <c r="N95" s="311"/>
    </row>
    <row r="96" spans="1:14" ht="14.65" thickBot="1" x14ac:dyDescent="0.5">
      <c r="A96" s="312"/>
      <c r="B96" s="312" t="s">
        <v>449</v>
      </c>
      <c r="C96" s="312"/>
      <c r="D96" s="481">
        <v>266.1499255346489</v>
      </c>
      <c r="E96" s="481">
        <v>205.21709069788457</v>
      </c>
      <c r="F96" s="481">
        <v>299.70603862180951</v>
      </c>
      <c r="G96" s="481">
        <v>389.33224862806321</v>
      </c>
      <c r="H96" s="481">
        <v>328.61167468427897</v>
      </c>
      <c r="I96" s="481">
        <v>398.93378119186877</v>
      </c>
      <c r="J96" s="481">
        <v>465.18212409050705</v>
      </c>
      <c r="M96" s="469"/>
      <c r="N96" s="311"/>
    </row>
    <row r="97" spans="1:14" ht="14.25" x14ac:dyDescent="0.45">
      <c r="A97" s="312"/>
      <c r="B97" s="312"/>
      <c r="C97" s="312"/>
      <c r="D97" s="148"/>
      <c r="E97" s="329"/>
      <c r="F97" s="311"/>
      <c r="G97" s="311"/>
      <c r="H97" s="311"/>
      <c r="I97" s="311"/>
      <c r="J97" s="311"/>
      <c r="N97" s="311"/>
    </row>
    <row r="98" spans="1:14" ht="14.25" x14ac:dyDescent="0.45">
      <c r="N98" s="311"/>
    </row>
    <row r="99" spans="1:14" ht="14.25" x14ac:dyDescent="0.45">
      <c r="N99" s="311"/>
    </row>
    <row r="100" spans="1:14" x14ac:dyDescent="0.4">
      <c r="M100" s="469"/>
    </row>
    <row r="101" spans="1:14" x14ac:dyDescent="0.4">
      <c r="M101" s="469"/>
    </row>
    <row r="102" spans="1:14" x14ac:dyDescent="0.4">
      <c r="M102" s="469"/>
    </row>
    <row r="103" spans="1:14" x14ac:dyDescent="0.4">
      <c r="M103" s="469"/>
    </row>
    <row r="104" spans="1:14" x14ac:dyDescent="0.4">
      <c r="M104" s="469"/>
    </row>
    <row r="105" spans="1:14" x14ac:dyDescent="0.4">
      <c r="M105" s="469"/>
    </row>
    <row r="106" spans="1:14" x14ac:dyDescent="0.4">
      <c r="M106" s="469"/>
    </row>
    <row r="107" spans="1:14" x14ac:dyDescent="0.4">
      <c r="M107" s="469"/>
    </row>
    <row r="108" spans="1:14" x14ac:dyDescent="0.4">
      <c r="M108" s="469"/>
    </row>
    <row r="109" spans="1:14" x14ac:dyDescent="0.4">
      <c r="M109" s="469"/>
    </row>
    <row r="110" spans="1:14" x14ac:dyDescent="0.4">
      <c r="M110" s="469"/>
    </row>
    <row r="111" spans="1:14" x14ac:dyDescent="0.4">
      <c r="M111" s="469"/>
    </row>
    <row r="112" spans="1:14" x14ac:dyDescent="0.4">
      <c r="M112" s="469"/>
    </row>
    <row r="113" spans="13:13" x14ac:dyDescent="0.4">
      <c r="M113" s="469"/>
    </row>
    <row r="114" spans="13:13" x14ac:dyDescent="0.4">
      <c r="M114" s="469"/>
    </row>
    <row r="115" spans="13:13" x14ac:dyDescent="0.4">
      <c r="M115" s="469"/>
    </row>
    <row r="116" spans="13:13" x14ac:dyDescent="0.4">
      <c r="M116" s="469"/>
    </row>
    <row r="117" spans="13:13" x14ac:dyDescent="0.4">
      <c r="M117" s="469"/>
    </row>
    <row r="118" spans="13:13" x14ac:dyDescent="0.4">
      <c r="M118" s="469"/>
    </row>
    <row r="119" spans="13:13" x14ac:dyDescent="0.4">
      <c r="M119" s="469"/>
    </row>
    <row r="120" spans="13:13" x14ac:dyDescent="0.4">
      <c r="M120" s="469"/>
    </row>
    <row r="121" spans="13:13" x14ac:dyDescent="0.4">
      <c r="M121" s="469"/>
    </row>
    <row r="122" spans="13:13" x14ac:dyDescent="0.4">
      <c r="M122" s="469"/>
    </row>
    <row r="123" spans="13:13" x14ac:dyDescent="0.4">
      <c r="M123" s="469"/>
    </row>
    <row r="124" spans="13:13" x14ac:dyDescent="0.4">
      <c r="M124" s="469"/>
    </row>
    <row r="125" spans="13:13" x14ac:dyDescent="0.4">
      <c r="M125" s="469"/>
    </row>
    <row r="126" spans="13:13" x14ac:dyDescent="0.4">
      <c r="M126" s="469"/>
    </row>
    <row r="127" spans="13:13" x14ac:dyDescent="0.4">
      <c r="M127" s="469"/>
    </row>
    <row r="128" spans="13:13" x14ac:dyDescent="0.4">
      <c r="M128" s="469"/>
    </row>
    <row r="129" spans="13:13" x14ac:dyDescent="0.4">
      <c r="M129" s="469"/>
    </row>
    <row r="130" spans="13:13" x14ac:dyDescent="0.4">
      <c r="M130" s="469"/>
    </row>
    <row r="131" spans="13:13" x14ac:dyDescent="0.4">
      <c r="M131" s="469"/>
    </row>
    <row r="132" spans="13:13" x14ac:dyDescent="0.4">
      <c r="M132" s="469"/>
    </row>
    <row r="133" spans="13:13" x14ac:dyDescent="0.4">
      <c r="M133" s="469"/>
    </row>
    <row r="134" spans="13:13" x14ac:dyDescent="0.4">
      <c r="M134" s="469"/>
    </row>
    <row r="135" spans="13:13" x14ac:dyDescent="0.4">
      <c r="M135" s="469"/>
    </row>
    <row r="136" spans="13:13" x14ac:dyDescent="0.4">
      <c r="M136" s="469"/>
    </row>
    <row r="137" spans="13:13" x14ac:dyDescent="0.4">
      <c r="M137" s="469"/>
    </row>
    <row r="138" spans="13:13" x14ac:dyDescent="0.4">
      <c r="M138" s="469"/>
    </row>
    <row r="139" spans="13:13" x14ac:dyDescent="0.4">
      <c r="M139" s="469"/>
    </row>
    <row r="140" spans="13:13" x14ac:dyDescent="0.4">
      <c r="M140" s="469"/>
    </row>
    <row r="141" spans="13:13" x14ac:dyDescent="0.4">
      <c r="M141" s="469"/>
    </row>
    <row r="142" spans="13:13" x14ac:dyDescent="0.4">
      <c r="M142" s="469"/>
    </row>
    <row r="143" spans="13:13" x14ac:dyDescent="0.4">
      <c r="M143" s="469"/>
    </row>
    <row r="144" spans="13:13" x14ac:dyDescent="0.4">
      <c r="M144" s="469"/>
    </row>
    <row r="145" spans="13:13" x14ac:dyDescent="0.4">
      <c r="M145" s="469"/>
    </row>
    <row r="146" spans="13:13" x14ac:dyDescent="0.4">
      <c r="M146" s="469"/>
    </row>
    <row r="147" spans="13:13" x14ac:dyDescent="0.4">
      <c r="M147" s="469"/>
    </row>
    <row r="148" spans="13:13" x14ac:dyDescent="0.4">
      <c r="M148" s="469"/>
    </row>
    <row r="149" spans="13:13" x14ac:dyDescent="0.4">
      <c r="M149" s="469"/>
    </row>
    <row r="150" spans="13:13" x14ac:dyDescent="0.4">
      <c r="M150" s="469"/>
    </row>
    <row r="151" spans="13:13" x14ac:dyDescent="0.4">
      <c r="M151" s="469"/>
    </row>
    <row r="152" spans="13:13" x14ac:dyDescent="0.4">
      <c r="M152" s="469"/>
    </row>
    <row r="153" spans="13:13" x14ac:dyDescent="0.4">
      <c r="M153" s="469"/>
    </row>
    <row r="154" spans="13:13" x14ac:dyDescent="0.4">
      <c r="M154" s="469"/>
    </row>
  </sheetData>
  <phoneticPr fontId="56" type="noConversion"/>
  <pageMargins left="0.19685039370078741" right="0.19685039370078741" top="0.39370078740157483" bottom="0.39370078740157483" header="0.19685039370078741" footer="0.19685039370078741"/>
  <pageSetup paperSize="9" scale="65" orientation="landscape" r:id="rId1"/>
  <headerFooter>
    <oddHeader>&amp;CPrinted: &amp;D &amp;T&amp;RPage &amp;P of &amp;N&amp;L&amp;"Calibri"&amp;12&amp;K000000Classification: HIGHLY SENSITIVE&amp;1#_x000D_&amp;"Calibri"&amp;11&amp;K000000File: &amp;F Sheet: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F121-8B0A-4CF9-BFDD-E559B17A4759}">
  <sheetPr codeName="Sheet7">
    <tabColor rgb="FF7030A0"/>
  </sheetPr>
  <dimension ref="A1"/>
  <sheetViews>
    <sheetView workbookViewId="0"/>
  </sheetViews>
  <sheetFormatPr defaultRowHeight="14.25" x14ac:dyDescent="0.45"/>
  <sheetData/>
  <pageMargins left="0.7" right="0.7" top="0.75" bottom="0.75" header="0.3" footer="0.3"/>
  <pageSetup paperSize="9" orientation="portrait" r:id="rId1"/>
  <headerFooter>
    <oddHeader>&amp;L&amp;"Calibri"&amp;12&amp;K000000Classification: HIGHLY SENSITIVE&amp;1#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C260-1ED3-4CDD-98EC-0AE09AF4C3A5}">
  <sheetPr codeName="Sheet8">
    <tabColor theme="0"/>
    <pageSetUpPr autoPageBreaks="0" fitToPage="1"/>
  </sheetPr>
  <dimension ref="A1:R36"/>
  <sheetViews>
    <sheetView defaultGridColor="0" colorId="22" zoomScale="90" zoomScaleNormal="90" workbookViewId="0">
      <pane ySplit="1" topLeftCell="A2" activePane="bottomLeft" state="frozen"/>
      <selection activeCell="G13" sqref="G13"/>
      <selection pane="bottomLeft" activeCell="K23" sqref="E22:K23"/>
    </sheetView>
  </sheetViews>
  <sheetFormatPr defaultColWidth="0" defaultRowHeight="0" customHeight="1" zeroHeight="1" x14ac:dyDescent="0.45"/>
  <cols>
    <col min="1" max="1" width="4" style="13" customWidth="1"/>
    <col min="2" max="2" width="28" style="13" bestFit="1" customWidth="1"/>
    <col min="3" max="3" width="3" style="13" customWidth="1"/>
    <col min="4" max="4" width="11.3984375" style="13" customWidth="1"/>
    <col min="5" max="12" width="12" style="13" customWidth="1"/>
    <col min="13" max="13" width="11.3984375" style="13" customWidth="1"/>
    <col min="14" max="14" width="40.59765625" style="13" customWidth="1"/>
    <col min="15" max="18" width="0" style="13" hidden="1" customWidth="1"/>
    <col min="19" max="16384" width="11.3984375" style="13" hidden="1"/>
  </cols>
  <sheetData>
    <row r="1" spans="1:14" s="15" customFormat="1" ht="24.6" customHeight="1" x14ac:dyDescent="0.45">
      <c r="A1" s="17" t="s">
        <v>31</v>
      </c>
      <c r="E1" s="15" t="s">
        <v>215</v>
      </c>
      <c r="G1" s="16"/>
      <c r="H1" s="16"/>
      <c r="I1" s="16"/>
      <c r="J1" s="16"/>
      <c r="K1" s="16"/>
      <c r="L1" s="16"/>
      <c r="M1" s="16"/>
    </row>
    <row r="2" spans="1:14" ht="11.65" x14ac:dyDescent="0.45"/>
    <row r="3" spans="1:14" ht="13.15" x14ac:dyDescent="0.45">
      <c r="E3" s="38" t="s">
        <v>37</v>
      </c>
      <c r="F3" s="38" t="s">
        <v>38</v>
      </c>
      <c r="G3" s="38" t="s">
        <v>45</v>
      </c>
      <c r="H3" s="38" t="s">
        <v>46</v>
      </c>
      <c r="I3" s="38" t="s">
        <v>47</v>
      </c>
      <c r="J3" s="38" t="s">
        <v>52</v>
      </c>
      <c r="K3" s="38" t="s">
        <v>51</v>
      </c>
      <c r="M3" s="21"/>
      <c r="N3" s="19"/>
    </row>
    <row r="4" spans="1:14" ht="13.15" x14ac:dyDescent="0.4">
      <c r="B4" s="19" t="str">
        <f>'Parameters and Assumptions'!A46</f>
        <v>PIA Asset Inflation  - measure</v>
      </c>
      <c r="C4" s="19"/>
      <c r="D4" s="19"/>
      <c r="E4" s="285" t="str">
        <f>INDEX('Parameters and Assumptions'!$A$45:$J$50,MATCH($B4,'Parameters and Assumptions'!$A$45:$A$50,0),MATCH(E$3,'Parameters and Assumptions'!$A$45:$J$45,0))</f>
        <v>RPI</v>
      </c>
      <c r="F4" s="285" t="str">
        <f>INDEX('Parameters and Assumptions'!$A$45:$J$50,MATCH($B4,'Parameters and Assumptions'!$A$45:$A$50,0),MATCH(F$3,'Parameters and Assumptions'!$A$45:$J$45,0))</f>
        <v>RPI</v>
      </c>
      <c r="G4" s="285" t="str">
        <f>INDEX('Parameters and Assumptions'!$A$45:$J$50,MATCH($B4,'Parameters and Assumptions'!$A$45:$A$50,0),MATCH(G$3,'Parameters and Assumptions'!$A$45:$J$45,0))</f>
        <v>RPI</v>
      </c>
      <c r="H4" s="285" t="str">
        <f>INDEX('Parameters and Assumptions'!$A$45:$J$50,MATCH($B4,'Parameters and Assumptions'!$A$45:$A$50,0),MATCH(H$3,'Parameters and Assumptions'!$A$45:$J$45,0))</f>
        <v>RPI</v>
      </c>
      <c r="I4" s="285" t="str">
        <f>INDEX('Parameters and Assumptions'!$A$45:$J$50,MATCH($B4,'Parameters and Assumptions'!$A$45:$A$50,0),MATCH(I$3,'Parameters and Assumptions'!$A$45:$J$45,0))</f>
        <v>RPI</v>
      </c>
      <c r="J4" s="285" t="str">
        <f>INDEX('Parameters and Assumptions'!$A$45:$J$50,MATCH($B4,'Parameters and Assumptions'!$A$45:$A$50,0),MATCH(J$3,'Parameters and Assumptions'!$A$45:$J$45,0))</f>
        <v>RPI</v>
      </c>
      <c r="K4" s="285" t="str">
        <f>INDEX('Parameters and Assumptions'!$A$45:$J$50,MATCH($B4,'Parameters and Assumptions'!$A$45:$A$50,0),MATCH(K$3,'Parameters and Assumptions'!$A$45:$J$45,0))</f>
        <v>RPI</v>
      </c>
      <c r="M4" s="21"/>
      <c r="N4" s="19"/>
    </row>
    <row r="5" spans="1:14" ht="13.15" x14ac:dyDescent="0.4">
      <c r="B5" s="19" t="str">
        <f>'Parameters and Assumptions'!A47</f>
        <v>PIA Asset Inflation value</v>
      </c>
      <c r="C5" s="19"/>
      <c r="D5" s="19"/>
      <c r="E5" s="388">
        <f>INDEX('Parameters and Assumptions'!$A$45:$J$50,MATCH($B5,'Parameters and Assumptions'!$A$45:$A$50,0),MATCH(E$3,'Parameters and Assumptions'!$A$45:$J$45,0))</f>
        <v>2.5884636593194843E-2</v>
      </c>
      <c r="F5" s="388">
        <f>INDEX('Parameters and Assumptions'!$A$45:$J$50,MATCH($B5,'Parameters and Assumptions'!$A$45:$A$50,0),MATCH(F$3,'Parameters and Assumptions'!$A$45:$J$45,0))</f>
        <v>1.1073457872565307E-2</v>
      </c>
      <c r="G5" s="388">
        <f>INDEX('Parameters and Assumptions'!$A$45:$J$50,MATCH($B5,'Parameters and Assumptions'!$A$45:$A$50,0),MATCH(G$3,'Parameters and Assumptions'!$A$45:$J$45,0))</f>
        <v>1.3661503705174605E-2</v>
      </c>
      <c r="H5" s="388">
        <f>INDEX('Parameters and Assumptions'!$A$45:$J$50,MATCH($B5,'Parameters and Assumptions'!$A$45:$A$50,0),MATCH(H$3,'Parameters and Assumptions'!$A$45:$J$45,0))</f>
        <v>1.8241004518661841E-2</v>
      </c>
      <c r="I5" s="388">
        <f>INDEX('Parameters and Assumptions'!$A$45:$J$50,MATCH($B5,'Parameters and Assumptions'!$A$45:$A$50,0),MATCH(I$3,'Parameters and Assumptions'!$A$45:$J$45,0))</f>
        <v>2.7241532208208463E-2</v>
      </c>
      <c r="J5" s="388">
        <f>INDEX('Parameters and Assumptions'!$A$45:$J$50,MATCH($B5,'Parameters and Assumptions'!$A$45:$A$50,0),MATCH(J$3,'Parameters and Assumptions'!$A$45:$J$45,0))</f>
        <v>3.0231103283176353E-2</v>
      </c>
      <c r="K5" s="388">
        <f>INDEX('Parameters and Assumptions'!$A$45:$J$50,MATCH($B5,'Parameters and Assumptions'!$A$45:$A$50,0),MATCH(K$3,'Parameters and Assumptions'!$A$45:$J$45,0))</f>
        <v>2.9722096204275905E-2</v>
      </c>
      <c r="M5" s="21"/>
      <c r="N5" s="19"/>
    </row>
    <row r="6" spans="1:14" ht="13.15" x14ac:dyDescent="0.45">
      <c r="B6" s="19"/>
      <c r="C6" s="19"/>
      <c r="D6" s="19"/>
      <c r="E6" s="516"/>
      <c r="F6" s="516"/>
      <c r="G6" s="516"/>
      <c r="H6" s="516"/>
      <c r="I6" s="516"/>
      <c r="J6" s="516"/>
      <c r="K6" s="516"/>
      <c r="M6" s="21"/>
      <c r="N6" s="19"/>
    </row>
    <row r="7" spans="1:14" ht="13.15" x14ac:dyDescent="0.45">
      <c r="B7" s="19" t="s">
        <v>39</v>
      </c>
      <c r="C7" s="19"/>
      <c r="E7" s="130">
        <f>'Parameters and Assumptions'!D57</f>
        <v>67.741024753546881</v>
      </c>
      <c r="F7" s="130">
        <f t="shared" ref="F7:K8" si="0">E7*(1+F$5)</f>
        <v>68.491152137399681</v>
      </c>
      <c r="G7" s="130">
        <f t="shared" si="0"/>
        <v>69.426844266096438</v>
      </c>
      <c r="H7" s="130">
        <f t="shared" si="0"/>
        <v>70.693259646070729</v>
      </c>
      <c r="I7" s="130">
        <f t="shared" si="0"/>
        <v>72.619052355622415</v>
      </c>
      <c r="J7" s="130">
        <f t="shared" si="0"/>
        <v>74.814406427711631</v>
      </c>
      <c r="K7" s="130">
        <f t="shared" si="0"/>
        <v>77.038047413021872</v>
      </c>
      <c r="M7" s="21"/>
      <c r="N7" s="19"/>
    </row>
    <row r="8" spans="1:14" ht="13.15" x14ac:dyDescent="0.45">
      <c r="B8" s="19" t="s">
        <v>49</v>
      </c>
      <c r="C8" s="19"/>
      <c r="E8" s="130">
        <f>'Parameters and Assumptions'!D58</f>
        <v>16.663742113251359</v>
      </c>
      <c r="F8" s="130">
        <f t="shared" si="0"/>
        <v>16.84826735954174</v>
      </c>
      <c r="G8" s="130">
        <f t="shared" si="0"/>
        <v>17.078440026499891</v>
      </c>
      <c r="H8" s="130">
        <f t="shared" si="0"/>
        <v>17.38996792819497</v>
      </c>
      <c r="I8" s="130">
        <f t="shared" si="0"/>
        <v>17.863697299610607</v>
      </c>
      <c r="J8" s="130">
        <f t="shared" si="0"/>
        <v>18.403736577694534</v>
      </c>
      <c r="K8" s="130">
        <f t="shared" si="0"/>
        <v>18.950734206774921</v>
      </c>
      <c r="M8" s="21"/>
      <c r="N8" s="19"/>
    </row>
    <row r="9" spans="1:14" ht="13.15" x14ac:dyDescent="0.45">
      <c r="B9" s="19" t="s">
        <v>50</v>
      </c>
      <c r="C9" s="19"/>
      <c r="E9" s="130">
        <f>E7-E8</f>
        <v>51.077282640295522</v>
      </c>
      <c r="F9" s="130">
        <f t="shared" ref="F9:K9" si="1">F7-F8</f>
        <v>51.642884777857944</v>
      </c>
      <c r="G9" s="130">
        <f t="shared" si="1"/>
        <v>52.348404239596547</v>
      </c>
      <c r="H9" s="130">
        <f t="shared" si="1"/>
        <v>53.303291717875759</v>
      </c>
      <c r="I9" s="130">
        <f t="shared" si="1"/>
        <v>54.755355056011808</v>
      </c>
      <c r="J9" s="130">
        <f t="shared" si="1"/>
        <v>56.410669850017101</v>
      </c>
      <c r="K9" s="130">
        <f t="shared" si="1"/>
        <v>58.087313206246947</v>
      </c>
      <c r="M9" s="21"/>
      <c r="N9" s="19"/>
    </row>
    <row r="10" spans="1:14" ht="13.15" x14ac:dyDescent="0.45">
      <c r="B10" s="19"/>
      <c r="C10" s="19"/>
      <c r="D10" s="19"/>
      <c r="E10" s="20"/>
      <c r="F10" s="20"/>
      <c r="G10" s="20"/>
      <c r="H10" s="20"/>
      <c r="I10" s="20"/>
      <c r="J10" s="20"/>
      <c r="K10" s="20"/>
      <c r="M10" s="21"/>
      <c r="N10" s="19"/>
    </row>
    <row r="11" spans="1:14" ht="15.75" x14ac:dyDescent="0.45">
      <c r="A11" s="90" t="s">
        <v>97</v>
      </c>
      <c r="E11" s="20"/>
      <c r="F11" s="20"/>
      <c r="G11" s="20"/>
      <c r="H11" s="20"/>
      <c r="I11" s="20"/>
      <c r="J11" s="20"/>
      <c r="K11" s="20"/>
      <c r="M11" s="21"/>
      <c r="N11" s="19"/>
    </row>
    <row r="12" spans="1:14" ht="15.75" x14ac:dyDescent="0.45">
      <c r="A12" s="90"/>
      <c r="C12" s="92"/>
      <c r="E12" s="38" t="s">
        <v>37</v>
      </c>
      <c r="F12" s="38" t="str">
        <f>'Parameters and Assumptions'!E54</f>
        <v>2020/21</v>
      </c>
      <c r="G12" s="38" t="str">
        <f>'Parameters and Assumptions'!F54</f>
        <v>2021/22</v>
      </c>
      <c r="H12" s="38" t="str">
        <f>'Parameters and Assumptions'!G54</f>
        <v>2022/23</v>
      </c>
      <c r="I12" s="38" t="str">
        <f>'Parameters and Assumptions'!H54</f>
        <v>2023/24</v>
      </c>
      <c r="J12" s="38" t="str">
        <f>'Parameters and Assumptions'!I54</f>
        <v>2024/25</v>
      </c>
      <c r="K12" s="38" t="str">
        <f>'Parameters and Assumptions'!J54</f>
        <v>2025/26</v>
      </c>
      <c r="M12" s="21"/>
      <c r="N12" s="19"/>
    </row>
    <row r="13" spans="1:14" ht="13.15" x14ac:dyDescent="0.45">
      <c r="B13" s="19" t="s">
        <v>159</v>
      </c>
      <c r="C13" s="19"/>
      <c r="E13" s="18">
        <f>'Parameters and Assumptions'!D55</f>
        <v>0</v>
      </c>
      <c r="F13" s="18">
        <f>'Parameters and Assumptions'!E55</f>
        <v>298627.40535863023</v>
      </c>
      <c r="G13" s="18">
        <f>'Parameters and Assumptions'!F55</f>
        <v>615421.55533793068</v>
      </c>
      <c r="H13" s="18">
        <f>'Parameters and Assumptions'!G55</f>
        <v>877774.63793626521</v>
      </c>
      <c r="I13" s="18">
        <f>'Parameters and Assumptions'!H55</f>
        <v>360528.80251407623</v>
      </c>
      <c r="J13" s="18">
        <f>'Parameters and Assumptions'!I55</f>
        <v>414141.06013178825</v>
      </c>
      <c r="K13" s="18">
        <f>'Parameters and Assumptions'!J55</f>
        <v>332186.26292943954</v>
      </c>
      <c r="M13" s="19"/>
      <c r="N13" s="22"/>
    </row>
    <row r="14" spans="1:14" ht="13.15" x14ac:dyDescent="0.45">
      <c r="B14" s="19"/>
      <c r="C14" s="19"/>
      <c r="D14" s="19"/>
      <c r="E14" s="18"/>
      <c r="F14" s="18"/>
      <c r="G14" s="18"/>
      <c r="H14" s="18"/>
      <c r="I14" s="18"/>
      <c r="J14" s="18"/>
      <c r="K14" s="18"/>
      <c r="M14" s="19"/>
      <c r="N14" s="22"/>
    </row>
    <row r="15" spans="1:14" ht="15.75" x14ac:dyDescent="0.45">
      <c r="A15" s="90" t="s">
        <v>332</v>
      </c>
      <c r="B15" s="19"/>
      <c r="C15" s="19"/>
      <c r="D15" s="19"/>
      <c r="E15" s="18"/>
      <c r="F15" s="18"/>
      <c r="G15" s="18"/>
      <c r="H15" s="18"/>
      <c r="I15" s="18"/>
      <c r="J15" s="18"/>
      <c r="K15" s="18"/>
      <c r="M15" s="19"/>
      <c r="N15" s="22"/>
    </row>
    <row r="16" spans="1:14" ht="15.75" x14ac:dyDescent="0.45">
      <c r="A16" s="90"/>
      <c r="B16" s="19" t="s">
        <v>333</v>
      </c>
      <c r="C16" s="19"/>
      <c r="D16" s="19"/>
      <c r="E16" s="410">
        <f>E13*E9</f>
        <v>0</v>
      </c>
      <c r="F16" s="410">
        <f>F13*F9</f>
        <v>15421980.686446419</v>
      </c>
      <c r="G16" s="410">
        <f t="shared" ref="G16:K16" si="2">G13*G9</f>
        <v>32216336.356591232</v>
      </c>
      <c r="H16" s="410">
        <f t="shared" si="2"/>
        <v>46788277.58846952</v>
      </c>
      <c r="I16" s="410">
        <f t="shared" si="2"/>
        <v>19740882.589577008</v>
      </c>
      <c r="J16" s="410">
        <f t="shared" si="2"/>
        <v>23361974.614430387</v>
      </c>
      <c r="K16" s="410">
        <f t="shared" si="2"/>
        <v>19295807.497595053</v>
      </c>
      <c r="M16" s="19"/>
      <c r="N16" s="22"/>
    </row>
    <row r="17" spans="1:14" ht="15.75" x14ac:dyDescent="0.45">
      <c r="A17" s="90"/>
      <c r="B17" s="19" t="s">
        <v>334</v>
      </c>
      <c r="C17" s="19"/>
      <c r="D17" s="19"/>
      <c r="E17" s="410">
        <f>E13*E8</f>
        <v>0</v>
      </c>
      <c r="F17" s="410">
        <f>F13*F8</f>
        <v>5031354.3663684502</v>
      </c>
      <c r="G17" s="410">
        <f t="shared" ref="G17:K17" si="3">G13*G8</f>
        <v>10510440.123854132</v>
      </c>
      <c r="H17" s="410">
        <f t="shared" si="3"/>
        <v>15264472.801894603</v>
      </c>
      <c r="I17" s="410">
        <f t="shared" si="3"/>
        <v>6440377.3959025489</v>
      </c>
      <c r="J17" s="410">
        <f t="shared" si="3"/>
        <v>7621742.9766725833</v>
      </c>
      <c r="K17" s="410">
        <f t="shared" si="3"/>
        <v>6295173.5759176584</v>
      </c>
      <c r="M17" s="19"/>
      <c r="N17" s="22"/>
    </row>
    <row r="18" spans="1:14" ht="13.15" x14ac:dyDescent="0.45">
      <c r="C18" s="19"/>
      <c r="D18" s="19"/>
      <c r="E18" s="18"/>
      <c r="F18" s="18"/>
      <c r="G18" s="18"/>
      <c r="H18" s="18"/>
      <c r="I18" s="18"/>
      <c r="J18" s="18"/>
      <c r="K18" s="18"/>
      <c r="M18" s="19"/>
      <c r="N18" s="22"/>
    </row>
    <row r="19" spans="1:14" ht="11.65" x14ac:dyDescent="0.45"/>
    <row r="20" spans="1:14" ht="15.75" x14ac:dyDescent="0.45">
      <c r="A20" s="90" t="s">
        <v>98</v>
      </c>
      <c r="E20" s="38" t="s">
        <v>37</v>
      </c>
      <c r="F20" s="38" t="str">
        <f t="shared" ref="F20:K20" si="4">F3</f>
        <v>2020/21</v>
      </c>
      <c r="G20" s="38" t="str">
        <f t="shared" si="4"/>
        <v>2021/22</v>
      </c>
      <c r="H20" s="38" t="str">
        <f t="shared" si="4"/>
        <v>2022/23</v>
      </c>
      <c r="I20" s="38" t="str">
        <f t="shared" si="4"/>
        <v>2023/24</v>
      </c>
      <c r="J20" s="38" t="str">
        <f t="shared" si="4"/>
        <v>2024/25</v>
      </c>
      <c r="K20" s="38" t="str">
        <f t="shared" si="4"/>
        <v>2025/26</v>
      </c>
    </row>
    <row r="21" spans="1:14" ht="11.65" x14ac:dyDescent="0.45"/>
    <row r="22" spans="1:14" s="19" customFormat="1" ht="13.15" x14ac:dyDescent="0.45">
      <c r="B22" s="547" t="s">
        <v>99</v>
      </c>
      <c r="C22" s="547"/>
      <c r="D22" s="547"/>
      <c r="E22" s="451">
        <f>E16</f>
        <v>0</v>
      </c>
      <c r="F22" s="451">
        <f>F16</f>
        <v>15421980.686446419</v>
      </c>
      <c r="G22" s="451">
        <f t="shared" ref="G22:K22" si="5">G16</f>
        <v>32216336.356591232</v>
      </c>
      <c r="H22" s="451">
        <f t="shared" si="5"/>
        <v>46788277.58846952</v>
      </c>
      <c r="I22" s="451">
        <f t="shared" si="5"/>
        <v>19740882.589577008</v>
      </c>
      <c r="J22" s="451">
        <f t="shared" si="5"/>
        <v>23361974.614430387</v>
      </c>
      <c r="K22" s="451">
        <f t="shared" si="5"/>
        <v>19295807.497595053</v>
      </c>
    </row>
    <row r="23" spans="1:14" s="19" customFormat="1" ht="13.15" x14ac:dyDescent="0.45">
      <c r="B23" s="547" t="s">
        <v>100</v>
      </c>
      <c r="C23" s="547"/>
      <c r="D23" s="547"/>
      <c r="E23" s="451">
        <f>E17</f>
        <v>0</v>
      </c>
      <c r="F23" s="451">
        <f>F17</f>
        <v>5031354.3663684502</v>
      </c>
      <c r="G23" s="451">
        <f t="shared" ref="G23:K23" si="6">G17</f>
        <v>10510440.123854132</v>
      </c>
      <c r="H23" s="451">
        <f t="shared" si="6"/>
        <v>15264472.801894603</v>
      </c>
      <c r="I23" s="451">
        <f t="shared" si="6"/>
        <v>6440377.3959025489</v>
      </c>
      <c r="J23" s="451">
        <f t="shared" si="6"/>
        <v>7621742.9766725833</v>
      </c>
      <c r="K23" s="451">
        <f t="shared" si="6"/>
        <v>6295173.5759176584</v>
      </c>
    </row>
    <row r="24" spans="1:14" ht="11.65" customHeight="1" x14ac:dyDescent="0.45"/>
    <row r="25" spans="1:14" ht="11.65" customHeight="1" x14ac:dyDescent="0.45"/>
    <row r="26" spans="1:14" ht="11.65" customHeight="1" x14ac:dyDescent="0.45"/>
    <row r="27" spans="1:14" ht="11.25" customHeight="1" x14ac:dyDescent="0.45"/>
    <row r="28" spans="1:14" ht="11.65" customHeight="1" x14ac:dyDescent="0.45"/>
    <row r="29" spans="1:14" ht="11.65" customHeight="1" x14ac:dyDescent="0.45"/>
    <row r="30" spans="1:14" ht="11.65" customHeight="1" x14ac:dyDescent="0.45"/>
    <row r="31" spans="1:14" ht="0" hidden="1" customHeight="1" x14ac:dyDescent="0.45"/>
    <row r="32" spans="1:14" ht="0" hidden="1" customHeight="1" x14ac:dyDescent="0.45"/>
    <row r="33" ht="0" hidden="1" customHeight="1" x14ac:dyDescent="0.45"/>
    <row r="34" ht="0" hidden="1" customHeight="1" x14ac:dyDescent="0.45"/>
    <row r="35" ht="0" hidden="1" customHeight="1" x14ac:dyDescent="0.45"/>
    <row r="36" ht="0" hidden="1" customHeight="1" x14ac:dyDescent="0.45"/>
  </sheetData>
  <printOptions horizontalCentered="1" verticalCentered="1"/>
  <pageMargins left="0.19685039370078741" right="0.19685039370078741" top="0.39370078740157483" bottom="0.39370078740157483" header="0.19685039370078741" footer="0.19685039370078741"/>
  <pageSetup paperSize="8" orientation="landscape" horizontalDpi="2400" verticalDpi="2400" r:id="rId1"/>
  <headerFooter alignWithMargins="0">
    <oddHeader>&amp;L&amp;"Calibri"&amp;12&amp;K000000Classification: HIGHLY SENSITIVE&amp;1#_x000D_&amp;"Calibri"&amp;11&amp;K000000&amp;"Calibri,Regular"&amp;10Sheet: &amp;A</oddHeader>
    <oddFooter>&amp;L&amp;A :page&amp;P&amp;COfcom Confidential&amp;R&amp;D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83FF-6B43-48B8-A62A-558337F0D81B}">
  <sheetPr codeName="Sheet9">
    <tabColor rgb="FF92D050"/>
  </sheetPr>
  <dimension ref="A1"/>
  <sheetViews>
    <sheetView topLeftCell="B1" workbookViewId="0"/>
  </sheetViews>
  <sheetFormatPr defaultRowHeight="14.25" x14ac:dyDescent="0.45"/>
  <sheetData/>
  <pageMargins left="0.7" right="0.7" top="0.75" bottom="0.75" header="0.3" footer="0.3"/>
  <pageSetup paperSize="9" orientation="portrait" r:id="rId1"/>
  <headerFooter>
    <oddHeader>&amp;L&amp;"Calibri"&amp;12&amp;K000000Classification: HIGHLY SENSITIVE&amp;1#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9B66-A783-4305-9FD4-0FD0F9D7D8F5}">
  <sheetPr codeName="Sheet10">
    <tabColor theme="0"/>
    <pageSetUpPr fitToPage="1"/>
  </sheetPr>
  <dimension ref="A1:M68"/>
  <sheetViews>
    <sheetView topLeftCell="A37" zoomScale="89" zoomScaleNormal="89" workbookViewId="0">
      <selection activeCell="F65" sqref="F65"/>
    </sheetView>
  </sheetViews>
  <sheetFormatPr defaultColWidth="8.86328125" defaultRowHeight="14.25" x14ac:dyDescent="0.45"/>
  <cols>
    <col min="1" max="1" width="17.86328125" style="1" customWidth="1"/>
    <col min="2" max="2" width="8.86328125" style="1"/>
    <col min="3" max="11" width="10.59765625" style="1" customWidth="1"/>
    <col min="12" max="13" width="8.86328125" style="1"/>
    <col min="14" max="14" width="9.3984375" style="1" customWidth="1"/>
    <col min="15" max="22" width="9.59765625" style="1" customWidth="1"/>
    <col min="23" max="16384" width="8.86328125" style="1"/>
  </cols>
  <sheetData>
    <row r="1" spans="1:13" ht="21" x14ac:dyDescent="0.65">
      <c r="A1" s="127" t="s">
        <v>217</v>
      </c>
      <c r="M1" s="1" t="s">
        <v>53</v>
      </c>
    </row>
    <row r="3" spans="1:13" ht="18" x14ac:dyDescent="0.55000000000000004">
      <c r="A3" s="9" t="s">
        <v>347</v>
      </c>
    </row>
    <row r="5" spans="1:13" x14ac:dyDescent="0.45">
      <c r="A5" s="123" t="s">
        <v>165</v>
      </c>
      <c r="B5" s="123" t="str">
        <f>'Input data'!C30</f>
        <v>Units</v>
      </c>
      <c r="C5" s="94" t="s">
        <v>36</v>
      </c>
      <c r="D5" s="332" t="s">
        <v>37</v>
      </c>
      <c r="H5" s="312"/>
      <c r="I5" s="312"/>
    </row>
    <row r="6" spans="1:13" x14ac:dyDescent="0.45">
      <c r="A6" s="312" t="str">
        <f>'Input data'!A32</f>
        <v>Lead-ins</v>
      </c>
      <c r="B6" s="312" t="str">
        <f>'Input data'!C32</f>
        <v>kms</v>
      </c>
      <c r="C6" s="312"/>
      <c r="D6" s="133">
        <f>'Input data'!E32</f>
        <v>94351.152461195001</v>
      </c>
      <c r="G6" s="312"/>
      <c r="H6" s="312"/>
      <c r="I6" s="312"/>
    </row>
    <row r="7" spans="1:13" x14ac:dyDescent="0.45">
      <c r="A7" s="39" t="str">
        <f>'Input data'!A33</f>
        <v>Spine duct – single bore</v>
      </c>
      <c r="B7" s="39" t="str">
        <f>'Input data'!C33</f>
        <v>kms</v>
      </c>
      <c r="C7" s="133">
        <f>'Input data'!D33</f>
        <v>357954.53649564541</v>
      </c>
      <c r="D7" s="133">
        <f>'Input data'!E33</f>
        <v>268295.15797532897</v>
      </c>
      <c r="E7" s="158"/>
      <c r="F7" s="158"/>
      <c r="H7" s="312"/>
      <c r="I7" s="312"/>
    </row>
    <row r="8" spans="1:13" x14ac:dyDescent="0.45">
      <c r="A8" s="39" t="str">
        <f>'Input data'!A34</f>
        <v>Spine duct – 2 bores</v>
      </c>
      <c r="B8" s="312" t="str">
        <f>'Input data'!C34</f>
        <v>kms</v>
      </c>
      <c r="C8" s="133">
        <f>'Input data'!D34</f>
        <v>61881.334930162047</v>
      </c>
      <c r="D8" s="133">
        <f>'Input data'!E34</f>
        <v>67478.174252834084</v>
      </c>
      <c r="E8" s="158"/>
      <c r="F8" s="158"/>
      <c r="H8" s="312"/>
      <c r="I8" s="312"/>
    </row>
    <row r="9" spans="1:13" x14ac:dyDescent="0.45">
      <c r="A9" s="39" t="str">
        <f>'Input data'!A35</f>
        <v>Spine duct – 3+ bores</v>
      </c>
      <c r="B9" s="312" t="str">
        <f>'Input data'!C35</f>
        <v>kms</v>
      </c>
      <c r="C9" s="133">
        <f>'Input data'!D35</f>
        <v>58476.299444270197</v>
      </c>
      <c r="D9" s="133">
        <f>'Input data'!E35</f>
        <v>63814.732602673641</v>
      </c>
      <c r="E9" s="158"/>
      <c r="F9" s="158"/>
      <c r="H9" s="312"/>
      <c r="I9" s="312"/>
    </row>
    <row r="10" spans="1:13" x14ac:dyDescent="0.45">
      <c r="A10" s="39" t="str">
        <f>'Input data'!A36</f>
        <v>Joint boxes</v>
      </c>
      <c r="B10" s="312" t="str">
        <f>'Input data'!C36</f>
        <v>units</v>
      </c>
      <c r="C10" s="133">
        <f>'Input data'!D36</f>
        <v>5692564.7875887668</v>
      </c>
      <c r="D10" s="133">
        <f>'Input data'!E36</f>
        <v>6762470.5334877493</v>
      </c>
      <c r="E10" s="158"/>
      <c r="F10" s="158"/>
      <c r="H10" s="312"/>
      <c r="I10" s="312"/>
    </row>
    <row r="11" spans="1:13" x14ac:dyDescent="0.45">
      <c r="A11" s="39" t="str">
        <f>'Input data'!A37</f>
        <v>Manholes</v>
      </c>
      <c r="B11" s="312" t="str">
        <f>'Input data'!C37</f>
        <v>units</v>
      </c>
      <c r="C11" s="133">
        <f>'Input data'!D37</f>
        <v>207674.96199585355</v>
      </c>
      <c r="D11" s="133">
        <f>'Input data'!E37</f>
        <v>184587.35932946205</v>
      </c>
      <c r="E11" s="158"/>
      <c r="F11" s="158"/>
      <c r="H11" s="312"/>
      <c r="I11" s="312"/>
    </row>
    <row r="12" spans="1:13" x14ac:dyDescent="0.45">
      <c r="A12" s="354" t="s">
        <v>48</v>
      </c>
      <c r="B12" s="354"/>
      <c r="C12" s="354" t="b">
        <f>SUM(C6:C11)=SUM('Input data'!D32:D37)</f>
        <v>1</v>
      </c>
      <c r="D12" s="354" t="b">
        <f>SUM(D6:D11)=SUM('Input data'!E32:E37)</f>
        <v>1</v>
      </c>
      <c r="E12" s="39"/>
      <c r="F12" s="39"/>
      <c r="G12" s="39"/>
      <c r="H12" s="312"/>
      <c r="I12" s="312"/>
    </row>
    <row r="13" spans="1:13" x14ac:dyDescent="0.45">
      <c r="A13" s="321" t="s">
        <v>335</v>
      </c>
      <c r="C13" s="312"/>
      <c r="D13" s="332" t="str">
        <f>'Parameters and Assumptions'!D88</f>
        <v>2019/20</v>
      </c>
      <c r="E13" s="332" t="str">
        <f>'Parameters and Assumptions'!E88</f>
        <v>2020/21</v>
      </c>
      <c r="F13" s="332" t="str">
        <f>'Parameters and Assumptions'!F88</f>
        <v>2021/22</v>
      </c>
      <c r="G13" s="332" t="str">
        <f>'Parameters and Assumptions'!G88</f>
        <v>2022/23</v>
      </c>
      <c r="H13" s="332" t="str">
        <f>'Parameters and Assumptions'!H88</f>
        <v>2023/24</v>
      </c>
      <c r="I13" s="332" t="str">
        <f>'Parameters and Assumptions'!I88</f>
        <v>2024/25</v>
      </c>
      <c r="J13" s="332" t="str">
        <f>'Parameters and Assumptions'!J88</f>
        <v>2025/26</v>
      </c>
    </row>
    <row r="14" spans="1:13" x14ac:dyDescent="0.45">
      <c r="A14" s="312"/>
      <c r="B14" s="457"/>
      <c r="C14" s="312"/>
      <c r="D14" s="312"/>
      <c r="E14" s="312"/>
      <c r="F14" s="312"/>
      <c r="G14" s="312"/>
      <c r="H14" s="312"/>
      <c r="I14" s="312"/>
    </row>
    <row r="15" spans="1:13" x14ac:dyDescent="0.45">
      <c r="A15" s="312" t="str">
        <f>A6</f>
        <v>Lead-ins</v>
      </c>
      <c r="B15" s="312"/>
      <c r="C15" s="312"/>
      <c r="D15" s="324">
        <f>D16</f>
        <v>5.9631783917142777E-3</v>
      </c>
      <c r="E15" s="324">
        <f t="shared" ref="E15:J15" si="0">E16</f>
        <v>7.0673707177404356E-3</v>
      </c>
      <c r="F15" s="324">
        <f t="shared" si="0"/>
        <v>8.9887908141565442E-3</v>
      </c>
      <c r="G15" s="324">
        <f t="shared" si="0"/>
        <v>1.1094357169042796E-2</v>
      </c>
      <c r="H15" s="324">
        <f t="shared" si="0"/>
        <v>1.3577766415786311E-2</v>
      </c>
      <c r="I15" s="324">
        <f t="shared" si="0"/>
        <v>1.3673573978262245E-2</v>
      </c>
      <c r="J15" s="324">
        <f t="shared" si="0"/>
        <v>1.0452639533521161E-2</v>
      </c>
      <c r="M15" s="1" t="s">
        <v>359</v>
      </c>
    </row>
    <row r="16" spans="1:13" x14ac:dyDescent="0.45">
      <c r="A16" s="312" t="str">
        <f t="shared" ref="A16:A20" si="1">A7</f>
        <v>Spine duct – single bore</v>
      </c>
      <c r="B16" s="312"/>
      <c r="C16" s="312"/>
      <c r="D16" s="59">
        <f>'Parameters and Assumptions'!D89</f>
        <v>5.9631783917142777E-3</v>
      </c>
      <c r="E16" s="59">
        <f>'Parameters and Assumptions'!E89</f>
        <v>7.0673707177404356E-3</v>
      </c>
      <c r="F16" s="59">
        <f>'Parameters and Assumptions'!F89</f>
        <v>8.9887908141565442E-3</v>
      </c>
      <c r="G16" s="59">
        <f>'Parameters and Assumptions'!G89</f>
        <v>1.1094357169042796E-2</v>
      </c>
      <c r="H16" s="59">
        <f>'Parameters and Assumptions'!H89</f>
        <v>1.3577766415786311E-2</v>
      </c>
      <c r="I16" s="59">
        <f>'Parameters and Assumptions'!I89</f>
        <v>1.3673573978262245E-2</v>
      </c>
      <c r="J16" s="59">
        <f>'Parameters and Assumptions'!J89</f>
        <v>1.0452639533521161E-2</v>
      </c>
    </row>
    <row r="17" spans="1:13" x14ac:dyDescent="0.45">
      <c r="A17" s="312" t="str">
        <f t="shared" si="1"/>
        <v>Spine duct – 2 bores</v>
      </c>
      <c r="B17" s="312"/>
      <c r="C17" s="312"/>
      <c r="D17" s="59">
        <f>'Parameters and Assumptions'!D90</f>
        <v>1.0771772596963425E-3</v>
      </c>
      <c r="E17" s="59">
        <f>'Parameters and Assumptions'!E90</f>
        <v>6.7157045609570539E-4</v>
      </c>
      <c r="F17" s="59">
        <f>'Parameters and Assumptions'!F90</f>
        <v>4.6562809934973281E-4</v>
      </c>
      <c r="G17" s="59">
        <f>'Parameters and Assumptions'!G90</f>
        <v>6.0552988346721415E-4</v>
      </c>
      <c r="H17" s="59">
        <f>'Parameters and Assumptions'!H90</f>
        <v>5.1949895295429259E-4</v>
      </c>
      <c r="I17" s="59">
        <f>'Parameters and Assumptions'!I90</f>
        <v>7.4235025796371118E-4</v>
      </c>
      <c r="J17" s="59">
        <f>'Parameters and Assumptions'!J90</f>
        <v>6.6221307997256832E-4</v>
      </c>
    </row>
    <row r="18" spans="1:13" x14ac:dyDescent="0.45">
      <c r="A18" s="312" t="str">
        <f t="shared" si="1"/>
        <v>Spine duct – 3+ bores</v>
      </c>
      <c r="B18" s="312"/>
      <c r="C18" s="312"/>
      <c r="D18" s="59">
        <f>'Parameters and Assumptions'!D91</f>
        <v>3.1734852702114326E-4</v>
      </c>
      <c r="E18" s="59">
        <f>'Parameters and Assumptions'!E91</f>
        <v>1.4196060579061624E-4</v>
      </c>
      <c r="F18" s="59">
        <f>'Parameters and Assumptions'!F91</f>
        <v>6.0908333920755616E-5</v>
      </c>
      <c r="G18" s="59">
        <f>'Parameters and Assumptions'!G91</f>
        <v>4.6627138762570071E-5</v>
      </c>
      <c r="H18" s="59">
        <f>'Parameters and Assumptions'!H91</f>
        <v>6.057398180780074E-5</v>
      </c>
      <c r="I18" s="59">
        <f>'Parameters and Assumptions'!I91</f>
        <v>4.5526773249468928E-5</v>
      </c>
      <c r="J18" s="59">
        <f>'Parameters and Assumptions'!J91</f>
        <v>3.9411687433870793E-5</v>
      </c>
    </row>
    <row r="19" spans="1:13" x14ac:dyDescent="0.45">
      <c r="A19" s="312" t="str">
        <f t="shared" si="1"/>
        <v>Joint boxes</v>
      </c>
      <c r="B19" s="312"/>
      <c r="C19" s="312"/>
      <c r="D19" s="59">
        <f>'Parameters and Assumptions'!D93</f>
        <v>3.4871824087135844E-3</v>
      </c>
      <c r="E19" s="59">
        <f>'Parameters and Assumptions'!E93</f>
        <v>3.2715520747897426E-3</v>
      </c>
      <c r="F19" s="59">
        <f>'Parameters and Assumptions'!F93</f>
        <v>5.739327991094288E-3</v>
      </c>
      <c r="G19" s="59">
        <f>'Parameters and Assumptions'!G93</f>
        <v>7.3560474426451533E-3</v>
      </c>
      <c r="H19" s="59">
        <f>'Parameters and Assumptions'!H93</f>
        <v>7.8816594830651201E-3</v>
      </c>
      <c r="I19" s="59">
        <f>'Parameters and Assumptions'!I93</f>
        <v>9.1867993506837154E-3</v>
      </c>
      <c r="J19" s="59">
        <f>'Parameters and Assumptions'!J93</f>
        <v>7.896865639677883E-3</v>
      </c>
      <c r="M19" s="1" t="s">
        <v>337</v>
      </c>
    </row>
    <row r="20" spans="1:13" x14ac:dyDescent="0.45">
      <c r="A20" s="312" t="str">
        <f t="shared" si="1"/>
        <v>Manholes</v>
      </c>
      <c r="B20" s="312"/>
      <c r="C20" s="312"/>
      <c r="D20" s="59">
        <f>'Parameters and Assumptions'!D92</f>
        <v>3.1148510945960784E-4</v>
      </c>
      <c r="E20" s="59">
        <f>'Parameters and Assumptions'!E92</f>
        <v>1.6020280199797933E-4</v>
      </c>
      <c r="F20" s="59">
        <f>'Parameters and Assumptions'!F92</f>
        <v>1.6177969252714924E-5</v>
      </c>
      <c r="G20" s="59">
        <f>'Parameters and Assumptions'!G92</f>
        <v>4.3610942612290574E-5</v>
      </c>
      <c r="H20" s="59">
        <f>'Parameters and Assumptions'!H92</f>
        <v>5.1742297077386034E-5</v>
      </c>
      <c r="I20" s="59">
        <f>'Parameters and Assumptions'!I92</f>
        <v>4.5967455223580527E-5</v>
      </c>
      <c r="J20" s="59">
        <f>'Parameters and Assumptions'!J92</f>
        <v>4.533348564706064E-5</v>
      </c>
    </row>
    <row r="21" spans="1:13" x14ac:dyDescent="0.45">
      <c r="A21" s="312"/>
      <c r="B21" s="312"/>
      <c r="C21" s="312"/>
    </row>
    <row r="22" spans="1:13" x14ac:dyDescent="0.45">
      <c r="A22" s="95" t="s">
        <v>166</v>
      </c>
      <c r="B22" s="39"/>
      <c r="C22" s="312"/>
      <c r="D22" s="94" t="str">
        <f>D13</f>
        <v>2019/20</v>
      </c>
      <c r="E22" s="332" t="str">
        <f t="shared" ref="E22:J22" si="2">E13</f>
        <v>2020/21</v>
      </c>
      <c r="F22" s="332" t="str">
        <f t="shared" si="2"/>
        <v>2021/22</v>
      </c>
      <c r="G22" s="332" t="str">
        <f t="shared" si="2"/>
        <v>2022/23</v>
      </c>
      <c r="H22" s="332" t="str">
        <f t="shared" si="2"/>
        <v>2023/24</v>
      </c>
      <c r="I22" s="332" t="str">
        <f t="shared" si="2"/>
        <v>2024/25</v>
      </c>
      <c r="J22" s="332" t="str">
        <f t="shared" si="2"/>
        <v>2025/26</v>
      </c>
    </row>
    <row r="23" spans="1:13" x14ac:dyDescent="0.45">
      <c r="A23" s="312" t="str">
        <f>A15</f>
        <v>Lead-ins</v>
      </c>
      <c r="B23" s="312"/>
      <c r="C23" s="312"/>
      <c r="D23" s="328">
        <f>AVERAGE(D6, D6/(1+D15))</f>
        <v>94071.503679969508</v>
      </c>
      <c r="E23" s="312"/>
      <c r="F23" s="312"/>
      <c r="G23" s="312"/>
      <c r="H23" s="312"/>
      <c r="I23" s="312"/>
      <c r="J23" s="312"/>
    </row>
    <row r="24" spans="1:13" x14ac:dyDescent="0.45">
      <c r="A24" s="39" t="str">
        <f>A7</f>
        <v>Spine duct – single bore</v>
      </c>
      <c r="B24" s="39"/>
      <c r="C24" s="312"/>
      <c r="D24" s="41">
        <f>AVERAGE(C7:D7)</f>
        <v>313124.84723548719</v>
      </c>
      <c r="E24" s="312"/>
      <c r="F24" s="312"/>
      <c r="I24" s="39"/>
    </row>
    <row r="25" spans="1:13" x14ac:dyDescent="0.45">
      <c r="A25" s="39" t="str">
        <f>A8</f>
        <v>Spine duct – 2 bores</v>
      </c>
      <c r="B25" s="39"/>
      <c r="C25" s="312"/>
      <c r="D25" s="328">
        <f t="shared" ref="D25:D28" si="3">AVERAGE(C8:D8)</f>
        <v>64679.754591498066</v>
      </c>
      <c r="E25" s="312"/>
      <c r="F25" s="312"/>
      <c r="I25" s="39"/>
    </row>
    <row r="26" spans="1:13" x14ac:dyDescent="0.45">
      <c r="A26" s="39" t="str">
        <f>A9</f>
        <v>Spine duct – 3+ bores</v>
      </c>
      <c r="B26" s="39"/>
      <c r="C26" s="312"/>
      <c r="D26" s="328">
        <f t="shared" si="3"/>
        <v>61145.516023471922</v>
      </c>
      <c r="E26" s="312"/>
      <c r="F26" s="312"/>
      <c r="I26" s="39"/>
    </row>
    <row r="27" spans="1:13" x14ac:dyDescent="0.45">
      <c r="A27" s="39" t="str">
        <f>A10</f>
        <v>Joint boxes</v>
      </c>
      <c r="B27" s="39"/>
      <c r="C27" s="39"/>
      <c r="D27" s="328">
        <f t="shared" si="3"/>
        <v>6227517.660538258</v>
      </c>
      <c r="E27" s="312"/>
      <c r="F27" s="312"/>
      <c r="I27" s="39"/>
    </row>
    <row r="28" spans="1:13" x14ac:dyDescent="0.45">
      <c r="A28" s="39" t="str">
        <f>A11</f>
        <v>Manholes</v>
      </c>
      <c r="B28" s="39"/>
      <c r="C28" s="39"/>
      <c r="D28" s="328">
        <f t="shared" si="3"/>
        <v>196131.16066265781</v>
      </c>
      <c r="E28" s="312"/>
      <c r="F28" s="312"/>
      <c r="I28" s="39"/>
    </row>
    <row r="29" spans="1:13" x14ac:dyDescent="0.45">
      <c r="G29" s="149"/>
      <c r="H29" s="149"/>
    </row>
    <row r="30" spans="1:13" ht="18" x14ac:dyDescent="0.55000000000000004">
      <c r="A30" s="9" t="s">
        <v>336</v>
      </c>
    </row>
    <row r="31" spans="1:13" ht="15.75" x14ac:dyDescent="0.5">
      <c r="A31" s="12"/>
      <c r="B31" s="12"/>
      <c r="F31" s="79"/>
    </row>
    <row r="32" spans="1:13" ht="15.75" x14ac:dyDescent="0.5">
      <c r="A32" s="12"/>
      <c r="B32" s="12"/>
      <c r="D32" s="60" t="str">
        <f>D22</f>
        <v>2019/20</v>
      </c>
      <c r="E32" s="60" t="str">
        <f>'D&amp;C Forecast UCs, Charges &amp; Xs'!E3</f>
        <v>2020/21</v>
      </c>
      <c r="F32" s="60" t="str">
        <f>'D&amp;C Forecast UCs, Charges &amp; Xs'!F3</f>
        <v>2021/22</v>
      </c>
      <c r="G32" s="60" t="str">
        <f>'D&amp;C Forecast UCs, Charges &amp; Xs'!G3</f>
        <v>2022/23</v>
      </c>
      <c r="H32" s="60" t="str">
        <f>'D&amp;C Forecast UCs, Charges &amp; Xs'!H3</f>
        <v>2023/24</v>
      </c>
      <c r="I32" s="60" t="str">
        <f>'D&amp;C Forecast UCs, Charges &amp; Xs'!I3</f>
        <v>2024/25</v>
      </c>
      <c r="J32" s="60" t="str">
        <f>'D&amp;C Forecast UCs, Charges &amp; Xs'!J3</f>
        <v>2025/26</v>
      </c>
    </row>
    <row r="33" spans="1:13" x14ac:dyDescent="0.45">
      <c r="A33" s="199" t="s">
        <v>8</v>
      </c>
      <c r="B33" s="199"/>
      <c r="C33" s="316"/>
      <c r="D33" s="548">
        <f>D23</f>
        <v>94071.503679969508</v>
      </c>
      <c r="E33" s="548">
        <f>D33*(1+E15)</f>
        <v>94736.341870451142</v>
      </c>
      <c r="F33" s="548">
        <f t="shared" ref="F33:J33" si="4">E33*(1+F15)</f>
        <v>95587.907030023052</v>
      </c>
      <c r="G33" s="548">
        <f t="shared" si="4"/>
        <v>96648.393411655372</v>
      </c>
      <c r="H33" s="548">
        <f t="shared" si="4"/>
        <v>97960.662721859859</v>
      </c>
      <c r="I33" s="548">
        <f t="shared" si="4"/>
        <v>99300.135090546813</v>
      </c>
      <c r="J33" s="548">
        <f t="shared" si="4"/>
        <v>100338.08360827825</v>
      </c>
      <c r="M33" s="316"/>
    </row>
    <row r="34" spans="1:13" x14ac:dyDescent="0.45">
      <c r="A34" s="199" t="str">
        <f>A7</f>
        <v>Spine duct – single bore</v>
      </c>
      <c r="B34" s="199"/>
      <c r="C34" s="316"/>
      <c r="D34" s="549">
        <f>D24</f>
        <v>313124.84723548719</v>
      </c>
      <c r="E34" s="548">
        <f>D34*(1+E16)</f>
        <v>315337.8166118362</v>
      </c>
      <c r="F34" s="548">
        <f t="shared" ref="F34:J34" si="5">E34*(1+F16)</f>
        <v>318172.32228115288</v>
      </c>
      <c r="G34" s="548">
        <f t="shared" si="5"/>
        <v>321702.23966584378</v>
      </c>
      <c r="H34" s="548">
        <f t="shared" si="5"/>
        <v>326070.23753146193</v>
      </c>
      <c r="I34" s="548">
        <f t="shared" si="5"/>
        <v>330528.78304645792</v>
      </c>
      <c r="J34" s="548">
        <f t="shared" si="5"/>
        <v>333983.68127109593</v>
      </c>
    </row>
    <row r="35" spans="1:13" x14ac:dyDescent="0.45">
      <c r="A35" s="199" t="str">
        <f>A8</f>
        <v>Spine duct – 2 bores</v>
      </c>
      <c r="B35" s="199"/>
      <c r="C35" s="316"/>
      <c r="D35" s="549">
        <f t="shared" ref="D35:D38" si="6">D25</f>
        <v>64679.754591498066</v>
      </c>
      <c r="E35" s="548">
        <f t="shared" ref="E35:J38" si="7">D35*(1+E17)</f>
        <v>64723.191603789244</v>
      </c>
      <c r="F35" s="548">
        <f t="shared" si="7"/>
        <v>64753.328540479568</v>
      </c>
      <c r="G35" s="548">
        <f t="shared" si="7"/>
        <v>64792.538615964804</v>
      </c>
      <c r="H35" s="548">
        <f t="shared" si="7"/>
        <v>64826.198271935042</v>
      </c>
      <c r="I35" s="548">
        <f t="shared" si="7"/>
        <v>64874.322016945021</v>
      </c>
      <c r="J35" s="548">
        <f t="shared" si="7"/>
        <v>64917.282641538994</v>
      </c>
    </row>
    <row r="36" spans="1:13" x14ac:dyDescent="0.45">
      <c r="A36" s="199" t="str">
        <f>A9</f>
        <v>Spine duct – 3+ bores</v>
      </c>
      <c r="B36" s="199"/>
      <c r="C36" s="316"/>
      <c r="D36" s="549">
        <f t="shared" si="6"/>
        <v>61145.516023471922</v>
      </c>
      <c r="E36" s="548">
        <f t="shared" si="7"/>
        <v>61154.196277967996</v>
      </c>
      <c r="F36" s="548">
        <f t="shared" si="7"/>
        <v>61157.921078175546</v>
      </c>
      <c r="G36" s="548">
        <f t="shared" si="7"/>
        <v>61160.77269704808</v>
      </c>
      <c r="H36" s="548">
        <f t="shared" si="7"/>
        <v>61164.477448580779</v>
      </c>
      <c r="I36" s="548">
        <f t="shared" si="7"/>
        <v>61167.262069876509</v>
      </c>
      <c r="J36" s="548">
        <f t="shared" si="7"/>
        <v>61169.672774890387</v>
      </c>
    </row>
    <row r="37" spans="1:13" x14ac:dyDescent="0.45">
      <c r="A37" s="199" t="str">
        <f>A10</f>
        <v>Joint boxes</v>
      </c>
      <c r="B37" s="199"/>
      <c r="C37" s="316"/>
      <c r="D37" s="549">
        <f t="shared" si="6"/>
        <v>6227517.660538258</v>
      </c>
      <c r="E37" s="548">
        <f t="shared" si="7"/>
        <v>6247891.3088613814</v>
      </c>
      <c r="F37" s="548">
        <f t="shared" si="7"/>
        <v>6283750.0063356441</v>
      </c>
      <c r="G37" s="548">
        <f t="shared" si="7"/>
        <v>6329973.5694999704</v>
      </c>
      <c r="H37" s="548">
        <f t="shared" si="7"/>
        <v>6379864.2657115711</v>
      </c>
      <c r="I37" s="548">
        <f t="shared" si="7"/>
        <v>6438474.7986052604</v>
      </c>
      <c r="J37" s="548">
        <f t="shared" si="7"/>
        <v>6489318.5690142978</v>
      </c>
    </row>
    <row r="38" spans="1:13" x14ac:dyDescent="0.45">
      <c r="A38" s="199" t="str">
        <f>A11</f>
        <v>Manholes</v>
      </c>
      <c r="B38" s="199"/>
      <c r="C38" s="316"/>
      <c r="D38" s="549">
        <f t="shared" si="6"/>
        <v>196131.16066265781</v>
      </c>
      <c r="E38" s="548">
        <f t="shared" si="7"/>
        <v>196162.5814241551</v>
      </c>
      <c r="F38" s="548">
        <f t="shared" si="7"/>
        <v>196165.75493636591</v>
      </c>
      <c r="G38" s="548">
        <f t="shared" si="7"/>
        <v>196174.30990984692</v>
      </c>
      <c r="H38" s="548">
        <f t="shared" si="7"/>
        <v>196184.46041926922</v>
      </c>
      <c r="I38" s="548">
        <f t="shared" si="7"/>
        <v>196193.47851966909</v>
      </c>
      <c r="J38" s="548">
        <f t="shared" si="7"/>
        <v>196202.37265391165</v>
      </c>
    </row>
    <row r="40" spans="1:13" x14ac:dyDescent="0.45">
      <c r="A40" s="315" t="s">
        <v>342</v>
      </c>
    </row>
    <row r="42" spans="1:13" x14ac:dyDescent="0.45">
      <c r="A42" s="315" t="s">
        <v>343</v>
      </c>
      <c r="D42" s="336" t="str">
        <f t="shared" ref="D42:J42" si="8">D32</f>
        <v>2019/20</v>
      </c>
      <c r="E42" s="336" t="str">
        <f t="shared" si="8"/>
        <v>2020/21</v>
      </c>
      <c r="F42" s="336" t="str">
        <f t="shared" si="8"/>
        <v>2021/22</v>
      </c>
      <c r="G42" s="336" t="str">
        <f t="shared" si="8"/>
        <v>2022/23</v>
      </c>
      <c r="H42" s="336" t="str">
        <f t="shared" si="8"/>
        <v>2023/24</v>
      </c>
      <c r="I42" s="336" t="str">
        <f t="shared" si="8"/>
        <v>2024/25</v>
      </c>
      <c r="J42" s="336" t="str">
        <f t="shared" si="8"/>
        <v>2025/26</v>
      </c>
    </row>
    <row r="43" spans="1:13" x14ac:dyDescent="0.45">
      <c r="A43" s="1" t="s">
        <v>344</v>
      </c>
      <c r="E43" s="79">
        <f>'Parameters and Assumptions'!E47</f>
        <v>1.1073457872565307E-2</v>
      </c>
      <c r="F43" s="7">
        <f>'Parameters and Assumptions'!F47</f>
        <v>1.3661503705174605E-2</v>
      </c>
      <c r="G43" s="7">
        <f>'Parameters and Assumptions'!G47</f>
        <v>1.8241004518661841E-2</v>
      </c>
      <c r="H43" s="7">
        <f>'Parameters and Assumptions'!H47</f>
        <v>2.7241532208208463E-2</v>
      </c>
      <c r="I43" s="7">
        <f>'Parameters and Assumptions'!I47</f>
        <v>3.0231103283176353E-2</v>
      </c>
      <c r="J43" s="7">
        <f>'Parameters and Assumptions'!J47</f>
        <v>2.9722096204275905E-2</v>
      </c>
    </row>
    <row r="45" spans="1:13" x14ac:dyDescent="0.45">
      <c r="A45" s="1" t="str">
        <f t="shared" ref="A45:A50" si="9">A33</f>
        <v>Lead-in duct</v>
      </c>
      <c r="D45" s="434">
        <f>'Input data'!E116</f>
        <v>40530.394349314942</v>
      </c>
      <c r="E45" s="435">
        <f>D45*(1+E$43)</f>
        <v>40979.205963700537</v>
      </c>
      <c r="F45" s="435">
        <f t="shared" ref="E45:J50" si="10">E45*(1+F$43)</f>
        <v>41539.043537808742</v>
      </c>
      <c r="G45" s="435">
        <f t="shared" si="10"/>
        <v>42296.757418682806</v>
      </c>
      <c r="H45" s="435">
        <f t="shared" si="10"/>
        <v>43448.985898206636</v>
      </c>
      <c r="I45" s="435">
        <f t="shared" si="10"/>
        <v>44762.496678444593</v>
      </c>
      <c r="J45" s="435">
        <f t="shared" si="10"/>
        <v>46092.931911064901</v>
      </c>
    </row>
    <row r="46" spans="1:13" x14ac:dyDescent="0.45">
      <c r="A46" s="1" t="str">
        <f t="shared" si="9"/>
        <v>Spine duct – single bore</v>
      </c>
      <c r="D46" s="435">
        <f>'Input data'!E117</f>
        <v>48061.938370100601</v>
      </c>
      <c r="E46" s="435">
        <f t="shared" si="10"/>
        <v>48594.15021991574</v>
      </c>
      <c r="F46" s="435">
        <f t="shared" si="10"/>
        <v>49258.019383194929</v>
      </c>
      <c r="G46" s="435">
        <f t="shared" si="10"/>
        <v>50156.535137344123</v>
      </c>
      <c r="H46" s="435">
        <f t="shared" si="10"/>
        <v>51522.876004740225</v>
      </c>
      <c r="I46" s="435">
        <f t="shared" si="10"/>
        <v>53080.469390685816</v>
      </c>
      <c r="J46" s="435">
        <f t="shared" si="10"/>
        <v>54658.132208483905</v>
      </c>
    </row>
    <row r="47" spans="1:13" x14ac:dyDescent="0.45">
      <c r="A47" s="1" t="str">
        <f t="shared" si="9"/>
        <v>Spine duct – 2 bores</v>
      </c>
      <c r="D47" s="435">
        <f>'Input data'!E118</f>
        <v>68842.527453241899</v>
      </c>
      <c r="E47" s="435">
        <f t="shared" si="10"/>
        <v>69604.85228083629</v>
      </c>
      <c r="F47" s="435">
        <f t="shared" si="10"/>
        <v>70555.759228169059</v>
      </c>
      <c r="G47" s="435">
        <f t="shared" si="10"/>
        <v>71842.767151067703</v>
      </c>
      <c r="H47" s="435">
        <f t="shared" si="10"/>
        <v>73799.874206340333</v>
      </c>
      <c r="I47" s="435">
        <f t="shared" si="10"/>
        <v>76030.925825757629</v>
      </c>
      <c r="J47" s="435">
        <f t="shared" si="10"/>
        <v>78290.724317650966</v>
      </c>
    </row>
    <row r="48" spans="1:13" x14ac:dyDescent="0.45">
      <c r="A48" s="1" t="str">
        <f t="shared" si="9"/>
        <v>Spine duct – 3+ bores</v>
      </c>
      <c r="D48" s="435">
        <f>'Input data'!E119</f>
        <v>72056.948528034089</v>
      </c>
      <c r="E48" s="435">
        <f t="shared" si="10"/>
        <v>72854.868111984877</v>
      </c>
      <c r="F48" s="435">
        <f t="shared" si="10"/>
        <v>73850.175162636762</v>
      </c>
      <c r="G48" s="435">
        <f t="shared" si="10"/>
        <v>75197.276541482381</v>
      </c>
      <c r="H48" s="435">
        <f t="shared" si="10"/>
        <v>77245.76557235673</v>
      </c>
      <c r="I48" s="435">
        <f t="shared" si="10"/>
        <v>79580.990289562673</v>
      </c>
      <c r="J48" s="435">
        <f t="shared" si="10"/>
        <v>81946.304138980602</v>
      </c>
    </row>
    <row r="49" spans="1:10" x14ac:dyDescent="0.45">
      <c r="A49" s="1" t="str">
        <f t="shared" si="9"/>
        <v>Joint boxes</v>
      </c>
      <c r="D49" s="435">
        <f>'Input data'!E120</f>
        <v>983.74402582588198</v>
      </c>
      <c r="E49" s="435">
        <f t="shared" si="10"/>
        <v>994.63747385325269</v>
      </c>
      <c r="F49" s="435">
        <f t="shared" si="10"/>
        <v>1008.2257173876044</v>
      </c>
      <c r="G49" s="435">
        <f t="shared" si="10"/>
        <v>1026.6167672543027</v>
      </c>
      <c r="H49" s="435">
        <f t="shared" si="10"/>
        <v>1054.5833809849476</v>
      </c>
      <c r="I49" s="435">
        <f t="shared" si="10"/>
        <v>1086.4646000962248</v>
      </c>
      <c r="J49" s="435">
        <f t="shared" si="10"/>
        <v>1118.7566054628248</v>
      </c>
    </row>
    <row r="50" spans="1:10" x14ac:dyDescent="0.45">
      <c r="A50" s="1" t="str">
        <f t="shared" si="9"/>
        <v>Manholes</v>
      </c>
      <c r="D50" s="435">
        <f>'Input data'!E121</f>
        <v>18621.806458220308</v>
      </c>
      <c r="E50" s="435">
        <f t="shared" si="10"/>
        <v>18828.014247546475</v>
      </c>
      <c r="F50" s="435">
        <f t="shared" si="10"/>
        <v>19085.23323395041</v>
      </c>
      <c r="G50" s="435">
        <f t="shared" si="10"/>
        <v>19433.367059610613</v>
      </c>
      <c r="H50" s="435">
        <f t="shared" si="10"/>
        <v>19962.761754278934</v>
      </c>
      <c r="I50" s="435">
        <f t="shared" si="10"/>
        <v>20566.258066689985</v>
      </c>
      <c r="J50" s="435">
        <f t="shared" si="10"/>
        <v>21177.530367510109</v>
      </c>
    </row>
    <row r="51" spans="1:10" x14ac:dyDescent="0.45">
      <c r="D51" s="435"/>
    </row>
    <row r="52" spans="1:10" x14ac:dyDescent="0.45">
      <c r="A52" s="315" t="s">
        <v>345</v>
      </c>
      <c r="D52" s="336" t="str">
        <f t="shared" ref="D52:J52" si="11">D42</f>
        <v>2019/20</v>
      </c>
      <c r="E52" s="336" t="str">
        <f t="shared" si="11"/>
        <v>2020/21</v>
      </c>
      <c r="F52" s="336" t="str">
        <f t="shared" si="11"/>
        <v>2021/22</v>
      </c>
      <c r="G52" s="336" t="str">
        <f t="shared" si="11"/>
        <v>2022/23</v>
      </c>
      <c r="H52" s="336" t="str">
        <f t="shared" si="11"/>
        <v>2023/24</v>
      </c>
      <c r="I52" s="336" t="str">
        <f t="shared" si="11"/>
        <v>2024/25</v>
      </c>
      <c r="J52" s="336" t="str">
        <f t="shared" si="11"/>
        <v>2025/26</v>
      </c>
    </row>
    <row r="53" spans="1:10" x14ac:dyDescent="0.45">
      <c r="A53" s="1" t="str">
        <f t="shared" ref="A53:A58" si="12">A45</f>
        <v>Lead-in duct</v>
      </c>
      <c r="D53" s="436">
        <f t="shared" ref="D53:J58" si="13">D45*D33/Million</f>
        <v>3812.755141182196</v>
      </c>
      <c r="E53" s="436">
        <f t="shared" si="13"/>
        <v>3882.2200657567646</v>
      </c>
      <c r="F53" s="436">
        <f t="shared" si="13"/>
        <v>3970.6302318081416</v>
      </c>
      <c r="G53" s="436">
        <f t="shared" si="13"/>
        <v>4087.9136510382091</v>
      </c>
      <c r="H53" s="436">
        <f t="shared" si="13"/>
        <v>4256.2914531810657</v>
      </c>
      <c r="I53" s="436">
        <f t="shared" si="13"/>
        <v>4444.9219671597011</v>
      </c>
      <c r="J53" s="436">
        <f t="shared" si="13"/>
        <v>4624.8764558431067</v>
      </c>
    </row>
    <row r="54" spans="1:10" x14ac:dyDescent="0.45">
      <c r="A54" s="1" t="str">
        <f t="shared" si="12"/>
        <v>Spine duct – single bore</v>
      </c>
      <c r="D54" s="436">
        <f t="shared" si="13"/>
        <v>15049.38710997915</v>
      </c>
      <c r="E54" s="436">
        <f t="shared" si="13"/>
        <v>15323.573230455808</v>
      </c>
      <c r="F54" s="436">
        <f t="shared" si="13"/>
        <v>15672.538418121172</v>
      </c>
      <c r="G54" s="436">
        <f t="shared" si="13"/>
        <v>16135.469687562192</v>
      </c>
      <c r="H54" s="436">
        <f t="shared" si="13"/>
        <v>16800.076417169705</v>
      </c>
      <c r="I54" s="436">
        <f t="shared" si="13"/>
        <v>17544.622951238143</v>
      </c>
      <c r="J54" s="436">
        <f t="shared" si="13"/>
        <v>18254.924206391712</v>
      </c>
    </row>
    <row r="55" spans="1:10" x14ac:dyDescent="0.45">
      <c r="A55" s="1" t="str">
        <f t="shared" si="12"/>
        <v>Spine duct – 2 bores</v>
      </c>
      <c r="D55" s="436">
        <f t="shared" si="13"/>
        <v>4452.7177811341544</v>
      </c>
      <c r="E55" s="436">
        <f t="shared" si="13"/>
        <v>4505.0481907260146</v>
      </c>
      <c r="F55" s="436">
        <f t="shared" si="13"/>
        <v>4568.7202577246044</v>
      </c>
      <c r="G55" s="436">
        <f t="shared" si="13"/>
        <v>4654.8752649133212</v>
      </c>
      <c r="H55" s="436">
        <f t="shared" si="13"/>
        <v>4784.1652777440831</v>
      </c>
      <c r="I55" s="436">
        <f t="shared" si="13"/>
        <v>4932.4547652666615</v>
      </c>
      <c r="J55" s="436">
        <f t="shared" si="13"/>
        <v>5082.4210787397578</v>
      </c>
    </row>
    <row r="56" spans="1:10" x14ac:dyDescent="0.45">
      <c r="A56" s="1" t="str">
        <f t="shared" si="12"/>
        <v>Spine duct – 3+ bores</v>
      </c>
      <c r="D56" s="436">
        <f t="shared" si="13"/>
        <v>4405.9593008233996</v>
      </c>
      <c r="E56" s="436">
        <f t="shared" si="13"/>
        <v>4455.3809043257952</v>
      </c>
      <c r="F56" s="436">
        <f t="shared" si="13"/>
        <v>4516.5231842059793</v>
      </c>
      <c r="G56" s="436">
        <f t="shared" si="13"/>
        <v>4599.1235379906693</v>
      </c>
      <c r="H56" s="436">
        <f t="shared" si="13"/>
        <v>4724.6968863487709</v>
      </c>
      <c r="I56" s="436">
        <f t="shared" si="13"/>
        <v>4867.7512888219781</v>
      </c>
      <c r="J56" s="436">
        <f t="shared" si="13"/>
        <v>5012.6286092930886</v>
      </c>
    </row>
    <row r="57" spans="1:10" x14ac:dyDescent="0.45">
      <c r="A57" s="1" t="str">
        <f t="shared" si="12"/>
        <v>Joint boxes</v>
      </c>
      <c r="D57" s="436">
        <f t="shared" si="13"/>
        <v>6126.283294279684</v>
      </c>
      <c r="E57" s="436">
        <f t="shared" si="13"/>
        <v>6214.3868283555767</v>
      </c>
      <c r="F57" s="436">
        <f t="shared" si="13"/>
        <v>6335.4383580221183</v>
      </c>
      <c r="G57" s="436">
        <f t="shared" si="13"/>
        <v>6498.4570027252385</v>
      </c>
      <c r="H57" s="436">
        <f t="shared" si="13"/>
        <v>6728.0988275591581</v>
      </c>
      <c r="I57" s="436">
        <f t="shared" si="13"/>
        <v>6995.1749472962856</v>
      </c>
      <c r="J57" s="436">
        <f t="shared" si="13"/>
        <v>7259.9680140373111</v>
      </c>
    </row>
    <row r="58" spans="1:10" x14ac:dyDescent="0.45">
      <c r="A58" s="438" t="str">
        <f t="shared" si="12"/>
        <v>Manholes</v>
      </c>
      <c r="B58" s="438"/>
      <c r="C58" s="438"/>
      <c r="D58" s="436">
        <f t="shared" si="13"/>
        <v>3652.3165142861262</v>
      </c>
      <c r="E58" s="436">
        <f t="shared" si="13"/>
        <v>3693.3518778894877</v>
      </c>
      <c r="F58" s="436">
        <f t="shared" si="13"/>
        <v>3743.869185474502</v>
      </c>
      <c r="G58" s="436">
        <f t="shared" si="13"/>
        <v>3812.3273721438632</v>
      </c>
      <c r="H58" s="436">
        <f t="shared" si="13"/>
        <v>3916.3836432416369</v>
      </c>
      <c r="I58" s="436">
        <f t="shared" si="13"/>
        <v>4034.9657102371129</v>
      </c>
      <c r="J58" s="436">
        <f t="shared" si="13"/>
        <v>4155.0817050557489</v>
      </c>
    </row>
    <row r="59" spans="1:10" x14ac:dyDescent="0.45">
      <c r="A59" s="1" t="s">
        <v>0</v>
      </c>
      <c r="D59" s="437">
        <f>SUM(D53:D58)</f>
        <v>37499.41914168471</v>
      </c>
      <c r="E59" s="437">
        <f t="shared" ref="E59:J59" si="14">SUM(E53:E58)</f>
        <v>38073.961097509447</v>
      </c>
      <c r="F59" s="437">
        <f t="shared" si="14"/>
        <v>38807.719635356523</v>
      </c>
      <c r="G59" s="437">
        <f t="shared" si="14"/>
        <v>39788.166516373487</v>
      </c>
      <c r="H59" s="437">
        <f t="shared" si="14"/>
        <v>41209.712505244417</v>
      </c>
      <c r="I59" s="437">
        <f t="shared" si="14"/>
        <v>42819.891630019883</v>
      </c>
      <c r="J59" s="437">
        <f t="shared" si="14"/>
        <v>44389.900069360723</v>
      </c>
    </row>
    <row r="61" spans="1:10" x14ac:dyDescent="0.45">
      <c r="A61" s="315" t="s">
        <v>346</v>
      </c>
      <c r="D61" s="336" t="str">
        <f t="shared" ref="D61:J61" si="15">D52</f>
        <v>2019/20</v>
      </c>
      <c r="E61" s="336" t="str">
        <f t="shared" si="15"/>
        <v>2020/21</v>
      </c>
      <c r="F61" s="336" t="str">
        <f t="shared" si="15"/>
        <v>2021/22</v>
      </c>
      <c r="G61" s="336" t="str">
        <f t="shared" si="15"/>
        <v>2022/23</v>
      </c>
      <c r="H61" s="336" t="str">
        <f t="shared" si="15"/>
        <v>2023/24</v>
      </c>
      <c r="I61" s="336" t="str">
        <f t="shared" si="15"/>
        <v>2024/25</v>
      </c>
      <c r="J61" s="336" t="str">
        <f t="shared" si="15"/>
        <v>2025/26</v>
      </c>
    </row>
    <row r="62" spans="1:10" x14ac:dyDescent="0.45">
      <c r="A62" s="1" t="str">
        <f t="shared" ref="A62:A67" si="16">A53</f>
        <v>Lead-in duct</v>
      </c>
      <c r="D62" s="551">
        <f>D53/D$59</f>
        <v>0.10167504533273961</v>
      </c>
      <c r="E62" s="551">
        <f t="shared" ref="D62:J67" si="17">E53/E$59</f>
        <v>0.1019652264657778</v>
      </c>
      <c r="F62" s="551">
        <f t="shared" si="17"/>
        <v>0.10231547406332585</v>
      </c>
      <c r="G62" s="551">
        <f t="shared" si="17"/>
        <v>0.10274194588373317</v>
      </c>
      <c r="H62" s="551">
        <f t="shared" si="17"/>
        <v>0.10328369683820053</v>
      </c>
      <c r="I62" s="551">
        <f t="shared" si="17"/>
        <v>0.10380507278172289</v>
      </c>
      <c r="J62" s="551">
        <f t="shared" si="17"/>
        <v>0.10418758430671347</v>
      </c>
    </row>
    <row r="63" spans="1:10" x14ac:dyDescent="0.45">
      <c r="A63" s="1" t="str">
        <f t="shared" si="16"/>
        <v>Spine duct – single bore</v>
      </c>
      <c r="D63" s="551">
        <f>D54/D$59</f>
        <v>0.40132320591734472</v>
      </c>
      <c r="E63" s="551">
        <f t="shared" si="17"/>
        <v>0.40246858453238732</v>
      </c>
      <c r="F63" s="551">
        <f t="shared" si="17"/>
        <v>0.40385105245509978</v>
      </c>
      <c r="G63" s="551">
        <f t="shared" si="17"/>
        <v>0.40553438623320781</v>
      </c>
      <c r="H63" s="551">
        <f t="shared" si="17"/>
        <v>0.4076727401345423</v>
      </c>
      <c r="I63" s="551">
        <f t="shared" si="17"/>
        <v>0.40973067150263587</v>
      </c>
      <c r="J63" s="551">
        <f t="shared" si="17"/>
        <v>0.41124048889201764</v>
      </c>
    </row>
    <row r="64" spans="1:10" x14ac:dyDescent="0.45">
      <c r="A64" s="1" t="str">
        <f t="shared" si="16"/>
        <v>Spine duct – 2 bores</v>
      </c>
      <c r="D64" s="551">
        <f>D55/D$59</f>
        <v>0.11874098007519458</v>
      </c>
      <c r="E64" s="551">
        <f t="shared" si="17"/>
        <v>0.11832360124517503</v>
      </c>
      <c r="F64" s="551">
        <f t="shared" si="17"/>
        <v>0.11772709916101805</v>
      </c>
      <c r="G64" s="551">
        <f t="shared" si="17"/>
        <v>0.1169914492792163</v>
      </c>
      <c r="H64" s="551">
        <f t="shared" si="17"/>
        <v>0.11609314860265628</v>
      </c>
      <c r="I64" s="551">
        <f t="shared" si="17"/>
        <v>0.11519073443447599</v>
      </c>
      <c r="J64" s="551">
        <f t="shared" si="17"/>
        <v>0.11449498806706712</v>
      </c>
    </row>
    <row r="65" spans="1:10" x14ac:dyDescent="0.45">
      <c r="A65" s="1" t="str">
        <f t="shared" si="16"/>
        <v>Spine duct – 3+ bores</v>
      </c>
      <c r="D65" s="551">
        <f t="shared" si="17"/>
        <v>0.1174940679527938</v>
      </c>
      <c r="E65" s="551">
        <f t="shared" si="17"/>
        <v>0.11701910638914945</v>
      </c>
      <c r="F65" s="552">
        <f t="shared" si="17"/>
        <v>0.11638208136535581</v>
      </c>
      <c r="G65" s="551">
        <f t="shared" si="17"/>
        <v>0.11559023550627934</v>
      </c>
      <c r="H65" s="551">
        <f t="shared" si="17"/>
        <v>0.11465008123382317</v>
      </c>
      <c r="I65" s="551">
        <f t="shared" si="17"/>
        <v>0.11367967324348219</v>
      </c>
      <c r="J65" s="551">
        <f t="shared" si="17"/>
        <v>0.112922727950743</v>
      </c>
    </row>
    <row r="66" spans="1:10" x14ac:dyDescent="0.45">
      <c r="A66" s="1" t="str">
        <f t="shared" si="16"/>
        <v>Joint boxes</v>
      </c>
      <c r="D66" s="551">
        <f t="shared" si="17"/>
        <v>0.1633700850440547</v>
      </c>
      <c r="E66" s="551">
        <f t="shared" si="17"/>
        <v>0.1632188154114094</v>
      </c>
      <c r="F66" s="551">
        <f t="shared" si="17"/>
        <v>0.16325201319610891</v>
      </c>
      <c r="G66" s="551">
        <f t="shared" si="17"/>
        <v>0.1633263749424346</v>
      </c>
      <c r="H66" s="551">
        <f t="shared" si="17"/>
        <v>0.1632648814694577</v>
      </c>
      <c r="I66" s="551">
        <f t="shared" si="17"/>
        <v>0.16336274289849334</v>
      </c>
      <c r="J66" s="551">
        <f t="shared" si="17"/>
        <v>0.16354999679416635</v>
      </c>
    </row>
    <row r="67" spans="1:10" x14ac:dyDescent="0.45">
      <c r="A67" s="438" t="str">
        <f t="shared" si="16"/>
        <v>Manholes</v>
      </c>
      <c r="B67" s="438"/>
      <c r="C67" s="438"/>
      <c r="D67" s="551">
        <f t="shared" si="17"/>
        <v>9.7396615677872639E-2</v>
      </c>
      <c r="E67" s="551">
        <f t="shared" si="17"/>
        <v>9.700466595610098E-2</v>
      </c>
      <c r="F67" s="551">
        <f t="shared" si="17"/>
        <v>9.6472279759091478E-2</v>
      </c>
      <c r="G67" s="551">
        <f t="shared" si="17"/>
        <v>9.581560815512892E-2</v>
      </c>
      <c r="H67" s="551">
        <f t="shared" si="17"/>
        <v>9.5035451721320094E-2</v>
      </c>
      <c r="I67" s="551">
        <f t="shared" si="17"/>
        <v>9.4231105139189711E-2</v>
      </c>
      <c r="J67" s="551">
        <f t="shared" si="17"/>
        <v>9.3604213989292445E-2</v>
      </c>
    </row>
    <row r="68" spans="1:10" x14ac:dyDescent="0.45">
      <c r="A68" s="1" t="s">
        <v>0</v>
      </c>
      <c r="D68" s="79">
        <f t="shared" ref="D68:J68" si="18">SUM(D62:D67)</f>
        <v>1.0000000000000002</v>
      </c>
      <c r="E68" s="7">
        <f t="shared" si="18"/>
        <v>1</v>
      </c>
      <c r="F68" s="7">
        <f t="shared" si="18"/>
        <v>0.99999999999999989</v>
      </c>
      <c r="G68" s="7">
        <f t="shared" si="18"/>
        <v>1.0000000000000002</v>
      </c>
      <c r="H68" s="7">
        <f t="shared" si="18"/>
        <v>1</v>
      </c>
      <c r="I68" s="7">
        <f t="shared" si="18"/>
        <v>1</v>
      </c>
      <c r="J68" s="7">
        <f t="shared" si="18"/>
        <v>1</v>
      </c>
    </row>
  </sheetData>
  <phoneticPr fontId="56" type="noConversion"/>
  <printOptions horizontalCentered="1" verticalCentered="1"/>
  <pageMargins left="0.19685039370078741" right="0.19685039370078741" top="0.39370078740157483" bottom="0.39370078740157483" header="0.19685039370078741" footer="0.19685039370078741"/>
  <pageSetup paperSize="9" scale="62" orientation="landscape" r:id="rId1"/>
  <headerFooter>
    <oddHeader xml:space="preserve">&amp;Cpage &amp;P of &amp;N&amp;R&amp;D &amp;T&amp;L&amp;"Calibri"&amp;12&amp;K000000Classification: HIGHLY SENSITIVE&amp;1#_x000D_&amp;"Calibri"&amp;11&amp;K000000File: &amp;F Sheet: &amp;A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7E57-B425-441B-80F5-F1F1C357C462}">
  <sheetPr codeName="Sheet11">
    <tabColor theme="0"/>
  </sheetPr>
  <dimension ref="A1:O169"/>
  <sheetViews>
    <sheetView topLeftCell="A142" zoomScaleNormal="100" workbookViewId="0">
      <selection activeCell="P154" sqref="P154"/>
    </sheetView>
  </sheetViews>
  <sheetFormatPr defaultColWidth="8.86328125" defaultRowHeight="13.15" x14ac:dyDescent="0.4"/>
  <cols>
    <col min="1" max="1" width="16.59765625" style="24" customWidth="1"/>
    <col min="2" max="2" width="20" style="24" bestFit="1" customWidth="1"/>
    <col min="3" max="3" width="2" style="24" customWidth="1"/>
    <col min="4" max="4" width="10.86328125" style="24" customWidth="1"/>
    <col min="5" max="5" width="8.86328125" style="24"/>
    <col min="6" max="12" width="11.59765625" style="24" customWidth="1"/>
    <col min="13" max="13" width="2" style="24" customWidth="1"/>
    <col min="14" max="14" width="23.1328125" style="24" bestFit="1" customWidth="1"/>
    <col min="15" max="16384" width="8.86328125" style="24"/>
  </cols>
  <sheetData>
    <row r="1" spans="1:14" s="55" customFormat="1" ht="21" x14ac:dyDescent="0.65">
      <c r="A1" s="217" t="s">
        <v>78</v>
      </c>
    </row>
    <row r="2" spans="1:14" ht="6" customHeight="1" x14ac:dyDescent="0.4"/>
    <row r="3" spans="1:14" ht="15.75" x14ac:dyDescent="0.5">
      <c r="A3" s="54" t="s">
        <v>227</v>
      </c>
    </row>
    <row r="4" spans="1:14" ht="7.15" customHeight="1" x14ac:dyDescent="0.4">
      <c r="A4" s="31"/>
      <c r="B4" s="29"/>
      <c r="D4" s="44"/>
      <c r="E4" s="44"/>
      <c r="F4" s="44"/>
    </row>
    <row r="5" spans="1:14" s="44" customFormat="1" x14ac:dyDescent="0.4">
      <c r="A5" s="31"/>
      <c r="B5" s="29"/>
      <c r="E5" s="45" t="str">
        <f>'Input data'!D56</f>
        <v>2018/19</v>
      </c>
      <c r="F5" s="45" t="str">
        <f>'Input data'!E56</f>
        <v>2019/20</v>
      </c>
    </row>
    <row r="6" spans="1:14" s="44" customFormat="1" x14ac:dyDescent="0.4">
      <c r="A6" s="44" t="s">
        <v>84</v>
      </c>
      <c r="B6" s="29"/>
      <c r="E6" s="188">
        <f>'Input data'!D57</f>
        <v>26.793747013530734</v>
      </c>
      <c r="F6" s="188">
        <f>'Input data'!E57</f>
        <v>40.651549398899078</v>
      </c>
    </row>
    <row r="7" spans="1:14" s="44" customFormat="1" ht="7.15" customHeight="1" x14ac:dyDescent="0.4">
      <c r="A7" s="31"/>
      <c r="B7" s="29"/>
    </row>
    <row r="8" spans="1:14" x14ac:dyDescent="0.4">
      <c r="A8" s="134" t="s">
        <v>156</v>
      </c>
      <c r="B8" s="134"/>
      <c r="C8" s="134"/>
      <c r="D8" s="42"/>
      <c r="E8" s="28"/>
      <c r="F8" s="45" t="str">
        <f>'Parameters and Assumptions'!D45</f>
        <v>2019/20</v>
      </c>
      <c r="G8" s="45" t="str">
        <f>'Parameters and Assumptions'!E45</f>
        <v>2020/21</v>
      </c>
      <c r="H8" s="45" t="str">
        <f>'Parameters and Assumptions'!F45</f>
        <v>2021/22</v>
      </c>
      <c r="I8" s="45" t="str">
        <f>'Parameters and Assumptions'!G45</f>
        <v>2022/23</v>
      </c>
      <c r="J8" s="45" t="str">
        <f>'Parameters and Assumptions'!H45</f>
        <v>2023/24</v>
      </c>
      <c r="K8" s="45" t="str">
        <f>'Parameters and Assumptions'!I45</f>
        <v>2024/25</v>
      </c>
      <c r="L8" s="45" t="str">
        <f>'Parameters and Assumptions'!J45</f>
        <v>2025/26</v>
      </c>
      <c r="M8" s="45"/>
    </row>
    <row r="9" spans="1:14" x14ac:dyDescent="0.4">
      <c r="A9" s="31"/>
      <c r="B9" s="29"/>
    </row>
    <row r="10" spans="1:14" x14ac:dyDescent="0.4">
      <c r="A10" s="24" t="str">
        <f>'Parameters and Assumptions'!A46</f>
        <v>PIA Asset Inflation  - measure</v>
      </c>
      <c r="E10" s="285"/>
      <c r="F10" s="285" t="str">
        <f>INDEX('Parameters and Assumptions'!$A$45:$J$48,MATCH($A10,'Parameters and Assumptions'!$A$45:$A$48,0),MATCH(F$8,'Parameters and Assumptions'!$A$45:$J$45,0))</f>
        <v>RPI</v>
      </c>
      <c r="G10" s="285" t="str">
        <f>INDEX('Parameters and Assumptions'!$A$45:$J$48,MATCH($A10,'Parameters and Assumptions'!$A$45:$A$48,0),MATCH(G$8,'Parameters and Assumptions'!$A$45:$J$45,0))</f>
        <v>RPI</v>
      </c>
      <c r="H10" s="285" t="str">
        <f>INDEX('Parameters and Assumptions'!$A$45:$J$48,MATCH($A10,'Parameters and Assumptions'!$A$45:$A$48,0),MATCH(H$8,'Parameters and Assumptions'!$A$45:$J$45,0))</f>
        <v>RPI</v>
      </c>
      <c r="I10" s="285" t="str">
        <f>INDEX('Parameters and Assumptions'!$A$45:$J$48,MATCH($A10,'Parameters and Assumptions'!$A$45:$A$48,0),MATCH(I$8,'Parameters and Assumptions'!$A$45:$J$45,0))</f>
        <v>RPI</v>
      </c>
      <c r="J10" s="285" t="str">
        <f>INDEX('Parameters and Assumptions'!$A$45:$J$48,MATCH($A10,'Parameters and Assumptions'!$A$45:$A$48,0),MATCH(J$8,'Parameters and Assumptions'!$A$45:$J$45,0))</f>
        <v>RPI</v>
      </c>
      <c r="K10" s="285" t="str">
        <f>INDEX('Parameters and Assumptions'!$A$45:$J$48,MATCH($A10,'Parameters and Assumptions'!$A$45:$A$48,0),MATCH(K$8,'Parameters and Assumptions'!$A$45:$J$45,0))</f>
        <v>RPI</v>
      </c>
      <c r="L10" s="285" t="str">
        <f>INDEX('Parameters and Assumptions'!$A$45:$J$48,MATCH($A10,'Parameters and Assumptions'!$A$45:$A$48,0),MATCH(L$8,'Parameters and Assumptions'!$A$45:$J$45,0))</f>
        <v>RPI</v>
      </c>
    </row>
    <row r="11" spans="1:14" x14ac:dyDescent="0.4">
      <c r="A11" s="44" t="str">
        <f>'Parameters and Assumptions'!A47</f>
        <v>PIA Asset Inflation value</v>
      </c>
      <c r="E11" s="375"/>
      <c r="F11" s="388">
        <f>INDEX('Parameters and Assumptions'!$A$45:$J$48,MATCH($A11,'Parameters and Assumptions'!$A$45:$A$48,0),MATCH(F$8,'Parameters and Assumptions'!$A$45:$J$45,0))</f>
        <v>2.5884636593194843E-2</v>
      </c>
      <c r="G11" s="388">
        <f>INDEX('Parameters and Assumptions'!$A$45:$J$48,MATCH($A11,'Parameters and Assumptions'!$A$45:$A$48,0),MATCH(G$8,'Parameters and Assumptions'!$A$45:$J$45,0))</f>
        <v>1.1073457872565307E-2</v>
      </c>
      <c r="H11" s="388">
        <f>INDEX('Parameters and Assumptions'!$A$45:$J$48,MATCH($A11,'Parameters and Assumptions'!$A$45:$A$48,0),MATCH(H$8,'Parameters and Assumptions'!$A$45:$J$45,0))</f>
        <v>1.3661503705174605E-2</v>
      </c>
      <c r="I11" s="388">
        <f>INDEX('Parameters and Assumptions'!$A$45:$J$48,MATCH($A11,'Parameters and Assumptions'!$A$45:$A$48,0),MATCH(I$8,'Parameters and Assumptions'!$A$45:$J$45,0))</f>
        <v>1.8241004518661841E-2</v>
      </c>
      <c r="J11" s="388">
        <f>INDEX('Parameters and Assumptions'!$A$45:$J$48,MATCH($A11,'Parameters and Assumptions'!$A$45:$A$48,0),MATCH(J$8,'Parameters and Assumptions'!$A$45:$J$45,0))</f>
        <v>2.7241532208208463E-2</v>
      </c>
      <c r="K11" s="388">
        <f>INDEX('Parameters and Assumptions'!$A$45:$J$48,MATCH($A11,'Parameters and Assumptions'!$A$45:$A$48,0),MATCH(K$8,'Parameters and Assumptions'!$A$45:$J$45,0))</f>
        <v>3.0231103283176353E-2</v>
      </c>
      <c r="L11" s="388">
        <f>INDEX('Parameters and Assumptions'!$A$45:$J$48,MATCH($A11,'Parameters and Assumptions'!$A$45:$A$48,0),MATCH(L$8,'Parameters and Assumptions'!$A$45:$J$45,0))</f>
        <v>2.9722096204275905E-2</v>
      </c>
    </row>
    <row r="12" spans="1:14" x14ac:dyDescent="0.4">
      <c r="D12" s="53"/>
      <c r="E12" s="30"/>
      <c r="F12" s="30"/>
      <c r="G12" s="30"/>
      <c r="H12" s="30"/>
      <c r="I12" s="30"/>
      <c r="J12" s="30"/>
      <c r="K12" s="30"/>
      <c r="L12" s="30"/>
    </row>
    <row r="13" spans="1:14" s="44" customFormat="1" x14ac:dyDescent="0.4">
      <c r="A13" s="198"/>
      <c r="B13" s="458"/>
      <c r="D13" s="53"/>
      <c r="E13" s="30"/>
      <c r="F13" s="30"/>
      <c r="G13" s="30"/>
      <c r="H13" s="30"/>
      <c r="I13" s="30"/>
      <c r="J13" s="30"/>
      <c r="K13" s="30"/>
      <c r="L13" s="30"/>
    </row>
    <row r="14" spans="1:14" s="44" customFormat="1" x14ac:dyDescent="0.4">
      <c r="B14" s="44" t="str">
        <f>'Parameters and Assumptions'!B96</f>
        <v>LDD Capex Forecasts</v>
      </c>
      <c r="D14" s="53"/>
      <c r="E14" s="30"/>
      <c r="F14" s="30"/>
      <c r="G14" s="69">
        <f>'Parameters and Assumptions'!E96</f>
        <v>205.21709069788457</v>
      </c>
      <c r="H14" s="69">
        <f>'Parameters and Assumptions'!F96</f>
        <v>299.70603862180951</v>
      </c>
      <c r="I14" s="69">
        <f>'Parameters and Assumptions'!G96</f>
        <v>389.33224862806321</v>
      </c>
      <c r="J14" s="69">
        <f>'Parameters and Assumptions'!H96</f>
        <v>328.61167468427897</v>
      </c>
      <c r="K14" s="69">
        <f>'Parameters and Assumptions'!I96</f>
        <v>398.93378119186877</v>
      </c>
      <c r="L14" s="69">
        <f>'Parameters and Assumptions'!J96</f>
        <v>465.18212409050705</v>
      </c>
    </row>
    <row r="15" spans="1:14" ht="6" customHeight="1" thickBot="1" x14ac:dyDescent="0.45">
      <c r="A15" s="33"/>
      <c r="B15" s="33"/>
      <c r="C15" s="33"/>
      <c r="D15" s="33"/>
      <c r="E15" s="34"/>
      <c r="F15" s="34"/>
      <c r="G15" s="34"/>
      <c r="H15" s="34"/>
      <c r="I15" s="34"/>
      <c r="J15" s="34"/>
      <c r="K15" s="34"/>
      <c r="L15" s="34"/>
      <c r="M15" s="34"/>
      <c r="N15" s="34"/>
    </row>
    <row r="16" spans="1:14" ht="6" customHeight="1" thickTop="1" x14ac:dyDescent="0.4"/>
    <row r="17" spans="1:14" ht="18" x14ac:dyDescent="0.55000000000000004">
      <c r="A17" s="48" t="s">
        <v>68</v>
      </c>
      <c r="B17" s="49"/>
      <c r="C17" s="49"/>
      <c r="D17" s="53"/>
      <c r="F17" s="49"/>
      <c r="G17" s="49" t="s">
        <v>69</v>
      </c>
      <c r="H17" s="49"/>
      <c r="I17" s="49"/>
      <c r="J17" s="49"/>
      <c r="K17" s="49"/>
      <c r="L17" s="49"/>
    </row>
    <row r="18" spans="1:14" x14ac:dyDescent="0.4">
      <c r="A18" s="49"/>
      <c r="B18" s="49"/>
      <c r="C18" s="49"/>
      <c r="D18" s="378"/>
      <c r="E18" s="378">
        <f>'Parameters and Assumptions'!E41</f>
        <v>0</v>
      </c>
      <c r="F18" s="45" t="s">
        <v>37</v>
      </c>
      <c r="G18" s="45" t="s">
        <v>38</v>
      </c>
      <c r="H18" s="45" t="s">
        <v>45</v>
      </c>
      <c r="I18" s="45" t="s">
        <v>46</v>
      </c>
      <c r="J18" s="45" t="s">
        <v>47</v>
      </c>
      <c r="K18" s="45" t="s">
        <v>52</v>
      </c>
      <c r="L18" s="45" t="s">
        <v>51</v>
      </c>
    </row>
    <row r="19" spans="1:14" ht="6" customHeight="1" x14ac:dyDescent="0.4">
      <c r="A19" s="49"/>
      <c r="B19" s="49"/>
      <c r="C19" s="49"/>
      <c r="D19" s="49"/>
      <c r="E19" s="188"/>
      <c r="F19" s="49"/>
      <c r="G19" s="49"/>
      <c r="H19" s="49"/>
      <c r="I19" s="49"/>
      <c r="J19" s="49"/>
      <c r="K19" s="49"/>
      <c r="L19" s="49"/>
    </row>
    <row r="20" spans="1:14" x14ac:dyDescent="0.4">
      <c r="A20" s="51" t="str">
        <f>'Input data'!A73</f>
        <v>Other post 97 Assets</v>
      </c>
      <c r="B20" s="49" t="str">
        <f>'Input data'!B73</f>
        <v>Opening GRC</v>
      </c>
      <c r="C20" s="49"/>
      <c r="E20" s="379"/>
      <c r="F20" s="412">
        <f>'Input data'!E73</f>
        <v>4774.4349434803253</v>
      </c>
      <c r="G20" s="68">
        <f>F24</f>
        <v>4887.1206064286926</v>
      </c>
      <c r="H20" s="68">
        <f t="shared" ref="H20:L20" si="0">G24</f>
        <v>4941.2379305821269</v>
      </c>
      <c r="I20" s="68">
        <f t="shared" si="0"/>
        <v>5008.7426708789235</v>
      </c>
      <c r="J20" s="68">
        <f t="shared" si="0"/>
        <v>5100.1071685712404</v>
      </c>
      <c r="K20" s="68">
        <f t="shared" si="0"/>
        <v>5239.0419022691885</v>
      </c>
      <c r="L20" s="68">
        <f t="shared" si="0"/>
        <v>5397.4239191215775</v>
      </c>
    </row>
    <row r="21" spans="1:14" x14ac:dyDescent="0.4">
      <c r="A21" s="51" t="str">
        <f>'Input data'!A74</f>
        <v>GRC</v>
      </c>
      <c r="B21" s="49" t="str">
        <f>'Input data'!B74</f>
        <v>Net asset registrations</v>
      </c>
      <c r="C21" s="49"/>
      <c r="E21" s="379"/>
      <c r="F21" s="412">
        <f>'Input data'!E74</f>
        <v>0</v>
      </c>
      <c r="G21" s="194">
        <v>0</v>
      </c>
      <c r="H21" s="194">
        <v>0</v>
      </c>
      <c r="I21" s="194">
        <v>0</v>
      </c>
      <c r="J21" s="194">
        <v>0</v>
      </c>
      <c r="K21" s="194">
        <v>0</v>
      </c>
      <c r="L21" s="194">
        <v>0</v>
      </c>
      <c r="N21" s="26" t="s">
        <v>276</v>
      </c>
    </row>
    <row r="22" spans="1:14" x14ac:dyDescent="0.4">
      <c r="A22" s="49"/>
      <c r="B22" s="49" t="str">
        <f>'Input data'!B75</f>
        <v>Price movement</v>
      </c>
      <c r="C22" s="49"/>
      <c r="E22" s="379"/>
      <c r="F22" s="412">
        <f>'Input data'!E75</f>
        <v>116.71703251309394</v>
      </c>
      <c r="G22" s="68">
        <f>G20*G$11</f>
        <v>54.117324153433941</v>
      </c>
      <c r="H22" s="68">
        <f t="shared" ref="H22:L22" si="1">H20*H$11</f>
        <v>67.504740296797024</v>
      </c>
      <c r="I22" s="68">
        <f t="shared" si="1"/>
        <v>91.364497692316817</v>
      </c>
      <c r="J22" s="68">
        <f t="shared" si="1"/>
        <v>138.9347336979483</v>
      </c>
      <c r="K22" s="68">
        <f t="shared" si="1"/>
        <v>158.38201685238855</v>
      </c>
      <c r="L22" s="68">
        <f t="shared" si="1"/>
        <v>160.42275297939142</v>
      </c>
    </row>
    <row r="23" spans="1:14" x14ac:dyDescent="0.4">
      <c r="A23" s="49"/>
      <c r="B23" s="49" t="str">
        <f>'Input data'!B76</f>
        <v>Write outs and Other adjs</v>
      </c>
      <c r="C23" s="49"/>
      <c r="E23" s="379"/>
      <c r="F23" s="412">
        <f>'Input data'!E76</f>
        <v>-4.0313695647263526</v>
      </c>
      <c r="G23" s="194">
        <v>0</v>
      </c>
      <c r="H23" s="194">
        <v>0</v>
      </c>
      <c r="I23" s="194">
        <v>0</v>
      </c>
      <c r="J23" s="194">
        <v>0</v>
      </c>
      <c r="K23" s="194">
        <v>0</v>
      </c>
      <c r="L23" s="194">
        <v>0</v>
      </c>
      <c r="N23" s="26" t="s">
        <v>278</v>
      </c>
    </row>
    <row r="24" spans="1:14" x14ac:dyDescent="0.4">
      <c r="A24" s="49"/>
      <c r="B24" s="49" t="str">
        <f>'Input data'!B77</f>
        <v>Closing GRC</v>
      </c>
      <c r="C24" s="49"/>
      <c r="E24" s="379"/>
      <c r="F24" s="412">
        <f>'Input data'!E77</f>
        <v>4887.1206064286926</v>
      </c>
      <c r="G24" s="68">
        <f>SUM(G20:G23)</f>
        <v>4941.2379305821269</v>
      </c>
      <c r="H24" s="68">
        <f t="shared" ref="H24:L24" si="2">SUM(H20:H23)</f>
        <v>5008.7426708789235</v>
      </c>
      <c r="I24" s="68">
        <f t="shared" si="2"/>
        <v>5100.1071685712404</v>
      </c>
      <c r="J24" s="68">
        <f t="shared" si="2"/>
        <v>5239.0419022691885</v>
      </c>
      <c r="K24" s="68">
        <f t="shared" si="2"/>
        <v>5397.4239191215775</v>
      </c>
      <c r="L24" s="68">
        <f t="shared" si="2"/>
        <v>5557.846672100969</v>
      </c>
    </row>
    <row r="25" spans="1:14" x14ac:dyDescent="0.4">
      <c r="A25" s="49"/>
      <c r="B25" s="52" t="s">
        <v>48</v>
      </c>
      <c r="C25" s="49"/>
      <c r="E25" s="379"/>
      <c r="F25" s="191" t="b">
        <f>SUM(F20:F23)=F24</f>
        <v>1</v>
      </c>
      <c r="G25" s="49"/>
      <c r="H25" s="49"/>
      <c r="I25" s="49"/>
      <c r="J25" s="49"/>
      <c r="K25" s="49"/>
      <c r="L25" s="49"/>
    </row>
    <row r="26" spans="1:14" x14ac:dyDescent="0.4">
      <c r="A26" s="49"/>
      <c r="B26" s="49"/>
      <c r="C26" s="49"/>
      <c r="E26" s="379"/>
      <c r="F26" s="192"/>
      <c r="G26" s="49"/>
      <c r="H26" s="49"/>
      <c r="I26" s="49"/>
      <c r="J26" s="49"/>
      <c r="K26" s="49"/>
      <c r="L26" s="49"/>
    </row>
    <row r="27" spans="1:14" x14ac:dyDescent="0.4">
      <c r="A27" s="51" t="str">
        <f>'Input data'!A79</f>
        <v>Other post 97 Assets</v>
      </c>
      <c r="B27" s="49" t="str">
        <f>'Input data'!B79</f>
        <v>Duct Opening NRC</v>
      </c>
      <c r="C27" s="49"/>
      <c r="E27" s="379"/>
      <c r="F27" s="412">
        <f>'Input data'!E79</f>
        <v>3305.148673633189</v>
      </c>
      <c r="G27" s="68">
        <f>F32</f>
        <v>3269.0343873381375</v>
      </c>
      <c r="H27" s="68">
        <f t="shared" ref="H27:L27" si="3">G32</f>
        <v>3174.3497260843051</v>
      </c>
      <c r="I27" s="68">
        <f t="shared" si="3"/>
        <v>3085.2123006962152</v>
      </c>
      <c r="J27" s="68">
        <f t="shared" si="3"/>
        <v>3006.8701958487127</v>
      </c>
      <c r="K27" s="68">
        <f t="shared" si="3"/>
        <v>2951.0955776578594</v>
      </c>
      <c r="L27" s="68">
        <f t="shared" si="3"/>
        <v>2898.6647184836243</v>
      </c>
    </row>
    <row r="28" spans="1:14" x14ac:dyDescent="0.4">
      <c r="A28" s="51" t="str">
        <f>'Input data'!A80</f>
        <v>NRC</v>
      </c>
      <c r="B28" s="49" t="str">
        <f>'Input data'!B80</f>
        <v>Net Asset registrations</v>
      </c>
      <c r="C28" s="49"/>
      <c r="E28" s="379"/>
      <c r="F28" s="412">
        <f>'Input data'!E80</f>
        <v>0</v>
      </c>
      <c r="G28" s="194">
        <v>0</v>
      </c>
      <c r="H28" s="194">
        <v>0</v>
      </c>
      <c r="I28" s="194">
        <v>0</v>
      </c>
      <c r="J28" s="194">
        <v>0</v>
      </c>
      <c r="K28" s="194">
        <v>0</v>
      </c>
      <c r="L28" s="194">
        <v>0</v>
      </c>
      <c r="N28" s="26" t="s">
        <v>276</v>
      </c>
    </row>
    <row r="29" spans="1:14" x14ac:dyDescent="0.4">
      <c r="A29" s="49"/>
      <c r="B29" s="49" t="str">
        <f>'Input data'!B81</f>
        <v>OCM depreciation</v>
      </c>
      <c r="C29" s="49"/>
      <c r="E29" s="379"/>
      <c r="F29" s="412">
        <f>'Input data'!E81</f>
        <v>-128.66286171642304</v>
      </c>
      <c r="G29" s="531">
        <f>-AVERAGE(G20,G24)/$E$35</f>
        <v>-130.88417582598871</v>
      </c>
      <c r="H29" s="531">
        <f t="shared" ref="H29:L29" si="4">-AVERAGE(H20,H24)/$E$35</f>
        <v>-132.50381593251103</v>
      </c>
      <c r="I29" s="531">
        <f t="shared" si="4"/>
        <v>-134.61947636553305</v>
      </c>
      <c r="J29" s="531">
        <f t="shared" si="4"/>
        <v>-137.68636947696822</v>
      </c>
      <c r="K29" s="531">
        <f t="shared" si="4"/>
        <v>-141.6457343809349</v>
      </c>
      <c r="L29" s="531">
        <f t="shared" si="4"/>
        <v>-145.89125507411029</v>
      </c>
    </row>
    <row r="30" spans="1:14" x14ac:dyDescent="0.4">
      <c r="A30" s="49"/>
      <c r="B30" s="49" t="str">
        <f>'Input data'!B82</f>
        <v>Price movement</v>
      </c>
      <c r="C30" s="49"/>
      <c r="E30" s="379"/>
      <c r="F30" s="412">
        <f>'Input data'!E82</f>
        <v>95.444332670989041</v>
      </c>
      <c r="G30" s="68">
        <f>G27*G$11</f>
        <v>36.199514572156204</v>
      </c>
      <c r="H30" s="68">
        <f t="shared" ref="H30:L30" si="5">H27*H$11</f>
        <v>43.366390544420724</v>
      </c>
      <c r="I30" s="68">
        <f t="shared" si="5"/>
        <v>56.277371518030755</v>
      </c>
      <c r="J30" s="68">
        <f t="shared" si="5"/>
        <v>81.911751286114793</v>
      </c>
      <c r="K30" s="68">
        <f t="shared" si="5"/>
        <v>89.21487520669973</v>
      </c>
      <c r="L30" s="68">
        <f t="shared" si="5"/>
        <v>86.15439162671062</v>
      </c>
    </row>
    <row r="31" spans="1:14" x14ac:dyDescent="0.4">
      <c r="A31" s="49"/>
      <c r="B31" s="49" t="str">
        <f>'Input data'!B83</f>
        <v>Other CCA adjustments</v>
      </c>
      <c r="C31" s="49"/>
      <c r="E31" s="379"/>
      <c r="F31" s="412">
        <f>'Input data'!E83</f>
        <v>-2.8957572496175765</v>
      </c>
      <c r="G31" s="194">
        <v>0</v>
      </c>
      <c r="H31" s="194">
        <v>0</v>
      </c>
      <c r="I31" s="194">
        <v>0</v>
      </c>
      <c r="J31" s="194">
        <v>0</v>
      </c>
      <c r="K31" s="194">
        <v>0</v>
      </c>
      <c r="L31" s="194">
        <v>0</v>
      </c>
      <c r="N31" s="26" t="s">
        <v>277</v>
      </c>
    </row>
    <row r="32" spans="1:14" x14ac:dyDescent="0.4">
      <c r="A32" s="49"/>
      <c r="B32" s="49" t="str">
        <f>'Input data'!B84</f>
        <v>Closing NRC</v>
      </c>
      <c r="C32" s="49"/>
      <c r="E32" s="379"/>
      <c r="F32" s="412">
        <f>'Input data'!E84</f>
        <v>3269.0343873381375</v>
      </c>
      <c r="G32" s="68">
        <f>SUM(G27:G31)</f>
        <v>3174.3497260843051</v>
      </c>
      <c r="H32" s="68">
        <f t="shared" ref="H32:L32" si="6">SUM(H27:H31)</f>
        <v>3085.2123006962152</v>
      </c>
      <c r="I32" s="68">
        <f t="shared" si="6"/>
        <v>3006.8701958487127</v>
      </c>
      <c r="J32" s="68">
        <f t="shared" si="6"/>
        <v>2951.0955776578594</v>
      </c>
      <c r="K32" s="68">
        <f t="shared" si="6"/>
        <v>2898.6647184836243</v>
      </c>
      <c r="L32" s="68">
        <f t="shared" si="6"/>
        <v>2838.9278550362246</v>
      </c>
    </row>
    <row r="33" spans="1:14" x14ac:dyDescent="0.4">
      <c r="A33" s="49"/>
      <c r="B33" s="52" t="s">
        <v>48</v>
      </c>
      <c r="C33" s="49"/>
      <c r="E33" s="379"/>
      <c r="F33" s="193" t="b">
        <f>SUM(F27:F31)=F32</f>
        <v>1</v>
      </c>
      <c r="G33" s="49"/>
      <c r="H33" s="49"/>
      <c r="I33" s="49"/>
      <c r="J33" s="49"/>
      <c r="K33" s="49"/>
      <c r="L33" s="49"/>
    </row>
    <row r="34" spans="1:14" ht="6" customHeight="1" x14ac:dyDescent="0.4">
      <c r="B34" s="35"/>
      <c r="C34" s="36"/>
      <c r="E34" s="36"/>
      <c r="F34" s="36"/>
    </row>
    <row r="35" spans="1:14" x14ac:dyDescent="0.4">
      <c r="B35" s="43" t="s">
        <v>70</v>
      </c>
      <c r="E35" s="195">
        <f>-AVERAGE(F20,F24)/F29</f>
        <v>37.546015303170343</v>
      </c>
      <c r="G35" s="44"/>
      <c r="H35" s="44"/>
      <c r="I35" s="44"/>
      <c r="J35" s="44"/>
      <c r="K35" s="44"/>
      <c r="L35" s="44"/>
      <c r="M35" s="44"/>
    </row>
    <row r="36" spans="1:14" s="44" customFormat="1" ht="6" customHeight="1" x14ac:dyDescent="0.4">
      <c r="A36" s="218"/>
      <c r="B36" s="218"/>
      <c r="C36" s="218"/>
      <c r="D36" s="218"/>
      <c r="E36" s="219"/>
      <c r="F36" s="219"/>
      <c r="G36" s="219"/>
      <c r="H36" s="219"/>
      <c r="I36" s="219"/>
      <c r="J36" s="219"/>
      <c r="K36" s="219"/>
      <c r="L36" s="219"/>
      <c r="M36" s="219"/>
      <c r="N36" s="219"/>
    </row>
    <row r="37" spans="1:14" s="44" customFormat="1" ht="6" customHeight="1" x14ac:dyDescent="0.4"/>
    <row r="38" spans="1:14" x14ac:dyDescent="0.4">
      <c r="A38" s="51" t="str">
        <f>'Input data'!A86</f>
        <v>Pre 97 Access</v>
      </c>
      <c r="B38" s="49" t="str">
        <f>'Input data'!B86</f>
        <v>Opening GRC</v>
      </c>
      <c r="C38" s="49"/>
      <c r="F38" s="412">
        <f>'Input data'!E86</f>
        <v>4558.8746342848826</v>
      </c>
      <c r="G38" s="68">
        <f>F42</f>
        <v>4661.4787386933449</v>
      </c>
      <c r="H38" s="68">
        <f t="shared" ref="H38:L38" si="7">G42</f>
        <v>4629.3711074551939</v>
      </c>
      <c r="I38" s="68">
        <f t="shared" si="7"/>
        <v>4609.3586487530438</v>
      </c>
      <c r="J38" s="68">
        <f t="shared" si="7"/>
        <v>4610.3527392175847</v>
      </c>
      <c r="K38" s="68">
        <f t="shared" si="7"/>
        <v>4652.4720455289134</v>
      </c>
      <c r="L38" s="68">
        <f t="shared" si="7"/>
        <v>4708.7608183847979</v>
      </c>
    </row>
    <row r="39" spans="1:14" x14ac:dyDescent="0.4">
      <c r="A39" s="51" t="str">
        <f>'Input data'!A87</f>
        <v>RAV- GRC</v>
      </c>
      <c r="B39" s="49" t="str">
        <f>'Input data'!B87</f>
        <v>Net asset registrations</v>
      </c>
      <c r="C39" s="49"/>
      <c r="F39" s="412">
        <f>'Input data'!E87</f>
        <v>-9.4560747146606454E-5</v>
      </c>
      <c r="G39" s="194">
        <v>0</v>
      </c>
      <c r="H39" s="194">
        <v>0</v>
      </c>
      <c r="I39" s="194">
        <v>0</v>
      </c>
      <c r="J39" s="194">
        <v>0</v>
      </c>
      <c r="K39" s="194">
        <v>0</v>
      </c>
      <c r="L39" s="194">
        <v>0</v>
      </c>
      <c r="N39" s="26" t="s">
        <v>276</v>
      </c>
    </row>
    <row r="40" spans="1:14" x14ac:dyDescent="0.4">
      <c r="A40" s="25"/>
      <c r="B40" s="49" t="str">
        <f>'Input data'!B88</f>
        <v>Price movement</v>
      </c>
      <c r="C40" s="49"/>
      <c r="F40" s="412">
        <f>'Input data'!E88</f>
        <v>102.60408828474283</v>
      </c>
      <c r="G40" s="68">
        <f>G38*G$11</f>
        <v>51.618688436779614</v>
      </c>
      <c r="H40" s="68">
        <f t="shared" ref="H40:L40" si="8">H38*H$11</f>
        <v>63.244170537127395</v>
      </c>
      <c r="I40" s="68">
        <f t="shared" si="8"/>
        <v>84.079331940037306</v>
      </c>
      <c r="J40" s="68">
        <f t="shared" si="8"/>
        <v>125.59307263659795</v>
      </c>
      <c r="K40" s="68">
        <f t="shared" si="8"/>
        <v>140.64936293047535</v>
      </c>
      <c r="L40" s="68">
        <f t="shared" si="8"/>
        <v>139.95424204695792</v>
      </c>
    </row>
    <row r="41" spans="1:14" x14ac:dyDescent="0.4">
      <c r="A41" s="25"/>
      <c r="B41" s="49" t="str">
        <f>'Input data'!B89</f>
        <v>Write outs and Other adjs</v>
      </c>
      <c r="C41" s="49"/>
      <c r="F41" s="412">
        <f>'Input data'!E89</f>
        <v>1.1068446636199951E-4</v>
      </c>
      <c r="G41" s="68">
        <f>G47</f>
        <v>-83.726319674931233</v>
      </c>
      <c r="H41" s="68">
        <f>H47</f>
        <v>-83.256629239277842</v>
      </c>
      <c r="I41" s="68">
        <f t="shared" ref="I41:L41" si="9">I47</f>
        <v>-83.085241475496716</v>
      </c>
      <c r="J41" s="68">
        <f t="shared" si="9"/>
        <v>-83.473766325268656</v>
      </c>
      <c r="K41" s="68">
        <f t="shared" si="9"/>
        <v>-84.36059007459076</v>
      </c>
      <c r="L41" s="68">
        <f t="shared" si="9"/>
        <v>-85.359835640627907</v>
      </c>
      <c r="N41" s="26" t="s">
        <v>338</v>
      </c>
    </row>
    <row r="42" spans="1:14" x14ac:dyDescent="0.4">
      <c r="A42" s="25"/>
      <c r="B42" s="49" t="str">
        <f>'Input data'!B90</f>
        <v>Closing GRC</v>
      </c>
      <c r="C42" s="49"/>
      <c r="F42" s="412">
        <f>'Input data'!E90</f>
        <v>4661.4787386933449</v>
      </c>
      <c r="G42" s="68">
        <f>SUM(G38:G41)</f>
        <v>4629.3711074551939</v>
      </c>
      <c r="H42" s="68">
        <f t="shared" ref="H42:L42" si="10">SUM(H38:H41)</f>
        <v>4609.3586487530438</v>
      </c>
      <c r="I42" s="68">
        <f t="shared" si="10"/>
        <v>4610.3527392175847</v>
      </c>
      <c r="J42" s="68">
        <f t="shared" si="10"/>
        <v>4652.4720455289134</v>
      </c>
      <c r="K42" s="68">
        <f t="shared" si="10"/>
        <v>4708.7608183847979</v>
      </c>
      <c r="L42" s="68">
        <f t="shared" si="10"/>
        <v>4763.3552247911275</v>
      </c>
    </row>
    <row r="43" spans="1:14" x14ac:dyDescent="0.4">
      <c r="A43" s="25"/>
      <c r="B43" s="35" t="s">
        <v>48</v>
      </c>
      <c r="C43" s="49"/>
      <c r="F43" s="191" t="b">
        <f>SUM(F38:F41)=F42</f>
        <v>1</v>
      </c>
      <c r="G43" s="49"/>
      <c r="H43" s="49"/>
      <c r="I43" s="49"/>
      <c r="J43" s="49"/>
      <c r="K43" s="49"/>
      <c r="L43" s="49"/>
    </row>
    <row r="44" spans="1:14" x14ac:dyDescent="0.4">
      <c r="A44" s="25"/>
      <c r="C44" s="49"/>
      <c r="F44" s="192"/>
      <c r="G44" s="49"/>
      <c r="H44" s="49"/>
      <c r="I44" s="49"/>
      <c r="J44" s="49"/>
      <c r="K44" s="49"/>
      <c r="L44" s="49"/>
    </row>
    <row r="45" spans="1:14" x14ac:dyDescent="0.4">
      <c r="A45" s="51" t="str">
        <f>'Input data'!A92</f>
        <v>Pre 97 Access</v>
      </c>
      <c r="B45" s="49" t="str">
        <f>'Input data'!B92</f>
        <v>Duct Opening NRC</v>
      </c>
      <c r="C45" s="49"/>
      <c r="F45" s="412">
        <f>'Input data'!E92</f>
        <v>699.87590560205933</v>
      </c>
      <c r="G45" s="68">
        <f>F50</f>
        <v>638.1205682048726</v>
      </c>
      <c r="H45" s="68">
        <f t="shared" ref="H45:L45" si="11">G50</f>
        <v>561.46044975957545</v>
      </c>
      <c r="I45" s="68">
        <f t="shared" si="11"/>
        <v>485.87421453499701</v>
      </c>
      <c r="J45" s="68">
        <f t="shared" si="11"/>
        <v>411.65180680233442</v>
      </c>
      <c r="K45" s="68">
        <f t="shared" si="11"/>
        <v>339.39206643063881</v>
      </c>
      <c r="L45" s="68">
        <f t="shared" si="11"/>
        <v>265.29167296980336</v>
      </c>
    </row>
    <row r="46" spans="1:14" x14ac:dyDescent="0.4">
      <c r="A46" s="51" t="str">
        <f>'Input data'!A93</f>
        <v>RAV- NRC</v>
      </c>
      <c r="B46" s="49" t="str">
        <f>'Input data'!B93</f>
        <v>Net Asset registrations</v>
      </c>
      <c r="C46" s="49"/>
      <c r="F46" s="412">
        <f>'Input data'!E93</f>
        <v>-1.0369832992553711E-4</v>
      </c>
      <c r="G46" s="194">
        <v>0</v>
      </c>
      <c r="H46" s="194">
        <v>0</v>
      </c>
      <c r="I46" s="194">
        <v>0</v>
      </c>
      <c r="J46" s="194">
        <v>0</v>
      </c>
      <c r="K46" s="194">
        <v>0</v>
      </c>
      <c r="L46" s="194">
        <v>0</v>
      </c>
      <c r="N46" s="26" t="s">
        <v>276</v>
      </c>
    </row>
    <row r="47" spans="1:14" x14ac:dyDescent="0.4">
      <c r="B47" s="49" t="str">
        <f>'Input data'!B94</f>
        <v>OCM depreciation</v>
      </c>
      <c r="C47" s="49"/>
      <c r="F47" s="412">
        <f>'Input data'!E94</f>
        <v>-82.348923339724536</v>
      </c>
      <c r="G47" s="531">
        <f>-AVERAGE(G38,G38+G40)/$E$53</f>
        <v>-83.726319674931233</v>
      </c>
      <c r="H47" s="531">
        <f>-AVERAGE(H38,H38+H40)/$E$53</f>
        <v>-83.256629239277842</v>
      </c>
      <c r="I47" s="531">
        <f t="shared" ref="I47:L47" si="12">-AVERAGE(I38,I38+I40)/$E$53</f>
        <v>-83.085241475496716</v>
      </c>
      <c r="J47" s="531">
        <f t="shared" si="12"/>
        <v>-83.473766325268656</v>
      </c>
      <c r="K47" s="531">
        <f t="shared" si="12"/>
        <v>-84.36059007459076</v>
      </c>
      <c r="L47" s="531">
        <f t="shared" si="12"/>
        <v>-85.359835640627907</v>
      </c>
    </row>
    <row r="48" spans="1:14" x14ac:dyDescent="0.4">
      <c r="B48" s="49" t="str">
        <f>'Input data'!B95</f>
        <v>Price movement</v>
      </c>
      <c r="C48" s="49"/>
      <c r="F48" s="412">
        <f>'Input data'!E95</f>
        <v>20.593584732999801</v>
      </c>
      <c r="G48" s="68">
        <f>G45*G$11</f>
        <v>7.0662012296340935</v>
      </c>
      <c r="H48" s="68">
        <f t="shared" ref="H48:L48" si="13">H45*H$11</f>
        <v>7.6703940146994398</v>
      </c>
      <c r="I48" s="68">
        <f t="shared" si="13"/>
        <v>8.8628337428341535</v>
      </c>
      <c r="J48" s="68">
        <f t="shared" si="13"/>
        <v>11.214025953573001</v>
      </c>
      <c r="K48" s="68">
        <f t="shared" si="13"/>
        <v>10.260196613755292</v>
      </c>
      <c r="L48" s="68">
        <f t="shared" si="13"/>
        <v>7.8850246262017976</v>
      </c>
    </row>
    <row r="49" spans="1:14" x14ac:dyDescent="0.4">
      <c r="B49" s="49" t="str">
        <f>'Input data'!B96</f>
        <v>Other CCA adjustments</v>
      </c>
      <c r="C49" s="49"/>
      <c r="F49" s="412">
        <f>'Input data'!E96</f>
        <v>1.049078679084778E-4</v>
      </c>
      <c r="G49" s="194">
        <v>0</v>
      </c>
      <c r="H49" s="194">
        <v>0</v>
      </c>
      <c r="I49" s="194">
        <v>0</v>
      </c>
      <c r="J49" s="194">
        <v>0</v>
      </c>
      <c r="K49" s="194">
        <v>0</v>
      </c>
      <c r="L49" s="194">
        <v>0</v>
      </c>
      <c r="N49" s="26" t="s">
        <v>277</v>
      </c>
    </row>
    <row r="50" spans="1:14" x14ac:dyDescent="0.4">
      <c r="B50" s="49" t="str">
        <f>'Input data'!B97</f>
        <v>Closing NRC</v>
      </c>
      <c r="C50" s="49"/>
      <c r="F50" s="412">
        <f>'Input data'!E97</f>
        <v>638.1205682048726</v>
      </c>
      <c r="G50" s="68">
        <f>SUM(G45:G49)</f>
        <v>561.46044975957545</v>
      </c>
      <c r="H50" s="68">
        <f t="shared" ref="H50:L50" si="14">SUM(H45:H49)</f>
        <v>485.87421453499701</v>
      </c>
      <c r="I50" s="68">
        <f t="shared" si="14"/>
        <v>411.65180680233442</v>
      </c>
      <c r="J50" s="68">
        <f t="shared" si="14"/>
        <v>339.39206643063881</v>
      </c>
      <c r="K50" s="68">
        <f t="shared" si="14"/>
        <v>265.29167296980336</v>
      </c>
      <c r="L50" s="68">
        <f t="shared" si="14"/>
        <v>187.81686195537725</v>
      </c>
    </row>
    <row r="51" spans="1:14" x14ac:dyDescent="0.4">
      <c r="B51" s="35" t="s">
        <v>48</v>
      </c>
      <c r="F51" s="193" t="b">
        <f t="shared" ref="F51" si="15">IF(ABS(SUM(F45:F49)-F50)&lt;0.0001,TRUE,FALSE)</f>
        <v>1</v>
      </c>
    </row>
    <row r="52" spans="1:14" ht="6" customHeight="1" x14ac:dyDescent="0.4">
      <c r="B52" s="35"/>
      <c r="C52" s="37"/>
      <c r="E52" s="36"/>
    </row>
    <row r="53" spans="1:14" x14ac:dyDescent="0.4">
      <c r="B53" s="43" t="s">
        <v>70</v>
      </c>
      <c r="E53" s="195">
        <f>-AVERAGE(F38,F42)/F47</f>
        <v>55.983448228827029</v>
      </c>
      <c r="F53" s="195"/>
      <c r="G53" s="195"/>
      <c r="H53" s="195"/>
      <c r="I53" s="195"/>
      <c r="J53" s="195"/>
      <c r="K53" s="195"/>
      <c r="L53" s="195"/>
    </row>
    <row r="54" spans="1:14" s="44" customFormat="1" ht="6" customHeight="1" x14ac:dyDescent="0.4">
      <c r="A54" s="218"/>
      <c r="B54" s="218"/>
      <c r="C54" s="218"/>
      <c r="D54" s="218"/>
      <c r="E54" s="219"/>
      <c r="F54" s="219"/>
      <c r="G54" s="219"/>
      <c r="H54" s="219"/>
      <c r="I54" s="219"/>
      <c r="J54" s="219"/>
      <c r="K54" s="219"/>
      <c r="L54" s="219"/>
      <c r="M54" s="219"/>
      <c r="N54" s="219"/>
    </row>
    <row r="55" spans="1:14" s="44" customFormat="1" ht="6" customHeight="1" x14ac:dyDescent="0.4"/>
    <row r="56" spans="1:14" x14ac:dyDescent="0.4">
      <c r="A56" s="25" t="str">
        <f>'Input data'!A99</f>
        <v>Pre 97 Other</v>
      </c>
      <c r="B56" s="49" t="str">
        <f>'Input data'!B99</f>
        <v>Opening GRC</v>
      </c>
      <c r="C56" s="49"/>
      <c r="F56" s="412">
        <f>'Input data'!E99</f>
        <v>1969.2502834609984</v>
      </c>
      <c r="G56" s="68">
        <f>F60</f>
        <v>2013.8207203581046</v>
      </c>
      <c r="H56" s="68">
        <f t="shared" ref="H56:L56" si="16">G60</f>
        <v>1990.5369735227011</v>
      </c>
      <c r="I56" s="68">
        <f t="shared" si="16"/>
        <v>1972.6160504053341</v>
      </c>
      <c r="J56" s="68">
        <f t="shared" si="16"/>
        <v>1963.7883905003289</v>
      </c>
      <c r="K56" s="68">
        <f t="shared" si="16"/>
        <v>1972.4764264094572</v>
      </c>
      <c r="L56" s="68">
        <f t="shared" si="16"/>
        <v>1987.0333862102893</v>
      </c>
    </row>
    <row r="57" spans="1:14" x14ac:dyDescent="0.4">
      <c r="A57" s="46" t="str">
        <f>'Input data'!A100</f>
        <v>CCA - GRC</v>
      </c>
      <c r="B57" s="49" t="str">
        <f>'Input data'!B100</f>
        <v>Net asset registrations</v>
      </c>
      <c r="C57" s="49"/>
      <c r="F57" s="412">
        <f>'Input data'!E100</f>
        <v>0</v>
      </c>
      <c r="G57" s="194">
        <v>0</v>
      </c>
      <c r="H57" s="194">
        <v>0</v>
      </c>
      <c r="I57" s="194">
        <v>0</v>
      </c>
      <c r="J57" s="194">
        <v>0</v>
      </c>
      <c r="K57" s="194">
        <v>0</v>
      </c>
      <c r="L57" s="194">
        <v>0</v>
      </c>
      <c r="N57" s="26" t="s">
        <v>276</v>
      </c>
    </row>
    <row r="58" spans="1:14" x14ac:dyDescent="0.4">
      <c r="A58" s="25"/>
      <c r="B58" s="49" t="str">
        <f>'Input data'!B101</f>
        <v>Price movement</v>
      </c>
      <c r="C58" s="49"/>
      <c r="F58" s="412">
        <f>'Input data'!E101</f>
        <v>44.57043689710617</v>
      </c>
      <c r="G58" s="68">
        <f>G56*G$11</f>
        <v>22.299958909784589</v>
      </c>
      <c r="H58" s="68">
        <f t="shared" ref="H58:L58" si="17">H56*H$11</f>
        <v>27.193728239067426</v>
      </c>
      <c r="I58" s="68">
        <f t="shared" si="17"/>
        <v>35.982498289028577</v>
      </c>
      <c r="J58" s="68">
        <f t="shared" si="17"/>
        <v>53.496604689920566</v>
      </c>
      <c r="K58" s="68">
        <f t="shared" si="17"/>
        <v>59.6301385704149</v>
      </c>
      <c r="L58" s="68">
        <f t="shared" si="17"/>
        <v>59.058797466050336</v>
      </c>
    </row>
    <row r="59" spans="1:14" x14ac:dyDescent="0.4">
      <c r="A59" s="25"/>
      <c r="B59" s="49" t="str">
        <f>'Input data'!B102</f>
        <v>Write outs and Other adjs</v>
      </c>
      <c r="C59" s="49"/>
      <c r="F59" s="412">
        <f>'Input data'!E102</f>
        <v>0</v>
      </c>
      <c r="G59" s="68">
        <f>G65</f>
        <v>-45.583705745188162</v>
      </c>
      <c r="H59" s="68">
        <f t="shared" ref="H59:L59" si="18">H65</f>
        <v>-45.114651356434408</v>
      </c>
      <c r="I59" s="68">
        <f t="shared" si="18"/>
        <v>-44.810158194033903</v>
      </c>
      <c r="J59" s="68">
        <f t="shared" si="18"/>
        <v>-44.808568780792235</v>
      </c>
      <c r="K59" s="68">
        <f t="shared" si="18"/>
        <v>-45.073178769582746</v>
      </c>
      <c r="L59" s="68">
        <f t="shared" si="18"/>
        <v>-45.394436874588905</v>
      </c>
      <c r="N59" s="26" t="s">
        <v>338</v>
      </c>
    </row>
    <row r="60" spans="1:14" x14ac:dyDescent="0.4">
      <c r="A60" s="25"/>
      <c r="B60" s="49" t="str">
        <f>'Input data'!B103</f>
        <v>Closing GRC</v>
      </c>
      <c r="C60" s="49"/>
      <c r="F60" s="412">
        <f>'Input data'!E103</f>
        <v>2013.8207203581046</v>
      </c>
      <c r="G60" s="68">
        <f>SUM(G56:G59)</f>
        <v>1990.5369735227011</v>
      </c>
      <c r="H60" s="68">
        <f t="shared" ref="H60:L60" si="19">SUM(H56:H59)</f>
        <v>1972.6160504053341</v>
      </c>
      <c r="I60" s="68">
        <f t="shared" si="19"/>
        <v>1963.7883905003289</v>
      </c>
      <c r="J60" s="68">
        <f t="shared" si="19"/>
        <v>1972.4764264094572</v>
      </c>
      <c r="K60" s="68">
        <f t="shared" si="19"/>
        <v>1987.0333862102893</v>
      </c>
      <c r="L60" s="68">
        <f t="shared" si="19"/>
        <v>2000.6977468017508</v>
      </c>
    </row>
    <row r="61" spans="1:14" x14ac:dyDescent="0.4">
      <c r="A61" s="25"/>
      <c r="B61" s="35" t="s">
        <v>48</v>
      </c>
      <c r="C61" s="49"/>
      <c r="F61" s="413" t="b">
        <f>SUM(F56:F59)=F60</f>
        <v>1</v>
      </c>
      <c r="G61" s="49"/>
      <c r="H61" s="49"/>
      <c r="I61" s="49"/>
      <c r="J61" s="49"/>
      <c r="K61" s="49"/>
      <c r="L61" s="49"/>
    </row>
    <row r="62" spans="1:14" x14ac:dyDescent="0.4">
      <c r="A62" s="25"/>
      <c r="C62" s="49"/>
      <c r="F62" s="414"/>
      <c r="G62" s="49"/>
      <c r="H62" s="49"/>
      <c r="I62" s="49"/>
      <c r="J62" s="49"/>
      <c r="K62" s="49"/>
      <c r="L62" s="49"/>
    </row>
    <row r="63" spans="1:14" x14ac:dyDescent="0.4">
      <c r="A63" s="51" t="str">
        <f>'Input data'!A105</f>
        <v>Pre 97 Other</v>
      </c>
      <c r="B63" s="49" t="str">
        <f>'Input data'!B105</f>
        <v>Duct Opening NRC</v>
      </c>
      <c r="C63" s="49"/>
      <c r="F63" s="412">
        <f>'Input data'!E105</f>
        <v>383.90884867172241</v>
      </c>
      <c r="G63" s="68">
        <f>F68</f>
        <v>349.48018508383274</v>
      </c>
      <c r="H63" s="68">
        <f t="shared" ref="H63:L63" si="20">G68</f>
        <v>307.7664334454667</v>
      </c>
      <c r="I63" s="68">
        <f t="shared" si="20"/>
        <v>266.85633435987592</v>
      </c>
      <c r="J63" s="68">
        <f t="shared" si="20"/>
        <v>226.91390376673405</v>
      </c>
      <c r="K63" s="68">
        <f t="shared" si="20"/>
        <v>188.28681740389362</v>
      </c>
      <c r="L63" s="68">
        <f t="shared" si="20"/>
        <v>148.90575685810856</v>
      </c>
    </row>
    <row r="64" spans="1:14" x14ac:dyDescent="0.4">
      <c r="A64" s="51" t="str">
        <f>'Input data'!A106</f>
        <v>CCA - NRC</v>
      </c>
      <c r="B64" s="49" t="str">
        <f>'Input data'!B106</f>
        <v>Net Asset registrations</v>
      </c>
      <c r="C64" s="49"/>
      <c r="F64" s="412">
        <f>'Input data'!E106</f>
        <v>0</v>
      </c>
      <c r="G64" s="194">
        <v>0</v>
      </c>
      <c r="H64" s="194">
        <v>0</v>
      </c>
      <c r="I64" s="194">
        <v>0</v>
      </c>
      <c r="J64" s="194">
        <v>0</v>
      </c>
      <c r="K64" s="194">
        <v>0</v>
      </c>
      <c r="L64" s="194">
        <v>0</v>
      </c>
      <c r="N64" s="26" t="s">
        <v>276</v>
      </c>
    </row>
    <row r="65" spans="1:14" x14ac:dyDescent="0.4">
      <c r="A65" s="49">
        <f>'Input data'!A107</f>
        <v>0</v>
      </c>
      <c r="B65" s="49" t="str">
        <f>'Input data'!B107</f>
        <v>OCM depreciation</v>
      </c>
      <c r="C65" s="49"/>
      <c r="F65" s="412">
        <f>'Input data'!E107</f>
        <v>-44.831052769565581</v>
      </c>
      <c r="G65" s="531">
        <f>-AVERAGE(G56,G56+G58)/$E$71</f>
        <v>-45.583705745188162</v>
      </c>
      <c r="H65" s="531">
        <f t="shared" ref="H65:L65" si="21">-AVERAGE(H56,H56+H58)/$E$71</f>
        <v>-45.114651356434408</v>
      </c>
      <c r="I65" s="531">
        <f t="shared" si="21"/>
        <v>-44.810158194033903</v>
      </c>
      <c r="J65" s="531">
        <f t="shared" si="21"/>
        <v>-44.808568780792235</v>
      </c>
      <c r="K65" s="531">
        <f t="shared" si="21"/>
        <v>-45.073178769582746</v>
      </c>
      <c r="L65" s="531">
        <f t="shared" si="21"/>
        <v>-45.394436874588905</v>
      </c>
    </row>
    <row r="66" spans="1:14" x14ac:dyDescent="0.4">
      <c r="A66" s="49">
        <f>'Input data'!A108</f>
        <v>0</v>
      </c>
      <c r="B66" s="49" t="str">
        <f>'Input data'!B108</f>
        <v>Price movement</v>
      </c>
      <c r="C66" s="49"/>
      <c r="F66" s="412">
        <f>'Input data'!E108</f>
        <v>10.402389181675911</v>
      </c>
      <c r="G66" s="68">
        <f t="shared" ref="G66:L66" si="22">G63*G$11</f>
        <v>3.8699541068221479</v>
      </c>
      <c r="H66" s="68">
        <f t="shared" si="22"/>
        <v>4.2045522708436165</v>
      </c>
      <c r="I66" s="68">
        <f t="shared" si="22"/>
        <v>4.8677276008920316</v>
      </c>
      <c r="J66" s="68">
        <f t="shared" si="22"/>
        <v>6.1814824179518011</v>
      </c>
      <c r="K66" s="68">
        <f t="shared" si="22"/>
        <v>5.6921182237976753</v>
      </c>
      <c r="L66" s="68">
        <f t="shared" si="22"/>
        <v>4.4257912307072189</v>
      </c>
    </row>
    <row r="67" spans="1:14" x14ac:dyDescent="0.4">
      <c r="A67" s="49">
        <f>'Input data'!A109</f>
        <v>0</v>
      </c>
      <c r="B67" s="49" t="str">
        <f>'Input data'!B109</f>
        <v>Other CCA adjustments</v>
      </c>
      <c r="C67" s="49"/>
      <c r="F67" s="412">
        <f>'Input data'!E109</f>
        <v>0</v>
      </c>
      <c r="G67" s="194">
        <v>0</v>
      </c>
      <c r="H67" s="194">
        <v>0</v>
      </c>
      <c r="I67" s="194">
        <v>0</v>
      </c>
      <c r="J67" s="194">
        <v>0</v>
      </c>
      <c r="K67" s="194">
        <v>0</v>
      </c>
      <c r="L67" s="194">
        <v>0</v>
      </c>
      <c r="N67" s="26" t="s">
        <v>277</v>
      </c>
    </row>
    <row r="68" spans="1:14" x14ac:dyDescent="0.4">
      <c r="B68" s="49" t="str">
        <f>'Input data'!B110</f>
        <v>Closing NRC</v>
      </c>
      <c r="C68" s="49"/>
      <c r="F68" s="412">
        <f>'Input data'!E110</f>
        <v>349.48018508383274</v>
      </c>
      <c r="G68" s="68">
        <f>SUM(G63:G67)</f>
        <v>307.7664334454667</v>
      </c>
      <c r="H68" s="68">
        <f t="shared" ref="H68:L68" si="23">SUM(H63:H67)</f>
        <v>266.85633435987592</v>
      </c>
      <c r="I68" s="68">
        <f t="shared" si="23"/>
        <v>226.91390376673405</v>
      </c>
      <c r="J68" s="68">
        <f t="shared" si="23"/>
        <v>188.28681740389362</v>
      </c>
      <c r="K68" s="68">
        <f t="shared" si="23"/>
        <v>148.90575685810856</v>
      </c>
      <c r="L68" s="68">
        <f t="shared" si="23"/>
        <v>107.93711121422687</v>
      </c>
    </row>
    <row r="69" spans="1:14" x14ac:dyDescent="0.4">
      <c r="B69" s="35" t="s">
        <v>48</v>
      </c>
      <c r="F69" s="193" t="b">
        <f t="shared" ref="F69" si="24">IF(ABS(SUM(F63:F67)-F68)&lt;0.0001,TRUE,FALSE)</f>
        <v>1</v>
      </c>
    </row>
    <row r="70" spans="1:14" ht="6" customHeight="1" x14ac:dyDescent="0.4">
      <c r="E70" s="36"/>
    </row>
    <row r="71" spans="1:14" x14ac:dyDescent="0.4">
      <c r="B71" s="43" t="s">
        <v>70</v>
      </c>
      <c r="E71" s="195">
        <f>-AVERAGE(F56,F60)/F65</f>
        <v>44.423125911099355</v>
      </c>
      <c r="F71" s="195"/>
      <c r="G71" s="195"/>
      <c r="H71" s="195"/>
      <c r="I71" s="195"/>
      <c r="J71" s="195"/>
      <c r="K71" s="195"/>
      <c r="L71" s="195"/>
    </row>
    <row r="72" spans="1:14" s="44" customFormat="1" ht="6" customHeight="1" x14ac:dyDescent="0.4">
      <c r="A72" s="218"/>
      <c r="B72" s="218"/>
      <c r="C72" s="218"/>
      <c r="D72" s="218"/>
      <c r="E72" s="219"/>
      <c r="F72" s="219"/>
      <c r="G72" s="219"/>
      <c r="H72" s="219"/>
      <c r="I72" s="219"/>
      <c r="J72" s="219"/>
      <c r="K72" s="219"/>
      <c r="L72" s="219"/>
      <c r="M72" s="219"/>
      <c r="N72" s="219"/>
    </row>
    <row r="73" spans="1:14" s="44" customFormat="1" ht="6" customHeight="1" x14ac:dyDescent="0.4"/>
    <row r="74" spans="1:14" x14ac:dyDescent="0.4">
      <c r="A74" s="25" t="s">
        <v>83</v>
      </c>
      <c r="B74" s="24" t="str">
        <f>B56</f>
        <v>Opening GRC</v>
      </c>
      <c r="C74" s="49"/>
      <c r="F74" s="412">
        <f>SUM(F56,F38,F20)</f>
        <v>11302.559861226207</v>
      </c>
      <c r="G74" s="68">
        <f>SUM(G56,G38,G20)</f>
        <v>11562.420065480143</v>
      </c>
      <c r="H74" s="68">
        <f t="shared" ref="H74:L74" si="25">SUM(H56,H38,H20)</f>
        <v>11561.146011560022</v>
      </c>
      <c r="I74" s="68">
        <f t="shared" si="25"/>
        <v>11590.717370037302</v>
      </c>
      <c r="J74" s="68">
        <f t="shared" si="25"/>
        <v>11674.248298289154</v>
      </c>
      <c r="K74" s="68">
        <f t="shared" si="25"/>
        <v>11863.990374207558</v>
      </c>
      <c r="L74" s="68">
        <f t="shared" si="25"/>
        <v>12093.218123716666</v>
      </c>
    </row>
    <row r="75" spans="1:14" x14ac:dyDescent="0.4">
      <c r="A75" s="25" t="s">
        <v>75</v>
      </c>
      <c r="B75" s="24" t="str">
        <f t="shared" ref="B75:B78" si="26">B57</f>
        <v>Net asset registrations</v>
      </c>
      <c r="C75" s="49"/>
      <c r="F75" s="412">
        <f>SUM(F57,F39,F21)</f>
        <v>-9.4560747146606454E-5</v>
      </c>
      <c r="G75" s="68">
        <f t="shared" ref="G75:L75" si="27">SUM(G57,G39,G21)</f>
        <v>0</v>
      </c>
      <c r="H75" s="68">
        <f t="shared" si="27"/>
        <v>0</v>
      </c>
      <c r="I75" s="68">
        <f t="shared" si="27"/>
        <v>0</v>
      </c>
      <c r="J75" s="68">
        <f t="shared" si="27"/>
        <v>0</v>
      </c>
      <c r="K75" s="68">
        <f t="shared" si="27"/>
        <v>0</v>
      </c>
      <c r="L75" s="68">
        <f t="shared" si="27"/>
        <v>0</v>
      </c>
    </row>
    <row r="76" spans="1:14" x14ac:dyDescent="0.4">
      <c r="B76" s="24" t="str">
        <f t="shared" si="26"/>
        <v>Price movement</v>
      </c>
      <c r="C76" s="49"/>
      <c r="F76" s="412">
        <f>SUM(F58,F40,F22)</f>
        <v>263.89155769494295</v>
      </c>
      <c r="G76" s="68">
        <f t="shared" ref="G76:L76" si="28">SUM(G58,G40,G22)</f>
        <v>128.03597149999814</v>
      </c>
      <c r="H76" s="68">
        <f t="shared" si="28"/>
        <v>157.94263907299185</v>
      </c>
      <c r="I76" s="68">
        <f t="shared" si="28"/>
        <v>211.42632792138272</v>
      </c>
      <c r="J76" s="68">
        <f t="shared" si="28"/>
        <v>318.02441102446681</v>
      </c>
      <c r="K76" s="68">
        <f t="shared" si="28"/>
        <v>358.66151835327878</v>
      </c>
      <c r="L76" s="68">
        <f t="shared" si="28"/>
        <v>359.43579249239968</v>
      </c>
    </row>
    <row r="77" spans="1:14" x14ac:dyDescent="0.4">
      <c r="B77" s="24" t="str">
        <f t="shared" si="26"/>
        <v>Write outs and Other adjs</v>
      </c>
      <c r="C77" s="49"/>
      <c r="F77" s="412">
        <f>SUM(F59,F41,F23)</f>
        <v>-4.0312588802599905</v>
      </c>
      <c r="G77" s="68">
        <f t="shared" ref="G77:L77" si="29">SUM(G59,G41,G23)</f>
        <v>-129.31002542011939</v>
      </c>
      <c r="H77" s="68">
        <f t="shared" si="29"/>
        <v>-128.37128059571225</v>
      </c>
      <c r="I77" s="68">
        <f t="shared" si="29"/>
        <v>-127.89539966953062</v>
      </c>
      <c r="J77" s="68">
        <f t="shared" si="29"/>
        <v>-128.28233510606088</v>
      </c>
      <c r="K77" s="68">
        <f t="shared" si="29"/>
        <v>-129.4337688441735</v>
      </c>
      <c r="L77" s="68">
        <f t="shared" si="29"/>
        <v>-130.75427251521683</v>
      </c>
    </row>
    <row r="78" spans="1:14" x14ac:dyDescent="0.4">
      <c r="B78" s="24" t="str">
        <f t="shared" si="26"/>
        <v>Closing GRC</v>
      </c>
      <c r="C78" s="49"/>
      <c r="F78" s="412">
        <f>SUM(F60,F42,F24)</f>
        <v>11562.420065480143</v>
      </c>
      <c r="G78" s="68">
        <f t="shared" ref="G78:L78" si="30">SUM(G60,G42,G24)</f>
        <v>11561.146011560022</v>
      </c>
      <c r="H78" s="68">
        <f t="shared" si="30"/>
        <v>11590.717370037302</v>
      </c>
      <c r="I78" s="68">
        <f t="shared" si="30"/>
        <v>11674.248298289154</v>
      </c>
      <c r="J78" s="68">
        <f t="shared" si="30"/>
        <v>11863.990374207558</v>
      </c>
      <c r="K78" s="68">
        <f t="shared" si="30"/>
        <v>12093.218123716666</v>
      </c>
      <c r="L78" s="68">
        <f t="shared" si="30"/>
        <v>12321.899643693847</v>
      </c>
    </row>
    <row r="79" spans="1:14" x14ac:dyDescent="0.4">
      <c r="B79" s="35" t="s">
        <v>48</v>
      </c>
      <c r="C79" s="49"/>
      <c r="F79" s="196" t="b">
        <f>SUM(F74:F77)=F78</f>
        <v>1</v>
      </c>
      <c r="G79" s="196" t="b">
        <f>G78=SUM(G74:G77)</f>
        <v>1</v>
      </c>
      <c r="H79" s="196" t="b">
        <f t="shared" ref="H79:L79" si="31">H78=SUM(H74:H77)</f>
        <v>1</v>
      </c>
      <c r="I79" s="196" t="b">
        <f t="shared" si="31"/>
        <v>1</v>
      </c>
      <c r="J79" s="196" t="b">
        <f t="shared" si="31"/>
        <v>1</v>
      </c>
      <c r="K79" s="196" t="b">
        <f t="shared" si="31"/>
        <v>1</v>
      </c>
      <c r="L79" s="196" t="b">
        <f t="shared" si="31"/>
        <v>1</v>
      </c>
    </row>
    <row r="80" spans="1:14" x14ac:dyDescent="0.4">
      <c r="C80" s="49"/>
      <c r="F80" s="190"/>
      <c r="G80" s="49"/>
      <c r="H80" s="49"/>
      <c r="I80" s="49"/>
      <c r="J80" s="49"/>
      <c r="K80" s="49"/>
      <c r="L80" s="49"/>
    </row>
    <row r="81" spans="1:15" x14ac:dyDescent="0.4">
      <c r="A81" s="46" t="s">
        <v>83</v>
      </c>
      <c r="B81" s="24" t="str">
        <f>B63</f>
        <v>Duct Opening NRC</v>
      </c>
      <c r="C81" s="49"/>
      <c r="F81" s="454">
        <f>SUM(F63,F45,F27)</f>
        <v>4388.9334279069708</v>
      </c>
      <c r="G81" s="68">
        <f t="shared" ref="G81:L81" si="32">SUM(G63,G45,G27)</f>
        <v>4256.6351406268432</v>
      </c>
      <c r="H81" s="68">
        <f t="shared" si="32"/>
        <v>4043.5766092893473</v>
      </c>
      <c r="I81" s="68">
        <f t="shared" si="32"/>
        <v>3837.9428495910879</v>
      </c>
      <c r="J81" s="68">
        <f t="shared" si="32"/>
        <v>3645.4359064177811</v>
      </c>
      <c r="K81" s="68">
        <f t="shared" si="32"/>
        <v>3478.7744614923918</v>
      </c>
      <c r="L81" s="68">
        <f t="shared" si="32"/>
        <v>3312.8621483115362</v>
      </c>
    </row>
    <row r="82" spans="1:15" x14ac:dyDescent="0.4">
      <c r="A82" s="25" t="s">
        <v>76</v>
      </c>
      <c r="B82" s="24" t="str">
        <f t="shared" ref="B82:B86" si="33">B64</f>
        <v>Net Asset registrations</v>
      </c>
      <c r="C82" s="49"/>
      <c r="F82" s="412">
        <f t="shared" ref="F82:F86" si="34">SUM(F64,F46,F28)</f>
        <v>-1.0369832992553711E-4</v>
      </c>
      <c r="G82" s="68">
        <f t="shared" ref="G82:L82" si="35">SUM(G64,G46,G28)</f>
        <v>0</v>
      </c>
      <c r="H82" s="68">
        <f t="shared" si="35"/>
        <v>0</v>
      </c>
      <c r="I82" s="68">
        <f t="shared" si="35"/>
        <v>0</v>
      </c>
      <c r="J82" s="68">
        <f t="shared" si="35"/>
        <v>0</v>
      </c>
      <c r="K82" s="68">
        <f t="shared" si="35"/>
        <v>0</v>
      </c>
      <c r="L82" s="68">
        <f t="shared" si="35"/>
        <v>0</v>
      </c>
    </row>
    <row r="83" spans="1:15" x14ac:dyDescent="0.4">
      <c r="B83" s="24" t="str">
        <f t="shared" si="33"/>
        <v>OCM depreciation</v>
      </c>
      <c r="C83" s="49"/>
      <c r="F83" s="412">
        <f t="shared" si="34"/>
        <v>-255.84283782571316</v>
      </c>
      <c r="G83" s="68">
        <f>SUM(G65,G47,G29)</f>
        <v>-260.19420124610809</v>
      </c>
      <c r="H83" s="68">
        <f t="shared" ref="H83:L83" si="36">SUM(H65,H47,H29)</f>
        <v>-260.87509652822325</v>
      </c>
      <c r="I83" s="68">
        <f t="shared" si="36"/>
        <v>-262.51487603506365</v>
      </c>
      <c r="J83" s="68">
        <f t="shared" si="36"/>
        <v>-265.96870458302908</v>
      </c>
      <c r="K83" s="68">
        <f t="shared" si="36"/>
        <v>-271.0795032251084</v>
      </c>
      <c r="L83" s="68">
        <f t="shared" si="36"/>
        <v>-276.64552758932712</v>
      </c>
    </row>
    <row r="84" spans="1:15" x14ac:dyDescent="0.4">
      <c r="B84" s="24" t="str">
        <f t="shared" si="33"/>
        <v>Price movement</v>
      </c>
      <c r="C84" s="49"/>
      <c r="F84" s="412">
        <f t="shared" si="34"/>
        <v>126.44030658566476</v>
      </c>
      <c r="G84" s="68">
        <f t="shared" ref="G84:L84" si="37">SUM(G66,G48,G30)</f>
        <v>47.135669908612442</v>
      </c>
      <c r="H84" s="68">
        <f t="shared" si="37"/>
        <v>55.241336829963785</v>
      </c>
      <c r="I84" s="68">
        <f t="shared" si="37"/>
        <v>70.007932861756942</v>
      </c>
      <c r="J84" s="68">
        <f t="shared" si="37"/>
        <v>99.307259657639591</v>
      </c>
      <c r="K84" s="68">
        <f t="shared" si="37"/>
        <v>105.16719004425269</v>
      </c>
      <c r="L84" s="68">
        <f t="shared" si="37"/>
        <v>98.465207483619636</v>
      </c>
    </row>
    <row r="85" spans="1:15" x14ac:dyDescent="0.4">
      <c r="B85" s="24" t="str">
        <f t="shared" si="33"/>
        <v>Other CCA adjustments</v>
      </c>
      <c r="C85" s="49"/>
      <c r="F85" s="412">
        <f t="shared" si="34"/>
        <v>-2.8956523417496682</v>
      </c>
      <c r="G85" s="68">
        <f t="shared" ref="G85:L85" si="38">SUM(G67,G49,G31)</f>
        <v>0</v>
      </c>
      <c r="H85" s="68">
        <f t="shared" si="38"/>
        <v>0</v>
      </c>
      <c r="I85" s="68">
        <f t="shared" si="38"/>
        <v>0</v>
      </c>
      <c r="J85" s="68">
        <f t="shared" si="38"/>
        <v>0</v>
      </c>
      <c r="K85" s="68">
        <f t="shared" si="38"/>
        <v>0</v>
      </c>
      <c r="L85" s="68">
        <f t="shared" si="38"/>
        <v>0</v>
      </c>
    </row>
    <row r="86" spans="1:15" x14ac:dyDescent="0.4">
      <c r="B86" s="24" t="str">
        <f t="shared" si="33"/>
        <v>Closing NRC</v>
      </c>
      <c r="C86" s="49"/>
      <c r="F86" s="454">
        <f t="shared" si="34"/>
        <v>4256.6351406268432</v>
      </c>
      <c r="G86" s="68">
        <f t="shared" ref="G86:L86" si="39">SUM(G68,G50,G32)</f>
        <v>4043.5766092893473</v>
      </c>
      <c r="H86" s="68">
        <f t="shared" si="39"/>
        <v>3837.9428495910879</v>
      </c>
      <c r="I86" s="68">
        <f t="shared" si="39"/>
        <v>3645.4359064177811</v>
      </c>
      <c r="J86" s="68">
        <f t="shared" si="39"/>
        <v>3478.7744614923918</v>
      </c>
      <c r="K86" s="68">
        <f t="shared" si="39"/>
        <v>3312.8621483115362</v>
      </c>
      <c r="L86" s="68">
        <f t="shared" si="39"/>
        <v>3134.6818282058289</v>
      </c>
    </row>
    <row r="87" spans="1:15" x14ac:dyDescent="0.4">
      <c r="B87" s="35" t="s">
        <v>48</v>
      </c>
      <c r="F87" s="197" t="b">
        <f>IF(ABS(SUM(F81:F85)-F86)&lt;0.000001,TRUE,FALSE)</f>
        <v>1</v>
      </c>
      <c r="G87" s="62" t="b">
        <f>IF(ABS(SUM(G81:G85)-G86)&lt;0.000001,TRUE,FALSE)</f>
        <v>1</v>
      </c>
      <c r="H87" s="62" t="b">
        <f t="shared" ref="H87" si="40">IF(ABS(SUM(H81:H85)-H86)&lt;0.000001,TRUE,FALSE)</f>
        <v>1</v>
      </c>
      <c r="I87" s="62" t="b">
        <f t="shared" ref="I87" si="41">IF(ABS(SUM(I81:I85)-I86)&lt;0.000001,TRUE,FALSE)</f>
        <v>1</v>
      </c>
      <c r="J87" s="62" t="b">
        <f t="shared" ref="J87" si="42">IF(ABS(SUM(J81:J85)-J86)&lt;0.000001,TRUE,FALSE)</f>
        <v>1</v>
      </c>
      <c r="K87" s="62" t="b">
        <f t="shared" ref="K87" si="43">IF(ABS(SUM(K81:K85)-K86)&lt;0.000001,TRUE,FALSE)</f>
        <v>1</v>
      </c>
      <c r="L87" s="62" t="b">
        <f t="shared" ref="L87" si="44">IF(ABS(SUM(L81:L85)-L86)&lt;0.000001,TRUE,FALSE)</f>
        <v>1</v>
      </c>
    </row>
    <row r="88" spans="1:15" s="44" customFormat="1" ht="6" customHeight="1" x14ac:dyDescent="0.4">
      <c r="A88" s="218"/>
      <c r="B88" s="218"/>
      <c r="C88" s="218"/>
      <c r="D88" s="218"/>
      <c r="E88" s="219"/>
      <c r="F88" s="219"/>
      <c r="G88" s="219"/>
      <c r="H88" s="219"/>
      <c r="I88" s="219"/>
      <c r="J88" s="219"/>
      <c r="K88" s="219"/>
      <c r="L88" s="219"/>
      <c r="M88" s="219"/>
      <c r="N88" s="219"/>
    </row>
    <row r="89" spans="1:15" s="44" customFormat="1" ht="6" customHeight="1" x14ac:dyDescent="0.4"/>
    <row r="90" spans="1:15" x14ac:dyDescent="0.4">
      <c r="A90" s="25" t="s">
        <v>82</v>
      </c>
      <c r="C90" s="27"/>
      <c r="F90" s="53"/>
      <c r="G90" s="49"/>
      <c r="H90" s="49"/>
      <c r="I90" s="49"/>
      <c r="J90" s="49"/>
      <c r="K90" s="49"/>
      <c r="L90" s="49"/>
    </row>
    <row r="91" spans="1:15" x14ac:dyDescent="0.4">
      <c r="C91" s="27"/>
      <c r="D91" s="380"/>
      <c r="E91" s="44"/>
      <c r="F91" s="50" t="str">
        <f t="shared" ref="F91:L91" si="45">F18</f>
        <v>2019/20</v>
      </c>
      <c r="G91" s="50" t="str">
        <f t="shared" si="45"/>
        <v>2020/21</v>
      </c>
      <c r="H91" s="50" t="str">
        <f t="shared" si="45"/>
        <v>2021/22</v>
      </c>
      <c r="I91" s="50" t="str">
        <f t="shared" si="45"/>
        <v>2022/23</v>
      </c>
      <c r="J91" s="50" t="str">
        <f t="shared" si="45"/>
        <v>2023/24</v>
      </c>
      <c r="K91" s="50" t="str">
        <f t="shared" si="45"/>
        <v>2024/25</v>
      </c>
      <c r="L91" s="50" t="str">
        <f t="shared" si="45"/>
        <v>2025/26</v>
      </c>
    </row>
    <row r="92" spans="1:15" s="44" customFormat="1" ht="6" customHeight="1" x14ac:dyDescent="0.4">
      <c r="C92" s="27"/>
      <c r="D92" s="43"/>
      <c r="F92" s="27"/>
      <c r="G92" s="27"/>
      <c r="H92" s="27"/>
      <c r="I92" s="27"/>
      <c r="J92" s="27"/>
      <c r="K92" s="27"/>
      <c r="L92" s="27"/>
      <c r="M92" s="27"/>
    </row>
    <row r="93" spans="1:15" x14ac:dyDescent="0.4">
      <c r="A93" s="25" t="str">
        <f>'Input data'!A60</f>
        <v>Post 2018/19 assets</v>
      </c>
      <c r="B93" s="44" t="str">
        <f>'Input data'!B60</f>
        <v>Opening GRC</v>
      </c>
      <c r="D93" s="381"/>
      <c r="E93" s="44"/>
      <c r="F93" s="69">
        <f>'Input data'!E60</f>
        <v>379.4233856980324</v>
      </c>
      <c r="G93" s="69">
        <f>F97</f>
        <v>662.99819822777988</v>
      </c>
      <c r="H93" s="69">
        <f t="shared" ref="H93:L93" si="46">G97</f>
        <v>875.55697154332654</v>
      </c>
      <c r="I93" s="69">
        <f t="shared" si="46"/>
        <v>1187.2244349759667</v>
      </c>
      <c r="J93" s="69">
        <f t="shared" si="46"/>
        <v>1598.212849887092</v>
      </c>
      <c r="K93" s="69">
        <f t="shared" si="46"/>
        <v>1970.3622913971428</v>
      </c>
      <c r="L93" s="69">
        <f t="shared" si="46"/>
        <v>2428.8622985255147</v>
      </c>
      <c r="O93" s="44"/>
    </row>
    <row r="94" spans="1:15" x14ac:dyDescent="0.4">
      <c r="A94" s="46" t="str">
        <f>'Input data'!A61</f>
        <v>GRC</v>
      </c>
      <c r="B94" s="44" t="str">
        <f>'Input data'!B61</f>
        <v>Net asset registrations</v>
      </c>
      <c r="D94" s="381"/>
      <c r="E94" s="44"/>
      <c r="F94" s="69">
        <f>'Input data'!E61</f>
        <v>273.69329579555512</v>
      </c>
      <c r="G94" s="431">
        <f>G14</f>
        <v>205.21709069788457</v>
      </c>
      <c r="H94" s="431">
        <f t="shared" ref="H94:L94" si="47">H14</f>
        <v>299.70603862180951</v>
      </c>
      <c r="I94" s="431">
        <f t="shared" si="47"/>
        <v>389.33224862806321</v>
      </c>
      <c r="J94" s="431">
        <f t="shared" si="47"/>
        <v>328.61167468427897</v>
      </c>
      <c r="K94" s="431">
        <f t="shared" si="47"/>
        <v>398.93378119186877</v>
      </c>
      <c r="L94" s="431">
        <f t="shared" si="47"/>
        <v>465.18212409050705</v>
      </c>
    </row>
    <row r="95" spans="1:15" x14ac:dyDescent="0.4">
      <c r="B95" s="44" t="str">
        <f>'Input data'!B62</f>
        <v>Price movement</v>
      </c>
      <c r="D95" s="381"/>
      <c r="E95" s="44"/>
      <c r="F95" s="69">
        <f>'Input data'!E62</f>
        <v>9.8815167341923704</v>
      </c>
      <c r="G95" s="69">
        <f>G93*G$11</f>
        <v>7.3416826176620225</v>
      </c>
      <c r="H95" s="69">
        <f t="shared" ref="H95:L95" si="48">H93*H$11</f>
        <v>11.961424810830611</v>
      </c>
      <c r="I95" s="69">
        <f t="shared" si="48"/>
        <v>21.656166283062358</v>
      </c>
      <c r="J95" s="69">
        <f t="shared" si="48"/>
        <v>43.537766825771854</v>
      </c>
      <c r="K95" s="69">
        <f t="shared" si="48"/>
        <v>59.566225936503045</v>
      </c>
      <c r="L95" s="69">
        <f t="shared" si="48"/>
        <v>72.190878903714051</v>
      </c>
    </row>
    <row r="96" spans="1:15" x14ac:dyDescent="0.4">
      <c r="B96" s="44" t="str">
        <f>'Input data'!B63</f>
        <v>Write outs and Other adjs</v>
      </c>
      <c r="D96" s="381"/>
      <c r="E96" s="44"/>
      <c r="F96" s="69">
        <f>'Input data'!E63</f>
        <v>0</v>
      </c>
      <c r="G96" s="419">
        <v>0</v>
      </c>
      <c r="H96" s="419">
        <v>0</v>
      </c>
      <c r="I96" s="419">
        <v>0</v>
      </c>
      <c r="J96" s="419">
        <v>0</v>
      </c>
      <c r="K96" s="419">
        <v>0</v>
      </c>
      <c r="L96" s="419">
        <v>0</v>
      </c>
      <c r="N96" s="26" t="s">
        <v>74</v>
      </c>
    </row>
    <row r="97" spans="1:14" x14ac:dyDescent="0.4">
      <c r="B97" s="44" t="str">
        <f>'Input data'!B64</f>
        <v>Closing GRC</v>
      </c>
      <c r="D97" s="381"/>
      <c r="E97" s="44"/>
      <c r="F97" s="69">
        <f>'Input data'!E64</f>
        <v>662.99819822777988</v>
      </c>
      <c r="G97" s="69">
        <f>SUM(G93:G96)</f>
        <v>875.55697154332654</v>
      </c>
      <c r="H97" s="69">
        <f t="shared" ref="H97:L97" si="49">SUM(H93:H96)</f>
        <v>1187.2244349759667</v>
      </c>
      <c r="I97" s="69">
        <f t="shared" si="49"/>
        <v>1598.212849887092</v>
      </c>
      <c r="J97" s="69">
        <f t="shared" si="49"/>
        <v>1970.3622913971428</v>
      </c>
      <c r="K97" s="69">
        <f t="shared" si="49"/>
        <v>2428.8622985255147</v>
      </c>
      <c r="L97" s="69">
        <f t="shared" si="49"/>
        <v>2966.2353015197355</v>
      </c>
    </row>
    <row r="98" spans="1:14" x14ac:dyDescent="0.4">
      <c r="B98" s="35" t="s">
        <v>48</v>
      </c>
      <c r="D98" s="381"/>
      <c r="E98" s="44"/>
    </row>
    <row r="99" spans="1:14" x14ac:dyDescent="0.4">
      <c r="C99" s="27"/>
      <c r="D99" s="382"/>
      <c r="E99" s="44"/>
    </row>
    <row r="100" spans="1:14" x14ac:dyDescent="0.4">
      <c r="A100" s="46" t="str">
        <f>'Input data'!A66</f>
        <v>Post 2018/19 assets</v>
      </c>
      <c r="B100" s="44" t="str">
        <f>'Input data'!B66</f>
        <v>Duct Opening NRC</v>
      </c>
      <c r="D100" s="381"/>
      <c r="E100" s="44"/>
      <c r="F100" s="69">
        <f>'Input data'!E66</f>
        <v>318.78766431839227</v>
      </c>
      <c r="G100" s="69">
        <f>F105</f>
        <v>593.28856409990067</v>
      </c>
      <c r="H100" s="69">
        <f t="shared" ref="H100:L100" si="50">G105</f>
        <v>785.84347109648149</v>
      </c>
      <c r="I100" s="69">
        <f t="shared" si="50"/>
        <v>1070.5005456288718</v>
      </c>
      <c r="J100" s="69">
        <f t="shared" si="50"/>
        <v>1444.5418334861929</v>
      </c>
      <c r="K100" s="69">
        <f t="shared" si="50"/>
        <v>1767.8978517874375</v>
      </c>
      <c r="L100" s="69">
        <f t="shared" si="50"/>
        <v>2165.2868281567644</v>
      </c>
    </row>
    <row r="101" spans="1:14" x14ac:dyDescent="0.4">
      <c r="A101" s="46" t="str">
        <f>'Input data'!A67</f>
        <v>NRC</v>
      </c>
      <c r="B101" s="44" t="str">
        <f>'Input data'!B67</f>
        <v>Net Asset registrations</v>
      </c>
      <c r="D101" s="383"/>
      <c r="E101" s="44"/>
      <c r="F101" s="69">
        <f>'Input data'!E67</f>
        <v>273.69329579555512</v>
      </c>
      <c r="G101" s="418">
        <f>G94</f>
        <v>205.21709069788457</v>
      </c>
      <c r="H101" s="418">
        <f t="shared" ref="H101:L101" si="51">H94</f>
        <v>299.70603862180951</v>
      </c>
      <c r="I101" s="418">
        <f t="shared" si="51"/>
        <v>389.33224862806321</v>
      </c>
      <c r="J101" s="418">
        <f t="shared" si="51"/>
        <v>328.61167468427897</v>
      </c>
      <c r="K101" s="418">
        <f t="shared" si="51"/>
        <v>398.93378119186877</v>
      </c>
      <c r="L101" s="418">
        <f t="shared" si="51"/>
        <v>465.18212409050705</v>
      </c>
    </row>
    <row r="102" spans="1:14" x14ac:dyDescent="0.4">
      <c r="B102" s="44" t="str">
        <f>'Input data'!B68</f>
        <v>OCM depreciation</v>
      </c>
      <c r="D102" s="381"/>
      <c r="E102" s="197"/>
      <c r="F102" s="418">
        <f>'Input data'!E68</f>
        <v>-9.7808752743959424</v>
      </c>
      <c r="G102" s="418">
        <f t="shared" ref="G102:L102" si="52">-AVERAGE(G93,G97)/duct_asset_life</f>
        <v>-19.231939622138832</v>
      </c>
      <c r="H102" s="418">
        <f t="shared" si="52"/>
        <v>-25.784767581491167</v>
      </c>
      <c r="I102" s="418">
        <f t="shared" si="52"/>
        <v>-34.817966060788237</v>
      </c>
      <c r="J102" s="418">
        <f t="shared" si="52"/>
        <v>-44.607189266052934</v>
      </c>
      <c r="K102" s="418">
        <f t="shared" si="52"/>
        <v>-54.990307374033215</v>
      </c>
      <c r="L102" s="418">
        <f t="shared" si="52"/>
        <v>-67.438720000565624</v>
      </c>
      <c r="N102" s="379"/>
    </row>
    <row r="103" spans="1:14" x14ac:dyDescent="0.4">
      <c r="B103" s="44" t="str">
        <f>'Input data'!B69</f>
        <v>Price movement</v>
      </c>
      <c r="D103" s="381"/>
      <c r="E103" s="44"/>
      <c r="F103" s="69">
        <f>'Input data'!E69</f>
        <v>10.588479260349272</v>
      </c>
      <c r="G103" s="432">
        <f>G100*G$11</f>
        <v>6.5697559208350116</v>
      </c>
      <c r="H103" s="432">
        <f t="shared" ref="H103:L103" si="53">H100*H$11</f>
        <v>10.735803492071854</v>
      </c>
      <c r="I103" s="432">
        <f t="shared" si="53"/>
        <v>19.527005290046215</v>
      </c>
      <c r="J103" s="432">
        <f t="shared" si="53"/>
        <v>39.351532883018628</v>
      </c>
      <c r="K103" s="432">
        <f t="shared" si="53"/>
        <v>53.445502551491622</v>
      </c>
      <c r="L103" s="432">
        <f t="shared" si="53"/>
        <v>64.356863416326775</v>
      </c>
    </row>
    <row r="104" spans="1:14" x14ac:dyDescent="0.4">
      <c r="B104" s="44" t="str">
        <f>'Input data'!B70</f>
        <v>Other CCA adjustments</v>
      </c>
      <c r="D104" s="381"/>
      <c r="E104" s="44"/>
      <c r="F104" s="69">
        <f>'Input data'!E70</f>
        <v>0</v>
      </c>
      <c r="G104" s="419">
        <v>0</v>
      </c>
      <c r="H104" s="419">
        <v>0</v>
      </c>
      <c r="I104" s="419">
        <v>0</v>
      </c>
      <c r="J104" s="419">
        <v>0</v>
      </c>
      <c r="K104" s="419">
        <v>0</v>
      </c>
      <c r="L104" s="419">
        <v>0</v>
      </c>
      <c r="N104" s="26" t="s">
        <v>277</v>
      </c>
    </row>
    <row r="105" spans="1:14" x14ac:dyDescent="0.4">
      <c r="B105" s="44" t="str">
        <f>'Input data'!B71</f>
        <v>Closing NRC</v>
      </c>
      <c r="D105" s="381"/>
      <c r="F105" s="69">
        <f>'Input data'!E71</f>
        <v>593.28856409990067</v>
      </c>
      <c r="G105" s="69">
        <f>SUM(G100:G104)</f>
        <v>785.84347109648149</v>
      </c>
      <c r="H105" s="69">
        <f t="shared" ref="H105:L105" si="54">SUM(H100:H104)</f>
        <v>1070.5005456288718</v>
      </c>
      <c r="I105" s="69">
        <f t="shared" si="54"/>
        <v>1444.5418334861929</v>
      </c>
      <c r="J105" s="69">
        <f t="shared" si="54"/>
        <v>1767.8978517874375</v>
      </c>
      <c r="K105" s="69">
        <f t="shared" si="54"/>
        <v>2165.2868281567644</v>
      </c>
      <c r="L105" s="69">
        <f t="shared" si="54"/>
        <v>2627.3870956630321</v>
      </c>
    </row>
    <row r="106" spans="1:14" x14ac:dyDescent="0.4">
      <c r="F106" s="195"/>
      <c r="G106" s="195"/>
      <c r="H106" s="195"/>
      <c r="I106" s="195"/>
      <c r="J106" s="195"/>
      <c r="K106" s="195"/>
      <c r="L106" s="195"/>
    </row>
    <row r="107" spans="1:14" s="44" customFormat="1" x14ac:dyDescent="0.4">
      <c r="A107" s="46" t="s">
        <v>77</v>
      </c>
      <c r="B107" s="44" t="str">
        <f>B93</f>
        <v>Opening GRC</v>
      </c>
      <c r="F107" s="69">
        <f>E111</f>
        <v>0</v>
      </c>
      <c r="G107" s="69">
        <f>F111</f>
        <v>0</v>
      </c>
      <c r="H107" s="69">
        <f t="shared" ref="H107:L107" si="55">G111</f>
        <v>15.421980686446419</v>
      </c>
      <c r="I107" s="69">
        <f t="shared" si="55"/>
        <v>47.849004489326674</v>
      </c>
      <c r="J107" s="69">
        <f t="shared" si="55"/>
        <v>95.510095984899465</v>
      </c>
      <c r="K107" s="69">
        <f t="shared" si="55"/>
        <v>117.8528199304582</v>
      </c>
      <c r="L107" s="69">
        <f t="shared" si="55"/>
        <v>144.77761531641985</v>
      </c>
      <c r="N107" s="379"/>
    </row>
    <row r="108" spans="1:14" s="44" customFormat="1" x14ac:dyDescent="0.4">
      <c r="A108" s="46" t="s">
        <v>27</v>
      </c>
      <c r="B108" s="44" t="str">
        <f>B94</f>
        <v>Net asset registrations</v>
      </c>
      <c r="F108" s="418">
        <f>'Network Adjs'!E22/Million</f>
        <v>0</v>
      </c>
      <c r="G108" s="418">
        <f>'Network Adjs'!F22/Million</f>
        <v>15.421980686446419</v>
      </c>
      <c r="H108" s="418">
        <f>'Network Adjs'!G22/Million</f>
        <v>32.216336356591235</v>
      </c>
      <c r="I108" s="418">
        <f>'Network Adjs'!H22/Million</f>
        <v>46.788277588469519</v>
      </c>
      <c r="J108" s="418">
        <f>'Network Adjs'!I22/Million</f>
        <v>19.740882589577009</v>
      </c>
      <c r="K108" s="418">
        <f>'Network Adjs'!J22/Million</f>
        <v>23.361974614430387</v>
      </c>
      <c r="L108" s="418">
        <f>'Network Adjs'!K22/Million</f>
        <v>19.295807497595053</v>
      </c>
    </row>
    <row r="109" spans="1:14" s="44" customFormat="1" x14ac:dyDescent="0.4">
      <c r="B109" s="44" t="str">
        <f>B95</f>
        <v>Price movement</v>
      </c>
      <c r="F109" s="69">
        <f t="shared" ref="F109:L109" si="56">F107*F11</f>
        <v>0</v>
      </c>
      <c r="G109" s="69">
        <f t="shared" si="56"/>
        <v>0</v>
      </c>
      <c r="H109" s="69">
        <f t="shared" si="56"/>
        <v>0.21068744628901895</v>
      </c>
      <c r="I109" s="69">
        <f t="shared" si="56"/>
        <v>0.87281390710327855</v>
      </c>
      <c r="J109" s="69">
        <f t="shared" si="56"/>
        <v>2.6018413559817204</v>
      </c>
      <c r="K109" s="69">
        <f t="shared" si="56"/>
        <v>3.5628207715312663</v>
      </c>
      <c r="L109" s="69">
        <f t="shared" si="56"/>
        <v>4.3030942106602801</v>
      </c>
    </row>
    <row r="110" spans="1:14" s="44" customFormat="1" x14ac:dyDescent="0.4">
      <c r="B110" s="44" t="str">
        <f>B96</f>
        <v>Write outs and Other adjs</v>
      </c>
      <c r="F110" s="419">
        <v>0</v>
      </c>
      <c r="G110" s="419">
        <v>0</v>
      </c>
      <c r="H110" s="419">
        <v>0</v>
      </c>
      <c r="I110" s="419">
        <v>0</v>
      </c>
      <c r="J110" s="419">
        <v>0</v>
      </c>
      <c r="K110" s="419">
        <v>0</v>
      </c>
      <c r="L110" s="419">
        <v>0</v>
      </c>
      <c r="N110" s="26" t="s">
        <v>278</v>
      </c>
    </row>
    <row r="111" spans="1:14" s="44" customFormat="1" x14ac:dyDescent="0.4">
      <c r="B111" s="44" t="str">
        <f>B97</f>
        <v>Closing GRC</v>
      </c>
      <c r="F111" s="69">
        <f>SUM(F107:F110)</f>
        <v>0</v>
      </c>
      <c r="G111" s="69">
        <f t="shared" ref="G111:L111" si="57">SUM(G107:G110)</f>
        <v>15.421980686446419</v>
      </c>
      <c r="H111" s="69">
        <f t="shared" si="57"/>
        <v>47.849004489326674</v>
      </c>
      <c r="I111" s="69">
        <f t="shared" si="57"/>
        <v>95.510095984899465</v>
      </c>
      <c r="J111" s="69">
        <f t="shared" si="57"/>
        <v>117.8528199304582</v>
      </c>
      <c r="K111" s="69">
        <f t="shared" si="57"/>
        <v>144.77761531641985</v>
      </c>
      <c r="L111" s="69">
        <f t="shared" si="57"/>
        <v>168.37651702467519</v>
      </c>
    </row>
    <row r="112" spans="1:14" s="44" customFormat="1" x14ac:dyDescent="0.4">
      <c r="B112" s="47" t="s">
        <v>48</v>
      </c>
      <c r="F112" s="433"/>
      <c r="G112" s="433"/>
      <c r="H112" s="433"/>
      <c r="I112" s="433"/>
      <c r="J112" s="433"/>
      <c r="K112" s="433"/>
      <c r="L112" s="433"/>
    </row>
    <row r="113" spans="1:14" s="44" customFormat="1" x14ac:dyDescent="0.4">
      <c r="F113" s="433"/>
      <c r="G113" s="433"/>
      <c r="H113" s="433"/>
      <c r="I113" s="433"/>
      <c r="J113" s="433"/>
      <c r="K113" s="433"/>
      <c r="L113" s="433"/>
    </row>
    <row r="114" spans="1:14" s="44" customFormat="1" x14ac:dyDescent="0.4">
      <c r="A114" s="46" t="s">
        <v>77</v>
      </c>
      <c r="B114" s="44" t="str">
        <f t="shared" ref="B114:B119" si="58">B100</f>
        <v>Duct Opening NRC</v>
      </c>
      <c r="F114" s="69">
        <v>0</v>
      </c>
      <c r="G114" s="69">
        <f t="shared" ref="G114:L114" si="59">F119</f>
        <v>0</v>
      </c>
      <c r="H114" s="69">
        <f t="shared" si="59"/>
        <v>15.22920592786584</v>
      </c>
      <c r="I114" s="69">
        <f t="shared" si="59"/>
        <v>46.862708822970319</v>
      </c>
      <c r="J114" s="69">
        <f t="shared" si="59"/>
        <v>92.71382053890855</v>
      </c>
      <c r="K114" s="69">
        <f t="shared" si="59"/>
        <v>112.31333320790033</v>
      </c>
      <c r="L114" s="69">
        <f t="shared" si="59"/>
        <v>135.78778335803057</v>
      </c>
    </row>
    <row r="115" spans="1:14" x14ac:dyDescent="0.4">
      <c r="A115" s="46" t="s">
        <v>15</v>
      </c>
      <c r="B115" s="44" t="str">
        <f t="shared" si="58"/>
        <v>Net Asset registrations</v>
      </c>
      <c r="F115" s="418">
        <f>F108</f>
        <v>0</v>
      </c>
      <c r="G115" s="418">
        <f>G108</f>
        <v>15.421980686446419</v>
      </c>
      <c r="H115" s="418">
        <f t="shared" ref="H115:L115" si="60">H108</f>
        <v>32.216336356591235</v>
      </c>
      <c r="I115" s="418">
        <f t="shared" si="60"/>
        <v>46.788277588469519</v>
      </c>
      <c r="J115" s="418">
        <f t="shared" si="60"/>
        <v>19.740882589577009</v>
      </c>
      <c r="K115" s="418">
        <f t="shared" si="60"/>
        <v>23.361974614430387</v>
      </c>
      <c r="L115" s="418">
        <f t="shared" si="60"/>
        <v>19.295807497595053</v>
      </c>
    </row>
    <row r="116" spans="1:14" s="44" customFormat="1" x14ac:dyDescent="0.4">
      <c r="B116" s="44" t="str">
        <f t="shared" si="58"/>
        <v>OCM depreciation</v>
      </c>
      <c r="F116" s="69">
        <f>-(F107+F117+0.5*F115)/duct_asset_life</f>
        <v>0</v>
      </c>
      <c r="G116" s="418">
        <f t="shared" ref="G116:L116" si="61">-AVERAGE(G107,G111)/duct_asset_life</f>
        <v>-0.19277475858058024</v>
      </c>
      <c r="H116" s="418">
        <f t="shared" si="61"/>
        <v>-0.79088731469716367</v>
      </c>
      <c r="I116" s="418">
        <f t="shared" si="61"/>
        <v>-1.7919887559278265</v>
      </c>
      <c r="J116" s="418">
        <f t="shared" si="61"/>
        <v>-2.6670364489419707</v>
      </c>
      <c r="K116" s="418">
        <f t="shared" si="61"/>
        <v>-3.2828804405859757</v>
      </c>
      <c r="L116" s="418">
        <f t="shared" si="61"/>
        <v>-3.9144266542636883</v>
      </c>
    </row>
    <row r="117" spans="1:14" s="44" customFormat="1" x14ac:dyDescent="0.4">
      <c r="B117" s="44" t="str">
        <f t="shared" si="58"/>
        <v>Price movement</v>
      </c>
      <c r="F117" s="69">
        <f t="shared" ref="F117:L117" si="62">F114*F11</f>
        <v>0</v>
      </c>
      <c r="G117" s="69">
        <f t="shared" si="62"/>
        <v>0</v>
      </c>
      <c r="H117" s="69">
        <f t="shared" si="62"/>
        <v>0.20805385321040623</v>
      </c>
      <c r="I117" s="69">
        <f t="shared" si="62"/>
        <v>0.85482288339653567</v>
      </c>
      <c r="J117" s="69">
        <f t="shared" si="62"/>
        <v>2.5256665283567368</v>
      </c>
      <c r="K117" s="69">
        <f t="shared" si="62"/>
        <v>3.3953559762858352</v>
      </c>
      <c r="L117" s="69">
        <f t="shared" si="62"/>
        <v>4.0358975603327591</v>
      </c>
    </row>
    <row r="118" spans="1:14" s="44" customFormat="1" x14ac:dyDescent="0.4">
      <c r="B118" s="44" t="str">
        <f t="shared" si="58"/>
        <v>Other CCA adjustments</v>
      </c>
      <c r="F118" s="419">
        <v>0</v>
      </c>
      <c r="G118" s="419">
        <v>0</v>
      </c>
      <c r="H118" s="419">
        <v>0</v>
      </c>
      <c r="I118" s="419">
        <v>0</v>
      </c>
      <c r="J118" s="419">
        <v>0</v>
      </c>
      <c r="K118" s="419">
        <v>0</v>
      </c>
      <c r="L118" s="419">
        <v>0</v>
      </c>
      <c r="N118" s="26" t="s">
        <v>277</v>
      </c>
    </row>
    <row r="119" spans="1:14" s="44" customFormat="1" x14ac:dyDescent="0.4">
      <c r="B119" s="44" t="str">
        <f t="shared" si="58"/>
        <v>Closing NRC</v>
      </c>
      <c r="F119" s="69">
        <f>SUM(F114:F118)</f>
        <v>0</v>
      </c>
      <c r="G119" s="69">
        <f t="shared" ref="G119:L119" si="63">SUM(G114:G118)</f>
        <v>15.22920592786584</v>
      </c>
      <c r="H119" s="69">
        <f t="shared" si="63"/>
        <v>46.862708822970319</v>
      </c>
      <c r="I119" s="69">
        <f t="shared" si="63"/>
        <v>92.71382053890855</v>
      </c>
      <c r="J119" s="69">
        <f t="shared" si="63"/>
        <v>112.31333320790033</v>
      </c>
      <c r="K119" s="69">
        <f t="shared" si="63"/>
        <v>135.78778335803057</v>
      </c>
      <c r="L119" s="69">
        <f t="shared" si="63"/>
        <v>155.20506176169471</v>
      </c>
    </row>
    <row r="120" spans="1:14" s="44" customFormat="1" x14ac:dyDescent="0.4">
      <c r="F120" s="433"/>
      <c r="G120" s="433"/>
      <c r="H120" s="433"/>
      <c r="I120" s="433"/>
      <c r="J120" s="433"/>
      <c r="K120" s="433"/>
      <c r="L120" s="433"/>
    </row>
    <row r="121" spans="1:14" s="44" customFormat="1" x14ac:dyDescent="0.4">
      <c r="B121" s="44" t="s">
        <v>84</v>
      </c>
      <c r="D121" s="49"/>
      <c r="E121" s="49"/>
      <c r="F121" s="69">
        <f>F6</f>
        <v>40.651549398899078</v>
      </c>
      <c r="G121" s="69">
        <f t="shared" ref="G121:L121" si="64">AVERAGE($E$6:$F$6)</f>
        <v>33.722648206214906</v>
      </c>
      <c r="H121" s="69">
        <f t="shared" si="64"/>
        <v>33.722648206214906</v>
      </c>
      <c r="I121" s="69">
        <f t="shared" si="64"/>
        <v>33.722648206214906</v>
      </c>
      <c r="J121" s="69">
        <f t="shared" si="64"/>
        <v>33.722648206214906</v>
      </c>
      <c r="K121" s="69">
        <f t="shared" si="64"/>
        <v>33.722648206214906</v>
      </c>
      <c r="L121" s="69">
        <f t="shared" si="64"/>
        <v>33.722648206214906</v>
      </c>
      <c r="N121" s="26"/>
    </row>
    <row r="122" spans="1:14" s="44" customFormat="1" x14ac:dyDescent="0.4">
      <c r="D122" s="49"/>
      <c r="E122" s="49"/>
      <c r="F122" s="49"/>
      <c r="G122" s="49"/>
      <c r="H122" s="49"/>
      <c r="I122" s="49"/>
      <c r="J122" s="49"/>
      <c r="K122" s="49"/>
      <c r="L122" s="49"/>
      <c r="N122" s="26"/>
    </row>
    <row r="123" spans="1:14" x14ac:dyDescent="0.4">
      <c r="A123" s="25" t="s">
        <v>339</v>
      </c>
      <c r="D123" s="45"/>
      <c r="E123" s="28"/>
      <c r="F123" s="28" t="str">
        <f t="shared" ref="F123:L123" si="65">F18</f>
        <v>2019/20</v>
      </c>
      <c r="G123" s="28" t="str">
        <f t="shared" si="65"/>
        <v>2020/21</v>
      </c>
      <c r="H123" s="28" t="str">
        <f t="shared" si="65"/>
        <v>2021/22</v>
      </c>
      <c r="I123" s="28" t="str">
        <f t="shared" si="65"/>
        <v>2022/23</v>
      </c>
      <c r="J123" s="28" t="str">
        <f t="shared" si="65"/>
        <v>2023/24</v>
      </c>
      <c r="K123" s="28" t="str">
        <f t="shared" si="65"/>
        <v>2024/25</v>
      </c>
      <c r="L123" s="28" t="str">
        <f t="shared" si="65"/>
        <v>2025/26</v>
      </c>
    </row>
    <row r="124" spans="1:14" s="44" customFormat="1" x14ac:dyDescent="0.4">
      <c r="A124" s="46"/>
    </row>
    <row r="125" spans="1:14" s="44" customFormat="1" x14ac:dyDescent="0.4">
      <c r="A125" s="46" t="s">
        <v>75</v>
      </c>
      <c r="B125" s="44" t="str">
        <f>B107</f>
        <v>Opening GRC</v>
      </c>
      <c r="D125" s="49"/>
      <c r="E125" s="49"/>
      <c r="F125" s="69">
        <f>F93+F107</f>
        <v>379.4233856980324</v>
      </c>
      <c r="G125" s="69">
        <f t="shared" ref="F125:L129" si="66">G93+G107</f>
        <v>662.99819822777988</v>
      </c>
      <c r="H125" s="69">
        <f t="shared" si="66"/>
        <v>890.97895222977297</v>
      </c>
      <c r="I125" s="69">
        <f t="shared" si="66"/>
        <v>1235.0734394652934</v>
      </c>
      <c r="J125" s="69">
        <f t="shared" si="66"/>
        <v>1693.7229458719914</v>
      </c>
      <c r="K125" s="69">
        <f t="shared" si="66"/>
        <v>2088.2151113276009</v>
      </c>
      <c r="L125" s="69">
        <f t="shared" si="66"/>
        <v>2573.6399138419347</v>
      </c>
    </row>
    <row r="126" spans="1:14" s="44" customFormat="1" x14ac:dyDescent="0.4">
      <c r="A126" s="46"/>
      <c r="B126" s="44" t="str">
        <f>B108</f>
        <v>Net asset registrations</v>
      </c>
      <c r="D126" s="49"/>
      <c r="E126" s="49"/>
      <c r="F126" s="69">
        <f t="shared" si="66"/>
        <v>273.69329579555512</v>
      </c>
      <c r="G126" s="69">
        <f t="shared" si="66"/>
        <v>220.639071384331</v>
      </c>
      <c r="H126" s="69">
        <f t="shared" si="66"/>
        <v>331.92237497840074</v>
      </c>
      <c r="I126" s="69">
        <f t="shared" si="66"/>
        <v>436.12052621653271</v>
      </c>
      <c r="J126" s="69">
        <f t="shared" si="66"/>
        <v>348.35255727385595</v>
      </c>
      <c r="K126" s="69">
        <f t="shared" si="66"/>
        <v>422.29575580629916</v>
      </c>
      <c r="L126" s="69">
        <f t="shared" si="66"/>
        <v>484.47793158810208</v>
      </c>
    </row>
    <row r="127" spans="1:14" s="44" customFormat="1" x14ac:dyDescent="0.4">
      <c r="A127" s="46"/>
      <c r="B127" s="44" t="str">
        <f>B109</f>
        <v>Price movement</v>
      </c>
      <c r="D127" s="49"/>
      <c r="E127" s="49"/>
      <c r="F127" s="69">
        <f t="shared" si="66"/>
        <v>9.8815167341923704</v>
      </c>
      <c r="G127" s="69">
        <f t="shared" si="66"/>
        <v>7.3416826176620225</v>
      </c>
      <c r="H127" s="69">
        <f t="shared" si="66"/>
        <v>12.172112257119629</v>
      </c>
      <c r="I127" s="69">
        <f t="shared" si="66"/>
        <v>22.528980190165637</v>
      </c>
      <c r="J127" s="69">
        <f t="shared" si="66"/>
        <v>46.139608181753573</v>
      </c>
      <c r="K127" s="69">
        <f t="shared" si="66"/>
        <v>63.129046708034309</v>
      </c>
      <c r="L127" s="69">
        <f t="shared" si="66"/>
        <v>76.493973114374327</v>
      </c>
    </row>
    <row r="128" spans="1:14" s="44" customFormat="1" x14ac:dyDescent="0.4">
      <c r="A128" s="46"/>
      <c r="B128" s="44" t="str">
        <f>B110</f>
        <v>Write outs and Other adjs</v>
      </c>
      <c r="D128" s="49"/>
      <c r="E128" s="49"/>
      <c r="F128" s="69">
        <f t="shared" si="66"/>
        <v>0</v>
      </c>
      <c r="G128" s="69">
        <f t="shared" si="66"/>
        <v>0</v>
      </c>
      <c r="H128" s="69">
        <f t="shared" si="66"/>
        <v>0</v>
      </c>
      <c r="I128" s="69">
        <f t="shared" si="66"/>
        <v>0</v>
      </c>
      <c r="J128" s="69">
        <f t="shared" si="66"/>
        <v>0</v>
      </c>
      <c r="K128" s="69">
        <f t="shared" si="66"/>
        <v>0</v>
      </c>
      <c r="L128" s="69">
        <f t="shared" si="66"/>
        <v>0</v>
      </c>
    </row>
    <row r="129" spans="1:14" s="44" customFormat="1" x14ac:dyDescent="0.4">
      <c r="A129" s="46"/>
      <c r="B129" s="44" t="str">
        <f>B111</f>
        <v>Closing GRC</v>
      </c>
      <c r="D129" s="49"/>
      <c r="E129" s="49"/>
      <c r="F129" s="69">
        <f t="shared" si="66"/>
        <v>662.99819822777988</v>
      </c>
      <c r="G129" s="69">
        <f t="shared" si="66"/>
        <v>890.97895222977297</v>
      </c>
      <c r="H129" s="69">
        <f t="shared" si="66"/>
        <v>1235.0734394652934</v>
      </c>
      <c r="I129" s="69">
        <f t="shared" si="66"/>
        <v>1693.7229458719914</v>
      </c>
      <c r="J129" s="69">
        <f t="shared" si="66"/>
        <v>2088.2151113276009</v>
      </c>
      <c r="K129" s="69">
        <f t="shared" si="66"/>
        <v>2573.6399138419347</v>
      </c>
      <c r="L129" s="69">
        <f t="shared" si="66"/>
        <v>3134.6118185444107</v>
      </c>
    </row>
    <row r="130" spans="1:14" s="44" customFormat="1" x14ac:dyDescent="0.4">
      <c r="A130" s="46"/>
      <c r="B130" s="47" t="s">
        <v>48</v>
      </c>
      <c r="F130" s="61" t="b">
        <f>F129=SUM(F125:F128)</f>
        <v>1</v>
      </c>
      <c r="G130" s="61" t="b">
        <f t="shared" ref="G130:L130" si="67">G129=SUM(G125:G128)</f>
        <v>1</v>
      </c>
      <c r="H130" s="61" t="b">
        <f t="shared" si="67"/>
        <v>1</v>
      </c>
      <c r="I130" s="61" t="b">
        <f t="shared" si="67"/>
        <v>1</v>
      </c>
      <c r="J130" s="61" t="b">
        <f t="shared" si="67"/>
        <v>1</v>
      </c>
      <c r="K130" s="61" t="b">
        <f t="shared" si="67"/>
        <v>1</v>
      </c>
      <c r="L130" s="61" t="b">
        <f t="shared" si="67"/>
        <v>1</v>
      </c>
    </row>
    <row r="131" spans="1:14" s="44" customFormat="1" x14ac:dyDescent="0.4">
      <c r="A131" s="46"/>
      <c r="F131" s="69"/>
      <c r="G131" s="69"/>
      <c r="H131" s="69"/>
      <c r="I131" s="69"/>
      <c r="J131" s="69"/>
      <c r="K131" s="69"/>
      <c r="L131" s="69"/>
    </row>
    <row r="132" spans="1:14" x14ac:dyDescent="0.4">
      <c r="A132" s="46" t="s">
        <v>76</v>
      </c>
      <c r="B132" s="24" t="str">
        <f t="shared" ref="B132:B137" si="68">B63</f>
        <v>Duct Opening NRC</v>
      </c>
      <c r="D132" s="49"/>
      <c r="E132" s="49"/>
      <c r="F132" s="69">
        <f>F100+F114</f>
        <v>318.78766431839227</v>
      </c>
      <c r="G132" s="69">
        <f t="shared" ref="F132:L137" si="69">G100+G114</f>
        <v>593.28856409990067</v>
      </c>
      <c r="H132" s="69">
        <f t="shared" si="69"/>
        <v>801.07267702434729</v>
      </c>
      <c r="I132" s="69">
        <f t="shared" si="69"/>
        <v>1117.3632544518421</v>
      </c>
      <c r="J132" s="69">
        <f t="shared" si="69"/>
        <v>1537.2556540251014</v>
      </c>
      <c r="K132" s="69">
        <f t="shared" si="69"/>
        <v>1880.2111849953378</v>
      </c>
      <c r="L132" s="69">
        <f t="shared" si="69"/>
        <v>2301.0746115147949</v>
      </c>
    </row>
    <row r="133" spans="1:14" x14ac:dyDescent="0.4">
      <c r="B133" s="24" t="str">
        <f t="shared" si="68"/>
        <v>Net Asset registrations</v>
      </c>
      <c r="D133" s="49"/>
      <c r="E133" s="49"/>
      <c r="F133" s="69">
        <f t="shared" si="69"/>
        <v>273.69329579555512</v>
      </c>
      <c r="G133" s="69">
        <f t="shared" si="69"/>
        <v>220.639071384331</v>
      </c>
      <c r="H133" s="69">
        <f t="shared" si="69"/>
        <v>331.92237497840074</v>
      </c>
      <c r="I133" s="69">
        <f t="shared" si="69"/>
        <v>436.12052621653271</v>
      </c>
      <c r="J133" s="69">
        <f t="shared" si="69"/>
        <v>348.35255727385595</v>
      </c>
      <c r="K133" s="69">
        <f t="shared" si="69"/>
        <v>422.29575580629916</v>
      </c>
      <c r="L133" s="69">
        <f t="shared" si="69"/>
        <v>484.47793158810208</v>
      </c>
    </row>
    <row r="134" spans="1:14" x14ac:dyDescent="0.4">
      <c r="B134" s="24" t="str">
        <f t="shared" si="68"/>
        <v>OCM depreciation</v>
      </c>
      <c r="D134" s="49"/>
      <c r="E134" s="49"/>
      <c r="F134" s="69">
        <f t="shared" si="69"/>
        <v>-9.7808752743959424</v>
      </c>
      <c r="G134" s="69">
        <f t="shared" si="69"/>
        <v>-19.424714380719411</v>
      </c>
      <c r="H134" s="69">
        <f t="shared" si="69"/>
        <v>-26.575654896188329</v>
      </c>
      <c r="I134" s="69">
        <f t="shared" si="69"/>
        <v>-36.609954816716062</v>
      </c>
      <c r="J134" s="69">
        <f t="shared" si="69"/>
        <v>-47.274225714994905</v>
      </c>
      <c r="K134" s="69">
        <f t="shared" si="69"/>
        <v>-58.273187814619192</v>
      </c>
      <c r="L134" s="69">
        <f t="shared" si="69"/>
        <v>-71.353146654829317</v>
      </c>
    </row>
    <row r="135" spans="1:14" x14ac:dyDescent="0.4">
      <c r="B135" s="24" t="str">
        <f t="shared" si="68"/>
        <v>Price movement</v>
      </c>
      <c r="D135" s="49"/>
      <c r="E135" s="49"/>
      <c r="F135" s="69">
        <f t="shared" si="69"/>
        <v>10.588479260349272</v>
      </c>
      <c r="G135" s="69">
        <f t="shared" si="69"/>
        <v>6.5697559208350116</v>
      </c>
      <c r="H135" s="69">
        <f t="shared" si="69"/>
        <v>10.943857345282261</v>
      </c>
      <c r="I135" s="69">
        <f t="shared" si="69"/>
        <v>20.381828173442752</v>
      </c>
      <c r="J135" s="69">
        <f t="shared" si="69"/>
        <v>41.877199411375365</v>
      </c>
      <c r="K135" s="69">
        <f t="shared" si="69"/>
        <v>56.840858527777456</v>
      </c>
      <c r="L135" s="69">
        <f t="shared" si="69"/>
        <v>68.392760976659531</v>
      </c>
    </row>
    <row r="136" spans="1:14" x14ac:dyDescent="0.4">
      <c r="B136" s="24" t="str">
        <f t="shared" si="68"/>
        <v>Other CCA adjustments</v>
      </c>
      <c r="D136" s="49"/>
      <c r="E136" s="49"/>
      <c r="F136" s="69">
        <f t="shared" si="69"/>
        <v>0</v>
      </c>
      <c r="G136" s="69">
        <f t="shared" si="69"/>
        <v>0</v>
      </c>
      <c r="H136" s="69">
        <f t="shared" si="69"/>
        <v>0</v>
      </c>
      <c r="I136" s="69">
        <f t="shared" si="69"/>
        <v>0</v>
      </c>
      <c r="J136" s="69">
        <f t="shared" si="69"/>
        <v>0</v>
      </c>
      <c r="K136" s="69">
        <f t="shared" si="69"/>
        <v>0</v>
      </c>
      <c r="L136" s="69">
        <f t="shared" si="69"/>
        <v>0</v>
      </c>
    </row>
    <row r="137" spans="1:14" x14ac:dyDescent="0.4">
      <c r="B137" s="24" t="str">
        <f t="shared" si="68"/>
        <v>Closing NRC</v>
      </c>
      <c r="D137" s="49"/>
      <c r="E137" s="49"/>
      <c r="F137" s="69">
        <f t="shared" si="69"/>
        <v>593.28856409990067</v>
      </c>
      <c r="G137" s="69">
        <f t="shared" si="69"/>
        <v>801.07267702434729</v>
      </c>
      <c r="H137" s="69">
        <f t="shared" si="69"/>
        <v>1117.3632544518421</v>
      </c>
      <c r="I137" s="69">
        <f t="shared" si="69"/>
        <v>1537.2556540251014</v>
      </c>
      <c r="J137" s="69">
        <f t="shared" si="69"/>
        <v>1880.2111849953378</v>
      </c>
      <c r="K137" s="69">
        <f t="shared" si="69"/>
        <v>2301.0746115147949</v>
      </c>
      <c r="L137" s="69">
        <f t="shared" si="69"/>
        <v>2782.5921574247268</v>
      </c>
    </row>
    <row r="138" spans="1:14" x14ac:dyDescent="0.4">
      <c r="B138" s="47" t="s">
        <v>48</v>
      </c>
      <c r="D138" s="37"/>
      <c r="E138" s="61"/>
      <c r="F138" s="61" t="b">
        <f t="shared" ref="F138:L138" si="70">IF(ABS(SUM(F132:F136)-F137)&lt;0.001,TRUE,FALSE)</f>
        <v>1</v>
      </c>
      <c r="G138" s="61" t="b">
        <f t="shared" si="70"/>
        <v>1</v>
      </c>
      <c r="H138" s="61" t="b">
        <f t="shared" si="70"/>
        <v>1</v>
      </c>
      <c r="I138" s="61" t="b">
        <f t="shared" si="70"/>
        <v>1</v>
      </c>
      <c r="J138" s="61" t="b">
        <f t="shared" si="70"/>
        <v>1</v>
      </c>
      <c r="K138" s="61" t="b">
        <f t="shared" si="70"/>
        <v>1</v>
      </c>
      <c r="L138" s="61" t="b">
        <f t="shared" si="70"/>
        <v>1</v>
      </c>
    </row>
    <row r="139" spans="1:14" s="44" customFormat="1" ht="6" customHeight="1" thickBot="1" x14ac:dyDescent="0.45">
      <c r="A139" s="33"/>
      <c r="B139" s="33"/>
      <c r="C139" s="33"/>
      <c r="D139" s="33"/>
      <c r="E139" s="34"/>
      <c r="F139" s="34"/>
      <c r="G139" s="34"/>
      <c r="H139" s="34"/>
      <c r="I139" s="34"/>
      <c r="J139" s="34"/>
      <c r="K139" s="34"/>
      <c r="L139" s="34"/>
      <c r="M139" s="34"/>
      <c r="N139" s="34"/>
    </row>
    <row r="140" spans="1:14" ht="9" customHeight="1" thickTop="1" x14ac:dyDescent="0.4">
      <c r="A140" s="44"/>
    </row>
    <row r="141" spans="1:14" x14ac:dyDescent="0.4">
      <c r="A141" s="420" t="s">
        <v>80</v>
      </c>
      <c r="B141" s="421"/>
      <c r="C141" s="421"/>
      <c r="D141" s="45"/>
      <c r="E141" s="45"/>
      <c r="F141" s="45" t="str">
        <f t="shared" ref="F141:L141" si="71">F18</f>
        <v>2019/20</v>
      </c>
      <c r="G141" s="45" t="str">
        <f t="shared" si="71"/>
        <v>2020/21</v>
      </c>
      <c r="H141" s="45" t="str">
        <f t="shared" si="71"/>
        <v>2021/22</v>
      </c>
      <c r="I141" s="45" t="str">
        <f t="shared" si="71"/>
        <v>2022/23</v>
      </c>
      <c r="J141" s="45" t="str">
        <f t="shared" si="71"/>
        <v>2023/24</v>
      </c>
      <c r="K141" s="45" t="str">
        <f t="shared" si="71"/>
        <v>2024/25</v>
      </c>
      <c r="L141" s="45" t="str">
        <f t="shared" si="71"/>
        <v>2025/26</v>
      </c>
    </row>
    <row r="142" spans="1:14" x14ac:dyDescent="0.4">
      <c r="A142" s="550" t="s">
        <v>90</v>
      </c>
      <c r="B142" s="550" t="s">
        <v>73</v>
      </c>
      <c r="C142" s="379"/>
      <c r="D142" s="379"/>
      <c r="E142" s="379"/>
      <c r="F142" s="452">
        <f>(F74+F78)/2</f>
        <v>11432.489963353175</v>
      </c>
      <c r="G142" s="452">
        <f t="shared" ref="G142:L142" si="72">(G74+G78)/2</f>
        <v>11561.783038520083</v>
      </c>
      <c r="H142" s="452">
        <f t="shared" si="72"/>
        <v>11575.931690798661</v>
      </c>
      <c r="I142" s="452">
        <f t="shared" si="72"/>
        <v>11632.482834163227</v>
      </c>
      <c r="J142" s="452">
        <f t="shared" si="72"/>
        <v>11769.119336248357</v>
      </c>
      <c r="K142" s="452">
        <f t="shared" si="72"/>
        <v>11978.604248962112</v>
      </c>
      <c r="L142" s="452">
        <f t="shared" si="72"/>
        <v>12207.558883705256</v>
      </c>
    </row>
    <row r="143" spans="1:14" s="44" customFormat="1" x14ac:dyDescent="0.4">
      <c r="A143" s="550"/>
      <c r="B143" s="550" t="s">
        <v>85</v>
      </c>
      <c r="C143" s="453"/>
      <c r="D143" s="453"/>
      <c r="E143" s="453"/>
      <c r="F143" s="452">
        <f>SUM(E6:F6)/2</f>
        <v>33.722648206214906</v>
      </c>
      <c r="G143" s="452">
        <f>$F143</f>
        <v>33.722648206214906</v>
      </c>
      <c r="H143" s="452">
        <f t="shared" ref="H143:L143" si="73">$F143</f>
        <v>33.722648206214906</v>
      </c>
      <c r="I143" s="452">
        <f t="shared" si="73"/>
        <v>33.722648206214906</v>
      </c>
      <c r="J143" s="452">
        <f t="shared" si="73"/>
        <v>33.722648206214906</v>
      </c>
      <c r="K143" s="452">
        <f t="shared" si="73"/>
        <v>33.722648206214906</v>
      </c>
      <c r="L143" s="452">
        <f t="shared" si="73"/>
        <v>33.722648206214906</v>
      </c>
    </row>
    <row r="144" spans="1:14" x14ac:dyDescent="0.4">
      <c r="A144" s="379"/>
      <c r="B144" s="379"/>
      <c r="C144" s="379"/>
      <c r="D144" s="379"/>
      <c r="E144" s="379"/>
      <c r="F144" s="418"/>
      <c r="G144" s="418"/>
      <c r="H144" s="418"/>
      <c r="I144" s="418"/>
      <c r="J144" s="418"/>
      <c r="K144" s="418"/>
      <c r="L144" s="418"/>
    </row>
    <row r="145" spans="1:15" x14ac:dyDescent="0.4">
      <c r="A145" s="379"/>
      <c r="B145" s="550" t="s">
        <v>54</v>
      </c>
      <c r="C145" s="379"/>
      <c r="D145" s="379"/>
      <c r="E145" s="379"/>
      <c r="F145" s="452">
        <f>(F81+F86)/2</f>
        <v>4322.784284266907</v>
      </c>
      <c r="G145" s="452">
        <f t="shared" ref="G145:L145" si="74">(G81+G86)/2</f>
        <v>4150.1058749580952</v>
      </c>
      <c r="H145" s="452">
        <f t="shared" si="74"/>
        <v>3940.7597294402176</v>
      </c>
      <c r="I145" s="452">
        <f t="shared" si="74"/>
        <v>3741.6893780044347</v>
      </c>
      <c r="J145" s="452">
        <f t="shared" si="74"/>
        <v>3562.1051839550864</v>
      </c>
      <c r="K145" s="452">
        <f t="shared" si="74"/>
        <v>3395.818304901964</v>
      </c>
      <c r="L145" s="452">
        <f t="shared" si="74"/>
        <v>3223.7719882586825</v>
      </c>
    </row>
    <row r="146" spans="1:15" s="44" customFormat="1" x14ac:dyDescent="0.4">
      <c r="A146" s="379"/>
      <c r="B146" s="550" t="s">
        <v>85</v>
      </c>
      <c r="C146" s="453"/>
      <c r="D146" s="453"/>
      <c r="E146" s="453"/>
      <c r="F146" s="452">
        <f>F143</f>
        <v>33.722648206214906</v>
      </c>
      <c r="G146" s="452">
        <f t="shared" ref="G146:L146" si="75">G143</f>
        <v>33.722648206214906</v>
      </c>
      <c r="H146" s="452">
        <f t="shared" si="75"/>
        <v>33.722648206214906</v>
      </c>
      <c r="I146" s="452">
        <f t="shared" si="75"/>
        <v>33.722648206214906</v>
      </c>
      <c r="J146" s="452">
        <f t="shared" si="75"/>
        <v>33.722648206214906</v>
      </c>
      <c r="K146" s="452">
        <f t="shared" si="75"/>
        <v>33.722648206214906</v>
      </c>
      <c r="L146" s="452">
        <f t="shared" si="75"/>
        <v>33.722648206214906</v>
      </c>
    </row>
    <row r="147" spans="1:15" s="44" customFormat="1" x14ac:dyDescent="0.4">
      <c r="A147" s="379"/>
      <c r="B147" s="379"/>
      <c r="C147" s="379"/>
      <c r="D147" s="379"/>
      <c r="E147" s="379"/>
      <c r="F147" s="418"/>
      <c r="G147" s="418"/>
      <c r="H147" s="418"/>
      <c r="I147" s="418"/>
      <c r="J147" s="418"/>
      <c r="K147" s="418"/>
      <c r="L147" s="418"/>
    </row>
    <row r="148" spans="1:15" x14ac:dyDescent="0.4">
      <c r="A148" s="379"/>
      <c r="B148" s="550" t="s">
        <v>72</v>
      </c>
      <c r="C148" s="379"/>
      <c r="D148" s="379"/>
      <c r="E148" s="379"/>
      <c r="F148" s="452">
        <f>F83</f>
        <v>-255.84283782571316</v>
      </c>
      <c r="G148" s="452">
        <f t="shared" ref="G148:L148" si="76">G83</f>
        <v>-260.19420124610809</v>
      </c>
      <c r="H148" s="452">
        <f t="shared" si="76"/>
        <v>-260.87509652822325</v>
      </c>
      <c r="I148" s="452">
        <f t="shared" si="76"/>
        <v>-262.51487603506365</v>
      </c>
      <c r="J148" s="452">
        <f t="shared" si="76"/>
        <v>-265.96870458302908</v>
      </c>
      <c r="K148" s="452">
        <f t="shared" si="76"/>
        <v>-271.0795032251084</v>
      </c>
      <c r="L148" s="452">
        <f t="shared" si="76"/>
        <v>-276.64552758932712</v>
      </c>
    </row>
    <row r="149" spans="1:15" x14ac:dyDescent="0.4">
      <c r="A149" s="379"/>
      <c r="B149" s="379"/>
      <c r="C149" s="379"/>
      <c r="D149" s="379"/>
      <c r="E149" s="379"/>
      <c r="F149" s="418"/>
      <c r="G149" s="418"/>
      <c r="H149" s="418"/>
      <c r="I149" s="418"/>
      <c r="J149" s="418"/>
      <c r="K149" s="418"/>
      <c r="L149" s="418"/>
    </row>
    <row r="150" spans="1:15" x14ac:dyDescent="0.4">
      <c r="A150" s="550" t="s">
        <v>81</v>
      </c>
      <c r="B150" s="550" t="s">
        <v>73</v>
      </c>
      <c r="C150" s="379"/>
      <c r="D150" s="379"/>
      <c r="E150" s="379"/>
      <c r="F150" s="452">
        <f>(F125+F129)/2</f>
        <v>521.21079196290611</v>
      </c>
      <c r="G150" s="452">
        <f t="shared" ref="G150:L150" si="77">(G125+G129)/2</f>
        <v>776.98857522877643</v>
      </c>
      <c r="H150" s="452">
        <f t="shared" si="77"/>
        <v>1063.0261958475332</v>
      </c>
      <c r="I150" s="452">
        <f t="shared" si="77"/>
        <v>1464.3981926686424</v>
      </c>
      <c r="J150" s="452">
        <f t="shared" si="77"/>
        <v>1890.9690285997963</v>
      </c>
      <c r="K150" s="452">
        <f t="shared" si="77"/>
        <v>2330.927512584768</v>
      </c>
      <c r="L150" s="452">
        <f t="shared" si="77"/>
        <v>2854.1258661931724</v>
      </c>
    </row>
    <row r="151" spans="1:15" x14ac:dyDescent="0.4">
      <c r="A151" s="379"/>
      <c r="B151" s="379"/>
      <c r="C151" s="379"/>
      <c r="D151" s="379"/>
      <c r="E151" s="379"/>
      <c r="F151" s="418"/>
      <c r="G151" s="418"/>
      <c r="H151" s="418"/>
      <c r="I151" s="418"/>
      <c r="J151" s="418"/>
      <c r="K151" s="418"/>
      <c r="L151" s="418"/>
    </row>
    <row r="152" spans="1:15" x14ac:dyDescent="0.4">
      <c r="A152" s="379"/>
      <c r="B152" s="550" t="s">
        <v>54</v>
      </c>
      <c r="C152" s="379"/>
      <c r="D152" s="379"/>
      <c r="E152" s="379"/>
      <c r="F152" s="452">
        <f>SUM(F132+F137)/2</f>
        <v>456.03811420914644</v>
      </c>
      <c r="G152" s="452">
        <f t="shared" ref="G152:L152" si="78">SUM(G132+G137)/2</f>
        <v>697.18062056212398</v>
      </c>
      <c r="H152" s="452">
        <f t="shared" si="78"/>
        <v>959.21796573809468</v>
      </c>
      <c r="I152" s="452">
        <f t="shared" si="78"/>
        <v>1327.3094542384717</v>
      </c>
      <c r="J152" s="452">
        <f t="shared" si="78"/>
        <v>1708.7334195102196</v>
      </c>
      <c r="K152" s="452">
        <f t="shared" si="78"/>
        <v>2090.6428982550665</v>
      </c>
      <c r="L152" s="452">
        <f t="shared" si="78"/>
        <v>2541.8333844697609</v>
      </c>
    </row>
    <row r="153" spans="1:15" x14ac:dyDescent="0.4">
      <c r="A153" s="379"/>
      <c r="B153" s="550" t="s">
        <v>72</v>
      </c>
      <c r="C153" s="379"/>
      <c r="D153" s="379"/>
      <c r="E153" s="379"/>
      <c r="F153" s="452">
        <f>F134</f>
        <v>-9.7808752743959424</v>
      </c>
      <c r="G153" s="452">
        <f t="shared" ref="G153:L153" si="79">G134</f>
        <v>-19.424714380719411</v>
      </c>
      <c r="H153" s="452">
        <f t="shared" si="79"/>
        <v>-26.575654896188329</v>
      </c>
      <c r="I153" s="452">
        <f t="shared" si="79"/>
        <v>-36.609954816716062</v>
      </c>
      <c r="J153" s="452">
        <f t="shared" si="79"/>
        <v>-47.274225714994905</v>
      </c>
      <c r="K153" s="452">
        <f t="shared" si="79"/>
        <v>-58.273187814619192</v>
      </c>
      <c r="L153" s="452">
        <f t="shared" si="79"/>
        <v>-71.353146654829317</v>
      </c>
      <c r="O153" s="44"/>
    </row>
    <row r="154" spans="1:15" s="44" customFormat="1" ht="6" customHeight="1" thickBot="1" x14ac:dyDescent="0.45">
      <c r="A154" s="33"/>
      <c r="B154" s="33"/>
      <c r="C154" s="33"/>
      <c r="D154" s="33"/>
      <c r="E154" s="33"/>
      <c r="F154" s="33"/>
      <c r="G154" s="34"/>
      <c r="H154" s="34"/>
      <c r="I154" s="34"/>
      <c r="J154" s="34"/>
      <c r="K154" s="34"/>
      <c r="L154" s="34"/>
      <c r="M154" s="34"/>
      <c r="N154" s="34"/>
    </row>
    <row r="155" spans="1:15" ht="7.15" customHeight="1" thickTop="1" x14ac:dyDescent="0.4">
      <c r="O155" s="44"/>
    </row>
    <row r="156" spans="1:15" x14ac:dyDescent="0.4">
      <c r="A156" s="46" t="s">
        <v>101</v>
      </c>
      <c r="B156" s="24" t="str">
        <f>B125</f>
        <v>Opening GRC</v>
      </c>
      <c r="F156" s="49">
        <f>F125+F74</f>
        <v>11681.983246924239</v>
      </c>
      <c r="G156" s="49">
        <f>G125+G74</f>
        <v>12225.418263707923</v>
      </c>
      <c r="H156" s="49">
        <f t="shared" ref="G156:L160" si="80">H125+H74</f>
        <v>12452.124963789794</v>
      </c>
      <c r="I156" s="49">
        <f t="shared" si="80"/>
        <v>12825.790809502596</v>
      </c>
      <c r="J156" s="49">
        <f t="shared" si="80"/>
        <v>13367.971244161146</v>
      </c>
      <c r="K156" s="49">
        <f t="shared" si="80"/>
        <v>13952.20548553516</v>
      </c>
      <c r="L156" s="49">
        <f t="shared" si="80"/>
        <v>14666.858037558601</v>
      </c>
      <c r="O156" s="44"/>
    </row>
    <row r="157" spans="1:15" x14ac:dyDescent="0.4">
      <c r="B157" s="44" t="str">
        <f t="shared" ref="B157:B160" si="81">B126</f>
        <v>Net asset registrations</v>
      </c>
      <c r="F157" s="49">
        <f>F126+F75</f>
        <v>273.69320123480799</v>
      </c>
      <c r="G157" s="49">
        <f t="shared" si="80"/>
        <v>220.639071384331</v>
      </c>
      <c r="H157" s="49">
        <f t="shared" si="80"/>
        <v>331.92237497840074</v>
      </c>
      <c r="I157" s="49">
        <f t="shared" si="80"/>
        <v>436.12052621653271</v>
      </c>
      <c r="J157" s="49">
        <f t="shared" si="80"/>
        <v>348.35255727385595</v>
      </c>
      <c r="K157" s="49">
        <f t="shared" si="80"/>
        <v>422.29575580629916</v>
      </c>
      <c r="L157" s="49">
        <f t="shared" si="80"/>
        <v>484.47793158810208</v>
      </c>
      <c r="O157" s="44"/>
    </row>
    <row r="158" spans="1:15" x14ac:dyDescent="0.4">
      <c r="B158" s="44" t="str">
        <f t="shared" si="81"/>
        <v>Price movement</v>
      </c>
      <c r="F158" s="49">
        <f>F127+F76</f>
        <v>273.77307442913531</v>
      </c>
      <c r="G158" s="49">
        <f t="shared" si="80"/>
        <v>135.37765411766017</v>
      </c>
      <c r="H158" s="49">
        <f t="shared" si="80"/>
        <v>170.11475133011149</v>
      </c>
      <c r="I158" s="49">
        <f t="shared" si="80"/>
        <v>233.95530811154836</v>
      </c>
      <c r="J158" s="49">
        <f t="shared" si="80"/>
        <v>364.16401920622036</v>
      </c>
      <c r="K158" s="49">
        <f t="shared" si="80"/>
        <v>421.79056506131309</v>
      </c>
      <c r="L158" s="49">
        <f t="shared" si="80"/>
        <v>435.92976560677403</v>
      </c>
      <c r="O158" s="44"/>
    </row>
    <row r="159" spans="1:15" x14ac:dyDescent="0.4">
      <c r="B159" s="44" t="str">
        <f t="shared" si="81"/>
        <v>Write outs and Other adjs</v>
      </c>
      <c r="F159" s="49">
        <f>F128+F77</f>
        <v>-4.0312588802599905</v>
      </c>
      <c r="G159" s="49">
        <f t="shared" si="80"/>
        <v>-129.31002542011939</v>
      </c>
      <c r="H159" s="49">
        <f t="shared" si="80"/>
        <v>-128.37128059571225</v>
      </c>
      <c r="I159" s="49">
        <f t="shared" si="80"/>
        <v>-127.89539966953062</v>
      </c>
      <c r="J159" s="49">
        <f t="shared" si="80"/>
        <v>-128.28233510606088</v>
      </c>
      <c r="K159" s="49">
        <f t="shared" si="80"/>
        <v>-129.4337688441735</v>
      </c>
      <c r="L159" s="49">
        <f t="shared" si="80"/>
        <v>-130.75427251521683</v>
      </c>
      <c r="O159" s="44"/>
    </row>
    <row r="160" spans="1:15" x14ac:dyDescent="0.4">
      <c r="B160" s="44" t="str">
        <f t="shared" si="81"/>
        <v>Closing GRC</v>
      </c>
      <c r="F160" s="49">
        <f>F129+F78</f>
        <v>12225.418263707923</v>
      </c>
      <c r="G160" s="49">
        <f t="shared" si="80"/>
        <v>12452.124963789794</v>
      </c>
      <c r="H160" s="49">
        <f t="shared" si="80"/>
        <v>12825.790809502596</v>
      </c>
      <c r="I160" s="49">
        <f t="shared" si="80"/>
        <v>13367.971244161146</v>
      </c>
      <c r="J160" s="49">
        <f t="shared" si="80"/>
        <v>13952.20548553516</v>
      </c>
      <c r="K160" s="49">
        <f t="shared" si="80"/>
        <v>14666.858037558601</v>
      </c>
      <c r="L160" s="49">
        <f t="shared" si="80"/>
        <v>15456.511462238257</v>
      </c>
      <c r="O160" s="44"/>
    </row>
    <row r="161" spans="2:15" x14ac:dyDescent="0.4">
      <c r="B161" s="47" t="s">
        <v>48</v>
      </c>
      <c r="F161" s="91" t="b">
        <f>SUM(F156:F159)=F160</f>
        <v>1</v>
      </c>
      <c r="G161" s="91" t="b">
        <f t="shared" ref="G161:L161" si="82">SUM(G156:G159)=G160</f>
        <v>1</v>
      </c>
      <c r="H161" s="91" t="b">
        <f t="shared" si="82"/>
        <v>1</v>
      </c>
      <c r="I161" s="91" t="b">
        <f t="shared" si="82"/>
        <v>1</v>
      </c>
      <c r="J161" s="91" t="b">
        <f t="shared" si="82"/>
        <v>1</v>
      </c>
      <c r="K161" s="91" t="b">
        <f t="shared" si="82"/>
        <v>1</v>
      </c>
      <c r="L161" s="91" t="b">
        <f t="shared" si="82"/>
        <v>1</v>
      </c>
      <c r="O161" s="44"/>
    </row>
    <row r="162" spans="2:15" x14ac:dyDescent="0.4">
      <c r="B162" s="44"/>
      <c r="O162" s="44"/>
    </row>
    <row r="163" spans="2:15" x14ac:dyDescent="0.4">
      <c r="B163" s="24" t="str">
        <f>B132</f>
        <v>Duct Opening NRC</v>
      </c>
      <c r="F163" s="49">
        <f t="shared" ref="F163:F167" si="83">F132+F81</f>
        <v>4707.7210922253635</v>
      </c>
      <c r="G163" s="49">
        <f t="shared" ref="G163:L168" si="84">G132+G81</f>
        <v>4849.9237047267434</v>
      </c>
      <c r="H163" s="49">
        <f t="shared" si="84"/>
        <v>4844.6492863136946</v>
      </c>
      <c r="I163" s="49">
        <f t="shared" si="84"/>
        <v>4955.3061040429302</v>
      </c>
      <c r="J163" s="49">
        <f t="shared" si="84"/>
        <v>5182.6915604428823</v>
      </c>
      <c r="K163" s="49">
        <f t="shared" si="84"/>
        <v>5358.9856464877294</v>
      </c>
      <c r="L163" s="49">
        <f t="shared" si="84"/>
        <v>5613.9367598263307</v>
      </c>
      <c r="O163" s="44"/>
    </row>
    <row r="164" spans="2:15" x14ac:dyDescent="0.4">
      <c r="B164" s="44" t="str">
        <f t="shared" ref="B164:B168" si="85">B133</f>
        <v>Net Asset registrations</v>
      </c>
      <c r="F164" s="49">
        <f t="shared" si="83"/>
        <v>273.69319209722516</v>
      </c>
      <c r="G164" s="49">
        <f t="shared" si="84"/>
        <v>220.639071384331</v>
      </c>
      <c r="H164" s="49">
        <f t="shared" si="84"/>
        <v>331.92237497840074</v>
      </c>
      <c r="I164" s="49">
        <f t="shared" si="84"/>
        <v>436.12052621653271</v>
      </c>
      <c r="J164" s="49">
        <f t="shared" si="84"/>
        <v>348.35255727385595</v>
      </c>
      <c r="K164" s="49">
        <f t="shared" si="84"/>
        <v>422.29575580629916</v>
      </c>
      <c r="L164" s="49">
        <f t="shared" si="84"/>
        <v>484.47793158810208</v>
      </c>
      <c r="O164" s="44"/>
    </row>
    <row r="165" spans="2:15" x14ac:dyDescent="0.4">
      <c r="B165" s="44" t="str">
        <f t="shared" si="85"/>
        <v>OCM depreciation</v>
      </c>
      <c r="F165" s="49">
        <f t="shared" si="83"/>
        <v>-265.62371310010911</v>
      </c>
      <c r="G165" s="49">
        <f t="shared" si="84"/>
        <v>-279.61891562682752</v>
      </c>
      <c r="H165" s="49">
        <f t="shared" si="84"/>
        <v>-287.45075142441158</v>
      </c>
      <c r="I165" s="49">
        <f t="shared" si="84"/>
        <v>-299.12483085177973</v>
      </c>
      <c r="J165" s="49">
        <f t="shared" si="84"/>
        <v>-313.24293029802396</v>
      </c>
      <c r="K165" s="49">
        <f t="shared" si="84"/>
        <v>-329.35269103972757</v>
      </c>
      <c r="L165" s="49">
        <f t="shared" si="84"/>
        <v>-347.9986742441564</v>
      </c>
      <c r="O165" s="44"/>
    </row>
    <row r="166" spans="2:15" x14ac:dyDescent="0.4">
      <c r="B166" s="44" t="str">
        <f t="shared" si="85"/>
        <v>Price movement</v>
      </c>
      <c r="F166" s="49">
        <f t="shared" si="83"/>
        <v>137.02878584601402</v>
      </c>
      <c r="G166" s="49">
        <f t="shared" si="84"/>
        <v>53.705425829447456</v>
      </c>
      <c r="H166" s="49">
        <f t="shared" si="84"/>
        <v>66.185194175246039</v>
      </c>
      <c r="I166" s="49">
        <f t="shared" si="84"/>
        <v>90.389761035199697</v>
      </c>
      <c r="J166" s="49">
        <f t="shared" si="84"/>
        <v>141.18445906901496</v>
      </c>
      <c r="K166" s="49">
        <f t="shared" si="84"/>
        <v>162.00804857203013</v>
      </c>
      <c r="L166" s="49">
        <f t="shared" si="84"/>
        <v>166.85796846027915</v>
      </c>
      <c r="O166" s="44"/>
    </row>
    <row r="167" spans="2:15" x14ac:dyDescent="0.4">
      <c r="B167" s="44" t="str">
        <f t="shared" si="85"/>
        <v>Other CCA adjustments</v>
      </c>
      <c r="F167" s="49">
        <f t="shared" si="83"/>
        <v>-2.8956523417496682</v>
      </c>
      <c r="G167" s="49">
        <f t="shared" si="84"/>
        <v>0</v>
      </c>
      <c r="H167" s="49">
        <f t="shared" si="84"/>
        <v>0</v>
      </c>
      <c r="I167" s="49">
        <f t="shared" si="84"/>
        <v>0</v>
      </c>
      <c r="J167" s="49">
        <f t="shared" si="84"/>
        <v>0</v>
      </c>
      <c r="K167" s="49">
        <f t="shared" si="84"/>
        <v>0</v>
      </c>
      <c r="L167" s="49">
        <f t="shared" si="84"/>
        <v>0</v>
      </c>
      <c r="O167" s="44"/>
    </row>
    <row r="168" spans="2:15" x14ac:dyDescent="0.4">
      <c r="B168" s="44" t="str">
        <f t="shared" si="85"/>
        <v>Closing NRC</v>
      </c>
      <c r="F168" s="49">
        <f>F137+F86</f>
        <v>4849.9237047267434</v>
      </c>
      <c r="G168" s="49">
        <f t="shared" si="84"/>
        <v>4844.6492863136946</v>
      </c>
      <c r="H168" s="49">
        <f t="shared" si="84"/>
        <v>4955.3061040429302</v>
      </c>
      <c r="I168" s="49">
        <f t="shared" si="84"/>
        <v>5182.6915604428823</v>
      </c>
      <c r="J168" s="49">
        <f t="shared" si="84"/>
        <v>5358.9856464877294</v>
      </c>
      <c r="K168" s="49">
        <f t="shared" si="84"/>
        <v>5613.9367598263307</v>
      </c>
      <c r="L168" s="49">
        <f t="shared" si="84"/>
        <v>5917.2739856305561</v>
      </c>
      <c r="O168" s="44"/>
    </row>
    <row r="169" spans="2:15" x14ac:dyDescent="0.4">
      <c r="B169" s="47" t="s">
        <v>48</v>
      </c>
      <c r="F169" s="61" t="b">
        <f>IF(ABS(SUM(F163:F167)-F168)&lt;0.001,TRUE,FALSE)</f>
        <v>1</v>
      </c>
      <c r="G169" s="61" t="b">
        <f t="shared" ref="G169:L169" si="86">IF(ABS(SUM(G163:G167)-G168)&lt;0.001,TRUE,FALSE)</f>
        <v>1</v>
      </c>
      <c r="H169" s="61" t="b">
        <f t="shared" si="86"/>
        <v>1</v>
      </c>
      <c r="I169" s="61" t="b">
        <f t="shared" si="86"/>
        <v>1</v>
      </c>
      <c r="J169" s="61" t="b">
        <f t="shared" si="86"/>
        <v>1</v>
      </c>
      <c r="K169" s="61" t="b">
        <f t="shared" si="86"/>
        <v>1</v>
      </c>
      <c r="L169" s="61" t="b">
        <f t="shared" si="86"/>
        <v>1</v>
      </c>
    </row>
  </sheetData>
  <phoneticPr fontId="56" type="noConversion"/>
  <printOptions horizontalCentered="1" verticalCentered="1"/>
  <pageMargins left="0.19685039370078741" right="0.19685039370078741" top="0.39370078740157483" bottom="0.39370078740157483" header="0.19685039370078741" footer="0.19685039370078741"/>
  <pageSetup paperSize="9" scale="75" orientation="landscape" r:id="rId1"/>
  <headerFooter>
    <oddHeader>&amp;Cpage &amp;P of &amp;N&amp;R&amp;D &amp;T&amp;L&amp;"Calibri"&amp;12&amp;K000000Classification: HIGHLY SENSITIVE&amp;1#_x000D_&amp;"Calibri"&amp;11&amp;K000000File: &amp;F Sheet: &amp;A</oddHeader>
  </headerFooter>
  <rowBreaks count="1" manualBreakCount="1">
    <brk id="8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C8D7-0E82-4EC2-A4FC-ABDF1CAEC5C7}">
  <sheetPr codeName="Sheet12">
    <tabColor theme="0"/>
  </sheetPr>
  <dimension ref="A1:L176"/>
  <sheetViews>
    <sheetView topLeftCell="A139" zoomScaleNormal="100" workbookViewId="0">
      <selection activeCell="N58" sqref="N58"/>
    </sheetView>
  </sheetViews>
  <sheetFormatPr defaultRowHeight="14.25" x14ac:dyDescent="0.45"/>
  <cols>
    <col min="1" max="1" width="9.73046875" customWidth="1"/>
    <col min="2" max="2" width="19" style="8" customWidth="1"/>
    <col min="3" max="3" width="26.73046875" style="8" bestFit="1" customWidth="1"/>
    <col min="4" max="4" width="11.59765625" customWidth="1"/>
    <col min="5" max="6" width="10.73046875" customWidth="1"/>
    <col min="7" max="7" width="10.73046875" style="8" customWidth="1"/>
    <col min="8" max="10" width="10.73046875" customWidth="1"/>
    <col min="11" max="11" width="2.1328125" style="8" customWidth="1"/>
    <col min="12" max="12" width="28" customWidth="1"/>
  </cols>
  <sheetData>
    <row r="1" spans="1:12" ht="21" x14ac:dyDescent="0.65">
      <c r="A1" s="127" t="s">
        <v>79</v>
      </c>
      <c r="B1" s="9"/>
      <c r="C1" s="9"/>
    </row>
    <row r="2" spans="1:12" s="8" customFormat="1" ht="9" customHeight="1" x14ac:dyDescent="0.45"/>
    <row r="3" spans="1:12" ht="15.75" x14ac:dyDescent="0.5">
      <c r="A3" s="12" t="s">
        <v>228</v>
      </c>
      <c r="B3" s="12"/>
      <c r="C3" s="12"/>
      <c r="D3" s="39"/>
      <c r="E3" s="39"/>
      <c r="F3" s="39"/>
      <c r="G3" s="39"/>
      <c r="H3" s="39"/>
      <c r="I3" s="39"/>
      <c r="J3" s="39"/>
      <c r="K3" s="39"/>
      <c r="L3" s="39"/>
    </row>
    <row r="4" spans="1:12" ht="9" customHeight="1" x14ac:dyDescent="0.45">
      <c r="A4" s="39"/>
      <c r="B4" s="39"/>
      <c r="C4" s="39"/>
      <c r="D4" s="39"/>
      <c r="E4" s="39"/>
      <c r="F4" s="39"/>
      <c r="G4" s="39"/>
      <c r="H4" s="39"/>
      <c r="I4" s="39"/>
      <c r="J4" s="39"/>
      <c r="K4" s="39"/>
      <c r="L4" s="39"/>
    </row>
    <row r="5" spans="1:12" x14ac:dyDescent="0.45">
      <c r="A5" s="39" t="s">
        <v>164</v>
      </c>
      <c r="B5" s="63"/>
      <c r="D5" s="42" t="s">
        <v>37</v>
      </c>
      <c r="F5" s="102"/>
      <c r="G5" s="211"/>
      <c r="H5" s="102"/>
      <c r="I5" s="102"/>
      <c r="J5" s="102"/>
      <c r="K5" s="39"/>
      <c r="L5" s="76"/>
    </row>
    <row r="6" spans="1:12" x14ac:dyDescent="0.45">
      <c r="A6" s="39" t="s">
        <v>160</v>
      </c>
      <c r="B6" s="137" t="str">
        <f>'Input data'!A42</f>
        <v>Pay &amp; non-pay costs</v>
      </c>
      <c r="C6" s="39"/>
      <c r="D6" s="64">
        <f>'Input data'!E42</f>
        <v>75.671756177341933</v>
      </c>
      <c r="F6" s="39"/>
      <c r="G6" s="39"/>
      <c r="H6" s="39"/>
      <c r="I6" s="39"/>
      <c r="J6" s="39"/>
      <c r="K6" s="39"/>
    </row>
    <row r="7" spans="1:12" s="8" customFormat="1" x14ac:dyDescent="0.45">
      <c r="B7" s="137" t="str">
        <f>'Input data'!A43</f>
        <v>OCM Dep</v>
      </c>
      <c r="C7" s="39"/>
      <c r="D7" s="64">
        <f>'Input data'!E43</f>
        <v>245.92932235870362</v>
      </c>
      <c r="E7" s="64"/>
      <c r="F7" s="64"/>
      <c r="G7" s="545"/>
      <c r="H7" s="155"/>
      <c r="I7" s="155"/>
      <c r="J7" s="78"/>
      <c r="K7" s="39"/>
      <c r="L7" s="67"/>
    </row>
    <row r="8" spans="1:12" s="8" customFormat="1" x14ac:dyDescent="0.45">
      <c r="B8" s="137" t="str">
        <f>'Input data'!A44</f>
        <v>HG/L</v>
      </c>
      <c r="C8" s="39"/>
      <c r="D8" s="64">
        <f>'Input data'!E44</f>
        <v>-150.68058010001423</v>
      </c>
      <c r="E8" s="64"/>
      <c r="F8" s="155"/>
      <c r="G8" s="64"/>
      <c r="H8" s="64"/>
      <c r="I8" s="64"/>
      <c r="J8" s="64"/>
      <c r="K8" s="39"/>
      <c r="L8" s="67"/>
    </row>
    <row r="9" spans="1:12" s="8" customFormat="1" x14ac:dyDescent="0.45">
      <c r="B9" s="137" t="str">
        <f>'Input data'!A45</f>
        <v>Other CCA</v>
      </c>
      <c r="C9" s="39"/>
      <c r="D9" s="64">
        <f>'Input data'!E45</f>
        <v>0.72599792338371272</v>
      </c>
      <c r="E9" s="64"/>
      <c r="F9" s="155"/>
      <c r="G9" s="64"/>
      <c r="H9" s="64"/>
      <c r="I9" s="64"/>
      <c r="J9" s="64"/>
      <c r="K9" s="39"/>
      <c r="L9" s="67"/>
    </row>
    <row r="10" spans="1:12" s="8" customFormat="1" x14ac:dyDescent="0.45">
      <c r="B10" s="140" t="str">
        <f>'Input data'!A46</f>
        <v>Other Dep</v>
      </c>
      <c r="C10" s="326"/>
      <c r="D10" s="141">
        <f>'Input data'!E46</f>
        <v>4.0374335419964789</v>
      </c>
      <c r="E10" s="64"/>
      <c r="F10" s="155"/>
      <c r="G10" s="64"/>
      <c r="H10" s="64"/>
      <c r="I10" s="64"/>
      <c r="J10" s="64"/>
      <c r="K10" s="39"/>
      <c r="L10" s="67"/>
    </row>
    <row r="11" spans="1:12" s="8" customFormat="1" x14ac:dyDescent="0.45">
      <c r="B11" s="137" t="str">
        <f>'Input data'!A47</f>
        <v>Total CCA Costs</v>
      </c>
      <c r="C11" s="39"/>
      <c r="D11" s="64">
        <f>'Input data'!E47</f>
        <v>175.68392990141149</v>
      </c>
      <c r="E11" s="64"/>
      <c r="F11" s="155"/>
      <c r="G11" s="64"/>
      <c r="H11" s="64"/>
      <c r="I11" s="64"/>
      <c r="J11" s="64"/>
      <c r="K11" s="39"/>
      <c r="L11" s="67"/>
    </row>
    <row r="12" spans="1:12" s="8" customFormat="1" x14ac:dyDescent="0.45">
      <c r="B12" s="138"/>
      <c r="C12" s="39"/>
      <c r="D12" s="212" t="b">
        <f>SUM(D6:D10)=D11</f>
        <v>1</v>
      </c>
      <c r="E12" s="64"/>
      <c r="F12" s="155"/>
      <c r="G12" s="64"/>
      <c r="H12" s="64"/>
      <c r="I12" s="64"/>
      <c r="J12" s="64"/>
      <c r="K12" s="39"/>
      <c r="L12" s="67"/>
    </row>
    <row r="13" spans="1:12" s="8" customFormat="1" ht="9" customHeight="1" x14ac:dyDescent="0.45">
      <c r="B13" s="139"/>
      <c r="C13" s="39"/>
      <c r="D13" s="155"/>
      <c r="E13" s="64"/>
      <c r="F13" s="64"/>
      <c r="G13" s="64"/>
      <c r="H13" s="64"/>
      <c r="I13" s="64"/>
      <c r="J13" s="64"/>
      <c r="K13" s="39"/>
      <c r="L13" s="67"/>
    </row>
    <row r="14" spans="1:12" s="8" customFormat="1" x14ac:dyDescent="0.45">
      <c r="A14" s="136" t="s">
        <v>28</v>
      </c>
      <c r="B14" s="137" t="str">
        <f>'Input data'!A50</f>
        <v>NRC (main COW)</v>
      </c>
      <c r="D14" s="64">
        <f>'Input data'!E50</f>
        <v>4932.7837803144739</v>
      </c>
      <c r="F14" s="64"/>
      <c r="G14" s="64"/>
      <c r="H14" s="64"/>
      <c r="I14" s="64"/>
      <c r="J14" s="78"/>
      <c r="K14" s="39"/>
      <c r="L14" s="544"/>
    </row>
    <row r="15" spans="1:12" s="8" customFormat="1" x14ac:dyDescent="0.45">
      <c r="B15" s="137" t="str">
        <f>'Input data'!A51</f>
        <v>Other COWs</v>
      </c>
      <c r="D15" s="64">
        <f>'Input data'!E51</f>
        <v>-120.26030711066723</v>
      </c>
      <c r="E15" s="64"/>
      <c r="F15" s="64"/>
      <c r="G15" s="64"/>
      <c r="H15" s="64"/>
      <c r="I15" s="64"/>
      <c r="J15" s="64"/>
      <c r="K15" s="39"/>
      <c r="L15" s="67"/>
    </row>
    <row r="16" spans="1:12" s="8" customFormat="1" x14ac:dyDescent="0.45">
      <c r="B16" s="137" t="str">
        <f>'Input data'!A52</f>
        <v>Other non COW</v>
      </c>
      <c r="C16" s="10"/>
      <c r="D16" s="64">
        <f>'Input data'!E52</f>
        <v>14.590538797893524</v>
      </c>
      <c r="E16" s="64"/>
      <c r="F16" s="64"/>
      <c r="G16" s="64"/>
      <c r="H16" s="64"/>
      <c r="I16" s="64"/>
      <c r="J16" s="64"/>
      <c r="K16" s="39"/>
      <c r="L16" s="67"/>
    </row>
    <row r="17" spans="1:12" s="8" customFormat="1" x14ac:dyDescent="0.45">
      <c r="B17" s="140" t="str">
        <f>'Input data'!A53</f>
        <v>NCA</v>
      </c>
      <c r="C17" s="6"/>
      <c r="D17" s="141">
        <f>'Input data'!E53</f>
        <v>23.740349099495411</v>
      </c>
      <c r="E17" s="64"/>
      <c r="F17" s="64"/>
      <c r="G17" s="64"/>
      <c r="H17" s="64"/>
      <c r="I17" s="64"/>
      <c r="J17" s="64"/>
      <c r="K17" s="39"/>
      <c r="L17" s="67"/>
    </row>
    <row r="18" spans="1:12" x14ac:dyDescent="0.45">
      <c r="B18" s="137" t="str">
        <f>'Input data'!A54</f>
        <v>Total MCE</v>
      </c>
      <c r="D18" s="64">
        <f>'Input data'!E54</f>
        <v>4850.8543611011964</v>
      </c>
      <c r="F18" s="39"/>
      <c r="G18" s="39"/>
      <c r="H18" s="39"/>
      <c r="I18" s="39"/>
      <c r="J18" s="39"/>
      <c r="K18" s="39"/>
    </row>
    <row r="19" spans="1:12" s="311" customFormat="1" x14ac:dyDescent="0.45">
      <c r="B19" s="137"/>
      <c r="D19" s="212" t="b">
        <f>D18=SUM(D14:D17)</f>
        <v>1</v>
      </c>
      <c r="F19" s="312"/>
      <c r="G19" s="312"/>
      <c r="H19" s="312"/>
      <c r="I19" s="312"/>
      <c r="J19" s="312"/>
      <c r="K19" s="312"/>
    </row>
    <row r="20" spans="1:12" s="8" customFormat="1" ht="9" customHeight="1" x14ac:dyDescent="0.45">
      <c r="A20" s="6"/>
      <c r="B20" s="6"/>
      <c r="C20" s="6"/>
      <c r="D20" s="6"/>
      <c r="E20" s="220"/>
      <c r="F20" s="6"/>
      <c r="G20" s="6"/>
      <c r="H20" s="6"/>
      <c r="I20" s="6"/>
      <c r="J20" s="6"/>
      <c r="K20" s="6"/>
      <c r="L20" s="221"/>
    </row>
    <row r="21" spans="1:12" ht="9" customHeight="1" x14ac:dyDescent="0.45"/>
    <row r="22" spans="1:12" s="8" customFormat="1" ht="15.75" x14ac:dyDescent="0.5">
      <c r="A22" s="12" t="s">
        <v>229</v>
      </c>
      <c r="B22" s="12"/>
      <c r="C22" s="12"/>
    </row>
    <row r="23" spans="1:12" s="8" customFormat="1" ht="9" customHeight="1" x14ac:dyDescent="0.45"/>
    <row r="24" spans="1:12" s="44" customFormat="1" x14ac:dyDescent="0.45">
      <c r="A24" s="222" t="s">
        <v>71</v>
      </c>
      <c r="B24" s="213"/>
      <c r="C24" s="213"/>
      <c r="D24" s="214" t="str">
        <f>'Parameters and Assumptions'!D45</f>
        <v>2019/20</v>
      </c>
      <c r="E24" s="214" t="str">
        <f>'Parameters and Assumptions'!E45</f>
        <v>2020/21</v>
      </c>
      <c r="F24" s="214" t="str">
        <f>'Parameters and Assumptions'!F45</f>
        <v>2021/22</v>
      </c>
      <c r="G24" s="214" t="str">
        <f>'Parameters and Assumptions'!G45</f>
        <v>2022/23</v>
      </c>
      <c r="H24" s="214" t="str">
        <f>'Parameters and Assumptions'!H45</f>
        <v>2023/24</v>
      </c>
      <c r="I24" s="214" t="str">
        <f>'Parameters and Assumptions'!I45</f>
        <v>2024/25</v>
      </c>
      <c r="J24" s="214" t="str">
        <f>'Parameters and Assumptions'!J45</f>
        <v>2025/26</v>
      </c>
      <c r="K24" s="8"/>
    </row>
    <row r="25" spans="1:12" s="44" customFormat="1" x14ac:dyDescent="0.45">
      <c r="A25" s="215" t="str">
        <f>'Parameters and Assumptions'!A46</f>
        <v>PIA Asset Inflation  - measure</v>
      </c>
      <c r="B25" s="215"/>
      <c r="C25" s="215"/>
      <c r="D25" s="283" t="str">
        <f>INDEX('Parameters and Assumptions'!$A$45:$J$49,MATCH($A25,'Parameters and Assumptions'!$A$45:$A$49,0),MATCH(D$24,'Parameters and Assumptions'!$A$45:$J$45,0))</f>
        <v>RPI</v>
      </c>
      <c r="E25" s="283" t="str">
        <f>INDEX('Parameters and Assumptions'!$A$45:$J$49,MATCH($A25,'Parameters and Assumptions'!$A$45:$A$49,0),MATCH(E$24,'Parameters and Assumptions'!$A$45:$J$45,0))</f>
        <v>RPI</v>
      </c>
      <c r="F25" s="283" t="str">
        <f>INDEX('Parameters and Assumptions'!$A$45:$J$49,MATCH($A25,'Parameters and Assumptions'!$A$45:$A$49,0),MATCH(F$24,'Parameters and Assumptions'!$A$45:$J$45,0))</f>
        <v>RPI</v>
      </c>
      <c r="G25" s="283" t="str">
        <f>INDEX('Parameters and Assumptions'!$A$45:$J$49,MATCH($A25,'Parameters and Assumptions'!$A$45:$A$49,0),MATCH(G$24,'Parameters and Assumptions'!$A$45:$J$45,0))</f>
        <v>RPI</v>
      </c>
      <c r="H25" s="283" t="str">
        <f>INDEX('Parameters and Assumptions'!$A$45:$J$49,MATCH($A25,'Parameters and Assumptions'!$A$45:$A$49,0),MATCH(H$24,'Parameters and Assumptions'!$A$45:$J$45,0))</f>
        <v>RPI</v>
      </c>
      <c r="I25" s="283" t="str">
        <f>INDEX('Parameters and Assumptions'!$A$45:$J$49,MATCH($A25,'Parameters and Assumptions'!$A$45:$A$49,0),MATCH(I$24,'Parameters and Assumptions'!$A$45:$J$45,0))</f>
        <v>RPI</v>
      </c>
      <c r="J25" s="283" t="str">
        <f>INDEX('Parameters and Assumptions'!$A$45:$J$49,MATCH($A25,'Parameters and Assumptions'!$A$45:$A$49,0),MATCH(J$24,'Parameters and Assumptions'!$A$45:$J$45,0))</f>
        <v>RPI</v>
      </c>
      <c r="K25" s="8"/>
    </row>
    <row r="26" spans="1:12" s="44" customFormat="1" x14ac:dyDescent="0.45">
      <c r="A26" s="215" t="str">
        <f>'Parameters and Assumptions'!A47</f>
        <v>PIA Asset Inflation value</v>
      </c>
      <c r="B26" s="215"/>
      <c r="C26" s="215"/>
      <c r="D26" s="376">
        <f>INDEX('Parameters and Assumptions'!$A$45:$J$49,MATCH($A26,'Parameters and Assumptions'!$A$45:$A$49,0),MATCH(D$24,'Parameters and Assumptions'!$A$45:$J$45,0))</f>
        <v>2.5884636593194843E-2</v>
      </c>
      <c r="E26" s="376">
        <f>INDEX('Parameters and Assumptions'!$A$45:$J$49,MATCH($A26,'Parameters and Assumptions'!$A$45:$A$49,0),MATCH(E$24,'Parameters and Assumptions'!$A$45:$J$45,0))</f>
        <v>1.1073457872565307E-2</v>
      </c>
      <c r="F26" s="376">
        <f>INDEX('Parameters and Assumptions'!$A$45:$J$49,MATCH($A26,'Parameters and Assumptions'!$A$45:$A$49,0),MATCH(F$24,'Parameters and Assumptions'!$A$45:$J$45,0))</f>
        <v>1.3661503705174605E-2</v>
      </c>
      <c r="G26" s="376">
        <f>INDEX('Parameters and Assumptions'!$A$45:$J$49,MATCH($A26,'Parameters and Assumptions'!$A$45:$A$49,0),MATCH(G$24,'Parameters and Assumptions'!$A$45:$J$45,0))</f>
        <v>1.8241004518661841E-2</v>
      </c>
      <c r="H26" s="376">
        <f>INDEX('Parameters and Assumptions'!$A$45:$J$49,MATCH($A26,'Parameters and Assumptions'!$A$45:$A$49,0),MATCH(H$24,'Parameters and Assumptions'!$A$45:$J$45,0))</f>
        <v>2.7241532208208463E-2</v>
      </c>
      <c r="I26" s="376">
        <f>INDEX('Parameters and Assumptions'!$A$45:$J$49,MATCH($A26,'Parameters and Assumptions'!$A$45:$A$49,0),MATCH(I$24,'Parameters and Assumptions'!$A$45:$J$45,0))</f>
        <v>3.0231103283176353E-2</v>
      </c>
      <c r="J26" s="376">
        <f>INDEX('Parameters and Assumptions'!$A$45:$J$49,MATCH($A26,'Parameters and Assumptions'!$A$45:$A$49,0),MATCH(J$24,'Parameters and Assumptions'!$A$45:$J$45,0))</f>
        <v>2.9722096204275905E-2</v>
      </c>
      <c r="K26" s="8"/>
      <c r="L26" s="26"/>
    </row>
    <row r="27" spans="1:12" s="44" customFormat="1" x14ac:dyDescent="0.45">
      <c r="A27" s="215" t="str">
        <f>'Parameters and Assumptions'!A48</f>
        <v>Opex Inflation - measure</v>
      </c>
      <c r="B27" s="215"/>
      <c r="C27" s="215"/>
      <c r="D27" s="283" t="str">
        <f>INDEX('Parameters and Assumptions'!$A$45:$J$49,MATCH($A27,'Parameters and Assumptions'!$A$45:$A$49,0),MATCH(D$24,'Parameters and Assumptions'!$A$45:$J$45,0))</f>
        <v>CPI</v>
      </c>
      <c r="E27" s="283" t="str">
        <f>INDEX('Parameters and Assumptions'!$A$45:$J$49,MATCH($A27,'Parameters and Assumptions'!$A$45:$A$49,0),MATCH(E$24,'Parameters and Assumptions'!$A$45:$J$45,0))</f>
        <v>CPI</v>
      </c>
      <c r="F27" s="283" t="str">
        <f>INDEX('Parameters and Assumptions'!$A$45:$J$49,MATCH($A27,'Parameters and Assumptions'!$A$45:$A$49,0),MATCH(F$24,'Parameters and Assumptions'!$A$45:$J$45,0))</f>
        <v>CPI</v>
      </c>
      <c r="G27" s="283" t="str">
        <f>INDEX('Parameters and Assumptions'!$A$45:$J$49,MATCH($A27,'Parameters and Assumptions'!$A$45:$A$49,0),MATCH(G$24,'Parameters and Assumptions'!$A$45:$J$45,0))</f>
        <v>CPI</v>
      </c>
      <c r="H27" s="283" t="str">
        <f>INDEX('Parameters and Assumptions'!$A$45:$J$49,MATCH($A27,'Parameters and Assumptions'!$A$45:$A$49,0),MATCH(H$24,'Parameters and Assumptions'!$A$45:$J$45,0))</f>
        <v>CPI</v>
      </c>
      <c r="I27" s="283" t="str">
        <f>INDEX('Parameters and Assumptions'!$A$45:$J$49,MATCH($A27,'Parameters and Assumptions'!$A$45:$A$49,0),MATCH(I$24,'Parameters and Assumptions'!$A$45:$J$45,0))</f>
        <v>CPI</v>
      </c>
      <c r="J27" s="283" t="str">
        <f>INDEX('Parameters and Assumptions'!$A$45:$J$49,MATCH($A27,'Parameters and Assumptions'!$A$45:$A$49,0),MATCH(J$24,'Parameters and Assumptions'!$A$45:$J$45,0))</f>
        <v>CPI</v>
      </c>
      <c r="K27" s="8"/>
      <c r="L27" s="26"/>
    </row>
    <row r="28" spans="1:12" s="44" customFormat="1" x14ac:dyDescent="0.45">
      <c r="A28" s="215" t="str">
        <f>'Parameters and Assumptions'!A49</f>
        <v>Opex Inflation value</v>
      </c>
      <c r="B28" s="215"/>
      <c r="C28" s="215"/>
      <c r="D28" s="376">
        <f>INDEX('Parameters and Assumptions'!$A$45:$J$49,MATCH($A28,'Parameters and Assumptions'!$A$45:$A$49,0),MATCH(D$24,'Parameters and Assumptions'!$A$45:$J$45,0))</f>
        <v>1.7392938670509173E-2</v>
      </c>
      <c r="E28" s="376">
        <f>INDEX('Parameters and Assumptions'!$A$45:$J$49,MATCH($A28,'Parameters and Assumptions'!$A$45:$A$49,0),MATCH(E$24,'Parameters and Assumptions'!$A$45:$J$45,0))</f>
        <v>5.8444858245327858E-3</v>
      </c>
      <c r="F28" s="376">
        <f>INDEX('Parameters and Assumptions'!$A$45:$J$49,MATCH($A28,'Parameters and Assumptions'!$A$45:$A$49,0),MATCH(F$24,'Parameters and Assumptions'!$A$45:$J$45,0))</f>
        <v>1.3816272579449063E-2</v>
      </c>
      <c r="G28" s="376">
        <f>INDEX('Parameters and Assumptions'!$A$45:$J$49,MATCH($A28,'Parameters and Assumptions'!$A$45:$A$49,0),MATCH(G$24,'Parameters and Assumptions'!$A$45:$J$45,0))</f>
        <v>1.5942729226603669E-2</v>
      </c>
      <c r="H28" s="376">
        <f>INDEX('Parameters and Assumptions'!$A$45:$J$49,MATCH($A28,'Parameters and Assumptions'!$A$45:$A$49,0),MATCH(H$24,'Parameters and Assumptions'!$A$45:$J$45,0))</f>
        <v>1.7723776612699194E-2</v>
      </c>
      <c r="I28" s="376">
        <f>INDEX('Parameters and Assumptions'!$A$45:$J$49,MATCH($A28,'Parameters and Assumptions'!$A$45:$A$49,0),MATCH(I$24,'Parameters and Assumptions'!$A$45:$J$45,0))</f>
        <v>1.9481889923258722E-2</v>
      </c>
      <c r="J28" s="376">
        <f>INDEX('Parameters and Assumptions'!$A$45:$J$49,MATCH($A28,'Parameters and Assumptions'!$A$45:$A$49,0),MATCH(J$24,'Parameters and Assumptions'!$A$45:$J$45,0))</f>
        <v>2.0000000000000018E-2</v>
      </c>
      <c r="K28" s="8"/>
    </row>
    <row r="29" spans="1:12" s="312" customFormat="1" ht="9" customHeight="1" x14ac:dyDescent="0.4">
      <c r="A29" s="65"/>
      <c r="B29" s="65"/>
      <c r="C29" s="65"/>
      <c r="D29" s="57"/>
      <c r="E29" s="57"/>
      <c r="F29" s="57"/>
      <c r="G29" s="57"/>
      <c r="H29" s="57"/>
      <c r="I29" s="57"/>
      <c r="J29" s="57"/>
    </row>
    <row r="30" spans="1:12" s="312" customFormat="1" x14ac:dyDescent="0.4">
      <c r="A30" s="424" t="s">
        <v>92</v>
      </c>
      <c r="B30" s="32"/>
      <c r="C30" s="44"/>
      <c r="E30" s="32"/>
      <c r="H30" s="57"/>
      <c r="I30" s="57"/>
      <c r="J30" s="57"/>
    </row>
    <row r="31" spans="1:12" s="312" customFormat="1" ht="13.15" x14ac:dyDescent="0.4">
      <c r="B31" s="32" t="str">
        <f>'Input data'!A116</f>
        <v>Lead-in duct</v>
      </c>
      <c r="C31" s="342" t="str">
        <f>'Input data'!C115</f>
        <v>Assets pre 31/3/2018</v>
      </c>
      <c r="D31" s="205">
        <f>'Input data'!C116</f>
        <v>9.3522440828465225E-2</v>
      </c>
      <c r="E31" s="206"/>
      <c r="H31" s="57"/>
      <c r="I31" s="57"/>
      <c r="J31" s="57"/>
    </row>
    <row r="32" spans="1:12" s="312" customFormat="1" ht="13.15" x14ac:dyDescent="0.4">
      <c r="A32" s="32"/>
      <c r="B32" s="32" t="str">
        <f>'Input data'!A117</f>
        <v>Spine duct – single bore</v>
      </c>
      <c r="C32" s="44"/>
      <c r="D32" s="205">
        <f>'Input data'!C117</f>
        <v>0.36632568438600105</v>
      </c>
      <c r="E32" s="206"/>
      <c r="H32" s="57"/>
      <c r="I32" s="57"/>
      <c r="J32" s="57"/>
    </row>
    <row r="33" spans="1:11" s="312" customFormat="1" ht="13.15" x14ac:dyDescent="0.4">
      <c r="A33" s="32"/>
      <c r="B33" s="32" t="str">
        <f>'Input data'!A118</f>
        <v>Spine duct – 2 bores</v>
      </c>
      <c r="C33" s="44"/>
      <c r="D33" s="205">
        <f>'Input data'!C118</f>
        <v>9.6567223901176141E-2</v>
      </c>
      <c r="E33" s="206"/>
      <c r="H33" s="57"/>
      <c r="I33" s="57"/>
      <c r="J33" s="57"/>
    </row>
    <row r="34" spans="1:11" s="312" customFormat="1" ht="13.15" x14ac:dyDescent="0.4">
      <c r="A34" s="32"/>
      <c r="B34" s="32" t="str">
        <f>'Input data'!A119</f>
        <v>Spine duct – 3+ bores</v>
      </c>
      <c r="C34" s="44"/>
      <c r="D34" s="205">
        <f>'Input data'!C119</f>
        <v>0.15289390493367422</v>
      </c>
      <c r="E34" s="206"/>
      <c r="H34" s="57"/>
      <c r="I34" s="57"/>
      <c r="J34" s="57"/>
    </row>
    <row r="35" spans="1:11" s="312" customFormat="1" ht="13.15" x14ac:dyDescent="0.4">
      <c r="A35" s="44"/>
      <c r="B35" s="32" t="str">
        <f>'Input data'!A120</f>
        <v>Joint boxes</v>
      </c>
      <c r="C35" s="44"/>
      <c r="D35" s="205">
        <f>'Input data'!C120</f>
        <v>0.17397355666977582</v>
      </c>
      <c r="E35" s="206"/>
      <c r="H35" s="57"/>
      <c r="I35" s="57"/>
      <c r="J35" s="57"/>
    </row>
    <row r="36" spans="1:11" s="312" customFormat="1" ht="13.15" x14ac:dyDescent="0.4">
      <c r="A36" s="44"/>
      <c r="B36" s="219" t="str">
        <f>'Input data'!A121</f>
        <v>Manholes</v>
      </c>
      <c r="C36" s="218"/>
      <c r="D36" s="207">
        <f>'Input data'!C121</f>
        <v>0.11671718928090756</v>
      </c>
      <c r="E36" s="445"/>
      <c r="H36" s="57"/>
      <c r="I36" s="57"/>
      <c r="J36" s="57"/>
    </row>
    <row r="37" spans="1:11" s="312" customFormat="1" ht="13.15" x14ac:dyDescent="0.4">
      <c r="A37" s="44"/>
      <c r="B37" s="32" t="s">
        <v>1</v>
      </c>
      <c r="C37" s="44"/>
      <c r="D37" s="205">
        <f>SUM(D31:D36)</f>
        <v>1</v>
      </c>
      <c r="E37" s="206"/>
      <c r="H37" s="57"/>
      <c r="I37" s="57"/>
      <c r="J37" s="57"/>
    </row>
    <row r="38" spans="1:11" s="44" customFormat="1" ht="13.15" x14ac:dyDescent="0.4">
      <c r="B38" s="213"/>
      <c r="C38" s="213"/>
      <c r="K38" s="32"/>
    </row>
    <row r="39" spans="1:11" s="44" customFormat="1" ht="13.15" x14ac:dyDescent="0.4">
      <c r="B39" s="439" t="str">
        <f t="shared" ref="B39:B44" si="0">B31</f>
        <v>Lead-in duct</v>
      </c>
      <c r="C39" s="427" t="s">
        <v>81</v>
      </c>
      <c r="D39" s="205">
        <f>'D&amp;C Vols'!D62</f>
        <v>0.10167504533273961</v>
      </c>
      <c r="E39" s="443">
        <f>'D&amp;C Vols'!E62</f>
        <v>0.1019652264657778</v>
      </c>
      <c r="F39" s="443">
        <f>'D&amp;C Vols'!F62</f>
        <v>0.10231547406332585</v>
      </c>
      <c r="G39" s="443">
        <f>'D&amp;C Vols'!G62</f>
        <v>0.10274194588373317</v>
      </c>
      <c r="H39" s="443">
        <f>'D&amp;C Vols'!H62</f>
        <v>0.10328369683820053</v>
      </c>
      <c r="I39" s="443">
        <f>'D&amp;C Vols'!I62</f>
        <v>0.10380507278172289</v>
      </c>
      <c r="J39" s="443">
        <f>'D&amp;C Vols'!J62</f>
        <v>0.10418758430671347</v>
      </c>
      <c r="K39" s="32"/>
    </row>
    <row r="40" spans="1:11" s="44" customFormat="1" ht="13.15" x14ac:dyDescent="0.4">
      <c r="B40" s="440" t="str">
        <f t="shared" si="0"/>
        <v>Spine duct – single bore</v>
      </c>
      <c r="C40" s="213"/>
      <c r="D40" s="205">
        <f>'D&amp;C Vols'!D63</f>
        <v>0.40132320591734472</v>
      </c>
      <c r="E40" s="443">
        <f>'D&amp;C Vols'!E63</f>
        <v>0.40246858453238732</v>
      </c>
      <c r="F40" s="443">
        <f>'D&amp;C Vols'!F63</f>
        <v>0.40385105245509978</v>
      </c>
      <c r="G40" s="443">
        <f>'D&amp;C Vols'!G63</f>
        <v>0.40553438623320781</v>
      </c>
      <c r="H40" s="443">
        <f>'D&amp;C Vols'!H63</f>
        <v>0.4076727401345423</v>
      </c>
      <c r="I40" s="443">
        <f>'D&amp;C Vols'!I63</f>
        <v>0.40973067150263587</v>
      </c>
      <c r="J40" s="443">
        <f>'D&amp;C Vols'!J63</f>
        <v>0.41124048889201764</v>
      </c>
      <c r="K40" s="32"/>
    </row>
    <row r="41" spans="1:11" s="44" customFormat="1" ht="13.15" x14ac:dyDescent="0.4">
      <c r="B41" s="440" t="str">
        <f t="shared" si="0"/>
        <v>Spine duct – 2 bores</v>
      </c>
      <c r="C41" s="213"/>
      <c r="D41" s="205">
        <f>'D&amp;C Vols'!D64</f>
        <v>0.11874098007519458</v>
      </c>
      <c r="E41" s="443">
        <f>'D&amp;C Vols'!E64</f>
        <v>0.11832360124517503</v>
      </c>
      <c r="F41" s="443">
        <f>'D&amp;C Vols'!F64</f>
        <v>0.11772709916101805</v>
      </c>
      <c r="G41" s="443">
        <f>'D&amp;C Vols'!G64</f>
        <v>0.1169914492792163</v>
      </c>
      <c r="H41" s="443">
        <f>'D&amp;C Vols'!H64</f>
        <v>0.11609314860265628</v>
      </c>
      <c r="I41" s="443">
        <f>'D&amp;C Vols'!I64</f>
        <v>0.11519073443447599</v>
      </c>
      <c r="J41" s="443">
        <f>'D&amp;C Vols'!J64</f>
        <v>0.11449498806706712</v>
      </c>
      <c r="K41" s="32"/>
    </row>
    <row r="42" spans="1:11" s="44" customFormat="1" ht="13.15" x14ac:dyDescent="0.4">
      <c r="B42" s="440" t="str">
        <f t="shared" si="0"/>
        <v>Spine duct – 3+ bores</v>
      </c>
      <c r="C42" s="213"/>
      <c r="D42" s="205">
        <f>'D&amp;C Vols'!D65</f>
        <v>0.1174940679527938</v>
      </c>
      <c r="E42" s="443">
        <f>'D&amp;C Vols'!E65</f>
        <v>0.11701910638914945</v>
      </c>
      <c r="F42" s="443">
        <f>'D&amp;C Vols'!F65</f>
        <v>0.11638208136535581</v>
      </c>
      <c r="G42" s="443">
        <f>'D&amp;C Vols'!G65</f>
        <v>0.11559023550627934</v>
      </c>
      <c r="H42" s="443">
        <f>'D&amp;C Vols'!H65</f>
        <v>0.11465008123382317</v>
      </c>
      <c r="I42" s="443">
        <f>'D&amp;C Vols'!I65</f>
        <v>0.11367967324348219</v>
      </c>
      <c r="J42" s="443">
        <f>'D&amp;C Vols'!J65</f>
        <v>0.112922727950743</v>
      </c>
      <c r="K42" s="32"/>
    </row>
    <row r="43" spans="1:11" s="44" customFormat="1" ht="13.15" x14ac:dyDescent="0.4">
      <c r="B43" s="440" t="str">
        <f t="shared" si="0"/>
        <v>Joint boxes</v>
      </c>
      <c r="C43" s="213"/>
      <c r="D43" s="205">
        <f>'D&amp;C Vols'!D66</f>
        <v>0.1633700850440547</v>
      </c>
      <c r="E43" s="443">
        <f>'D&amp;C Vols'!E66</f>
        <v>0.1632188154114094</v>
      </c>
      <c r="F43" s="443">
        <f>'D&amp;C Vols'!F66</f>
        <v>0.16325201319610891</v>
      </c>
      <c r="G43" s="443">
        <f>'D&amp;C Vols'!G66</f>
        <v>0.1633263749424346</v>
      </c>
      <c r="H43" s="443">
        <f>'D&amp;C Vols'!H66</f>
        <v>0.1632648814694577</v>
      </c>
      <c r="I43" s="443">
        <f>'D&amp;C Vols'!I66</f>
        <v>0.16336274289849334</v>
      </c>
      <c r="J43" s="443">
        <f>'D&amp;C Vols'!J66</f>
        <v>0.16354999679416635</v>
      </c>
      <c r="K43" s="32"/>
    </row>
    <row r="44" spans="1:11" s="44" customFormat="1" ht="13.15" x14ac:dyDescent="0.4">
      <c r="B44" s="441" t="str">
        <f t="shared" si="0"/>
        <v>Manholes</v>
      </c>
      <c r="C44" s="442"/>
      <c r="D44" s="444">
        <f>'D&amp;C Vols'!D67</f>
        <v>9.7396615677872639E-2</v>
      </c>
      <c r="E44" s="444">
        <f>'D&amp;C Vols'!E67</f>
        <v>9.700466595610098E-2</v>
      </c>
      <c r="F44" s="444">
        <f>'D&amp;C Vols'!F67</f>
        <v>9.6472279759091478E-2</v>
      </c>
      <c r="G44" s="444">
        <f>'D&amp;C Vols'!G67</f>
        <v>9.581560815512892E-2</v>
      </c>
      <c r="H44" s="444">
        <f>'D&amp;C Vols'!H67</f>
        <v>9.5035451721320094E-2</v>
      </c>
      <c r="I44" s="444">
        <f>'D&amp;C Vols'!I67</f>
        <v>9.4231105139189711E-2</v>
      </c>
      <c r="J44" s="444">
        <f>'D&amp;C Vols'!J67</f>
        <v>9.3604213989292445E-2</v>
      </c>
      <c r="K44" s="32"/>
    </row>
    <row r="45" spans="1:11" s="44" customFormat="1" ht="13.15" x14ac:dyDescent="0.4">
      <c r="B45" s="30" t="s">
        <v>1</v>
      </c>
      <c r="C45" s="213"/>
      <c r="D45" s="205">
        <f>SUM(D39:D44)</f>
        <v>1.0000000000000002</v>
      </c>
      <c r="E45" s="443">
        <f t="shared" ref="E45:J45" si="1">SUM(E39:E44)</f>
        <v>1</v>
      </c>
      <c r="F45" s="443">
        <f t="shared" si="1"/>
        <v>0.99999999999999989</v>
      </c>
      <c r="G45" s="443">
        <f t="shared" si="1"/>
        <v>1.0000000000000002</v>
      </c>
      <c r="H45" s="443">
        <f t="shared" si="1"/>
        <v>1</v>
      </c>
      <c r="I45" s="443">
        <f t="shared" si="1"/>
        <v>1</v>
      </c>
      <c r="J45" s="443">
        <f t="shared" si="1"/>
        <v>1</v>
      </c>
      <c r="K45" s="32"/>
    </row>
    <row r="46" spans="1:11" s="44" customFormat="1" ht="13.15" x14ac:dyDescent="0.4">
      <c r="B46" s="213"/>
      <c r="C46" s="213"/>
      <c r="K46" s="32"/>
    </row>
    <row r="47" spans="1:11" s="44" customFormat="1" ht="13.15" x14ac:dyDescent="0.4">
      <c r="A47" s="213"/>
      <c r="B47" s="213"/>
      <c r="C47" s="213"/>
      <c r="D47" s="32"/>
      <c r="E47" s="32"/>
      <c r="F47" s="32"/>
      <c r="G47" s="32"/>
      <c r="H47" s="32"/>
      <c r="I47" s="32"/>
      <c r="J47" s="32"/>
      <c r="K47" s="32"/>
    </row>
    <row r="48" spans="1:11" s="44" customFormat="1" x14ac:dyDescent="0.4">
      <c r="A48" s="222" t="s">
        <v>87</v>
      </c>
      <c r="B48" s="213"/>
      <c r="C48" s="213"/>
      <c r="D48" s="214" t="str">
        <f>'D&amp;C Vols'!D13</f>
        <v>2019/20</v>
      </c>
      <c r="E48" s="214" t="str">
        <f>'D&amp;C Vols'!E13</f>
        <v>2020/21</v>
      </c>
      <c r="F48" s="214" t="str">
        <f>'D&amp;C Vols'!F13</f>
        <v>2021/22</v>
      </c>
      <c r="G48" s="214" t="str">
        <f>'D&amp;C Vols'!G13</f>
        <v>2022/23</v>
      </c>
      <c r="H48" s="214" t="str">
        <f>'D&amp;C Vols'!H13</f>
        <v>2023/24</v>
      </c>
      <c r="I48" s="214" t="str">
        <f>'D&amp;C Vols'!I13</f>
        <v>2024/25</v>
      </c>
      <c r="J48" s="214" t="str">
        <f>'D&amp;C Vols'!J13</f>
        <v>2025/26</v>
      </c>
      <c r="K48" s="32"/>
    </row>
    <row r="49" spans="1:12" s="44" customFormat="1" x14ac:dyDescent="0.45">
      <c r="A49" s="215">
        <f>'D&amp;C Vols'!A14</f>
        <v>0</v>
      </c>
      <c r="B49" s="423">
        <f>'D&amp;C Vols'!B14</f>
        <v>0</v>
      </c>
      <c r="C49" s="222"/>
      <c r="D49" s="222"/>
      <c r="E49" s="222"/>
      <c r="F49" s="222"/>
      <c r="G49" s="32"/>
      <c r="H49" s="32"/>
      <c r="I49" s="32"/>
      <c r="J49" s="32"/>
      <c r="K49" s="32"/>
    </row>
    <row r="50" spans="1:12" s="44" customFormat="1" ht="13.15" x14ac:dyDescent="0.4">
      <c r="A50" s="215" t="str">
        <f>'D&amp;C Vols'!A15</f>
        <v>Lead-ins</v>
      </c>
      <c r="B50" s="215"/>
      <c r="C50" s="215"/>
      <c r="D50" s="422">
        <f>'D&amp;C Vols'!D16</f>
        <v>5.9631783917142777E-3</v>
      </c>
      <c r="E50" s="422">
        <f>'D&amp;C Vols'!E16</f>
        <v>7.0673707177404356E-3</v>
      </c>
      <c r="F50" s="422">
        <f>'D&amp;C Vols'!F16</f>
        <v>8.9887908141565442E-3</v>
      </c>
      <c r="G50" s="422">
        <f>'D&amp;C Vols'!G16</f>
        <v>1.1094357169042796E-2</v>
      </c>
      <c r="H50" s="422">
        <f>'D&amp;C Vols'!H16</f>
        <v>1.3577766415786311E-2</v>
      </c>
      <c r="I50" s="422">
        <f>'D&amp;C Vols'!I16</f>
        <v>1.3673573978262245E-2</v>
      </c>
      <c r="J50" s="422">
        <f>'D&amp;C Vols'!J16</f>
        <v>1.0452639533521161E-2</v>
      </c>
      <c r="K50" s="32"/>
      <c r="L50" s="329" t="s">
        <v>340</v>
      </c>
    </row>
    <row r="51" spans="1:12" s="44" customFormat="1" ht="13.15" x14ac:dyDescent="0.4">
      <c r="A51" s="215" t="str">
        <f>'D&amp;C Vols'!A16</f>
        <v>Spine duct – single bore</v>
      </c>
      <c r="B51" s="215"/>
      <c r="C51" s="215"/>
      <c r="D51" s="422">
        <f>'D&amp;C Vols'!D16</f>
        <v>5.9631783917142777E-3</v>
      </c>
      <c r="E51" s="422">
        <f>'D&amp;C Vols'!E16</f>
        <v>7.0673707177404356E-3</v>
      </c>
      <c r="F51" s="422">
        <f>'D&amp;C Vols'!F16</f>
        <v>8.9887908141565442E-3</v>
      </c>
      <c r="G51" s="422">
        <f>'D&amp;C Vols'!G16</f>
        <v>1.1094357169042796E-2</v>
      </c>
      <c r="H51" s="422">
        <f>'D&amp;C Vols'!H16</f>
        <v>1.3577766415786311E-2</v>
      </c>
      <c r="I51" s="422">
        <f>'D&amp;C Vols'!I16</f>
        <v>1.3673573978262245E-2</v>
      </c>
      <c r="J51" s="422">
        <f>'D&amp;C Vols'!J16</f>
        <v>1.0452639533521161E-2</v>
      </c>
      <c r="K51" s="32"/>
    </row>
    <row r="52" spans="1:12" s="44" customFormat="1" ht="13.15" x14ac:dyDescent="0.4">
      <c r="A52" s="215" t="str">
        <f>'D&amp;C Vols'!A17</f>
        <v>Spine duct – 2 bores</v>
      </c>
      <c r="B52" s="215"/>
      <c r="C52" s="215"/>
      <c r="D52" s="422">
        <f>'D&amp;C Vols'!D17</f>
        <v>1.0771772596963425E-3</v>
      </c>
      <c r="E52" s="422">
        <f>'D&amp;C Vols'!E17</f>
        <v>6.7157045609570539E-4</v>
      </c>
      <c r="F52" s="422">
        <f>'D&amp;C Vols'!F17</f>
        <v>4.6562809934973281E-4</v>
      </c>
      <c r="G52" s="422">
        <f>'D&amp;C Vols'!G17</f>
        <v>6.0552988346721415E-4</v>
      </c>
      <c r="H52" s="422">
        <f>'D&amp;C Vols'!H17</f>
        <v>5.1949895295429259E-4</v>
      </c>
      <c r="I52" s="422">
        <f>'D&amp;C Vols'!I17</f>
        <v>7.4235025796371118E-4</v>
      </c>
      <c r="J52" s="422">
        <f>'D&amp;C Vols'!J17</f>
        <v>6.6221307997256832E-4</v>
      </c>
      <c r="K52" s="32"/>
    </row>
    <row r="53" spans="1:12" s="44" customFormat="1" ht="13.15" x14ac:dyDescent="0.4">
      <c r="A53" s="215" t="str">
        <f>'D&amp;C Vols'!A18</f>
        <v>Spine duct – 3+ bores</v>
      </c>
      <c r="B53" s="215"/>
      <c r="C53" s="215"/>
      <c r="D53" s="422">
        <f>'D&amp;C Vols'!D18</f>
        <v>3.1734852702114326E-4</v>
      </c>
      <c r="E53" s="422">
        <f>'D&amp;C Vols'!E18</f>
        <v>1.4196060579061624E-4</v>
      </c>
      <c r="F53" s="422">
        <f>'D&amp;C Vols'!F18</f>
        <v>6.0908333920755616E-5</v>
      </c>
      <c r="G53" s="422">
        <f>'D&amp;C Vols'!G18</f>
        <v>4.6627138762570071E-5</v>
      </c>
      <c r="H53" s="422">
        <f>'D&amp;C Vols'!H18</f>
        <v>6.057398180780074E-5</v>
      </c>
      <c r="I53" s="422">
        <f>'D&amp;C Vols'!I18</f>
        <v>4.5526773249468928E-5</v>
      </c>
      <c r="J53" s="422">
        <f>'D&amp;C Vols'!J18</f>
        <v>3.9411687433870793E-5</v>
      </c>
      <c r="K53" s="32"/>
    </row>
    <row r="54" spans="1:12" s="44" customFormat="1" ht="13.15" x14ac:dyDescent="0.4">
      <c r="A54" s="215" t="str">
        <f>'D&amp;C Vols'!A19</f>
        <v>Joint boxes</v>
      </c>
      <c r="B54" s="215"/>
      <c r="C54" s="215"/>
      <c r="D54" s="422">
        <f>'D&amp;C Vols'!D19</f>
        <v>3.4871824087135844E-3</v>
      </c>
      <c r="E54" s="422">
        <f>'D&amp;C Vols'!E19</f>
        <v>3.2715520747897426E-3</v>
      </c>
      <c r="F54" s="422">
        <f>'D&amp;C Vols'!F19</f>
        <v>5.739327991094288E-3</v>
      </c>
      <c r="G54" s="422">
        <f>'D&amp;C Vols'!G19</f>
        <v>7.3560474426451533E-3</v>
      </c>
      <c r="H54" s="422">
        <f>'D&amp;C Vols'!H19</f>
        <v>7.8816594830651201E-3</v>
      </c>
      <c r="I54" s="422">
        <f>'D&amp;C Vols'!I19</f>
        <v>9.1867993506837154E-3</v>
      </c>
      <c r="J54" s="422">
        <f>'D&amp;C Vols'!J19</f>
        <v>7.896865639677883E-3</v>
      </c>
      <c r="K54" s="32"/>
    </row>
    <row r="55" spans="1:12" s="44" customFormat="1" ht="13.15" x14ac:dyDescent="0.4">
      <c r="A55" s="215" t="str">
        <f>'D&amp;C Vols'!A20</f>
        <v>Manholes</v>
      </c>
      <c r="B55" s="215"/>
      <c r="C55" s="215"/>
      <c r="D55" s="422">
        <f>'D&amp;C Vols'!D20</f>
        <v>3.1148510945960784E-4</v>
      </c>
      <c r="E55" s="422">
        <f>'D&amp;C Vols'!E20</f>
        <v>1.6020280199797933E-4</v>
      </c>
      <c r="F55" s="422">
        <f>'D&amp;C Vols'!F20</f>
        <v>1.6177969252714924E-5</v>
      </c>
      <c r="G55" s="422">
        <f>'D&amp;C Vols'!G20</f>
        <v>4.3610942612290574E-5</v>
      </c>
      <c r="H55" s="422">
        <f>'D&amp;C Vols'!H20</f>
        <v>5.1742297077386034E-5</v>
      </c>
      <c r="I55" s="422">
        <f>'D&amp;C Vols'!I20</f>
        <v>4.5967455223580527E-5</v>
      </c>
      <c r="J55" s="422">
        <f>'D&amp;C Vols'!J20</f>
        <v>4.533348564706064E-5</v>
      </c>
      <c r="K55" s="32"/>
    </row>
    <row r="56" spans="1:12" s="44" customFormat="1" x14ac:dyDescent="0.4">
      <c r="A56" s="222"/>
      <c r="B56" s="222"/>
      <c r="C56" s="222"/>
      <c r="D56" s="222"/>
      <c r="E56" s="222"/>
      <c r="F56" s="222"/>
      <c r="G56" s="32"/>
      <c r="H56" s="32"/>
      <c r="I56" s="32"/>
      <c r="J56" s="32"/>
      <c r="K56" s="32"/>
    </row>
    <row r="57" spans="1:12" s="44" customFormat="1" x14ac:dyDescent="0.4">
      <c r="A57" s="215" t="s">
        <v>341</v>
      </c>
      <c r="B57" s="222"/>
      <c r="C57" s="222"/>
      <c r="D57" s="32">
        <f>SUMPRODUCT(D39:D44,D50:D55)</f>
        <v>3.7646988380252567E-3</v>
      </c>
      <c r="E57" s="32">
        <f>SUMPRODUCT(E39:E44,E50:E55)</f>
        <v>4.2106147564707997E-3</v>
      </c>
      <c r="F57" s="32">
        <f>SUMPRODUCT(F39:F44,F50:F55)</f>
        <v>5.55024828261545E-3</v>
      </c>
      <c r="G57" s="32">
        <f t="shared" ref="G57:J57" si="2">SUMPRODUCT(G39:G44,G50:G55)</f>
        <v>6.9208458013760299E-3</v>
      </c>
      <c r="H57" s="32">
        <f t="shared" si="2"/>
        <v>8.2966177847986124E-3</v>
      </c>
      <c r="I57" s="32">
        <f t="shared" si="2"/>
        <v>8.6176686345753768E-3</v>
      </c>
      <c r="J57" s="32">
        <f t="shared" si="2"/>
        <v>6.7636301638958549E-3</v>
      </c>
      <c r="K57" s="32"/>
    </row>
    <row r="58" spans="1:12" s="8" customFormat="1" ht="9" customHeight="1" x14ac:dyDescent="0.45">
      <c r="A58" s="6"/>
      <c r="B58" s="6"/>
      <c r="C58" s="6"/>
      <c r="D58" s="6"/>
      <c r="E58" s="220"/>
      <c r="F58" s="6"/>
      <c r="G58" s="6"/>
      <c r="H58" s="6"/>
      <c r="I58" s="6"/>
      <c r="J58" s="6"/>
      <c r="K58" s="6"/>
      <c r="L58" s="221"/>
    </row>
    <row r="59" spans="1:12" s="8" customFormat="1" ht="9" customHeight="1" x14ac:dyDescent="0.45"/>
    <row r="60" spans="1:12" ht="15.75" x14ac:dyDescent="0.5">
      <c r="A60" s="12" t="s">
        <v>230</v>
      </c>
      <c r="D60" s="366"/>
    </row>
    <row r="61" spans="1:12" ht="9" customHeight="1" x14ac:dyDescent="0.45">
      <c r="D61" s="366"/>
    </row>
    <row r="62" spans="1:12" ht="15.75" x14ac:dyDescent="0.5">
      <c r="A62" s="12" t="s">
        <v>231</v>
      </c>
      <c r="D62" s="42" t="str">
        <f>D$48</f>
        <v>2019/20</v>
      </c>
      <c r="E62" s="42" t="str">
        <f t="shared" ref="E62:J62" si="3">E$48</f>
        <v>2020/21</v>
      </c>
      <c r="F62" s="42" t="str">
        <f t="shared" si="3"/>
        <v>2021/22</v>
      </c>
      <c r="G62" s="42" t="str">
        <f t="shared" si="3"/>
        <v>2022/23</v>
      </c>
      <c r="H62" s="42" t="str">
        <f t="shared" si="3"/>
        <v>2023/24</v>
      </c>
      <c r="I62" s="42" t="str">
        <f t="shared" si="3"/>
        <v>2024/25</v>
      </c>
      <c r="J62" s="42" t="str">
        <f t="shared" si="3"/>
        <v>2025/26</v>
      </c>
    </row>
    <row r="63" spans="1:12" s="39" customFormat="1" ht="13.15" x14ac:dyDescent="0.4">
      <c r="D63" s="74"/>
      <c r="E63" s="74"/>
      <c r="F63" s="74"/>
      <c r="G63" s="74"/>
      <c r="H63" s="74"/>
      <c r="I63" s="74"/>
      <c r="J63" s="74"/>
    </row>
    <row r="64" spans="1:12" s="39" customFormat="1" ht="13.15" x14ac:dyDescent="0.4">
      <c r="A64" s="39" t="str">
        <f>B7</f>
        <v>OCM Dep</v>
      </c>
      <c r="B64" s="39" t="str">
        <f>'LDD forecasts'!$A$142</f>
        <v>Assets pre 31/3/2018</v>
      </c>
      <c r="C64" s="39" t="s">
        <v>226</v>
      </c>
      <c r="D64" s="71">
        <f>-'LDD forecasts'!F148</f>
        <v>255.84283782571316</v>
      </c>
      <c r="E64" s="71">
        <f>-'LDD forecasts'!G148</f>
        <v>260.19420124610809</v>
      </c>
      <c r="F64" s="71">
        <f>-'LDD forecasts'!H148</f>
        <v>260.87509652822325</v>
      </c>
      <c r="G64" s="71">
        <f>-'LDD forecasts'!I148</f>
        <v>262.51487603506365</v>
      </c>
      <c r="H64" s="71">
        <f>-'LDD forecasts'!J148</f>
        <v>265.96870458302908</v>
      </c>
      <c r="I64" s="71">
        <f>-'LDD forecasts'!K148</f>
        <v>271.0795032251084</v>
      </c>
      <c r="J64" s="71">
        <f>-'LDD forecasts'!L148</f>
        <v>276.64552758932712</v>
      </c>
    </row>
    <row r="65" spans="1:12" s="39" customFormat="1" ht="13.15" x14ac:dyDescent="0.4">
      <c r="B65" s="39" t="str">
        <f>'LDD forecasts'!$A$150</f>
        <v>Assets post 31/3/2018</v>
      </c>
      <c r="C65" s="39" t="s">
        <v>88</v>
      </c>
      <c r="D65" s="69">
        <f>-'LDD forecasts'!F153</f>
        <v>9.7808752743959424</v>
      </c>
      <c r="E65" s="418">
        <f>-'LDD forecasts'!G153</f>
        <v>19.424714380719411</v>
      </c>
      <c r="F65" s="418">
        <f>-'LDD forecasts'!H153</f>
        <v>26.575654896188329</v>
      </c>
      <c r="G65" s="418">
        <f>-'LDD forecasts'!I153</f>
        <v>36.609954816716062</v>
      </c>
      <c r="H65" s="418">
        <f>-'LDD forecasts'!J153</f>
        <v>47.274225714994905</v>
      </c>
      <c r="I65" s="418">
        <f>-'LDD forecasts'!K153</f>
        <v>58.273187814619192</v>
      </c>
      <c r="J65" s="418">
        <f>-'LDD forecasts'!L153</f>
        <v>71.353146654829317</v>
      </c>
    </row>
    <row r="66" spans="1:12" s="8" customFormat="1" ht="15.75" x14ac:dyDescent="0.5">
      <c r="A66" s="12"/>
    </row>
    <row r="67" spans="1:12" s="39" customFormat="1" ht="13.15" x14ac:dyDescent="0.4">
      <c r="A67" s="39" t="str">
        <f>B6</f>
        <v>Pay &amp; non-pay costs</v>
      </c>
      <c r="B67" s="39" t="s">
        <v>1</v>
      </c>
      <c r="D67" s="71">
        <f>D6</f>
        <v>75.671756177341933</v>
      </c>
      <c r="E67" s="71">
        <f>D67*(1+E28)*(1-Opex_eff)*(1+Opex_CVE*E57)</f>
        <v>73.678887660905559</v>
      </c>
      <c r="F67" s="71">
        <f t="shared" ref="F67:J67" si="4">E67*(1+F28)*(1-Opex_eff)*(1+Opex_CVE*F57)</f>
        <v>72.37852125094031</v>
      </c>
      <c r="G67" s="71">
        <f t="shared" si="4"/>
        <v>71.322207504208592</v>
      </c>
      <c r="H67" s="71">
        <f t="shared" si="4"/>
        <v>70.475831556471221</v>
      </c>
      <c r="I67" s="71">
        <f t="shared" si="4"/>
        <v>69.776273659956487</v>
      </c>
      <c r="J67" s="71">
        <f t="shared" si="4"/>
        <v>69.024539426857032</v>
      </c>
    </row>
    <row r="68" spans="1:12" s="39" customFormat="1" ht="13.15" x14ac:dyDescent="0.4">
      <c r="B68" s="39" t="str">
        <f>'LDD forecasts'!$A$142</f>
        <v>Assets pre 31/3/2018</v>
      </c>
      <c r="D68" s="71">
        <f>D67*D64/(D64+D65)</f>
        <v>72.885348291062073</v>
      </c>
      <c r="E68" s="71">
        <f t="shared" ref="E68:J68" si="5">E67*E64/(E64+E65)</f>
        <v>68.560523813832219</v>
      </c>
      <c r="F68" s="71">
        <f t="shared" si="5"/>
        <v>65.686917234844259</v>
      </c>
      <c r="G68" s="71">
        <f t="shared" si="5"/>
        <v>62.593066607673123</v>
      </c>
      <c r="H68" s="71">
        <f t="shared" si="5"/>
        <v>59.839708451369503</v>
      </c>
      <c r="I68" s="71">
        <f t="shared" si="5"/>
        <v>57.43058464446748</v>
      </c>
      <c r="J68" s="71">
        <f t="shared" si="5"/>
        <v>54.87184733627997</v>
      </c>
      <c r="L68" s="70" t="s">
        <v>225</v>
      </c>
    </row>
    <row r="69" spans="1:12" s="39" customFormat="1" ht="13.15" x14ac:dyDescent="0.4">
      <c r="B69" s="39" t="str">
        <f>'LDD forecasts'!$A$150</f>
        <v>Assets post 31/3/2018</v>
      </c>
      <c r="D69" s="69">
        <f>D67-D68</f>
        <v>2.7864078862798607</v>
      </c>
      <c r="E69" s="69">
        <f t="shared" ref="E69:J69" si="6">E67-E68</f>
        <v>5.1183638470733399</v>
      </c>
      <c r="F69" s="69">
        <f t="shared" si="6"/>
        <v>6.6916040160960506</v>
      </c>
      <c r="G69" s="69">
        <f t="shared" si="6"/>
        <v>8.7291408965354691</v>
      </c>
      <c r="H69" s="69">
        <f t="shared" si="6"/>
        <v>10.636123105101717</v>
      </c>
      <c r="I69" s="69">
        <f t="shared" si="6"/>
        <v>12.345689015489008</v>
      </c>
      <c r="J69" s="69">
        <f t="shared" si="6"/>
        <v>14.152692090577062</v>
      </c>
      <c r="L69" s="70" t="s">
        <v>225</v>
      </c>
    </row>
    <row r="70" spans="1:12" s="39" customFormat="1" ht="13.15" x14ac:dyDescent="0.4">
      <c r="D70" s="74"/>
      <c r="E70" s="74"/>
      <c r="F70" s="74"/>
      <c r="G70" s="74"/>
      <c r="H70" s="74"/>
      <c r="I70" s="74"/>
      <c r="J70" s="74"/>
    </row>
    <row r="71" spans="1:12" s="39" customFormat="1" ht="13.15" x14ac:dyDescent="0.4">
      <c r="A71" s="39" t="str">
        <f>B8</f>
        <v>HG/L</v>
      </c>
      <c r="B71" s="39" t="s">
        <v>1</v>
      </c>
      <c r="D71" s="74"/>
      <c r="E71" s="74"/>
      <c r="F71" s="74"/>
      <c r="G71" s="74"/>
      <c r="H71" s="74"/>
      <c r="I71" s="74"/>
      <c r="J71" s="74"/>
      <c r="L71" s="533"/>
    </row>
    <row r="72" spans="1:12" s="39" customFormat="1" ht="13.15" x14ac:dyDescent="0.4">
      <c r="B72" s="39" t="str">
        <f>'LDD forecasts'!$A$142</f>
        <v>Assets pre 31/3/2018</v>
      </c>
      <c r="D72" s="69">
        <f>-'LDD forecasts'!F84</f>
        <v>-126.44030658566476</v>
      </c>
      <c r="E72" s="69">
        <f>-'LDD forecasts'!G84</f>
        <v>-47.135669908612442</v>
      </c>
      <c r="F72" s="69">
        <f>-'LDD forecasts'!H84</f>
        <v>-55.241336829963785</v>
      </c>
      <c r="G72" s="69">
        <f>-'LDD forecasts'!I84</f>
        <v>-70.007932861756942</v>
      </c>
      <c r="H72" s="69">
        <f>-'LDD forecasts'!J84</f>
        <v>-99.307259657639591</v>
      </c>
      <c r="I72" s="69">
        <f>-'LDD forecasts'!K84</f>
        <v>-105.16719004425269</v>
      </c>
      <c r="J72" s="69">
        <f>-'LDD forecasts'!L84</f>
        <v>-98.465207483619636</v>
      </c>
    </row>
    <row r="73" spans="1:12" s="39" customFormat="1" ht="13.15" x14ac:dyDescent="0.4">
      <c r="B73" s="39" t="str">
        <f>'LDD forecasts'!$A$150</f>
        <v>Assets post 31/3/2018</v>
      </c>
      <c r="D73" s="69">
        <f>-'LDD forecasts'!F135</f>
        <v>-10.588479260349272</v>
      </c>
      <c r="E73" s="69">
        <f>-'LDD forecasts'!G135</f>
        <v>-6.5697559208350116</v>
      </c>
      <c r="F73" s="69">
        <f>-'LDD forecasts'!H135</f>
        <v>-10.943857345282261</v>
      </c>
      <c r="G73" s="69">
        <f>-'LDD forecasts'!I135</f>
        <v>-20.381828173442752</v>
      </c>
      <c r="H73" s="69">
        <f>-'LDD forecasts'!J135</f>
        <v>-41.877199411375365</v>
      </c>
      <c r="I73" s="69">
        <f>-'LDD forecasts'!K135</f>
        <v>-56.840858527777456</v>
      </c>
      <c r="J73" s="69">
        <f>-'LDD forecasts'!L135</f>
        <v>-68.392760976659531</v>
      </c>
    </row>
    <row r="74" spans="1:12" s="8" customFormat="1" x14ac:dyDescent="0.45">
      <c r="B74" s="39"/>
      <c r="D74" s="75"/>
      <c r="E74" s="75"/>
      <c r="F74" s="75"/>
      <c r="G74" s="75"/>
      <c r="H74" s="75"/>
      <c r="I74" s="75"/>
      <c r="J74" s="75"/>
    </row>
    <row r="75" spans="1:12" s="39" customFormat="1" ht="13.15" x14ac:dyDescent="0.4">
      <c r="A75" s="39" t="str">
        <f>B9</f>
        <v>Other CCA</v>
      </c>
      <c r="B75" s="39" t="s">
        <v>1</v>
      </c>
      <c r="D75" s="418">
        <f>D9</f>
        <v>0.72599792338371272</v>
      </c>
      <c r="E75" s="69">
        <v>0</v>
      </c>
      <c r="F75" s="69">
        <v>0</v>
      </c>
      <c r="G75" s="69">
        <v>0</v>
      </c>
      <c r="H75" s="69">
        <v>0</v>
      </c>
      <c r="I75" s="69">
        <v>0</v>
      </c>
      <c r="J75" s="69">
        <v>0</v>
      </c>
      <c r="L75" s="70" t="s">
        <v>91</v>
      </c>
    </row>
    <row r="76" spans="1:12" s="39" customFormat="1" ht="13.15" x14ac:dyDescent="0.4">
      <c r="B76" s="39" t="str">
        <f>'LDD forecasts'!$A$142</f>
        <v>Assets pre 31/3/2018</v>
      </c>
      <c r="D76" s="69">
        <f>D75*D64/(D64+D65)</f>
        <v>0.69926501217178949</v>
      </c>
      <c r="E76" s="69">
        <f t="shared" ref="E76:J76" si="7">E75*E64/(E64+E65)</f>
        <v>0</v>
      </c>
      <c r="F76" s="69">
        <f t="shared" si="7"/>
        <v>0</v>
      </c>
      <c r="G76" s="69">
        <f t="shared" si="7"/>
        <v>0</v>
      </c>
      <c r="H76" s="69">
        <f t="shared" si="7"/>
        <v>0</v>
      </c>
      <c r="I76" s="69">
        <f t="shared" si="7"/>
        <v>0</v>
      </c>
      <c r="J76" s="69">
        <f t="shared" si="7"/>
        <v>0</v>
      </c>
      <c r="L76" s="70" t="s">
        <v>225</v>
      </c>
    </row>
    <row r="77" spans="1:12" s="39" customFormat="1" ht="13.15" x14ac:dyDescent="0.4">
      <c r="B77" s="39" t="str">
        <f>'LDD forecasts'!$A$150</f>
        <v>Assets post 31/3/2018</v>
      </c>
      <c r="D77" s="69">
        <f>D75-D76</f>
        <v>2.6732911211923227E-2</v>
      </c>
      <c r="E77" s="69">
        <f t="shared" ref="E77:J77" si="8">E75-E76</f>
        <v>0</v>
      </c>
      <c r="F77" s="69">
        <f t="shared" si="8"/>
        <v>0</v>
      </c>
      <c r="G77" s="69">
        <f t="shared" si="8"/>
        <v>0</v>
      </c>
      <c r="H77" s="69">
        <f t="shared" si="8"/>
        <v>0</v>
      </c>
      <c r="I77" s="69">
        <f t="shared" si="8"/>
        <v>0</v>
      </c>
      <c r="J77" s="69">
        <f t="shared" si="8"/>
        <v>0</v>
      </c>
      <c r="L77" s="70" t="s">
        <v>225</v>
      </c>
    </row>
    <row r="78" spans="1:12" s="39" customFormat="1" ht="13.15" x14ac:dyDescent="0.4">
      <c r="D78" s="68"/>
      <c r="E78" s="68"/>
      <c r="F78" s="68"/>
      <c r="G78" s="68"/>
      <c r="H78" s="68"/>
      <c r="I78" s="68"/>
      <c r="J78" s="68"/>
    </row>
    <row r="79" spans="1:12" s="39" customFormat="1" ht="13.15" x14ac:dyDescent="0.4">
      <c r="A79" s="39" t="str">
        <f>B10</f>
        <v>Other Dep</v>
      </c>
      <c r="B79" s="39" t="s">
        <v>1</v>
      </c>
      <c r="D79" s="69">
        <f>D10</f>
        <v>4.0374335419964789</v>
      </c>
      <c r="E79" s="69">
        <f>D79*(1+E57)</f>
        <v>4.0544336192466801</v>
      </c>
      <c r="F79" s="69">
        <f t="shared" ref="F79:J79" si="9">E79*(1+F57)</f>
        <v>4.0769367324788828</v>
      </c>
      <c r="G79" s="69">
        <f t="shared" si="9"/>
        <v>4.1051525829463351</v>
      </c>
      <c r="H79" s="69">
        <f t="shared" si="9"/>
        <v>4.1392114648753191</v>
      </c>
      <c r="I79" s="69">
        <f t="shared" si="9"/>
        <v>4.1748818176880498</v>
      </c>
      <c r="J79" s="69">
        <f t="shared" si="9"/>
        <v>4.2031191742808645</v>
      </c>
      <c r="L79" s="532" t="s">
        <v>364</v>
      </c>
    </row>
    <row r="80" spans="1:12" s="39" customFormat="1" ht="13.15" x14ac:dyDescent="0.4">
      <c r="B80" s="39" t="str">
        <f>'LDD forecasts'!$A$142</f>
        <v>Assets pre 31/3/2018</v>
      </c>
      <c r="D80" s="418">
        <f>D79*D64/(D64+D65)</f>
        <v>3.8887659646855357</v>
      </c>
      <c r="E80" s="418">
        <f t="shared" ref="E80:J80" si="10">E79*E64/(E64+E65)</f>
        <v>3.7727780851319586</v>
      </c>
      <c r="F80" s="418">
        <f t="shared" si="10"/>
        <v>3.7000121180916996</v>
      </c>
      <c r="G80" s="418">
        <f t="shared" si="10"/>
        <v>3.6027220419931467</v>
      </c>
      <c r="H80" s="418">
        <f t="shared" si="10"/>
        <v>3.5145269208811758</v>
      </c>
      <c r="I80" s="418">
        <f t="shared" si="10"/>
        <v>3.4362096316556339</v>
      </c>
      <c r="J80" s="418">
        <f t="shared" si="10"/>
        <v>3.3413176760378764</v>
      </c>
      <c r="L80" s="70" t="s">
        <v>225</v>
      </c>
    </row>
    <row r="81" spans="1:12" s="39" customFormat="1" ht="13.15" x14ac:dyDescent="0.4">
      <c r="B81" s="39" t="str">
        <f>'LDD forecasts'!$A$150</f>
        <v>Assets post 31/3/2018</v>
      </c>
      <c r="D81" s="418">
        <f>D79-D80</f>
        <v>0.14866757731094316</v>
      </c>
      <c r="E81" s="418">
        <f t="shared" ref="E81:J81" si="11">E79-E80</f>
        <v>0.28165553411472155</v>
      </c>
      <c r="F81" s="418">
        <f t="shared" si="11"/>
        <v>0.37692461438718317</v>
      </c>
      <c r="G81" s="418">
        <f t="shared" si="11"/>
        <v>0.5024305409531884</v>
      </c>
      <c r="H81" s="418">
        <f t="shared" si="11"/>
        <v>0.6246845439941433</v>
      </c>
      <c r="I81" s="418">
        <f t="shared" si="11"/>
        <v>0.73867218603241591</v>
      </c>
      <c r="J81" s="418">
        <f t="shared" si="11"/>
        <v>0.86180149824298802</v>
      </c>
      <c r="L81" s="70" t="s">
        <v>225</v>
      </c>
    </row>
    <row r="82" spans="1:12" s="39" customFormat="1" ht="13.15" x14ac:dyDescent="0.4">
      <c r="D82" s="68"/>
      <c r="E82" s="68"/>
      <c r="F82" s="68"/>
      <c r="G82" s="68"/>
      <c r="H82" s="68"/>
      <c r="I82" s="68"/>
      <c r="J82" s="68"/>
    </row>
    <row r="83" spans="1:12" s="39" customFormat="1" ht="13.15" x14ac:dyDescent="0.4">
      <c r="A83" s="39" t="str">
        <f>B11</f>
        <v>Total CCA Costs</v>
      </c>
      <c r="D83" s="69">
        <f>SUM(D67,D64:D65,D72:D73,D75,D79)</f>
        <v>209.03011489681722</v>
      </c>
      <c r="E83" s="69">
        <f t="shared" ref="E83:J83" si="12">SUM(E67,E64:E65,E72:E73,E75,E79)</f>
        <v>303.64681107753233</v>
      </c>
      <c r="F83" s="69">
        <f t="shared" si="12"/>
        <v>297.7210152325847</v>
      </c>
      <c r="G83" s="69">
        <f t="shared" si="12"/>
        <v>284.16242990373502</v>
      </c>
      <c r="H83" s="69">
        <f t="shared" si="12"/>
        <v>246.67351425035559</v>
      </c>
      <c r="I83" s="69">
        <f t="shared" si="12"/>
        <v>241.29579794534192</v>
      </c>
      <c r="J83" s="69">
        <f t="shared" si="12"/>
        <v>254.36836438501513</v>
      </c>
    </row>
    <row r="84" spans="1:12" s="39" customFormat="1" ht="13.15" x14ac:dyDescent="0.4">
      <c r="B84" s="39" t="str">
        <f>'LDD forecasts'!$A$142</f>
        <v>Assets pre 31/3/2018</v>
      </c>
      <c r="D84" s="69">
        <f>SUM(D68,D64,D72,D76,D80)</f>
        <v>206.87591050796783</v>
      </c>
      <c r="E84" s="69">
        <f t="shared" ref="E84:J84" si="13">SUM(E68,E64,E72,E76,E80)</f>
        <v>285.39183323645983</v>
      </c>
      <c r="F84" s="69">
        <f t="shared" si="13"/>
        <v>275.02068905119546</v>
      </c>
      <c r="G84" s="69">
        <f t="shared" si="13"/>
        <v>258.70273182297296</v>
      </c>
      <c r="H84" s="69">
        <f t="shared" si="13"/>
        <v>230.01568029764019</v>
      </c>
      <c r="I84" s="69">
        <f t="shared" si="13"/>
        <v>226.77910745697883</v>
      </c>
      <c r="J84" s="69">
        <f t="shared" si="13"/>
        <v>236.39348511802535</v>
      </c>
    </row>
    <row r="85" spans="1:12" s="39" customFormat="1" ht="13.15" x14ac:dyDescent="0.4">
      <c r="B85" s="39" t="str">
        <f>'LDD forecasts'!$A$150</f>
        <v>Assets post 31/3/2018</v>
      </c>
      <c r="D85" s="69">
        <f>SUM(D69,D65,D73,D77,D81)</f>
        <v>2.1542043888493971</v>
      </c>
      <c r="E85" s="69">
        <f t="shared" ref="E85:J85" si="14">SUM(E69,E65,E73,E77,E81)</f>
        <v>18.254977841072463</v>
      </c>
      <c r="F85" s="69">
        <f t="shared" si="14"/>
        <v>22.700326181389297</v>
      </c>
      <c r="G85" s="69">
        <f t="shared" si="14"/>
        <v>25.459698080761967</v>
      </c>
      <c r="H85" s="69">
        <f t="shared" si="14"/>
        <v>16.6578339527154</v>
      </c>
      <c r="I85" s="69">
        <f t="shared" si="14"/>
        <v>14.516690488363166</v>
      </c>
      <c r="J85" s="69">
        <f t="shared" si="14"/>
        <v>17.974879266989838</v>
      </c>
    </row>
    <row r="86" spans="1:12" s="39" customFormat="1" ht="13.15" x14ac:dyDescent="0.4">
      <c r="B86" s="70" t="s">
        <v>48</v>
      </c>
      <c r="D86" s="82" t="b">
        <f>IF(ABS(D83-D84-D85)&lt;0.00001,TRUE,FALSE)</f>
        <v>1</v>
      </c>
      <c r="E86" s="82" t="b">
        <f t="shared" ref="E86:J86" si="15">IF(ABS(E83-E84-E85)&lt;0.00001,TRUE,FALSE)</f>
        <v>1</v>
      </c>
      <c r="F86" s="82" t="b">
        <f t="shared" si="15"/>
        <v>1</v>
      </c>
      <c r="G86" s="82" t="b">
        <f t="shared" si="15"/>
        <v>1</v>
      </c>
      <c r="H86" s="82" t="b">
        <f t="shared" si="15"/>
        <v>1</v>
      </c>
      <c r="I86" s="82" t="b">
        <f t="shared" si="15"/>
        <v>1</v>
      </c>
      <c r="J86" s="82" t="b">
        <f t="shared" si="15"/>
        <v>1</v>
      </c>
    </row>
    <row r="87" spans="1:12" s="8" customFormat="1" x14ac:dyDescent="0.45">
      <c r="D87" s="69"/>
      <c r="E87" s="69"/>
      <c r="F87" s="69"/>
      <c r="G87" s="69"/>
      <c r="H87" s="69"/>
      <c r="I87" s="69"/>
      <c r="J87" s="69"/>
    </row>
    <row r="88" spans="1:12" s="8" customFormat="1" ht="15.75" x14ac:dyDescent="0.5">
      <c r="A88" s="12" t="s">
        <v>232</v>
      </c>
      <c r="D88" s="42" t="str">
        <f>D$48</f>
        <v>2019/20</v>
      </c>
      <c r="E88" s="42" t="str">
        <f>E$48</f>
        <v>2020/21</v>
      </c>
      <c r="F88" s="42" t="str">
        <f t="shared" ref="F88:J88" si="16">F$48</f>
        <v>2021/22</v>
      </c>
      <c r="G88" s="42" t="str">
        <f t="shared" si="16"/>
        <v>2022/23</v>
      </c>
      <c r="H88" s="42" t="str">
        <f t="shared" si="16"/>
        <v>2023/24</v>
      </c>
      <c r="I88" s="42" t="str">
        <f t="shared" si="16"/>
        <v>2024/25</v>
      </c>
      <c r="J88" s="42" t="str">
        <f t="shared" si="16"/>
        <v>2025/26</v>
      </c>
    </row>
    <row r="89" spans="1:12" s="39" customFormat="1" ht="13.15" x14ac:dyDescent="0.4">
      <c r="A89" s="39" t="str">
        <f>B14</f>
        <v>NRC (main COW)</v>
      </c>
      <c r="D89" s="69"/>
      <c r="E89" s="68"/>
      <c r="F89" s="68"/>
      <c r="G89" s="68"/>
      <c r="H89" s="68"/>
      <c r="I89" s="68"/>
      <c r="J89" s="68"/>
      <c r="L89" s="199"/>
    </row>
    <row r="90" spans="1:12" s="39" customFormat="1" ht="13.15" x14ac:dyDescent="0.4">
      <c r="B90" s="39" t="str">
        <f>'LDD forecasts'!$A$142</f>
        <v>Assets pre 31/3/2018</v>
      </c>
      <c r="C90" s="39" t="s">
        <v>89</v>
      </c>
      <c r="D90" s="71">
        <f>'LDD forecasts'!F145</f>
        <v>4322.784284266907</v>
      </c>
      <c r="E90" s="71">
        <f>'LDD forecasts'!G145</f>
        <v>4150.1058749580952</v>
      </c>
      <c r="F90" s="71">
        <f>'LDD forecasts'!H145</f>
        <v>3940.7597294402176</v>
      </c>
      <c r="G90" s="71">
        <f>'LDD forecasts'!I145</f>
        <v>3741.6893780044347</v>
      </c>
      <c r="H90" s="71">
        <f>'LDD forecasts'!J145</f>
        <v>3562.1051839550864</v>
      </c>
      <c r="I90" s="71">
        <f>'LDD forecasts'!K145</f>
        <v>3395.818304901964</v>
      </c>
      <c r="J90" s="71">
        <f>'LDD forecasts'!L145</f>
        <v>3223.7719882586825</v>
      </c>
    </row>
    <row r="91" spans="1:12" s="39" customFormat="1" ht="13.15" x14ac:dyDescent="0.4">
      <c r="B91" s="39" t="str">
        <f>'LDD forecasts'!$A$150</f>
        <v>Assets post 31/3/2018</v>
      </c>
      <c r="C91" s="39" t="str">
        <f>C90</f>
        <v>Final LDD forecasts</v>
      </c>
      <c r="D91" s="69">
        <f>'LDD forecasts'!F152</f>
        <v>456.03811420914644</v>
      </c>
      <c r="E91" s="69">
        <f>'LDD forecasts'!G152</f>
        <v>697.18062056212398</v>
      </c>
      <c r="F91" s="69">
        <f>'LDD forecasts'!H152</f>
        <v>959.21796573809468</v>
      </c>
      <c r="G91" s="69">
        <f>'LDD forecasts'!I152</f>
        <v>1327.3094542384717</v>
      </c>
      <c r="H91" s="69">
        <f>'LDD forecasts'!J152</f>
        <v>1708.7334195102196</v>
      </c>
      <c r="I91" s="69">
        <f>'LDD forecasts'!K152</f>
        <v>2090.6428982550665</v>
      </c>
      <c r="J91" s="69">
        <f>'LDD forecasts'!L152</f>
        <v>2541.8333844697609</v>
      </c>
    </row>
    <row r="92" spans="1:12" s="39" customFormat="1" ht="13.15" x14ac:dyDescent="0.4">
      <c r="E92" s="64"/>
      <c r="F92" s="64"/>
      <c r="G92" s="64"/>
      <c r="H92" s="64"/>
      <c r="I92" s="64"/>
      <c r="J92" s="64"/>
    </row>
    <row r="93" spans="1:12" s="39" customFormat="1" ht="13.15" x14ac:dyDescent="0.4">
      <c r="A93" s="39" t="str">
        <f>B15</f>
        <v>Other COWs</v>
      </c>
      <c r="D93" s="69">
        <f>D15</f>
        <v>-120.26030711066723</v>
      </c>
      <c r="E93" s="69">
        <f>$D93</f>
        <v>-120.26030711066723</v>
      </c>
      <c r="F93" s="69">
        <f t="shared" ref="F93:J93" si="17">$D93</f>
        <v>-120.26030711066723</v>
      </c>
      <c r="G93" s="69">
        <f t="shared" si="17"/>
        <v>-120.26030711066723</v>
      </c>
      <c r="H93" s="69">
        <f t="shared" si="17"/>
        <v>-120.26030711066723</v>
      </c>
      <c r="I93" s="69">
        <f t="shared" si="17"/>
        <v>-120.26030711066723</v>
      </c>
      <c r="J93" s="69">
        <f t="shared" si="17"/>
        <v>-120.26030711066723</v>
      </c>
      <c r="K93" s="69"/>
      <c r="L93" s="70" t="s">
        <v>111</v>
      </c>
    </row>
    <row r="94" spans="1:12" s="39" customFormat="1" ht="13.15" x14ac:dyDescent="0.4">
      <c r="B94" s="39" t="str">
        <f>'LDD forecasts'!$A$142</f>
        <v>Assets pre 31/3/2018</v>
      </c>
      <c r="D94" s="69">
        <f>D93*D90/(D90+D91)</f>
        <v>-108.78398949600744</v>
      </c>
      <c r="E94" s="69">
        <f t="shared" ref="E94:J94" si="18">E93*E90/(E90+E91)</f>
        <v>-102.96338116707113</v>
      </c>
      <c r="F94" s="69">
        <f t="shared" si="18"/>
        <v>-96.718190325269305</v>
      </c>
      <c r="G94" s="69">
        <f t="shared" si="18"/>
        <v>-88.770332880986516</v>
      </c>
      <c r="H94" s="69">
        <f t="shared" si="18"/>
        <v>-81.273568707131489</v>
      </c>
      <c r="I94" s="69">
        <f t="shared" si="18"/>
        <v>-74.434528399570837</v>
      </c>
      <c r="J94" s="69">
        <f t="shared" si="18"/>
        <v>-67.24216874025997</v>
      </c>
      <c r="K94" s="69"/>
      <c r="L94" s="70" t="s">
        <v>224</v>
      </c>
    </row>
    <row r="95" spans="1:12" s="39" customFormat="1" ht="13.15" x14ac:dyDescent="0.4">
      <c r="B95" s="39" t="str">
        <f>'LDD forecasts'!$A$150</f>
        <v>Assets post 31/3/2018</v>
      </c>
      <c r="D95" s="69">
        <f>D93-D94</f>
        <v>-11.476317614659791</v>
      </c>
      <c r="E95" s="69">
        <f t="shared" ref="E95:J95" si="19">E93-E94</f>
        <v>-17.296925943596094</v>
      </c>
      <c r="F95" s="69">
        <f t="shared" si="19"/>
        <v>-23.542116785397923</v>
      </c>
      <c r="G95" s="69">
        <f t="shared" si="19"/>
        <v>-31.489974229680712</v>
      </c>
      <c r="H95" s="69">
        <f t="shared" si="19"/>
        <v>-38.986738403535739</v>
      </c>
      <c r="I95" s="69">
        <f t="shared" si="19"/>
        <v>-45.82577871109639</v>
      </c>
      <c r="J95" s="69">
        <f t="shared" si="19"/>
        <v>-53.018138370407257</v>
      </c>
      <c r="K95" s="69"/>
      <c r="L95" s="70" t="s">
        <v>224</v>
      </c>
    </row>
    <row r="96" spans="1:12" s="39" customFormat="1" ht="13.15" x14ac:dyDescent="0.4">
      <c r="D96" s="68"/>
      <c r="E96" s="68"/>
      <c r="F96" s="68"/>
      <c r="G96" s="68"/>
      <c r="H96" s="68"/>
      <c r="I96" s="68"/>
      <c r="J96" s="68"/>
      <c r="K96" s="69"/>
    </row>
    <row r="97" spans="1:12" s="39" customFormat="1" ht="13.15" x14ac:dyDescent="0.4">
      <c r="A97" s="39" t="str">
        <f>B16</f>
        <v>Other non COW</v>
      </c>
      <c r="D97" s="69">
        <f>D16</f>
        <v>14.590538797893524</v>
      </c>
      <c r="E97" s="69">
        <f>D97*(1+E$57)</f>
        <v>14.651973935860795</v>
      </c>
      <c r="F97" s="69">
        <f>E97*(1+F$57)</f>
        <v>14.733296029035234</v>
      </c>
      <c r="G97" s="69">
        <f t="shared" ref="G97:J97" si="20">F97*(1+G$57)</f>
        <v>14.835262898998213</v>
      </c>
      <c r="H97" s="69">
        <f t="shared" si="20"/>
        <v>14.958345405008203</v>
      </c>
      <c r="I97" s="69">
        <f t="shared" si="20"/>
        <v>15.087251469030086</v>
      </c>
      <c r="J97" s="69">
        <f t="shared" si="20"/>
        <v>15.1892960581563</v>
      </c>
      <c r="K97" s="69"/>
      <c r="L97" s="199"/>
    </row>
    <row r="98" spans="1:12" s="39" customFormat="1" ht="13.15" x14ac:dyDescent="0.4">
      <c r="B98" s="39" t="str">
        <f>'LDD forecasts'!$A$142</f>
        <v>Assets pre 31/3/2018</v>
      </c>
      <c r="D98" s="69">
        <f>D97*D90/(D90+D91)</f>
        <v>13.198178663143876</v>
      </c>
      <c r="E98" s="69">
        <f t="shared" ref="E98:J98" si="21">E97*E90/(E90+E91)</f>
        <v>12.54459441733964</v>
      </c>
      <c r="F98" s="69">
        <f t="shared" si="21"/>
        <v>11.849111013357517</v>
      </c>
      <c r="G98" s="69">
        <f t="shared" si="21"/>
        <v>10.950672400238759</v>
      </c>
      <c r="H98" s="69">
        <f t="shared" si="21"/>
        <v>10.109055450026396</v>
      </c>
      <c r="I98" s="69">
        <f t="shared" si="21"/>
        <v>9.3381804431079356</v>
      </c>
      <c r="J98" s="69">
        <f t="shared" si="21"/>
        <v>8.4929203419414474</v>
      </c>
      <c r="K98" s="69"/>
      <c r="L98" s="329" t="s">
        <v>224</v>
      </c>
    </row>
    <row r="99" spans="1:12" s="39" customFormat="1" ht="13.15" x14ac:dyDescent="0.4">
      <c r="B99" s="39" t="str">
        <f>'LDD forecasts'!$A$150</f>
        <v>Assets post 31/3/2018</v>
      </c>
      <c r="D99" s="69">
        <f>D97-D98</f>
        <v>1.3923601347496479</v>
      </c>
      <c r="E99" s="69">
        <f t="shared" ref="E99:J99" si="22">E97-E98</f>
        <v>2.1073795185211548</v>
      </c>
      <c r="F99" s="69">
        <f t="shared" si="22"/>
        <v>2.8841850156777173</v>
      </c>
      <c r="G99" s="69">
        <f t="shared" si="22"/>
        <v>3.8845904987594544</v>
      </c>
      <c r="H99" s="69">
        <f t="shared" si="22"/>
        <v>4.8492899549818063</v>
      </c>
      <c r="I99" s="69">
        <f t="shared" si="22"/>
        <v>5.7490710259221505</v>
      </c>
      <c r="J99" s="69">
        <f t="shared" si="22"/>
        <v>6.6963757162148525</v>
      </c>
      <c r="K99" s="69"/>
      <c r="L99" s="329" t="s">
        <v>224</v>
      </c>
    </row>
    <row r="100" spans="1:12" s="39" customFormat="1" ht="13.15" x14ac:dyDescent="0.4">
      <c r="D100" s="74"/>
      <c r="E100" s="74"/>
      <c r="F100" s="74"/>
      <c r="G100" s="74"/>
      <c r="H100" s="74"/>
      <c r="I100" s="74"/>
      <c r="J100" s="74"/>
    </row>
    <row r="101" spans="1:12" s="312" customFormat="1" ht="13.15" x14ac:dyDescent="0.4">
      <c r="A101" s="39" t="str">
        <f>B17</f>
        <v>NCA</v>
      </c>
      <c r="B101" s="39"/>
      <c r="C101" s="39"/>
      <c r="D101" s="69">
        <f>D17</f>
        <v>23.740349099495411</v>
      </c>
      <c r="E101" s="69">
        <f t="shared" ref="E101:J101" si="23">D101*(1+E$57)*(1+E$28)</f>
        <v>23.979644920879739</v>
      </c>
      <c r="F101" s="69">
        <f t="shared" si="23"/>
        <v>24.445886063436948</v>
      </c>
      <c r="G101" s="69">
        <f t="shared" si="23"/>
        <v>25.007503703475574</v>
      </c>
      <c r="H101" s="69">
        <f t="shared" si="23"/>
        <v>25.661886101143448</v>
      </c>
      <c r="I101" s="69">
        <f t="shared" si="23"/>
        <v>26.38728210718633</v>
      </c>
      <c r="J101" s="69">
        <f t="shared" si="23"/>
        <v>27.09707104287752</v>
      </c>
    </row>
    <row r="102" spans="1:12" s="312" customFormat="1" ht="13.15" x14ac:dyDescent="0.4">
      <c r="A102" s="39"/>
      <c r="B102" s="39" t="str">
        <f>'LDD forecasts'!$A$142</f>
        <v>Assets pre 31/3/2018</v>
      </c>
      <c r="C102" s="39"/>
      <c r="D102" s="69">
        <f>D101*D90/(D90+D91)</f>
        <v>21.474831963421632</v>
      </c>
      <c r="E102" s="69">
        <f t="shared" ref="E102:J102" si="24">E101*E90/(E90+E91)</f>
        <v>20.530675328872139</v>
      </c>
      <c r="F102" s="69">
        <f t="shared" si="24"/>
        <v>19.660367728627076</v>
      </c>
      <c r="G102" s="69">
        <f t="shared" si="24"/>
        <v>18.45932778333243</v>
      </c>
      <c r="H102" s="69">
        <f t="shared" si="24"/>
        <v>17.342655389002132</v>
      </c>
      <c r="I102" s="69">
        <f t="shared" si="24"/>
        <v>16.332279091782134</v>
      </c>
      <c r="J102" s="69">
        <f t="shared" si="24"/>
        <v>15.151015885526233</v>
      </c>
      <c r="L102" s="70" t="s">
        <v>224</v>
      </c>
    </row>
    <row r="103" spans="1:12" s="312" customFormat="1" ht="13.15" x14ac:dyDescent="0.4">
      <c r="A103" s="39"/>
      <c r="B103" s="39" t="str">
        <f>'LDD forecasts'!$A$150</f>
        <v>Assets post 31/3/2018</v>
      </c>
      <c r="C103" s="39"/>
      <c r="D103" s="69">
        <f>D101-D102</f>
        <v>2.2655171360737789</v>
      </c>
      <c r="E103" s="69">
        <f t="shared" ref="E103:J103" si="25">E101-E102</f>
        <v>3.4489695920076002</v>
      </c>
      <c r="F103" s="69">
        <f t="shared" si="25"/>
        <v>4.785518334809872</v>
      </c>
      <c r="G103" s="69">
        <f t="shared" si="25"/>
        <v>6.5481759201431444</v>
      </c>
      <c r="H103" s="69">
        <f t="shared" si="25"/>
        <v>8.3192307121413158</v>
      </c>
      <c r="I103" s="69">
        <f t="shared" si="25"/>
        <v>10.055003015404196</v>
      </c>
      <c r="J103" s="69">
        <f t="shared" si="25"/>
        <v>11.946055157351287</v>
      </c>
      <c r="L103" s="70" t="s">
        <v>224</v>
      </c>
    </row>
    <row r="104" spans="1:12" s="39" customFormat="1" ht="13.15" x14ac:dyDescent="0.4">
      <c r="K104" s="64"/>
    </row>
    <row r="105" spans="1:12" s="39" customFormat="1" ht="13.15" x14ac:dyDescent="0.4">
      <c r="A105" s="39" t="s">
        <v>5</v>
      </c>
      <c r="D105" s="74">
        <f>D90+D91+D93+D97+D101</f>
        <v>4696.892979262776</v>
      </c>
      <c r="E105" s="74">
        <f t="shared" ref="E105:J105" si="26">E90+E91+E93+E97+E101</f>
        <v>4765.6578072662933</v>
      </c>
      <c r="F105" s="74">
        <f t="shared" si="26"/>
        <v>4818.8965701601173</v>
      </c>
      <c r="G105" s="74">
        <f t="shared" si="26"/>
        <v>4988.581291734713</v>
      </c>
      <c r="H105" s="74">
        <f t="shared" si="26"/>
        <v>5191.1985278607908</v>
      </c>
      <c r="I105" s="74">
        <f t="shared" si="26"/>
        <v>5407.6754296225799</v>
      </c>
      <c r="J105" s="74">
        <f t="shared" si="26"/>
        <v>5687.6314327188102</v>
      </c>
      <c r="K105" s="64"/>
    </row>
    <row r="106" spans="1:12" s="39" customFormat="1" ht="13.15" x14ac:dyDescent="0.4">
      <c r="B106" s="312" t="s">
        <v>90</v>
      </c>
      <c r="D106" s="74">
        <f>SUM(D90,D94,D98,D102)</f>
        <v>4248.6733053974658</v>
      </c>
      <c r="E106" s="74">
        <f t="shared" ref="E106:J106" si="27">SUM(E90,E94,E98,E102)</f>
        <v>4080.2177635372364</v>
      </c>
      <c r="F106" s="74">
        <f t="shared" si="27"/>
        <v>3875.551017856933</v>
      </c>
      <c r="G106" s="74">
        <f t="shared" si="27"/>
        <v>3682.329045307019</v>
      </c>
      <c r="H106" s="74">
        <f t="shared" si="27"/>
        <v>3508.2833260869838</v>
      </c>
      <c r="I106" s="74">
        <f t="shared" si="27"/>
        <v>3347.0542360372833</v>
      </c>
      <c r="J106" s="74">
        <f t="shared" si="27"/>
        <v>3180.1737557458905</v>
      </c>
      <c r="K106" s="71"/>
    </row>
    <row r="107" spans="1:12" s="312" customFormat="1" ht="13.15" x14ac:dyDescent="0.4">
      <c r="A107" s="39"/>
      <c r="B107" s="312" t="s">
        <v>81</v>
      </c>
      <c r="D107" s="74">
        <f>SUM(D91,D95,D99,D103)</f>
        <v>448.21967386531003</v>
      </c>
      <c r="E107" s="74">
        <f t="shared" ref="E107:J107" si="28">SUM(E91,E95,E99,E103)</f>
        <v>685.4400437290567</v>
      </c>
      <c r="F107" s="74">
        <f t="shared" si="28"/>
        <v>943.34555230318438</v>
      </c>
      <c r="G107" s="74">
        <f t="shared" si="28"/>
        <v>1306.2522464276938</v>
      </c>
      <c r="H107" s="74">
        <f t="shared" si="28"/>
        <v>1682.9152017738068</v>
      </c>
      <c r="I107" s="74">
        <f t="shared" si="28"/>
        <v>2060.6211935852966</v>
      </c>
      <c r="J107" s="74">
        <f t="shared" si="28"/>
        <v>2507.4576769729197</v>
      </c>
    </row>
    <row r="108" spans="1:12" s="39" customFormat="1" ht="13.15" x14ac:dyDescent="0.4">
      <c r="B108" s="70" t="s">
        <v>48</v>
      </c>
      <c r="D108" s="82" t="b">
        <f>IF(ABS(D105-D106-D107)&lt;0.00001,TRUE,FALSE)</f>
        <v>1</v>
      </c>
      <c r="E108" s="82" t="b">
        <f t="shared" ref="E108:J108" si="29">IF(ABS(E105-E106-E107)&lt;0.00001,TRUE,FALSE)</f>
        <v>1</v>
      </c>
      <c r="F108" s="82" t="b">
        <f t="shared" si="29"/>
        <v>1</v>
      </c>
      <c r="G108" s="82" t="b">
        <f t="shared" si="29"/>
        <v>1</v>
      </c>
      <c r="H108" s="82" t="b">
        <f t="shared" si="29"/>
        <v>1</v>
      </c>
      <c r="I108" s="82" t="b">
        <f t="shared" si="29"/>
        <v>1</v>
      </c>
      <c r="J108" s="82" t="b">
        <f t="shared" si="29"/>
        <v>1</v>
      </c>
      <c r="K108" s="82"/>
    </row>
    <row r="109" spans="1:12" s="8" customFormat="1" ht="9" customHeight="1" x14ac:dyDescent="0.45">
      <c r="A109" s="6"/>
      <c r="B109" s="6"/>
      <c r="C109" s="6"/>
      <c r="D109" s="6"/>
      <c r="E109" s="6"/>
      <c r="F109" s="220"/>
      <c r="G109" s="6"/>
      <c r="H109" s="6"/>
      <c r="I109" s="6"/>
      <c r="J109" s="6"/>
      <c r="K109" s="6"/>
      <c r="L109" s="221"/>
    </row>
    <row r="110" spans="1:12" s="8" customFormat="1" ht="9" customHeight="1" x14ac:dyDescent="0.45"/>
    <row r="111" spans="1:12" ht="15.75" x14ac:dyDescent="0.5">
      <c r="A111" s="12" t="s">
        <v>233</v>
      </c>
      <c r="D111" s="42" t="str">
        <f>D$48</f>
        <v>2019/20</v>
      </c>
      <c r="E111" s="42" t="str">
        <f>E$48</f>
        <v>2020/21</v>
      </c>
      <c r="F111" s="42" t="str">
        <f t="shared" ref="F111:J111" si="30">F$48</f>
        <v>2021/22</v>
      </c>
      <c r="G111" s="42" t="str">
        <f t="shared" si="30"/>
        <v>2022/23</v>
      </c>
      <c r="H111" s="42" t="str">
        <f t="shared" si="30"/>
        <v>2023/24</v>
      </c>
      <c r="I111" s="42" t="str">
        <f t="shared" si="30"/>
        <v>2024/25</v>
      </c>
      <c r="J111" s="42" t="str">
        <f t="shared" si="30"/>
        <v>2025/26</v>
      </c>
    </row>
    <row r="112" spans="1:12" ht="9" customHeight="1" x14ac:dyDescent="0.45"/>
    <row r="113" spans="2:10" s="39" customFormat="1" ht="13.15" x14ac:dyDescent="0.4">
      <c r="B113" s="39" t="str">
        <f>'LDD forecasts'!$A$142</f>
        <v>Assets pre 31/3/2018</v>
      </c>
      <c r="C113" s="39" t="str">
        <f>A83</f>
        <v>Total CCA Costs</v>
      </c>
      <c r="D113" s="71">
        <f>D84</f>
        <v>206.87591050796783</v>
      </c>
      <c r="E113" s="71">
        <f t="shared" ref="E113:J113" si="31">E84</f>
        <v>285.39183323645983</v>
      </c>
      <c r="F113" s="71">
        <f t="shared" si="31"/>
        <v>275.02068905119546</v>
      </c>
      <c r="G113" s="71">
        <f t="shared" si="31"/>
        <v>258.70273182297296</v>
      </c>
      <c r="H113" s="71">
        <f t="shared" si="31"/>
        <v>230.01568029764019</v>
      </c>
      <c r="I113" s="71">
        <f t="shared" si="31"/>
        <v>226.77910745697883</v>
      </c>
      <c r="J113" s="71">
        <f t="shared" si="31"/>
        <v>236.39348511802535</v>
      </c>
    </row>
    <row r="114" spans="2:10" s="39" customFormat="1" ht="9" customHeight="1" x14ac:dyDescent="0.4">
      <c r="D114" s="71"/>
      <c r="E114" s="71"/>
      <c r="F114" s="71"/>
      <c r="G114" s="71"/>
      <c r="H114" s="71"/>
      <c r="I114" s="71"/>
      <c r="J114" s="71"/>
    </row>
    <row r="115" spans="2:10" s="39" customFormat="1" ht="13.15" x14ac:dyDescent="0.4">
      <c r="C115" s="80" t="str">
        <f t="shared" ref="C115:C121" si="32">B31</f>
        <v>Lead-in duct</v>
      </c>
      <c r="D115" s="71">
        <f>$D31*D$113</f>
        <v>19.347540099316287</v>
      </c>
      <c r="E115" s="71">
        <f t="shared" ref="D115:J120" si="33">$D31*E$113</f>
        <v>26.690540836784031</v>
      </c>
      <c r="F115" s="71">
        <f t="shared" si="33"/>
        <v>25.720606118394162</v>
      </c>
      <c r="G115" s="71">
        <f t="shared" si="33"/>
        <v>24.194510929076298</v>
      </c>
      <c r="H115" s="71">
        <f t="shared" si="33"/>
        <v>21.51162785025523</v>
      </c>
      <c r="I115" s="71">
        <f t="shared" si="33"/>
        <v>21.208935658277461</v>
      </c>
      <c r="J115" s="71">
        <f t="shared" si="33"/>
        <v>22.108095724185201</v>
      </c>
    </row>
    <row r="116" spans="2:10" s="39" customFormat="1" ht="13.15" x14ac:dyDescent="0.4">
      <c r="C116" s="80" t="str">
        <f t="shared" si="32"/>
        <v>Spine duct – single bore</v>
      </c>
      <c r="D116" s="71">
        <f t="shared" si="33"/>
        <v>75.783959499808418</v>
      </c>
      <c r="E116" s="71">
        <f t="shared" si="33"/>
        <v>104.54635862852163</v>
      </c>
      <c r="F116" s="71">
        <f t="shared" si="33"/>
        <v>100.74714213698876</v>
      </c>
      <c r="G116" s="71">
        <f t="shared" si="33"/>
        <v>94.769455287578666</v>
      </c>
      <c r="H116" s="71">
        <f t="shared" si="33"/>
        <v>84.260651504544654</v>
      </c>
      <c r="I116" s="71">
        <f t="shared" si="33"/>
        <v>83.075011743624245</v>
      </c>
      <c r="J116" s="71">
        <f t="shared" si="33"/>
        <v>86.597005220252598</v>
      </c>
    </row>
    <row r="117" spans="2:10" s="39" customFormat="1" ht="13.15" x14ac:dyDescent="0.4">
      <c r="C117" s="80" t="str">
        <f t="shared" si="32"/>
        <v>Spine duct – 2 bores</v>
      </c>
      <c r="D117" s="71">
        <f t="shared" si="33"/>
        <v>19.977432369782608</v>
      </c>
      <c r="E117" s="71">
        <f t="shared" si="33"/>
        <v>27.559497059712339</v>
      </c>
      <c r="F117" s="71">
        <f t="shared" si="33"/>
        <v>26.557984457062535</v>
      </c>
      <c r="G117" s="71">
        <f t="shared" si="33"/>
        <v>24.982204627794957</v>
      </c>
      <c r="H117" s="71">
        <f t="shared" si="33"/>
        <v>22.21197570008357</v>
      </c>
      <c r="I117" s="71">
        <f t="shared" si="33"/>
        <v>21.899428845906961</v>
      </c>
      <c r="J117" s="71">
        <f t="shared" si="33"/>
        <v>22.827862606171703</v>
      </c>
    </row>
    <row r="118" spans="2:10" s="39" customFormat="1" ht="13.15" x14ac:dyDescent="0.4">
      <c r="C118" s="80" t="str">
        <f t="shared" si="32"/>
        <v>Spine duct – 3+ bores</v>
      </c>
      <c r="D118" s="71">
        <f t="shared" si="33"/>
        <v>31.630065794272529</v>
      </c>
      <c r="E118" s="71">
        <f t="shared" si="33"/>
        <v>43.634671819702298</v>
      </c>
      <c r="F118" s="71">
        <f t="shared" si="33"/>
        <v>42.048987086587054</v>
      </c>
      <c r="G118" s="71">
        <f t="shared" si="33"/>
        <v>39.554070885423442</v>
      </c>
      <c r="H118" s="71">
        <f t="shared" si="33"/>
        <v>35.167995556681802</v>
      </c>
      <c r="I118" s="71">
        <f t="shared" si="33"/>
        <v>34.673143296470812</v>
      </c>
      <c r="J118" s="71">
        <f t="shared" si="33"/>
        <v>36.143123040575297</v>
      </c>
    </row>
    <row r="119" spans="2:10" s="39" customFormat="1" ht="13.15" x14ac:dyDescent="0.4">
      <c r="C119" s="80" t="str">
        <f t="shared" si="32"/>
        <v>Joint boxes</v>
      </c>
      <c r="D119" s="71">
        <f t="shared" si="33"/>
        <v>35.990937940369413</v>
      </c>
      <c r="E119" s="71">
        <f t="shared" si="33"/>
        <v>49.650632272654455</v>
      </c>
      <c r="F119" s="71">
        <f t="shared" si="33"/>
        <v>47.846327432008948</v>
      </c>
      <c r="G119" s="71">
        <f t="shared" si="33"/>
        <v>45.007434375429803</v>
      </c>
      <c r="H119" s="71">
        <f t="shared" si="33"/>
        <v>40.016645991198544</v>
      </c>
      <c r="I119" s="71">
        <f t="shared" si="33"/>
        <v>39.453567902687887</v>
      </c>
      <c r="J119" s="71">
        <f t="shared" si="33"/>
        <v>41.126215379546593</v>
      </c>
    </row>
    <row r="120" spans="2:10" s="39" customFormat="1" ht="13.15" x14ac:dyDescent="0.4">
      <c r="C120" s="81" t="str">
        <f t="shared" si="32"/>
        <v>Manholes</v>
      </c>
      <c r="D120" s="425">
        <f t="shared" si="33"/>
        <v>24.145974804418575</v>
      </c>
      <c r="E120" s="425">
        <f t="shared" si="33"/>
        <v>33.310132619085088</v>
      </c>
      <c r="F120" s="425">
        <f t="shared" si="33"/>
        <v>32.099641820154005</v>
      </c>
      <c r="G120" s="425">
        <f t="shared" si="33"/>
        <v>30.195055717669803</v>
      </c>
      <c r="H120" s="425">
        <f t="shared" si="33"/>
        <v>26.84678369487639</v>
      </c>
      <c r="I120" s="425">
        <f t="shared" si="33"/>
        <v>26.469020010011473</v>
      </c>
      <c r="J120" s="425">
        <f t="shared" si="33"/>
        <v>27.591183147293968</v>
      </c>
    </row>
    <row r="121" spans="2:10" s="39" customFormat="1" ht="13.15" x14ac:dyDescent="0.4">
      <c r="C121" s="80" t="str">
        <f t="shared" si="32"/>
        <v>Total</v>
      </c>
      <c r="D121" s="71">
        <f>SUM(D115:D120)</f>
        <v>206.87591050796783</v>
      </c>
      <c r="E121" s="71">
        <f t="shared" ref="E121:J121" si="34">SUM(E115:E120)</f>
        <v>285.39183323645983</v>
      </c>
      <c r="F121" s="71">
        <f t="shared" si="34"/>
        <v>275.02068905119552</v>
      </c>
      <c r="G121" s="71">
        <f t="shared" si="34"/>
        <v>258.70273182297296</v>
      </c>
      <c r="H121" s="71">
        <f t="shared" si="34"/>
        <v>230.01568029764019</v>
      </c>
      <c r="I121" s="71">
        <f t="shared" si="34"/>
        <v>226.77910745697883</v>
      </c>
      <c r="J121" s="71">
        <f t="shared" si="34"/>
        <v>236.39348511802535</v>
      </c>
    </row>
    <row r="122" spans="2:10" s="39" customFormat="1" ht="13.15" x14ac:dyDescent="0.4">
      <c r="D122" s="426" t="b">
        <f>IF(ABS(D121-D113)&lt;0.000001,TRUE,FALSE)</f>
        <v>1</v>
      </c>
      <c r="E122" s="426" t="b">
        <f t="shared" ref="E122:J122" si="35">IF(ABS(E121-E113)&lt;0.000001,TRUE,FALSE)</f>
        <v>1</v>
      </c>
      <c r="F122" s="426" t="b">
        <f t="shared" si="35"/>
        <v>1</v>
      </c>
      <c r="G122" s="426" t="b">
        <f t="shared" si="35"/>
        <v>1</v>
      </c>
      <c r="H122" s="426" t="b">
        <f t="shared" si="35"/>
        <v>1</v>
      </c>
      <c r="I122" s="426" t="b">
        <f t="shared" si="35"/>
        <v>1</v>
      </c>
      <c r="J122" s="426" t="b">
        <f t="shared" si="35"/>
        <v>1</v>
      </c>
    </row>
    <row r="123" spans="2:10" s="39" customFormat="1" ht="9" customHeight="1" x14ac:dyDescent="0.4">
      <c r="D123" s="71"/>
      <c r="E123" s="71"/>
      <c r="F123" s="71"/>
      <c r="G123" s="71"/>
      <c r="H123" s="71"/>
      <c r="I123" s="71"/>
      <c r="J123" s="71"/>
    </row>
    <row r="124" spans="2:10" s="39" customFormat="1" ht="13.15" x14ac:dyDescent="0.4">
      <c r="C124" s="39" t="str">
        <f>A105</f>
        <v>Total MCE</v>
      </c>
      <c r="D124" s="71">
        <f>D106</f>
        <v>4248.6733053974658</v>
      </c>
      <c r="E124" s="71">
        <f t="shared" ref="E124:J124" si="36">E106</f>
        <v>4080.2177635372364</v>
      </c>
      <c r="F124" s="71">
        <f t="shared" si="36"/>
        <v>3875.551017856933</v>
      </c>
      <c r="G124" s="71">
        <f t="shared" si="36"/>
        <v>3682.329045307019</v>
      </c>
      <c r="H124" s="71">
        <f t="shared" si="36"/>
        <v>3508.2833260869838</v>
      </c>
      <c r="I124" s="71">
        <f t="shared" si="36"/>
        <v>3347.0542360372833</v>
      </c>
      <c r="J124" s="71">
        <f t="shared" si="36"/>
        <v>3180.1737557458905</v>
      </c>
    </row>
    <row r="125" spans="2:10" s="39" customFormat="1" ht="9" customHeight="1" x14ac:dyDescent="0.4">
      <c r="D125" s="71"/>
      <c r="E125" s="71"/>
      <c r="F125" s="71"/>
      <c r="G125" s="71"/>
      <c r="H125" s="71"/>
      <c r="I125" s="71"/>
      <c r="J125" s="71"/>
    </row>
    <row r="126" spans="2:10" s="39" customFormat="1" ht="13.15" x14ac:dyDescent="0.4">
      <c r="C126" s="80" t="str">
        <f t="shared" ref="C126:C132" si="37">B31</f>
        <v>Lead-in duct</v>
      </c>
      <c r="D126" s="71">
        <f>$D31*D$124</f>
        <v>397.34629780351423</v>
      </c>
      <c r="E126" s="71">
        <f t="shared" ref="D126:J131" si="38">$D31*E$124</f>
        <v>381.59192435766391</v>
      </c>
      <c r="F126" s="71">
        <f t="shared" si="38"/>
        <v>362.45099074522318</v>
      </c>
      <c r="G126" s="71">
        <f t="shared" si="38"/>
        <v>344.38040025066454</v>
      </c>
      <c r="H126" s="71">
        <f t="shared" si="38"/>
        <v>328.10321977346109</v>
      </c>
      <c r="I126" s="71">
        <f t="shared" si="38"/>
        <v>313.02468173946073</v>
      </c>
      <c r="J126" s="71">
        <f t="shared" si="38"/>
        <v>297.41761189598304</v>
      </c>
    </row>
    <row r="127" spans="2:10" s="39" customFormat="1" ht="13.15" x14ac:dyDescent="0.4">
      <c r="C127" s="80" t="str">
        <f t="shared" si="37"/>
        <v>Spine duct – single bore</v>
      </c>
      <c r="D127" s="71">
        <f t="shared" si="38"/>
        <v>1556.39815633226</v>
      </c>
      <c r="E127" s="71">
        <f t="shared" si="38"/>
        <v>1494.6885646716967</v>
      </c>
      <c r="F127" s="71">
        <f t="shared" si="38"/>
        <v>1419.713878989304</v>
      </c>
      <c r="G127" s="71">
        <f t="shared" si="38"/>
        <v>1348.9317076565435</v>
      </c>
      <c r="H127" s="71">
        <f t="shared" si="38"/>
        <v>1285.1742904488106</v>
      </c>
      <c r="I127" s="71">
        <f t="shared" si="38"/>
        <v>1226.1119336934216</v>
      </c>
      <c r="J127" s="71">
        <f t="shared" si="38"/>
        <v>1164.9793275400127</v>
      </c>
    </row>
    <row r="128" spans="2:10" s="39" customFormat="1" ht="13.15" x14ac:dyDescent="0.4">
      <c r="C128" s="80" t="str">
        <f t="shared" si="37"/>
        <v>Spine duct – 2 bores</v>
      </c>
      <c r="D128" s="71">
        <f t="shared" si="38"/>
        <v>410.28258636526721</v>
      </c>
      <c r="E128" s="71">
        <f t="shared" si="38"/>
        <v>394.01530233705648</v>
      </c>
      <c r="F128" s="71">
        <f t="shared" si="38"/>
        <v>374.25120288182154</v>
      </c>
      <c r="G128" s="71">
        <f t="shared" si="38"/>
        <v>355.59229339596709</v>
      </c>
      <c r="H128" s="71">
        <f t="shared" si="38"/>
        <v>338.78518145900472</v>
      </c>
      <c r="I128" s="71">
        <f t="shared" si="38"/>
        <v>323.21573582079242</v>
      </c>
      <c r="J128" s="71">
        <f t="shared" si="38"/>
        <v>307.10055111575764</v>
      </c>
    </row>
    <row r="129" spans="2:10" s="39" customFormat="1" ht="13.15" x14ac:dyDescent="0.4">
      <c r="C129" s="80" t="str">
        <f t="shared" si="37"/>
        <v>Spine duct – 3+ bores</v>
      </c>
      <c r="D129" s="71">
        <f t="shared" si="38"/>
        <v>649.59625244967958</v>
      </c>
      <c r="E129" s="71">
        <f t="shared" si="38"/>
        <v>623.840426846951</v>
      </c>
      <c r="F129" s="71">
        <f t="shared" si="38"/>
        <v>592.54812888982224</v>
      </c>
      <c r="G129" s="71">
        <f t="shared" si="38"/>
        <v>563.00566698767875</v>
      </c>
      <c r="H129" s="71">
        <f t="shared" si="38"/>
        <v>536.3951373391377</v>
      </c>
      <c r="I129" s="71">
        <f t="shared" si="38"/>
        <v>511.74419217253597</v>
      </c>
      <c r="J129" s="71">
        <f t="shared" si="38"/>
        <v>486.22918388357789</v>
      </c>
    </row>
    <row r="130" spans="2:10" s="39" customFormat="1" ht="13.15" x14ac:dyDescent="0.4">
      <c r="C130" s="80" t="str">
        <f t="shared" si="37"/>
        <v>Joint boxes</v>
      </c>
      <c r="D130" s="71">
        <f t="shared" si="38"/>
        <v>739.15680606792978</v>
      </c>
      <c r="E130" s="71">
        <f t="shared" si="38"/>
        <v>709.84999630977131</v>
      </c>
      <c r="F130" s="71">
        <f t="shared" si="38"/>
        <v>674.24339463174044</v>
      </c>
      <c r="G130" s="71">
        <f t="shared" si="38"/>
        <v>640.62788084048213</v>
      </c>
      <c r="H130" s="71">
        <f t="shared" si="38"/>
        <v>610.34852804462344</v>
      </c>
      <c r="I130" s="71">
        <f t="shared" si="38"/>
        <v>582.29892981004548</v>
      </c>
      <c r="J130" s="71">
        <f t="shared" si="38"/>
        <v>553.26613911499146</v>
      </c>
    </row>
    <row r="131" spans="2:10" s="39" customFormat="1" ht="13.15" x14ac:dyDescent="0.4">
      <c r="C131" s="81" t="str">
        <f t="shared" si="37"/>
        <v>Manholes</v>
      </c>
      <c r="D131" s="425">
        <f t="shared" si="38"/>
        <v>495.89320637881519</v>
      </c>
      <c r="E131" s="425">
        <f t="shared" si="38"/>
        <v>476.23154901409691</v>
      </c>
      <c r="F131" s="425">
        <f t="shared" si="38"/>
        <v>452.34342171902159</v>
      </c>
      <c r="G131" s="425">
        <f t="shared" si="38"/>
        <v>429.79109617568298</v>
      </c>
      <c r="H131" s="425">
        <f t="shared" si="38"/>
        <v>409.47696902194645</v>
      </c>
      <c r="I131" s="425">
        <f t="shared" si="38"/>
        <v>390.65876280102702</v>
      </c>
      <c r="J131" s="425">
        <f t="shared" si="38"/>
        <v>371.18094219556781</v>
      </c>
    </row>
    <row r="132" spans="2:10" s="39" customFormat="1" ht="13.15" x14ac:dyDescent="0.4">
      <c r="C132" s="80" t="str">
        <f t="shared" si="37"/>
        <v>Total</v>
      </c>
      <c r="D132" s="71">
        <f>SUM(D126:D131)</f>
        <v>4248.6733053974658</v>
      </c>
      <c r="E132" s="71">
        <f t="shared" ref="E132:J132" si="39">SUM(E126:E131)</f>
        <v>4080.2177635372359</v>
      </c>
      <c r="F132" s="71">
        <f t="shared" si="39"/>
        <v>3875.551017856933</v>
      </c>
      <c r="G132" s="71">
        <f t="shared" si="39"/>
        <v>3682.329045307019</v>
      </c>
      <c r="H132" s="71">
        <f t="shared" si="39"/>
        <v>3508.2833260869838</v>
      </c>
      <c r="I132" s="71">
        <f t="shared" si="39"/>
        <v>3347.0542360372833</v>
      </c>
      <c r="J132" s="71">
        <f t="shared" si="39"/>
        <v>3180.17375574589</v>
      </c>
    </row>
    <row r="133" spans="2:10" s="39" customFormat="1" ht="13.15" x14ac:dyDescent="0.4">
      <c r="D133" s="426" t="b">
        <f>IF(ABS(D132-D124)&lt;0.000001,TRUE,FALSE)</f>
        <v>1</v>
      </c>
      <c r="E133" s="426" t="b">
        <f t="shared" ref="E133:J133" si="40">IF(ABS(E132-E124)&lt;0.000001,TRUE,FALSE)</f>
        <v>1</v>
      </c>
      <c r="F133" s="426" t="b">
        <f t="shared" si="40"/>
        <v>1</v>
      </c>
      <c r="G133" s="426" t="b">
        <f t="shared" si="40"/>
        <v>1</v>
      </c>
      <c r="H133" s="426" t="b">
        <f t="shared" si="40"/>
        <v>1</v>
      </c>
      <c r="I133" s="426" t="b">
        <f t="shared" si="40"/>
        <v>1</v>
      </c>
      <c r="J133" s="426" t="b">
        <f t="shared" si="40"/>
        <v>1</v>
      </c>
    </row>
    <row r="134" spans="2:10" s="39" customFormat="1" ht="13.15" x14ac:dyDescent="0.4">
      <c r="D134" s="71"/>
      <c r="E134" s="71"/>
      <c r="F134" s="71"/>
      <c r="G134" s="71"/>
      <c r="H134" s="71"/>
      <c r="I134" s="71"/>
      <c r="J134" s="71"/>
    </row>
    <row r="135" spans="2:10" s="39" customFormat="1" ht="13.15" x14ac:dyDescent="0.4">
      <c r="B135" s="39" t="str">
        <f>'LDD forecasts'!$A$150</f>
        <v>Assets post 31/3/2018</v>
      </c>
      <c r="C135" s="39" t="str">
        <f>A83</f>
        <v>Total CCA Costs</v>
      </c>
      <c r="D135" s="71">
        <f>D85</f>
        <v>2.1542043888493971</v>
      </c>
      <c r="E135" s="71">
        <f t="shared" ref="E135:J135" si="41">E85</f>
        <v>18.254977841072463</v>
      </c>
      <c r="F135" s="71">
        <f t="shared" si="41"/>
        <v>22.700326181389297</v>
      </c>
      <c r="G135" s="71">
        <f t="shared" si="41"/>
        <v>25.459698080761967</v>
      </c>
      <c r="H135" s="71">
        <f t="shared" si="41"/>
        <v>16.6578339527154</v>
      </c>
      <c r="I135" s="71">
        <f t="shared" si="41"/>
        <v>14.516690488363166</v>
      </c>
      <c r="J135" s="71">
        <f t="shared" si="41"/>
        <v>17.974879266989838</v>
      </c>
    </row>
    <row r="136" spans="2:10" s="39" customFormat="1" ht="9" customHeight="1" x14ac:dyDescent="0.4">
      <c r="D136" s="71"/>
      <c r="E136" s="71"/>
      <c r="F136" s="71"/>
      <c r="G136" s="71"/>
      <c r="H136" s="71"/>
      <c r="I136" s="71"/>
      <c r="J136" s="71"/>
    </row>
    <row r="137" spans="2:10" s="39" customFormat="1" ht="13.15" x14ac:dyDescent="0.4">
      <c r="C137" s="80" t="str">
        <f t="shared" ref="C137:C143" si="42">B31</f>
        <v>Lead-in duct</v>
      </c>
      <c r="D137" s="71">
        <f>D39*D$135</f>
        <v>0.21902882889224906</v>
      </c>
      <c r="E137" s="71">
        <f t="shared" ref="D137:J142" si="43">E39*E$135</f>
        <v>1.8613729496927092</v>
      </c>
      <c r="F137" s="71">
        <f t="shared" si="43"/>
        <v>2.3225946346409732</v>
      </c>
      <c r="G137" s="71">
        <f t="shared" si="43"/>
        <v>2.6157789224298313</v>
      </c>
      <c r="H137" s="71">
        <f t="shared" si="43"/>
        <v>1.720482671953341</v>
      </c>
      <c r="I137" s="71">
        <f t="shared" si="43"/>
        <v>1.5069061126942829</v>
      </c>
      <c r="J137" s="71">
        <f t="shared" si="43"/>
        <v>1.8727592490324998</v>
      </c>
    </row>
    <row r="138" spans="2:10" s="39" customFormat="1" ht="13.15" x14ac:dyDescent="0.4">
      <c r="C138" s="80" t="str">
        <f t="shared" si="42"/>
        <v>Spine duct – single bore</v>
      </c>
      <c r="D138" s="71">
        <f t="shared" si="43"/>
        <v>0.8645322115342543</v>
      </c>
      <c r="E138" s="71">
        <f t="shared" si="43"/>
        <v>7.3470550923665305</v>
      </c>
      <c r="F138" s="71">
        <f t="shared" si="43"/>
        <v>9.1675506194281233</v>
      </c>
      <c r="G138" s="71">
        <f t="shared" si="43"/>
        <v>10.324783034864584</v>
      </c>
      <c r="H138" s="71">
        <f t="shared" si="43"/>
        <v>6.7909448122097009</v>
      </c>
      <c r="I138" s="71">
        <f t="shared" si="43"/>
        <v>5.9479333417929672</v>
      </c>
      <c r="J138" s="71">
        <f t="shared" si="43"/>
        <v>7.3919981375318926</v>
      </c>
    </row>
    <row r="139" spans="2:10" s="39" customFormat="1" ht="13.15" x14ac:dyDescent="0.4">
      <c r="C139" s="80" t="str">
        <f t="shared" si="42"/>
        <v>Spine duct – 2 bores</v>
      </c>
      <c r="D139" s="71">
        <f t="shared" si="43"/>
        <v>0.25579234041426296</v>
      </c>
      <c r="E139" s="71">
        <f t="shared" si="43"/>
        <v>2.1599947188065642</v>
      </c>
      <c r="F139" s="71">
        <f t="shared" si="43"/>
        <v>2.6724435513438718</v>
      </c>
      <c r="G139" s="71">
        <f t="shared" si="43"/>
        <v>2.9785669766796241</v>
      </c>
      <c r="H139" s="71">
        <f t="shared" si="43"/>
        <v>1.9338603924709621</v>
      </c>
      <c r="I139" s="71">
        <f t="shared" si="43"/>
        <v>1.6721882389125249</v>
      </c>
      <c r="J139" s="71">
        <f t="shared" si="43"/>
        <v>2.0580335871809736</v>
      </c>
    </row>
    <row r="140" spans="2:10" s="39" customFormat="1" ht="13.15" x14ac:dyDescent="0.4">
      <c r="C140" s="80" t="str">
        <f t="shared" si="42"/>
        <v>Spine duct – 3+ bores</v>
      </c>
      <c r="D140" s="71">
        <f t="shared" si="43"/>
        <v>0.25310623684767769</v>
      </c>
      <c r="E140" s="71">
        <f t="shared" si="43"/>
        <v>2.1361811941160243</v>
      </c>
      <c r="F140" s="71">
        <f t="shared" si="43"/>
        <v>2.6419112086625658</v>
      </c>
      <c r="G140" s="71">
        <f t="shared" si="43"/>
        <v>2.9428924970740438</v>
      </c>
      <c r="H140" s="71">
        <f t="shared" si="43"/>
        <v>1.9098220158583583</v>
      </c>
      <c r="I140" s="71">
        <f t="shared" si="43"/>
        <v>1.6502526312938905</v>
      </c>
      <c r="J140" s="71">
        <f t="shared" si="43"/>
        <v>2.0297724014137444</v>
      </c>
    </row>
    <row r="141" spans="2:10" s="39" customFormat="1" ht="13.15" x14ac:dyDescent="0.4">
      <c r="C141" s="80" t="str">
        <f t="shared" si="42"/>
        <v>Joint boxes</v>
      </c>
      <c r="D141" s="71">
        <f t="shared" si="43"/>
        <v>0.35193255420860192</v>
      </c>
      <c r="E141" s="71">
        <f t="shared" si="43"/>
        <v>2.9795558585813753</v>
      </c>
      <c r="F141" s="71">
        <f t="shared" si="43"/>
        <v>3.705873949320142</v>
      </c>
      <c r="G141" s="71">
        <f t="shared" si="43"/>
        <v>4.1582401946597116</v>
      </c>
      <c r="H141" s="71">
        <f t="shared" si="43"/>
        <v>2.7196392858279879</v>
      </c>
      <c r="I141" s="71">
        <f t="shared" si="43"/>
        <v>2.3714863759874754</v>
      </c>
      <c r="J141" s="71">
        <f t="shared" si="43"/>
        <v>2.9397914464917152</v>
      </c>
    </row>
    <row r="142" spans="2:10" s="39" customFormat="1" ht="13.15" x14ac:dyDescent="0.4">
      <c r="C142" s="81" t="str">
        <f t="shared" si="42"/>
        <v>Manholes</v>
      </c>
      <c r="D142" s="425">
        <f t="shared" si="43"/>
        <v>0.20981221695235125</v>
      </c>
      <c r="E142" s="425">
        <f t="shared" si="43"/>
        <v>1.7708180275092598</v>
      </c>
      <c r="F142" s="425">
        <f t="shared" si="43"/>
        <v>2.1899522179936168</v>
      </c>
      <c r="G142" s="425">
        <f t="shared" si="43"/>
        <v>2.4394364550541763</v>
      </c>
      <c r="H142" s="425">
        <f t="shared" si="43"/>
        <v>1.5830847743950511</v>
      </c>
      <c r="I142" s="425">
        <f t="shared" si="43"/>
        <v>1.3679237876820247</v>
      </c>
      <c r="J142" s="425">
        <f t="shared" si="43"/>
        <v>1.6825244453390129</v>
      </c>
    </row>
    <row r="143" spans="2:10" s="39" customFormat="1" ht="13.15" x14ac:dyDescent="0.4">
      <c r="C143" s="80" t="str">
        <f t="shared" si="42"/>
        <v>Total</v>
      </c>
      <c r="D143" s="71">
        <f>SUM(D137:D142)</f>
        <v>2.1542043888493971</v>
      </c>
      <c r="E143" s="71">
        <f t="shared" ref="E143:J143" si="44">SUM(E137:E142)</f>
        <v>18.254977841072463</v>
      </c>
      <c r="F143" s="71">
        <f t="shared" si="44"/>
        <v>22.700326181389293</v>
      </c>
      <c r="G143" s="71">
        <f t="shared" si="44"/>
        <v>25.459698080761974</v>
      </c>
      <c r="H143" s="71">
        <f t="shared" si="44"/>
        <v>16.6578339527154</v>
      </c>
      <c r="I143" s="71">
        <f t="shared" si="44"/>
        <v>14.516690488363164</v>
      </c>
      <c r="J143" s="71">
        <f t="shared" si="44"/>
        <v>17.974879266989838</v>
      </c>
    </row>
    <row r="144" spans="2:10" s="39" customFormat="1" ht="13.15" x14ac:dyDescent="0.4">
      <c r="D144" s="426" t="b">
        <f>IF(ABS(D143-D135)&lt;0.000001,TRUE,FALSE)</f>
        <v>1</v>
      </c>
      <c r="E144" s="426" t="b">
        <f t="shared" ref="E144:J144" si="45">IF(ABS(E143-E135)&lt;0.000001,TRUE,FALSE)</f>
        <v>1</v>
      </c>
      <c r="F144" s="426" t="b">
        <f t="shared" si="45"/>
        <v>1</v>
      </c>
      <c r="G144" s="426" t="b">
        <f t="shared" si="45"/>
        <v>1</v>
      </c>
      <c r="H144" s="426" t="b">
        <f t="shared" si="45"/>
        <v>1</v>
      </c>
      <c r="I144" s="426" t="b">
        <f t="shared" si="45"/>
        <v>1</v>
      </c>
      <c r="J144" s="426" t="b">
        <f t="shared" si="45"/>
        <v>1</v>
      </c>
    </row>
    <row r="145" spans="1:12" s="39" customFormat="1" ht="9" customHeight="1" x14ac:dyDescent="0.4">
      <c r="D145" s="71"/>
      <c r="E145" s="71"/>
      <c r="F145" s="71"/>
      <c r="G145" s="71"/>
      <c r="H145" s="71"/>
      <c r="I145" s="71"/>
      <c r="J145" s="71"/>
    </row>
    <row r="146" spans="1:12" s="39" customFormat="1" ht="13.15" x14ac:dyDescent="0.4">
      <c r="C146" s="39" t="str">
        <f>A105</f>
        <v>Total MCE</v>
      </c>
      <c r="D146" s="71">
        <f>D107</f>
        <v>448.21967386531003</v>
      </c>
      <c r="E146" s="71">
        <f t="shared" ref="E146:J146" si="46">E107</f>
        <v>685.4400437290567</v>
      </c>
      <c r="F146" s="71">
        <f t="shared" si="46"/>
        <v>943.34555230318438</v>
      </c>
      <c r="G146" s="71">
        <f t="shared" si="46"/>
        <v>1306.2522464276938</v>
      </c>
      <c r="H146" s="71">
        <f t="shared" si="46"/>
        <v>1682.9152017738068</v>
      </c>
      <c r="I146" s="71">
        <f t="shared" si="46"/>
        <v>2060.6211935852966</v>
      </c>
      <c r="J146" s="71">
        <f t="shared" si="46"/>
        <v>2507.4576769729197</v>
      </c>
    </row>
    <row r="147" spans="1:12" s="39" customFormat="1" ht="9" customHeight="1" x14ac:dyDescent="0.4">
      <c r="D147" s="71"/>
      <c r="E147" s="71"/>
      <c r="F147" s="71"/>
      <c r="G147" s="71"/>
      <c r="H147" s="71"/>
      <c r="I147" s="71"/>
      <c r="J147" s="71"/>
    </row>
    <row r="148" spans="1:12" s="39" customFormat="1" ht="13.15" x14ac:dyDescent="0.4">
      <c r="C148" s="80" t="str">
        <f t="shared" ref="C148:C154" si="47">B31</f>
        <v>Lead-in duct</v>
      </c>
      <c r="D148" s="71">
        <f>D39*D$146</f>
        <v>45.572755659281157</v>
      </c>
      <c r="E148" s="71">
        <f t="shared" ref="D148:J153" si="48">E39*E$146</f>
        <v>69.891049287545897</v>
      </c>
      <c r="F148" s="71">
        <f t="shared" si="48"/>
        <v>96.518847389430263</v>
      </c>
      <c r="G148" s="71">
        <f t="shared" si="48"/>
        <v>134.20689761297899</v>
      </c>
      <c r="H148" s="71">
        <f t="shared" si="48"/>
        <v>173.81770350440493</v>
      </c>
      <c r="I148" s="71">
        <f t="shared" si="48"/>
        <v>213.9029329756824</v>
      </c>
      <c r="J148" s="71">
        <f t="shared" si="48"/>
        <v>261.245958115132</v>
      </c>
    </row>
    <row r="149" spans="1:12" s="39" customFormat="1" ht="13.15" x14ac:dyDescent="0.4">
      <c r="C149" s="80" t="str">
        <f t="shared" si="47"/>
        <v>Spine duct – single bore</v>
      </c>
      <c r="D149" s="71">
        <f t="shared" si="48"/>
        <v>179.88095647085291</v>
      </c>
      <c r="E149" s="71">
        <f t="shared" si="48"/>
        <v>275.86808418145114</v>
      </c>
      <c r="F149" s="71">
        <f t="shared" si="48"/>
        <v>380.97109412647836</v>
      </c>
      <c r="G149" s="71">
        <f t="shared" si="48"/>
        <v>529.73020302080374</v>
      </c>
      <c r="H149" s="71">
        <f t="shared" si="48"/>
        <v>686.07865172120398</v>
      </c>
      <c r="I149" s="71">
        <f t="shared" si="48"/>
        <v>844.29970536026656</v>
      </c>
      <c r="J149" s="71">
        <f t="shared" si="48"/>
        <v>1031.1681209543863</v>
      </c>
    </row>
    <row r="150" spans="1:12" s="39" customFormat="1" ht="13.15" x14ac:dyDescent="0.4">
      <c r="C150" s="80" t="str">
        <f t="shared" si="47"/>
        <v>Spine duct – 2 bores</v>
      </c>
      <c r="D150" s="71">
        <f t="shared" si="48"/>
        <v>53.222043363750991</v>
      </c>
      <c r="E150" s="71">
        <f t="shared" si="48"/>
        <v>81.103734411672249</v>
      </c>
      <c r="F150" s="71">
        <f t="shared" si="48"/>
        <v>111.05733537910233</v>
      </c>
      <c r="G150" s="71">
        <f t="shared" si="48"/>
        <v>152.82034343380789</v>
      </c>
      <c r="H150" s="71">
        <f t="shared" si="48"/>
        <v>195.37492460519582</v>
      </c>
      <c r="I150" s="71">
        <f t="shared" si="48"/>
        <v>237.36446868033684</v>
      </c>
      <c r="J150" s="71">
        <f t="shared" si="48"/>
        <v>287.0913368036903</v>
      </c>
    </row>
    <row r="151" spans="1:12" s="39" customFormat="1" ht="13.15" x14ac:dyDescent="0.4">
      <c r="C151" s="80" t="str">
        <f t="shared" si="47"/>
        <v>Spine duct – 3+ bores</v>
      </c>
      <c r="D151" s="71">
        <f t="shared" si="48"/>
        <v>52.663152818909808</v>
      </c>
      <c r="E151" s="71">
        <f t="shared" si="48"/>
        <v>80.209581400513741</v>
      </c>
      <c r="F151" s="71">
        <f t="shared" si="48"/>
        <v>109.78851882379573</v>
      </c>
      <c r="G151" s="71">
        <f t="shared" si="48"/>
        <v>150.99000479518355</v>
      </c>
      <c r="H151" s="71">
        <f t="shared" si="48"/>
        <v>192.94636459300287</v>
      </c>
      <c r="I151" s="71">
        <f t="shared" si="48"/>
        <v>234.25074396537079</v>
      </c>
      <c r="J151" s="71">
        <f t="shared" si="48"/>
        <v>283.14896110481504</v>
      </c>
    </row>
    <row r="152" spans="1:12" s="39" customFormat="1" ht="13.15" x14ac:dyDescent="0.4">
      <c r="C152" s="80" t="str">
        <f t="shared" si="47"/>
        <v>Joint boxes</v>
      </c>
      <c r="D152" s="71">
        <f t="shared" si="48"/>
        <v>73.225686237794164</v>
      </c>
      <c r="E152" s="71">
        <f t="shared" si="48"/>
        <v>111.87671197300129</v>
      </c>
      <c r="F152" s="71">
        <f t="shared" si="48"/>
        <v>154.00306055309011</v>
      </c>
      <c r="G152" s="71">
        <f t="shared" si="48"/>
        <v>213.34544416944698</v>
      </c>
      <c r="H152" s="71">
        <f t="shared" si="48"/>
        <v>274.76095094074907</v>
      </c>
      <c r="I152" s="71">
        <f t="shared" si="48"/>
        <v>336.62873025886131</v>
      </c>
      <c r="J152" s="71">
        <f t="shared" si="48"/>
        <v>410.0946950304288</v>
      </c>
    </row>
    <row r="153" spans="1:12" s="39" customFormat="1" ht="13.15" x14ac:dyDescent="0.4">
      <c r="C153" s="81" t="str">
        <f t="shared" si="47"/>
        <v>Manholes</v>
      </c>
      <c r="D153" s="425">
        <f t="shared" si="48"/>
        <v>43.655079314721014</v>
      </c>
      <c r="E153" s="425">
        <f t="shared" si="48"/>
        <v>66.490882474872393</v>
      </c>
      <c r="F153" s="425">
        <f t="shared" si="48"/>
        <v>91.006696031287461</v>
      </c>
      <c r="G153" s="425">
        <f t="shared" si="48"/>
        <v>125.15935339547281</v>
      </c>
      <c r="H153" s="425">
        <f t="shared" si="48"/>
        <v>159.93660640925029</v>
      </c>
      <c r="I153" s="425">
        <f t="shared" si="48"/>
        <v>194.17461234477869</v>
      </c>
      <c r="J153" s="425">
        <f t="shared" si="48"/>
        <v>234.7086049644673</v>
      </c>
    </row>
    <row r="154" spans="1:12" s="39" customFormat="1" ht="13.15" x14ac:dyDescent="0.4">
      <c r="C154" s="80" t="str">
        <f t="shared" si="47"/>
        <v>Total</v>
      </c>
      <c r="D154" s="71">
        <f>SUM(D148:D153)</f>
        <v>448.21967386531003</v>
      </c>
      <c r="E154" s="71">
        <f t="shared" ref="E154:J154" si="49">SUM(E148:E153)</f>
        <v>685.4400437290567</v>
      </c>
      <c r="F154" s="71">
        <f t="shared" si="49"/>
        <v>943.34555230318426</v>
      </c>
      <c r="G154" s="71">
        <f t="shared" si="49"/>
        <v>1306.252246427694</v>
      </c>
      <c r="H154" s="71">
        <f t="shared" si="49"/>
        <v>1682.9152017738072</v>
      </c>
      <c r="I154" s="71">
        <f t="shared" si="49"/>
        <v>2060.6211935852966</v>
      </c>
      <c r="J154" s="71">
        <f t="shared" si="49"/>
        <v>2507.4576769729197</v>
      </c>
    </row>
    <row r="155" spans="1:12" s="39" customFormat="1" ht="13.15" x14ac:dyDescent="0.4">
      <c r="D155" s="82" t="b">
        <f>IF(ABS(D154-D146)&lt;0.000001,TRUE,FALSE)</f>
        <v>1</v>
      </c>
      <c r="E155" s="82" t="b">
        <f t="shared" ref="E155:J155" si="50">IF(ABS(E154-E146)&lt;0.000001,TRUE,FALSE)</f>
        <v>1</v>
      </c>
      <c r="F155" s="82" t="b">
        <f t="shared" si="50"/>
        <v>1</v>
      </c>
      <c r="G155" s="82" t="b">
        <f t="shared" si="50"/>
        <v>1</v>
      </c>
      <c r="H155" s="82" t="b">
        <f t="shared" si="50"/>
        <v>1</v>
      </c>
      <c r="I155" s="82" t="b">
        <f t="shared" si="50"/>
        <v>1</v>
      </c>
      <c r="J155" s="82" t="b">
        <f t="shared" si="50"/>
        <v>1</v>
      </c>
    </row>
    <row r="156" spans="1:12" s="8" customFormat="1" ht="9" customHeight="1" thickBot="1" x14ac:dyDescent="0.5">
      <c r="A156" s="2"/>
      <c r="B156" s="2"/>
      <c r="C156" s="2"/>
      <c r="D156" s="2"/>
      <c r="E156" s="2"/>
      <c r="F156" s="2"/>
      <c r="G156" s="2"/>
      <c r="H156" s="2"/>
      <c r="I156" s="2"/>
      <c r="J156" s="2"/>
      <c r="K156" s="2"/>
      <c r="L156" s="2"/>
    </row>
    <row r="157" spans="1:12" s="8" customFormat="1" ht="9" customHeight="1" x14ac:dyDescent="0.45"/>
    <row r="158" spans="1:12" s="8" customFormat="1" ht="15.75" x14ac:dyDescent="0.5">
      <c r="A158" s="12" t="s">
        <v>235</v>
      </c>
      <c r="D158" s="42" t="str">
        <f>D$48</f>
        <v>2019/20</v>
      </c>
      <c r="E158" s="42" t="str">
        <f>E$48</f>
        <v>2020/21</v>
      </c>
      <c r="F158" s="42" t="str">
        <f t="shared" ref="F158:J158" si="51">F$48</f>
        <v>2021/22</v>
      </c>
      <c r="G158" s="42" t="str">
        <f t="shared" si="51"/>
        <v>2022/23</v>
      </c>
      <c r="H158" s="42" t="str">
        <f t="shared" si="51"/>
        <v>2023/24</v>
      </c>
      <c r="I158" s="42" t="str">
        <f t="shared" si="51"/>
        <v>2024/25</v>
      </c>
      <c r="J158" s="42" t="str">
        <f t="shared" si="51"/>
        <v>2025/26</v>
      </c>
    </row>
    <row r="159" spans="1:12" s="8" customFormat="1" x14ac:dyDescent="0.45"/>
    <row r="160" spans="1:12" x14ac:dyDescent="0.45">
      <c r="A160" s="199" t="s">
        <v>93</v>
      </c>
      <c r="B160" s="199" t="str">
        <f>C113</f>
        <v>Total CCA Costs</v>
      </c>
      <c r="C160" s="451" t="str">
        <f t="shared" ref="C160:C166" si="52">B31</f>
        <v>Lead-in duct</v>
      </c>
      <c r="D160" s="451">
        <f>D115+D137</f>
        <v>19.566568928208536</v>
      </c>
      <c r="E160" s="451">
        <f t="shared" ref="E160:J160" si="53">E115+E137</f>
        <v>28.551913786476739</v>
      </c>
      <c r="F160" s="451">
        <f t="shared" si="53"/>
        <v>28.043200753035137</v>
      </c>
      <c r="G160" s="451">
        <f t="shared" si="53"/>
        <v>26.810289851506131</v>
      </c>
      <c r="H160" s="451">
        <f t="shared" si="53"/>
        <v>23.232110522208572</v>
      </c>
      <c r="I160" s="451">
        <f t="shared" si="53"/>
        <v>22.715841770971743</v>
      </c>
      <c r="J160" s="451">
        <f t="shared" si="53"/>
        <v>23.980854973217703</v>
      </c>
    </row>
    <row r="161" spans="1:10" x14ac:dyDescent="0.45">
      <c r="A161" s="199"/>
      <c r="B161" s="199"/>
      <c r="C161" s="451" t="str">
        <f t="shared" si="52"/>
        <v>Spine duct – single bore</v>
      </c>
      <c r="D161" s="451">
        <f t="shared" ref="D161:J164" si="54">D116+D138</f>
        <v>76.648491711342672</v>
      </c>
      <c r="E161" s="451">
        <f t="shared" si="54"/>
        <v>111.89341372088816</v>
      </c>
      <c r="F161" s="451">
        <f t="shared" si="54"/>
        <v>109.91469275641688</v>
      </c>
      <c r="G161" s="451">
        <f t="shared" si="54"/>
        <v>105.09423832244325</v>
      </c>
      <c r="H161" s="451">
        <f t="shared" si="54"/>
        <v>91.051596316754356</v>
      </c>
      <c r="I161" s="451">
        <f t="shared" si="54"/>
        <v>89.022945085417206</v>
      </c>
      <c r="J161" s="451">
        <f t="shared" si="54"/>
        <v>93.989003357784497</v>
      </c>
    </row>
    <row r="162" spans="1:10" x14ac:dyDescent="0.45">
      <c r="A162" s="199"/>
      <c r="B162" s="199"/>
      <c r="C162" s="451" t="str">
        <f t="shared" si="52"/>
        <v>Spine duct – 2 bores</v>
      </c>
      <c r="D162" s="451">
        <f t="shared" si="54"/>
        <v>20.233224710196872</v>
      </c>
      <c r="E162" s="451">
        <f t="shared" si="54"/>
        <v>29.719491778518904</v>
      </c>
      <c r="F162" s="451">
        <f t="shared" si="54"/>
        <v>29.230428008406406</v>
      </c>
      <c r="G162" s="451">
        <f t="shared" si="54"/>
        <v>27.96077160447458</v>
      </c>
      <c r="H162" s="451">
        <f t="shared" si="54"/>
        <v>24.145836092554532</v>
      </c>
      <c r="I162" s="451">
        <f t="shared" si="54"/>
        <v>23.571617084819486</v>
      </c>
      <c r="J162" s="451">
        <f t="shared" si="54"/>
        <v>24.885896193352675</v>
      </c>
    </row>
    <row r="163" spans="1:10" x14ac:dyDescent="0.45">
      <c r="A163" s="199"/>
      <c r="B163" s="199"/>
      <c r="C163" s="451" t="str">
        <f t="shared" si="52"/>
        <v>Spine duct – 3+ bores</v>
      </c>
      <c r="D163" s="451">
        <f>D118+D140</f>
        <v>31.883172031120207</v>
      </c>
      <c r="E163" s="451">
        <f t="shared" si="54"/>
        <v>45.770853013818325</v>
      </c>
      <c r="F163" s="451">
        <f t="shared" si="54"/>
        <v>44.690898295249617</v>
      </c>
      <c r="G163" s="451">
        <f t="shared" si="54"/>
        <v>42.496963382497484</v>
      </c>
      <c r="H163" s="451">
        <f t="shared" si="54"/>
        <v>37.077817572540162</v>
      </c>
      <c r="I163" s="451">
        <f t="shared" si="54"/>
        <v>36.3233959277647</v>
      </c>
      <c r="J163" s="451">
        <f t="shared" si="54"/>
        <v>38.172895441989041</v>
      </c>
    </row>
    <row r="164" spans="1:10" x14ac:dyDescent="0.45">
      <c r="A164" s="199"/>
      <c r="B164" s="199"/>
      <c r="C164" s="451" t="str">
        <f t="shared" si="52"/>
        <v>Joint boxes</v>
      </c>
      <c r="D164" s="451">
        <f t="shared" si="54"/>
        <v>36.342870494578015</v>
      </c>
      <c r="E164" s="451">
        <f t="shared" si="54"/>
        <v>52.630188131235833</v>
      </c>
      <c r="F164" s="451">
        <f t="shared" si="54"/>
        <v>51.552201381329091</v>
      </c>
      <c r="G164" s="451">
        <f t="shared" si="54"/>
        <v>49.165674570089514</v>
      </c>
      <c r="H164" s="451">
        <f t="shared" si="54"/>
        <v>42.736285277026532</v>
      </c>
      <c r="I164" s="451">
        <f t="shared" si="54"/>
        <v>41.82505427867536</v>
      </c>
      <c r="J164" s="451">
        <f t="shared" si="54"/>
        <v>44.066006826038311</v>
      </c>
    </row>
    <row r="165" spans="1:10" x14ac:dyDescent="0.45">
      <c r="A165" s="199"/>
      <c r="B165" s="199"/>
      <c r="C165" s="451" t="str">
        <f t="shared" si="52"/>
        <v>Manholes</v>
      </c>
      <c r="D165" s="451">
        <f t="shared" ref="D165:J165" si="55">D120+D142</f>
        <v>24.355787021370926</v>
      </c>
      <c r="E165" s="451">
        <f t="shared" si="55"/>
        <v>35.080950646594346</v>
      </c>
      <c r="F165" s="451">
        <f t="shared" si="55"/>
        <v>34.289594038147619</v>
      </c>
      <c r="G165" s="451">
        <f t="shared" si="55"/>
        <v>32.634492172723981</v>
      </c>
      <c r="H165" s="451">
        <f t="shared" si="55"/>
        <v>28.42986846927144</v>
      </c>
      <c r="I165" s="451">
        <f t="shared" si="55"/>
        <v>27.836943797693497</v>
      </c>
      <c r="J165" s="451">
        <f t="shared" si="55"/>
        <v>29.273707592632981</v>
      </c>
    </row>
    <row r="166" spans="1:10" x14ac:dyDescent="0.45">
      <c r="A166" s="199"/>
      <c r="B166" s="199"/>
      <c r="C166" s="324" t="str">
        <f t="shared" si="52"/>
        <v>Total</v>
      </c>
      <c r="D166" s="71">
        <f>SUM(D160:D165)</f>
        <v>209.03011489681725</v>
      </c>
      <c r="E166" s="71">
        <f t="shared" ref="E166:J166" si="56">SUM(E160:E165)</f>
        <v>303.64681107753233</v>
      </c>
      <c r="F166" s="71">
        <f t="shared" si="56"/>
        <v>297.72101523258476</v>
      </c>
      <c r="G166" s="71">
        <f t="shared" si="56"/>
        <v>284.16242990373496</v>
      </c>
      <c r="H166" s="71">
        <f t="shared" si="56"/>
        <v>246.67351425035559</v>
      </c>
      <c r="I166" s="71">
        <f t="shared" si="56"/>
        <v>241.29579794534197</v>
      </c>
      <c r="J166" s="71">
        <f t="shared" si="56"/>
        <v>254.36836438501518</v>
      </c>
    </row>
    <row r="167" spans="1:10" x14ac:dyDescent="0.45">
      <c r="A167" s="199"/>
      <c r="B167" s="199"/>
      <c r="C167" s="199"/>
      <c r="D167" s="82" t="b">
        <f>D166=D83</f>
        <v>1</v>
      </c>
      <c r="E167" s="82" t="b">
        <f t="shared" ref="E167:J167" si="57">E166=E83</f>
        <v>1</v>
      </c>
      <c r="F167" s="82" t="b">
        <f t="shared" si="57"/>
        <v>1</v>
      </c>
      <c r="G167" s="82" t="b">
        <f t="shared" si="57"/>
        <v>1</v>
      </c>
      <c r="H167" s="82" t="b">
        <f t="shared" si="57"/>
        <v>1</v>
      </c>
      <c r="I167" s="82" t="b">
        <f t="shared" si="57"/>
        <v>1</v>
      </c>
      <c r="J167" s="82" t="b">
        <f t="shared" si="57"/>
        <v>1</v>
      </c>
    </row>
    <row r="168" spans="1:10" ht="9" customHeight="1" x14ac:dyDescent="0.45">
      <c r="A168" s="199"/>
      <c r="B168" s="199"/>
      <c r="C168" s="199"/>
      <c r="D168" s="82"/>
      <c r="E168" s="82"/>
      <c r="F168" s="82"/>
      <c r="G168" s="82"/>
      <c r="H168" s="82"/>
      <c r="I168" s="82"/>
      <c r="J168" s="82"/>
    </row>
    <row r="169" spans="1:10" x14ac:dyDescent="0.45">
      <c r="A169" s="199"/>
      <c r="B169" s="199" t="str">
        <f>C146</f>
        <v>Total MCE</v>
      </c>
      <c r="C169" s="451" t="str">
        <f t="shared" ref="C169:C175" si="58">B31</f>
        <v>Lead-in duct</v>
      </c>
      <c r="D169" s="451">
        <f>D126+D148</f>
        <v>442.91905346279538</v>
      </c>
      <c r="E169" s="451">
        <f t="shared" ref="E169:J169" si="59">E126+E148</f>
        <v>451.48297364520982</v>
      </c>
      <c r="F169" s="451">
        <f t="shared" si="59"/>
        <v>458.96983813465346</v>
      </c>
      <c r="G169" s="451">
        <f t="shared" si="59"/>
        <v>478.58729786364353</v>
      </c>
      <c r="H169" s="451">
        <f t="shared" si="59"/>
        <v>501.920923277866</v>
      </c>
      <c r="I169" s="451">
        <f t="shared" si="59"/>
        <v>526.92761471514314</v>
      </c>
      <c r="J169" s="451">
        <f t="shared" si="59"/>
        <v>558.6635700111151</v>
      </c>
    </row>
    <row r="170" spans="1:10" x14ac:dyDescent="0.45">
      <c r="A170" s="199"/>
      <c r="B170" s="199"/>
      <c r="C170" s="451" t="str">
        <f t="shared" si="58"/>
        <v>Spine duct – single bore</v>
      </c>
      <c r="D170" s="451">
        <f t="shared" ref="D170:J173" si="60">D127+D149</f>
        <v>1736.2791128031129</v>
      </c>
      <c r="E170" s="451">
        <f t="shared" si="60"/>
        <v>1770.5566488531479</v>
      </c>
      <c r="F170" s="451">
        <f t="shared" si="60"/>
        <v>1800.6849731157824</v>
      </c>
      <c r="G170" s="451">
        <f t="shared" si="60"/>
        <v>1878.6619106773474</v>
      </c>
      <c r="H170" s="451">
        <f t="shared" si="60"/>
        <v>1971.2529421700146</v>
      </c>
      <c r="I170" s="451">
        <f t="shared" si="60"/>
        <v>2070.4116390536883</v>
      </c>
      <c r="J170" s="451">
        <f t="shared" si="60"/>
        <v>2196.1474484943992</v>
      </c>
    </row>
    <row r="171" spans="1:10" x14ac:dyDescent="0.45">
      <c r="A171" s="199"/>
      <c r="B171" s="199"/>
      <c r="C171" s="451" t="str">
        <f t="shared" si="58"/>
        <v>Spine duct – 2 bores</v>
      </c>
      <c r="D171" s="451">
        <f t="shared" si="60"/>
        <v>463.50462972901818</v>
      </c>
      <c r="E171" s="451">
        <f t="shared" si="60"/>
        <v>475.11903674872872</v>
      </c>
      <c r="F171" s="451">
        <f t="shared" si="60"/>
        <v>485.30853826092385</v>
      </c>
      <c r="G171" s="451">
        <f t="shared" si="60"/>
        <v>508.41263682977501</v>
      </c>
      <c r="H171" s="451">
        <f t="shared" si="60"/>
        <v>534.16010606420059</v>
      </c>
      <c r="I171" s="451">
        <f t="shared" si="60"/>
        <v>560.58020450112929</v>
      </c>
      <c r="J171" s="451">
        <f t="shared" si="60"/>
        <v>594.19188791944794</v>
      </c>
    </row>
    <row r="172" spans="1:10" x14ac:dyDescent="0.45">
      <c r="A172" s="199"/>
      <c r="B172" s="199"/>
      <c r="C172" s="451" t="str">
        <f t="shared" si="58"/>
        <v>Spine duct – 3+ bores</v>
      </c>
      <c r="D172" s="451">
        <f t="shared" si="60"/>
        <v>702.25940526858938</v>
      </c>
      <c r="E172" s="451">
        <f t="shared" si="60"/>
        <v>704.0500082474648</v>
      </c>
      <c r="F172" s="451">
        <f t="shared" si="60"/>
        <v>702.33664771361794</v>
      </c>
      <c r="G172" s="451">
        <f t="shared" si="60"/>
        <v>713.99567178286225</v>
      </c>
      <c r="H172" s="451">
        <f t="shared" si="60"/>
        <v>729.34150193214055</v>
      </c>
      <c r="I172" s="451">
        <f t="shared" si="60"/>
        <v>745.99493613790673</v>
      </c>
      <c r="J172" s="451">
        <f t="shared" si="60"/>
        <v>769.37814498839293</v>
      </c>
    </row>
    <row r="173" spans="1:10" x14ac:dyDescent="0.45">
      <c r="A173" s="199"/>
      <c r="B173" s="199"/>
      <c r="C173" s="451" t="str">
        <f t="shared" si="58"/>
        <v>Joint boxes</v>
      </c>
      <c r="D173" s="451">
        <f t="shared" si="60"/>
        <v>812.38249230572399</v>
      </c>
      <c r="E173" s="451">
        <f t="shared" si="60"/>
        <v>821.72670828277262</v>
      </c>
      <c r="F173" s="451">
        <f t="shared" si="60"/>
        <v>828.24645518483055</v>
      </c>
      <c r="G173" s="451">
        <f t="shared" si="60"/>
        <v>853.97332500992911</v>
      </c>
      <c r="H173" s="451">
        <f t="shared" si="60"/>
        <v>885.10947898537256</v>
      </c>
      <c r="I173" s="451">
        <f t="shared" si="60"/>
        <v>918.92766006890679</v>
      </c>
      <c r="J173" s="451">
        <f t="shared" si="60"/>
        <v>963.36083414542031</v>
      </c>
    </row>
    <row r="174" spans="1:10" x14ac:dyDescent="0.45">
      <c r="A174" s="199"/>
      <c r="B174" s="199"/>
      <c r="C174" s="451" t="str">
        <f t="shared" si="58"/>
        <v>Manholes</v>
      </c>
      <c r="D174" s="451">
        <f t="shared" ref="D174:J174" si="61">D131+D153</f>
        <v>539.54828569353617</v>
      </c>
      <c r="E174" s="451">
        <f t="shared" si="61"/>
        <v>542.72243148896928</v>
      </c>
      <c r="F174" s="451">
        <f t="shared" si="61"/>
        <v>543.3501177503091</v>
      </c>
      <c r="G174" s="451">
        <f t="shared" si="61"/>
        <v>554.95044957115579</v>
      </c>
      <c r="H174" s="451">
        <f t="shared" si="61"/>
        <v>569.4135754311967</v>
      </c>
      <c r="I174" s="451">
        <f t="shared" si="61"/>
        <v>584.83337514580569</v>
      </c>
      <c r="J174" s="451">
        <f t="shared" si="61"/>
        <v>605.88954716003514</v>
      </c>
    </row>
    <row r="175" spans="1:10" x14ac:dyDescent="0.45">
      <c r="A175" s="199"/>
      <c r="B175" s="199"/>
      <c r="C175" s="324" t="str">
        <f t="shared" si="58"/>
        <v>Total</v>
      </c>
      <c r="D175" s="71">
        <f>SUM(D169:D174)</f>
        <v>4696.892979262776</v>
      </c>
      <c r="E175" s="71">
        <f t="shared" ref="E175:J175" si="62">SUM(E169:E174)</f>
        <v>4765.6578072662933</v>
      </c>
      <c r="F175" s="71">
        <f t="shared" si="62"/>
        <v>4818.8965701601173</v>
      </c>
      <c r="G175" s="71">
        <f t="shared" si="62"/>
        <v>4988.5812917347139</v>
      </c>
      <c r="H175" s="71">
        <f t="shared" si="62"/>
        <v>5191.1985278607908</v>
      </c>
      <c r="I175" s="71">
        <f t="shared" si="62"/>
        <v>5407.6754296225799</v>
      </c>
      <c r="J175" s="71">
        <f t="shared" si="62"/>
        <v>5687.6314327188102</v>
      </c>
    </row>
    <row r="176" spans="1:10" x14ac:dyDescent="0.45">
      <c r="A176" s="366"/>
      <c r="B176" s="366"/>
      <c r="C176" s="199"/>
      <c r="D176" s="82" t="b">
        <f>ROUND(D175,1)=ROUND(D105,1)</f>
        <v>1</v>
      </c>
      <c r="E176" s="82" t="b">
        <f t="shared" ref="E176:J176" si="63">ROUND(E175,1)=ROUND(E105,1)</f>
        <v>1</v>
      </c>
      <c r="F176" s="82" t="b">
        <f t="shared" si="63"/>
        <v>1</v>
      </c>
      <c r="G176" s="82" t="b">
        <f t="shared" si="63"/>
        <v>1</v>
      </c>
      <c r="H176" s="82" t="b">
        <f t="shared" si="63"/>
        <v>1</v>
      </c>
      <c r="I176" s="82" t="b">
        <f t="shared" si="63"/>
        <v>1</v>
      </c>
      <c r="J176" s="82" t="b">
        <f t="shared" si="63"/>
        <v>1</v>
      </c>
    </row>
  </sheetData>
  <printOptions horizontalCentered="1" verticalCentered="1"/>
  <pageMargins left="0.19685039370078741" right="0.19685039370078741" top="0.39370078740157483" bottom="0.39370078740157483" header="0.19685039370078741" footer="0.19685039370078741"/>
  <pageSetup paperSize="9" scale="70" orientation="landscape" r:id="rId1"/>
  <headerFooter>
    <oddHeader>&amp;CPage &amp;P of &amp;N&amp;R&amp;D &amp;T&amp;L&amp;"Calibri"&amp;12&amp;K000000Classification: HIGHLY SENSITIVE&amp;1#_x000D_&amp;"Calibri"&amp;11&amp;K000000File: &amp;F Sheet: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42BF-E05C-406F-8C4B-94D71B9E17EF}">
  <sheetPr codeName="Sheet14">
    <tabColor theme="0"/>
  </sheetPr>
  <dimension ref="A1:Q155"/>
  <sheetViews>
    <sheetView showGridLines="0" topLeftCell="A109" zoomScaleNormal="100" workbookViewId="0">
      <selection activeCell="O128" sqref="O128"/>
    </sheetView>
  </sheetViews>
  <sheetFormatPr defaultRowHeight="14.25" x14ac:dyDescent="0.45"/>
  <cols>
    <col min="1" max="1" width="3.1328125" customWidth="1"/>
    <col min="2" max="2" width="17.73046875" customWidth="1"/>
    <col min="3" max="3" width="42.1328125" bestFit="1" customWidth="1"/>
    <col min="4" max="6" width="13" customWidth="1"/>
    <col min="7" max="8" width="13.1328125" bestFit="1" customWidth="1"/>
    <col min="9" max="9" width="12.73046875" customWidth="1"/>
    <col min="10" max="10" width="13.73046875" customWidth="1"/>
    <col min="11" max="11" width="12.73046875" customWidth="1"/>
    <col min="12" max="12" width="2.86328125" customWidth="1"/>
    <col min="13" max="13" width="11" customWidth="1"/>
    <col min="14" max="14" width="2.86328125" customWidth="1"/>
    <col min="15" max="15" width="41" bestFit="1" customWidth="1"/>
  </cols>
  <sheetData>
    <row r="1" spans="1:15" ht="21" x14ac:dyDescent="0.65">
      <c r="A1" s="127" t="s">
        <v>267</v>
      </c>
    </row>
    <row r="2" spans="1:15" x14ac:dyDescent="0.45">
      <c r="M2" s="366"/>
    </row>
    <row r="3" spans="1:15" s="39" customFormat="1" ht="15.75" x14ac:dyDescent="0.5">
      <c r="A3" s="12" t="s">
        <v>248</v>
      </c>
      <c r="D3" s="45" t="str">
        <f>'D&amp;C Cost Forecasts'!D111</f>
        <v>2019/20</v>
      </c>
      <c r="E3" s="45" t="str">
        <f>'D&amp;C Cost Forecasts'!E111</f>
        <v>2020/21</v>
      </c>
      <c r="F3" s="45" t="str">
        <f>'D&amp;C Cost Forecasts'!F111</f>
        <v>2021/22</v>
      </c>
      <c r="G3" s="45" t="str">
        <f>'D&amp;C Cost Forecasts'!G111</f>
        <v>2022/23</v>
      </c>
      <c r="H3" s="45" t="str">
        <f>'D&amp;C Cost Forecasts'!H111</f>
        <v>2023/24</v>
      </c>
      <c r="I3" s="45" t="str">
        <f>'D&amp;C Cost Forecasts'!I111</f>
        <v>2024/25</v>
      </c>
      <c r="J3" s="45" t="str">
        <f>'D&amp;C Cost Forecasts'!J111</f>
        <v>2025/26</v>
      </c>
      <c r="M3" s="268"/>
      <c r="O3" s="39" t="s">
        <v>53</v>
      </c>
    </row>
    <row r="4" spans="1:15" s="39" customFormat="1" ht="13.15" x14ac:dyDescent="0.4">
      <c r="M4" s="199"/>
    </row>
    <row r="5" spans="1:15" s="39" customFormat="1" ht="13.15" x14ac:dyDescent="0.4">
      <c r="B5" s="39" t="str">
        <f>'D&amp;C Cost Forecasts'!B160</f>
        <v>Total CCA Costs</v>
      </c>
      <c r="C5" s="80" t="str">
        <f>'D&amp;C Cost Forecasts'!C160</f>
        <v>Lead-in duct</v>
      </c>
      <c r="D5" s="71">
        <f>'D&amp;C Cost Forecasts'!D160</f>
        <v>19.566568928208536</v>
      </c>
      <c r="E5" s="71">
        <f>'D&amp;C Cost Forecasts'!E160</f>
        <v>28.551913786476739</v>
      </c>
      <c r="F5" s="71">
        <f>'D&amp;C Cost Forecasts'!F160</f>
        <v>28.043200753035137</v>
      </c>
      <c r="G5" s="71">
        <f>'D&amp;C Cost Forecasts'!G160</f>
        <v>26.810289851506131</v>
      </c>
      <c r="H5" s="71">
        <f>'D&amp;C Cost Forecasts'!H160</f>
        <v>23.232110522208572</v>
      </c>
      <c r="I5" s="71">
        <f>'D&amp;C Cost Forecasts'!I160</f>
        <v>22.715841770971743</v>
      </c>
      <c r="J5" s="71">
        <f>'D&amp;C Cost Forecasts'!J160</f>
        <v>23.980854973217703</v>
      </c>
      <c r="M5" s="199"/>
    </row>
    <row r="6" spans="1:15" s="39" customFormat="1" ht="13.15" x14ac:dyDescent="0.4">
      <c r="C6" s="80" t="str">
        <f>'D&amp;C Cost Forecasts'!C161</f>
        <v>Spine duct – single bore</v>
      </c>
      <c r="D6" s="71">
        <f>'D&amp;C Cost Forecasts'!D161</f>
        <v>76.648491711342672</v>
      </c>
      <c r="E6" s="71">
        <f>'D&amp;C Cost Forecasts'!E161</f>
        <v>111.89341372088816</v>
      </c>
      <c r="F6" s="71">
        <f>'D&amp;C Cost Forecasts'!F161</f>
        <v>109.91469275641688</v>
      </c>
      <c r="G6" s="71">
        <f>'D&amp;C Cost Forecasts'!G161</f>
        <v>105.09423832244325</v>
      </c>
      <c r="H6" s="71">
        <f>'D&amp;C Cost Forecasts'!H161</f>
        <v>91.051596316754356</v>
      </c>
      <c r="I6" s="71">
        <f>'D&amp;C Cost Forecasts'!I161</f>
        <v>89.022945085417206</v>
      </c>
      <c r="J6" s="71">
        <f>'D&amp;C Cost Forecasts'!J161</f>
        <v>93.989003357784497</v>
      </c>
      <c r="M6" s="199"/>
    </row>
    <row r="7" spans="1:15" s="39" customFormat="1" ht="13.15" x14ac:dyDescent="0.4">
      <c r="C7" s="80" t="str">
        <f>'D&amp;C Cost Forecasts'!C162</f>
        <v>Spine duct – 2 bores</v>
      </c>
      <c r="D7" s="71">
        <f>'D&amp;C Cost Forecasts'!D162</f>
        <v>20.233224710196872</v>
      </c>
      <c r="E7" s="71">
        <f>'D&amp;C Cost Forecasts'!E162</f>
        <v>29.719491778518904</v>
      </c>
      <c r="F7" s="71">
        <f>'D&amp;C Cost Forecasts'!F162</f>
        <v>29.230428008406406</v>
      </c>
      <c r="G7" s="71">
        <f>'D&amp;C Cost Forecasts'!G162</f>
        <v>27.96077160447458</v>
      </c>
      <c r="H7" s="71">
        <f>'D&amp;C Cost Forecasts'!H162</f>
        <v>24.145836092554532</v>
      </c>
      <c r="I7" s="71">
        <f>'D&amp;C Cost Forecasts'!I162</f>
        <v>23.571617084819486</v>
      </c>
      <c r="J7" s="71">
        <f>'D&amp;C Cost Forecasts'!J162</f>
        <v>24.885896193352675</v>
      </c>
      <c r="M7" s="199"/>
    </row>
    <row r="8" spans="1:15" s="39" customFormat="1" ht="13.15" x14ac:dyDescent="0.4">
      <c r="C8" s="80" t="str">
        <f>'D&amp;C Cost Forecasts'!C163</f>
        <v>Spine duct – 3+ bores</v>
      </c>
      <c r="D8" s="71">
        <f>'D&amp;C Cost Forecasts'!D163</f>
        <v>31.883172031120207</v>
      </c>
      <c r="E8" s="71">
        <f>'D&amp;C Cost Forecasts'!E163</f>
        <v>45.770853013818325</v>
      </c>
      <c r="F8" s="71">
        <f>'D&amp;C Cost Forecasts'!F163</f>
        <v>44.690898295249617</v>
      </c>
      <c r="G8" s="71">
        <f>'D&amp;C Cost Forecasts'!G163</f>
        <v>42.496963382497484</v>
      </c>
      <c r="H8" s="71">
        <f>'D&amp;C Cost Forecasts'!H163</f>
        <v>37.077817572540162</v>
      </c>
      <c r="I8" s="71">
        <f>'D&amp;C Cost Forecasts'!I163</f>
        <v>36.3233959277647</v>
      </c>
      <c r="J8" s="71">
        <f>'D&amp;C Cost Forecasts'!J163</f>
        <v>38.172895441989041</v>
      </c>
      <c r="M8" s="199"/>
    </row>
    <row r="9" spans="1:15" s="39" customFormat="1" ht="13.15" x14ac:dyDescent="0.4">
      <c r="C9" s="80" t="str">
        <f>'D&amp;C Cost Forecasts'!C164</f>
        <v>Joint boxes</v>
      </c>
      <c r="D9" s="71">
        <f>'D&amp;C Cost Forecasts'!D164</f>
        <v>36.342870494578015</v>
      </c>
      <c r="E9" s="71">
        <f>'D&amp;C Cost Forecasts'!E164</f>
        <v>52.630188131235833</v>
      </c>
      <c r="F9" s="71">
        <f>'D&amp;C Cost Forecasts'!F164</f>
        <v>51.552201381329091</v>
      </c>
      <c r="G9" s="71">
        <f>'D&amp;C Cost Forecasts'!G164</f>
        <v>49.165674570089514</v>
      </c>
      <c r="H9" s="71">
        <f>'D&amp;C Cost Forecasts'!H164</f>
        <v>42.736285277026532</v>
      </c>
      <c r="I9" s="71">
        <f>'D&amp;C Cost Forecasts'!I164</f>
        <v>41.82505427867536</v>
      </c>
      <c r="J9" s="71">
        <f>'D&amp;C Cost Forecasts'!J164</f>
        <v>44.066006826038311</v>
      </c>
      <c r="M9" s="199"/>
    </row>
    <row r="10" spans="1:15" s="39" customFormat="1" ht="13.15" x14ac:dyDescent="0.4">
      <c r="C10" s="81" t="str">
        <f>'D&amp;C Cost Forecasts'!C165</f>
        <v>Manholes</v>
      </c>
      <c r="D10" s="425">
        <f>'D&amp;C Cost Forecasts'!D165</f>
        <v>24.355787021370926</v>
      </c>
      <c r="E10" s="425">
        <f>'D&amp;C Cost Forecasts'!E165</f>
        <v>35.080950646594346</v>
      </c>
      <c r="F10" s="425">
        <f>'D&amp;C Cost Forecasts'!F165</f>
        <v>34.289594038147619</v>
      </c>
      <c r="G10" s="425">
        <f>'D&amp;C Cost Forecasts'!G165</f>
        <v>32.634492172723981</v>
      </c>
      <c r="H10" s="425">
        <f>'D&amp;C Cost Forecasts'!H165</f>
        <v>28.42986846927144</v>
      </c>
      <c r="I10" s="425">
        <f>'D&amp;C Cost Forecasts'!I165</f>
        <v>27.836943797693497</v>
      </c>
      <c r="J10" s="425">
        <f>'D&amp;C Cost Forecasts'!J165</f>
        <v>29.273707592632981</v>
      </c>
      <c r="M10" s="199"/>
    </row>
    <row r="11" spans="1:15" s="39" customFormat="1" ht="13.15" x14ac:dyDescent="0.4">
      <c r="C11" s="80" t="str">
        <f>'D&amp;C Cost Forecasts'!C166</f>
        <v>Total</v>
      </c>
      <c r="D11" s="71">
        <f>'D&amp;C Cost Forecasts'!D166</f>
        <v>209.03011489681725</v>
      </c>
      <c r="E11" s="71">
        <f>'D&amp;C Cost Forecasts'!E166</f>
        <v>303.64681107753233</v>
      </c>
      <c r="F11" s="71">
        <f>'D&amp;C Cost Forecasts'!F166</f>
        <v>297.72101523258476</v>
      </c>
      <c r="G11" s="71">
        <f>'D&amp;C Cost Forecasts'!G166</f>
        <v>284.16242990373496</v>
      </c>
      <c r="H11" s="71">
        <f>'D&amp;C Cost Forecasts'!H166</f>
        <v>246.67351425035559</v>
      </c>
      <c r="I11" s="71">
        <f>'D&amp;C Cost Forecasts'!I166</f>
        <v>241.29579794534197</v>
      </c>
      <c r="J11" s="71">
        <f>'D&amp;C Cost Forecasts'!J166</f>
        <v>254.36836438501518</v>
      </c>
      <c r="K11" s="312"/>
      <c r="M11" s="199"/>
    </row>
    <row r="12" spans="1:15" s="39" customFormat="1" ht="13.15" x14ac:dyDescent="0.4">
      <c r="D12" s="82" t="b">
        <f>D11=SUM(D5:D10)</f>
        <v>1</v>
      </c>
      <c r="E12" s="82" t="b">
        <f t="shared" ref="E12:J12" si="0">E11=SUM(E5:E10)</f>
        <v>1</v>
      </c>
      <c r="F12" s="82" t="b">
        <f t="shared" si="0"/>
        <v>1</v>
      </c>
      <c r="G12" s="82" t="b">
        <f t="shared" si="0"/>
        <v>1</v>
      </c>
      <c r="H12" s="82" t="b">
        <f t="shared" si="0"/>
        <v>1</v>
      </c>
      <c r="I12" s="82" t="b">
        <f t="shared" si="0"/>
        <v>1</v>
      </c>
      <c r="J12" s="82" t="b">
        <f t="shared" si="0"/>
        <v>1</v>
      </c>
      <c r="K12" s="312"/>
      <c r="M12" s="199"/>
    </row>
    <row r="13" spans="1:15" s="39" customFormat="1" ht="13.15" x14ac:dyDescent="0.4">
      <c r="K13" s="312"/>
      <c r="M13" s="199"/>
    </row>
    <row r="14" spans="1:15" s="39" customFormat="1" ht="13.15" x14ac:dyDescent="0.4">
      <c r="B14" s="39" t="str">
        <f>'D&amp;C Cost Forecasts'!B169</f>
        <v>Total MCE</v>
      </c>
      <c r="C14" s="80" t="str">
        <f>'D&amp;C Cost Forecasts'!C169</f>
        <v>Lead-in duct</v>
      </c>
      <c r="D14" s="74">
        <f>'D&amp;C Cost Forecasts'!D169</f>
        <v>442.91905346279538</v>
      </c>
      <c r="E14" s="74">
        <f>'D&amp;C Cost Forecasts'!E169</f>
        <v>451.48297364520982</v>
      </c>
      <c r="F14" s="74">
        <f>'D&amp;C Cost Forecasts'!F169</f>
        <v>458.96983813465346</v>
      </c>
      <c r="G14" s="74">
        <f>'D&amp;C Cost Forecasts'!G169</f>
        <v>478.58729786364353</v>
      </c>
      <c r="H14" s="74">
        <f>'D&amp;C Cost Forecasts'!H169</f>
        <v>501.920923277866</v>
      </c>
      <c r="I14" s="74">
        <f>'D&amp;C Cost Forecasts'!I169</f>
        <v>526.92761471514314</v>
      </c>
      <c r="J14" s="74">
        <f>'D&amp;C Cost Forecasts'!J169</f>
        <v>558.6635700111151</v>
      </c>
      <c r="K14" s="312"/>
      <c r="M14" s="199"/>
    </row>
    <row r="15" spans="1:15" s="39" customFormat="1" ht="13.15" x14ac:dyDescent="0.4">
      <c r="C15" s="80" t="str">
        <f>'D&amp;C Cost Forecasts'!C170</f>
        <v>Spine duct – single bore</v>
      </c>
      <c r="D15" s="74">
        <f>'D&amp;C Cost Forecasts'!D170</f>
        <v>1736.2791128031129</v>
      </c>
      <c r="E15" s="74">
        <f>'D&amp;C Cost Forecasts'!E170</f>
        <v>1770.5566488531479</v>
      </c>
      <c r="F15" s="74">
        <f>'D&amp;C Cost Forecasts'!F170</f>
        <v>1800.6849731157824</v>
      </c>
      <c r="G15" s="74">
        <f>'D&amp;C Cost Forecasts'!G170</f>
        <v>1878.6619106773474</v>
      </c>
      <c r="H15" s="74">
        <f>'D&amp;C Cost Forecasts'!H170</f>
        <v>1971.2529421700146</v>
      </c>
      <c r="I15" s="74">
        <f>'D&amp;C Cost Forecasts'!I170</f>
        <v>2070.4116390536883</v>
      </c>
      <c r="J15" s="74">
        <f>'D&amp;C Cost Forecasts'!J170</f>
        <v>2196.1474484943992</v>
      </c>
      <c r="K15" s="312"/>
      <c r="M15" s="199"/>
    </row>
    <row r="16" spans="1:15" s="39" customFormat="1" ht="13.15" x14ac:dyDescent="0.4">
      <c r="C16" s="80" t="str">
        <f>'D&amp;C Cost Forecasts'!C171</f>
        <v>Spine duct – 2 bores</v>
      </c>
      <c r="D16" s="74">
        <f>'D&amp;C Cost Forecasts'!D171</f>
        <v>463.50462972901818</v>
      </c>
      <c r="E16" s="74">
        <f>'D&amp;C Cost Forecasts'!E171</f>
        <v>475.11903674872872</v>
      </c>
      <c r="F16" s="74">
        <f>'D&amp;C Cost Forecasts'!F171</f>
        <v>485.30853826092385</v>
      </c>
      <c r="G16" s="74">
        <f>'D&amp;C Cost Forecasts'!G171</f>
        <v>508.41263682977501</v>
      </c>
      <c r="H16" s="74">
        <f>'D&amp;C Cost Forecasts'!H171</f>
        <v>534.16010606420059</v>
      </c>
      <c r="I16" s="74">
        <f>'D&amp;C Cost Forecasts'!I171</f>
        <v>560.58020450112929</v>
      </c>
      <c r="J16" s="74">
        <f>'D&amp;C Cost Forecasts'!J171</f>
        <v>594.19188791944794</v>
      </c>
      <c r="K16" s="312"/>
      <c r="M16" s="199"/>
    </row>
    <row r="17" spans="2:13" s="39" customFormat="1" ht="13.15" x14ac:dyDescent="0.4">
      <c r="C17" s="80" t="str">
        <f>'D&amp;C Cost Forecasts'!C172</f>
        <v>Spine duct – 3+ bores</v>
      </c>
      <c r="D17" s="74">
        <f>'D&amp;C Cost Forecasts'!D172</f>
        <v>702.25940526858938</v>
      </c>
      <c r="E17" s="74">
        <f>'D&amp;C Cost Forecasts'!E172</f>
        <v>704.0500082474648</v>
      </c>
      <c r="F17" s="74">
        <f>'D&amp;C Cost Forecasts'!F172</f>
        <v>702.33664771361794</v>
      </c>
      <c r="G17" s="74">
        <f>'D&amp;C Cost Forecasts'!G172</f>
        <v>713.99567178286225</v>
      </c>
      <c r="H17" s="74">
        <f>'D&amp;C Cost Forecasts'!H172</f>
        <v>729.34150193214055</v>
      </c>
      <c r="I17" s="74">
        <f>'D&amp;C Cost Forecasts'!I172</f>
        <v>745.99493613790673</v>
      </c>
      <c r="J17" s="74">
        <f>'D&amp;C Cost Forecasts'!J172</f>
        <v>769.37814498839293</v>
      </c>
      <c r="K17" s="312"/>
      <c r="M17" s="199"/>
    </row>
    <row r="18" spans="2:13" s="39" customFormat="1" ht="13.15" x14ac:dyDescent="0.4">
      <c r="C18" s="80" t="str">
        <f>'D&amp;C Cost Forecasts'!C173</f>
        <v>Joint boxes</v>
      </c>
      <c r="D18" s="74">
        <f>'D&amp;C Cost Forecasts'!D173</f>
        <v>812.38249230572399</v>
      </c>
      <c r="E18" s="74">
        <f>'D&amp;C Cost Forecasts'!E173</f>
        <v>821.72670828277262</v>
      </c>
      <c r="F18" s="74">
        <f>'D&amp;C Cost Forecasts'!F173</f>
        <v>828.24645518483055</v>
      </c>
      <c r="G18" s="74">
        <f>'D&amp;C Cost Forecasts'!G173</f>
        <v>853.97332500992911</v>
      </c>
      <c r="H18" s="74">
        <f>'D&amp;C Cost Forecasts'!H173</f>
        <v>885.10947898537256</v>
      </c>
      <c r="I18" s="74">
        <f>'D&amp;C Cost Forecasts'!I173</f>
        <v>918.92766006890679</v>
      </c>
      <c r="J18" s="74">
        <f>'D&amp;C Cost Forecasts'!J173</f>
        <v>963.36083414542031</v>
      </c>
      <c r="K18" s="312"/>
      <c r="M18" s="199"/>
    </row>
    <row r="19" spans="2:13" s="39" customFormat="1" ht="13.15" x14ac:dyDescent="0.4">
      <c r="C19" s="81" t="str">
        <f>'D&amp;C Cost Forecasts'!C174</f>
        <v>Manholes</v>
      </c>
      <c r="D19" s="77">
        <f>'D&amp;C Cost Forecasts'!D174</f>
        <v>539.54828569353617</v>
      </c>
      <c r="E19" s="77">
        <f>'D&amp;C Cost Forecasts'!E174</f>
        <v>542.72243148896928</v>
      </c>
      <c r="F19" s="77">
        <f>'D&amp;C Cost Forecasts'!F174</f>
        <v>543.3501177503091</v>
      </c>
      <c r="G19" s="77">
        <f>'D&amp;C Cost Forecasts'!G174</f>
        <v>554.95044957115579</v>
      </c>
      <c r="H19" s="77">
        <f>'D&amp;C Cost Forecasts'!H174</f>
        <v>569.4135754311967</v>
      </c>
      <c r="I19" s="77">
        <f>'D&amp;C Cost Forecasts'!I174</f>
        <v>584.83337514580569</v>
      </c>
      <c r="J19" s="77">
        <f>'D&amp;C Cost Forecasts'!J174</f>
        <v>605.88954716003514</v>
      </c>
      <c r="K19" s="312"/>
      <c r="M19" s="199"/>
    </row>
    <row r="20" spans="2:13" s="39" customFormat="1" ht="13.15" x14ac:dyDescent="0.4">
      <c r="C20" s="80" t="str">
        <f>'D&amp;C Cost Forecasts'!C175</f>
        <v>Total</v>
      </c>
      <c r="D20" s="74">
        <f>'D&amp;C Cost Forecasts'!D175</f>
        <v>4696.892979262776</v>
      </c>
      <c r="E20" s="74">
        <f>'D&amp;C Cost Forecasts'!E175</f>
        <v>4765.6578072662933</v>
      </c>
      <c r="F20" s="74">
        <f>'D&amp;C Cost Forecasts'!F175</f>
        <v>4818.8965701601173</v>
      </c>
      <c r="G20" s="74">
        <f>'D&amp;C Cost Forecasts'!G175</f>
        <v>4988.5812917347139</v>
      </c>
      <c r="H20" s="74">
        <f>'D&amp;C Cost Forecasts'!H175</f>
        <v>5191.1985278607908</v>
      </c>
      <c r="I20" s="74">
        <f>'D&amp;C Cost Forecasts'!I175</f>
        <v>5407.6754296225799</v>
      </c>
      <c r="J20" s="74">
        <f>'D&amp;C Cost Forecasts'!J175</f>
        <v>5687.6314327188102</v>
      </c>
      <c r="K20" s="312"/>
      <c r="M20" s="199"/>
    </row>
    <row r="21" spans="2:13" s="39" customFormat="1" ht="13.15" x14ac:dyDescent="0.4">
      <c r="D21" s="82" t="b">
        <f>D20=SUM(D14:D19)</f>
        <v>1</v>
      </c>
      <c r="E21" s="82" t="b">
        <f t="shared" ref="E21:J21" si="1">E20=SUM(E14:E19)</f>
        <v>1</v>
      </c>
      <c r="F21" s="82" t="b">
        <f t="shared" si="1"/>
        <v>1</v>
      </c>
      <c r="G21" s="82" t="b">
        <f t="shared" si="1"/>
        <v>1</v>
      </c>
      <c r="H21" s="82" t="b">
        <f t="shared" si="1"/>
        <v>1</v>
      </c>
      <c r="I21" s="82" t="b">
        <f t="shared" si="1"/>
        <v>1</v>
      </c>
      <c r="J21" s="82" t="b">
        <f t="shared" si="1"/>
        <v>1</v>
      </c>
      <c r="K21" s="312"/>
      <c r="M21" s="199"/>
    </row>
    <row r="22" spans="2:13" s="39" customFormat="1" ht="13.15" x14ac:dyDescent="0.4">
      <c r="M22" s="199"/>
    </row>
    <row r="23" spans="2:13" s="39" customFormat="1" ht="13.15" x14ac:dyDescent="0.4">
      <c r="B23" s="39" t="s">
        <v>29</v>
      </c>
      <c r="C23" s="80" t="str">
        <f>'D&amp;C Vols'!A33</f>
        <v>Lead-in duct</v>
      </c>
      <c r="D23" s="56">
        <f>INDEX('D&amp;C Vols'!$A$32:$J$38,MATCH($C23,'D&amp;C Vols'!$A$32:$A$38,0),MATCH(D$3,'D&amp;C Vols'!$A$32:$J$32,0))</f>
        <v>94071.503679969508</v>
      </c>
      <c r="E23" s="56">
        <f>INDEX('D&amp;C Vols'!$A$32:$J$38,MATCH($C23,'D&amp;C Vols'!$A$32:$A$38,0),MATCH(E$3,'D&amp;C Vols'!$A$32:$J$32,0))</f>
        <v>94736.341870451142</v>
      </c>
      <c r="F23" s="56">
        <f>INDEX('D&amp;C Vols'!$A$32:$J$38,MATCH($C23,'D&amp;C Vols'!$A$32:$A$38,0),MATCH(F$3,'D&amp;C Vols'!$A$32:$J$32,0))</f>
        <v>95587.907030023052</v>
      </c>
      <c r="G23" s="56">
        <f>INDEX('D&amp;C Vols'!$A$32:$J$38,MATCH($C23,'D&amp;C Vols'!$A$32:$A$38,0),MATCH(G$3,'D&amp;C Vols'!$A$32:$J$32,0))</f>
        <v>96648.393411655372</v>
      </c>
      <c r="H23" s="56">
        <f>INDEX('D&amp;C Vols'!$A$32:$J$38,MATCH($C23,'D&amp;C Vols'!$A$32:$A$38,0),MATCH(H$3,'D&amp;C Vols'!$A$32:$J$32,0))</f>
        <v>97960.662721859859</v>
      </c>
      <c r="I23" s="56">
        <f>INDEX('D&amp;C Vols'!$A$32:$J$38,MATCH($C23,'D&amp;C Vols'!$A$32:$A$38,0),MATCH(I$3,'D&amp;C Vols'!$A$32:$J$32,0))</f>
        <v>99300.135090546813</v>
      </c>
      <c r="J23" s="56">
        <f>INDEX('D&amp;C Vols'!$A$32:$J$38,MATCH($C23,'D&amp;C Vols'!$A$32:$A$38,0),MATCH(J$3,'D&amp;C Vols'!$A$32:$J$32,0))</f>
        <v>100338.08360827825</v>
      </c>
      <c r="M23" s="517"/>
    </row>
    <row r="24" spans="2:13" s="39" customFormat="1" ht="13.15" x14ac:dyDescent="0.4">
      <c r="C24" s="80" t="str">
        <f>'D&amp;C Vols'!A34</f>
        <v>Spine duct – single bore</v>
      </c>
      <c r="D24" s="56">
        <f>INDEX('D&amp;C Vols'!$A$32:$J$38,MATCH($C24,'D&amp;C Vols'!$A$32:$A$38,0),MATCH(D$3,'D&amp;C Vols'!$A$32:$J$32,0))</f>
        <v>313124.84723548719</v>
      </c>
      <c r="E24" s="56">
        <f>INDEX('D&amp;C Vols'!$A$32:$J$38,MATCH($C24,'D&amp;C Vols'!$A$32:$A$38,0),MATCH(E$3,'D&amp;C Vols'!$A$32:$J$32,0))</f>
        <v>315337.8166118362</v>
      </c>
      <c r="F24" s="56">
        <f>INDEX('D&amp;C Vols'!$A$32:$J$38,MATCH($C24,'D&amp;C Vols'!$A$32:$A$38,0),MATCH(F$3,'D&amp;C Vols'!$A$32:$J$32,0))</f>
        <v>318172.32228115288</v>
      </c>
      <c r="G24" s="56">
        <f>INDEX('D&amp;C Vols'!$A$32:$J$38,MATCH($C24,'D&amp;C Vols'!$A$32:$A$38,0),MATCH(G$3,'D&amp;C Vols'!$A$32:$J$32,0))</f>
        <v>321702.23966584378</v>
      </c>
      <c r="H24" s="56">
        <f>INDEX('D&amp;C Vols'!$A$32:$J$38,MATCH($C24,'D&amp;C Vols'!$A$32:$A$38,0),MATCH(H$3,'D&amp;C Vols'!$A$32:$J$32,0))</f>
        <v>326070.23753146193</v>
      </c>
      <c r="I24" s="56">
        <f>INDEX('D&amp;C Vols'!$A$32:$J$38,MATCH($C24,'D&amp;C Vols'!$A$32:$A$38,0),MATCH(I$3,'D&amp;C Vols'!$A$32:$J$32,0))</f>
        <v>330528.78304645792</v>
      </c>
      <c r="J24" s="56">
        <f>INDEX('D&amp;C Vols'!$A$32:$J$38,MATCH($C24,'D&amp;C Vols'!$A$32:$A$38,0),MATCH(J$3,'D&amp;C Vols'!$A$32:$J$32,0))</f>
        <v>333983.68127109593</v>
      </c>
      <c r="M24" s="517"/>
    </row>
    <row r="25" spans="2:13" s="39" customFormat="1" ht="13.15" x14ac:dyDescent="0.4">
      <c r="C25" s="80" t="str">
        <f>'D&amp;C Vols'!A35</f>
        <v>Spine duct – 2 bores</v>
      </c>
      <c r="D25" s="56">
        <f>INDEX('D&amp;C Vols'!$A$32:$J$38,MATCH($C25,'D&amp;C Vols'!$A$32:$A$38,0),MATCH(D$3,'D&amp;C Vols'!$A$32:$J$32,0))</f>
        <v>64679.754591498066</v>
      </c>
      <c r="E25" s="56">
        <f>INDEX('D&amp;C Vols'!$A$32:$J$38,MATCH($C25,'D&amp;C Vols'!$A$32:$A$38,0),MATCH(E$3,'D&amp;C Vols'!$A$32:$J$32,0))</f>
        <v>64723.191603789244</v>
      </c>
      <c r="F25" s="56">
        <f>INDEX('D&amp;C Vols'!$A$32:$J$38,MATCH($C25,'D&amp;C Vols'!$A$32:$A$38,0),MATCH(F$3,'D&amp;C Vols'!$A$32:$J$32,0))</f>
        <v>64753.328540479568</v>
      </c>
      <c r="G25" s="56">
        <f>INDEX('D&amp;C Vols'!$A$32:$J$38,MATCH($C25,'D&amp;C Vols'!$A$32:$A$38,0),MATCH(G$3,'D&amp;C Vols'!$A$32:$J$32,0))</f>
        <v>64792.538615964804</v>
      </c>
      <c r="H25" s="56">
        <f>INDEX('D&amp;C Vols'!$A$32:$J$38,MATCH($C25,'D&amp;C Vols'!$A$32:$A$38,0),MATCH(H$3,'D&amp;C Vols'!$A$32:$J$32,0))</f>
        <v>64826.198271935042</v>
      </c>
      <c r="I25" s="56">
        <f>INDEX('D&amp;C Vols'!$A$32:$J$38,MATCH($C25,'D&amp;C Vols'!$A$32:$A$38,0),MATCH(I$3,'D&amp;C Vols'!$A$32:$J$32,0))</f>
        <v>64874.322016945021</v>
      </c>
      <c r="J25" s="56">
        <f>INDEX('D&amp;C Vols'!$A$32:$J$38,MATCH($C25,'D&amp;C Vols'!$A$32:$A$38,0),MATCH(J$3,'D&amp;C Vols'!$A$32:$J$32,0))</f>
        <v>64917.282641538994</v>
      </c>
      <c r="M25" s="517"/>
    </row>
    <row r="26" spans="2:13" s="39" customFormat="1" ht="13.15" x14ac:dyDescent="0.4">
      <c r="C26" s="80" t="str">
        <f>'D&amp;C Vols'!A36</f>
        <v>Spine duct – 3+ bores</v>
      </c>
      <c r="D26" s="56">
        <f>INDEX('D&amp;C Vols'!$A$32:$J$38,MATCH($C26,'D&amp;C Vols'!$A$32:$A$38,0),MATCH(D$3,'D&amp;C Vols'!$A$32:$J$32,0))</f>
        <v>61145.516023471922</v>
      </c>
      <c r="E26" s="56">
        <f>INDEX('D&amp;C Vols'!$A$32:$J$38,MATCH($C26,'D&amp;C Vols'!$A$32:$A$38,0),MATCH(E$3,'D&amp;C Vols'!$A$32:$J$32,0))</f>
        <v>61154.196277967996</v>
      </c>
      <c r="F26" s="56">
        <f>INDEX('D&amp;C Vols'!$A$32:$J$38,MATCH($C26,'D&amp;C Vols'!$A$32:$A$38,0),MATCH(F$3,'D&amp;C Vols'!$A$32:$J$32,0))</f>
        <v>61157.921078175546</v>
      </c>
      <c r="G26" s="56">
        <f>INDEX('D&amp;C Vols'!$A$32:$J$38,MATCH($C26,'D&amp;C Vols'!$A$32:$A$38,0),MATCH(G$3,'D&amp;C Vols'!$A$32:$J$32,0))</f>
        <v>61160.77269704808</v>
      </c>
      <c r="H26" s="56">
        <f>INDEX('D&amp;C Vols'!$A$32:$J$38,MATCH($C26,'D&amp;C Vols'!$A$32:$A$38,0),MATCH(H$3,'D&amp;C Vols'!$A$32:$J$32,0))</f>
        <v>61164.477448580779</v>
      </c>
      <c r="I26" s="56">
        <f>INDEX('D&amp;C Vols'!$A$32:$J$38,MATCH($C26,'D&amp;C Vols'!$A$32:$A$38,0),MATCH(I$3,'D&amp;C Vols'!$A$32:$J$32,0))</f>
        <v>61167.262069876509</v>
      </c>
      <c r="J26" s="56">
        <f>INDEX('D&amp;C Vols'!$A$32:$J$38,MATCH($C26,'D&amp;C Vols'!$A$32:$A$38,0),MATCH(J$3,'D&amp;C Vols'!$A$32:$J$32,0))</f>
        <v>61169.672774890387</v>
      </c>
      <c r="M26" s="517"/>
    </row>
    <row r="27" spans="2:13" s="39" customFormat="1" ht="13.15" x14ac:dyDescent="0.4">
      <c r="C27" s="80" t="str">
        <f>'D&amp;C Vols'!A37</f>
        <v>Joint boxes</v>
      </c>
      <c r="D27" s="56">
        <f>INDEX('D&amp;C Vols'!$A$32:$J$38,MATCH($C27,'D&amp;C Vols'!$A$32:$A$38,0),MATCH(D$3,'D&amp;C Vols'!$A$32:$J$32,0))</f>
        <v>6227517.660538258</v>
      </c>
      <c r="E27" s="56">
        <f>INDEX('D&amp;C Vols'!$A$32:$J$38,MATCH($C27,'D&amp;C Vols'!$A$32:$A$38,0),MATCH(E$3,'D&amp;C Vols'!$A$32:$J$32,0))</f>
        <v>6247891.3088613814</v>
      </c>
      <c r="F27" s="56">
        <f>INDEX('D&amp;C Vols'!$A$32:$J$38,MATCH($C27,'D&amp;C Vols'!$A$32:$A$38,0),MATCH(F$3,'D&amp;C Vols'!$A$32:$J$32,0))</f>
        <v>6283750.0063356441</v>
      </c>
      <c r="G27" s="56">
        <f>INDEX('D&amp;C Vols'!$A$32:$J$38,MATCH($C27,'D&amp;C Vols'!$A$32:$A$38,0),MATCH(G$3,'D&amp;C Vols'!$A$32:$J$32,0))</f>
        <v>6329973.5694999704</v>
      </c>
      <c r="H27" s="56">
        <f>INDEX('D&amp;C Vols'!$A$32:$J$38,MATCH($C27,'D&amp;C Vols'!$A$32:$A$38,0),MATCH(H$3,'D&amp;C Vols'!$A$32:$J$32,0))</f>
        <v>6379864.2657115711</v>
      </c>
      <c r="I27" s="56">
        <f>INDEX('D&amp;C Vols'!$A$32:$J$38,MATCH($C27,'D&amp;C Vols'!$A$32:$A$38,0),MATCH(I$3,'D&amp;C Vols'!$A$32:$J$32,0))</f>
        <v>6438474.7986052604</v>
      </c>
      <c r="J27" s="56">
        <f>INDEX('D&amp;C Vols'!$A$32:$J$38,MATCH($C27,'D&amp;C Vols'!$A$32:$A$38,0),MATCH(J$3,'D&amp;C Vols'!$A$32:$J$32,0))</f>
        <v>6489318.5690142978</v>
      </c>
      <c r="M27" s="517"/>
    </row>
    <row r="28" spans="2:13" s="39" customFormat="1" ht="13.15" x14ac:dyDescent="0.4">
      <c r="C28" s="80" t="str">
        <f>'D&amp;C Vols'!A38</f>
        <v>Manholes</v>
      </c>
      <c r="D28" s="56">
        <f>INDEX('D&amp;C Vols'!$A$32:$J$38,MATCH($C28,'D&amp;C Vols'!$A$32:$A$38,0),MATCH(D$3,'D&amp;C Vols'!$A$32:$J$32,0))</f>
        <v>196131.16066265781</v>
      </c>
      <c r="E28" s="56">
        <f>INDEX('D&amp;C Vols'!$A$32:$J$38,MATCH($C28,'D&amp;C Vols'!$A$32:$A$38,0),MATCH(E$3,'D&amp;C Vols'!$A$32:$J$32,0))</f>
        <v>196162.5814241551</v>
      </c>
      <c r="F28" s="56">
        <f>INDEX('D&amp;C Vols'!$A$32:$J$38,MATCH($C28,'D&amp;C Vols'!$A$32:$A$38,0),MATCH(F$3,'D&amp;C Vols'!$A$32:$J$32,0))</f>
        <v>196165.75493636591</v>
      </c>
      <c r="G28" s="56">
        <f>INDEX('D&amp;C Vols'!$A$32:$J$38,MATCH($C28,'D&amp;C Vols'!$A$32:$A$38,0),MATCH(G$3,'D&amp;C Vols'!$A$32:$J$32,0))</f>
        <v>196174.30990984692</v>
      </c>
      <c r="H28" s="56">
        <f>INDEX('D&amp;C Vols'!$A$32:$J$38,MATCH($C28,'D&amp;C Vols'!$A$32:$A$38,0),MATCH(H$3,'D&amp;C Vols'!$A$32:$J$32,0))</f>
        <v>196184.46041926922</v>
      </c>
      <c r="I28" s="56">
        <f>INDEX('D&amp;C Vols'!$A$32:$J$38,MATCH($C28,'D&amp;C Vols'!$A$32:$A$38,0),MATCH(I$3,'D&amp;C Vols'!$A$32:$J$32,0))</f>
        <v>196193.47851966909</v>
      </c>
      <c r="J28" s="56">
        <f>INDEX('D&amp;C Vols'!$A$32:$J$38,MATCH($C28,'D&amp;C Vols'!$A$32:$A$38,0),MATCH(J$3,'D&amp;C Vols'!$A$32:$J$32,0))</f>
        <v>196202.37265391165</v>
      </c>
      <c r="M28" s="517"/>
    </row>
    <row r="29" spans="2:13" s="39" customFormat="1" ht="13.15" x14ac:dyDescent="0.4">
      <c r="C29" s="80"/>
      <c r="M29" s="199"/>
    </row>
    <row r="30" spans="2:13" s="39" customFormat="1" ht="13.15" x14ac:dyDescent="0.4">
      <c r="B30" s="39" t="s">
        <v>2</v>
      </c>
      <c r="C30" s="80"/>
      <c r="D30" s="78">
        <f>'Parameters and Assumptions'!D4</f>
        <v>8.1000000000000003E-2</v>
      </c>
      <c r="E30" s="78">
        <f>'Parameters and Assumptions'!E4</f>
        <v>7.0000000000000007E-2</v>
      </c>
      <c r="F30" s="78">
        <f>'Parameters and Assumptions'!F4</f>
        <v>7.0000000000000007E-2</v>
      </c>
      <c r="G30" s="78">
        <f>'Parameters and Assumptions'!G4</f>
        <v>7.0000000000000007E-2</v>
      </c>
      <c r="H30" s="78">
        <f>'Parameters and Assumptions'!H4</f>
        <v>7.0000000000000007E-2</v>
      </c>
      <c r="I30" s="78">
        <f>'Parameters and Assumptions'!I4</f>
        <v>7.0000000000000007E-2</v>
      </c>
      <c r="J30" s="78">
        <f>'Parameters and Assumptions'!J4</f>
        <v>7.0000000000000007E-2</v>
      </c>
      <c r="M30" s="189"/>
    </row>
    <row r="31" spans="2:13" s="39" customFormat="1" ht="13.15" x14ac:dyDescent="0.4">
      <c r="M31" s="199"/>
    </row>
    <row r="32" spans="2:13" s="39" customFormat="1" ht="13.15" x14ac:dyDescent="0.4">
      <c r="B32" s="39" t="s">
        <v>454</v>
      </c>
      <c r="D32" s="45" t="str">
        <f t="shared" ref="D32:J32" si="2">D3</f>
        <v>2019/20</v>
      </c>
      <c r="E32" s="45" t="str">
        <f t="shared" si="2"/>
        <v>2020/21</v>
      </c>
      <c r="F32" s="45" t="str">
        <f t="shared" si="2"/>
        <v>2021/22</v>
      </c>
      <c r="G32" s="45" t="str">
        <f t="shared" si="2"/>
        <v>2022/23</v>
      </c>
      <c r="H32" s="45" t="str">
        <f t="shared" si="2"/>
        <v>2023/24</v>
      </c>
      <c r="I32" s="45" t="str">
        <f t="shared" si="2"/>
        <v>2024/25</v>
      </c>
      <c r="J32" s="45" t="str">
        <f t="shared" si="2"/>
        <v>2025/26</v>
      </c>
      <c r="M32" s="199"/>
    </row>
    <row r="33" spans="2:15" s="39" customFormat="1" ht="13.15" x14ac:dyDescent="0.4">
      <c r="C33" s="80" t="str">
        <f>C5</f>
        <v>Lead-in duct</v>
      </c>
      <c r="D33" s="84">
        <f>'Parameters and Assumptions'!D24</f>
        <v>1</v>
      </c>
      <c r="E33" s="83">
        <f>$D33</f>
        <v>1</v>
      </c>
      <c r="F33" s="83">
        <f t="shared" ref="F33:J33" si="3">$D33</f>
        <v>1</v>
      </c>
      <c r="G33" s="83">
        <f t="shared" si="3"/>
        <v>1</v>
      </c>
      <c r="H33" s="83">
        <f t="shared" si="3"/>
        <v>1</v>
      </c>
      <c r="I33" s="83">
        <f t="shared" si="3"/>
        <v>1</v>
      </c>
      <c r="J33" s="83">
        <f t="shared" si="3"/>
        <v>1</v>
      </c>
      <c r="K33" s="83"/>
      <c r="M33" s="518"/>
      <c r="O33" s="70" t="s">
        <v>455</v>
      </c>
    </row>
    <row r="34" spans="2:15" s="39" customFormat="1" ht="13.15" x14ac:dyDescent="0.4">
      <c r="C34" s="80" t="str">
        <f t="shared" ref="C34:C38" si="4">C6</f>
        <v>Spine duct – single bore</v>
      </c>
      <c r="D34" s="84">
        <f>'Parameters and Assumptions'!D25</f>
        <v>0.5</v>
      </c>
      <c r="E34" s="83">
        <f t="shared" ref="E34:J38" si="5">$D34</f>
        <v>0.5</v>
      </c>
      <c r="F34" s="83">
        <f t="shared" si="5"/>
        <v>0.5</v>
      </c>
      <c r="G34" s="83">
        <f t="shared" si="5"/>
        <v>0.5</v>
      </c>
      <c r="H34" s="83">
        <f t="shared" si="5"/>
        <v>0.5</v>
      </c>
      <c r="I34" s="83">
        <f t="shared" si="5"/>
        <v>0.5</v>
      </c>
      <c r="J34" s="83">
        <f t="shared" si="5"/>
        <v>0.5</v>
      </c>
      <c r="K34" s="83"/>
      <c r="M34" s="518"/>
      <c r="O34" s="329" t="s">
        <v>455</v>
      </c>
    </row>
    <row r="35" spans="2:15" s="39" customFormat="1" ht="13.15" x14ac:dyDescent="0.4">
      <c r="C35" s="80" t="str">
        <f t="shared" si="4"/>
        <v>Spine duct – 2 bores</v>
      </c>
      <c r="D35" s="84">
        <f>'Parameters and Assumptions'!D26</f>
        <v>0.25</v>
      </c>
      <c r="E35" s="83">
        <f t="shared" si="5"/>
        <v>0.25</v>
      </c>
      <c r="F35" s="83">
        <f t="shared" si="5"/>
        <v>0.25</v>
      </c>
      <c r="G35" s="83">
        <f t="shared" si="5"/>
        <v>0.25</v>
      </c>
      <c r="H35" s="83">
        <f t="shared" si="5"/>
        <v>0.25</v>
      </c>
      <c r="I35" s="83">
        <f t="shared" si="5"/>
        <v>0.25</v>
      </c>
      <c r="J35" s="83">
        <f t="shared" si="5"/>
        <v>0.25</v>
      </c>
      <c r="K35" s="83"/>
      <c r="M35" s="518"/>
      <c r="O35" s="329" t="s">
        <v>455</v>
      </c>
    </row>
    <row r="36" spans="2:15" s="39" customFormat="1" ht="13.15" x14ac:dyDescent="0.4">
      <c r="C36" s="80" t="str">
        <f t="shared" si="4"/>
        <v>Spine duct – 3+ bores</v>
      </c>
      <c r="D36" s="84">
        <f>'Parameters and Assumptions'!D27</f>
        <v>0.1</v>
      </c>
      <c r="E36" s="83">
        <f t="shared" si="5"/>
        <v>0.1</v>
      </c>
      <c r="F36" s="83">
        <f t="shared" si="5"/>
        <v>0.1</v>
      </c>
      <c r="G36" s="83">
        <f t="shared" si="5"/>
        <v>0.1</v>
      </c>
      <c r="H36" s="83">
        <f t="shared" si="5"/>
        <v>0.1</v>
      </c>
      <c r="I36" s="83">
        <f t="shared" si="5"/>
        <v>0.1</v>
      </c>
      <c r="J36" s="83">
        <f t="shared" si="5"/>
        <v>0.1</v>
      </c>
      <c r="K36" s="83"/>
      <c r="M36" s="518"/>
      <c r="O36" s="329" t="s">
        <v>455</v>
      </c>
    </row>
    <row r="37" spans="2:15" s="39" customFormat="1" ht="13.15" x14ac:dyDescent="0.4">
      <c r="C37" s="80" t="str">
        <f t="shared" si="4"/>
        <v>Joint boxes</v>
      </c>
      <c r="D37" s="84">
        <f>'Parameters and Assumptions'!D28</f>
        <v>0.15</v>
      </c>
      <c r="E37" s="83">
        <f t="shared" si="5"/>
        <v>0.15</v>
      </c>
      <c r="F37" s="83">
        <f t="shared" si="5"/>
        <v>0.15</v>
      </c>
      <c r="G37" s="83">
        <f t="shared" si="5"/>
        <v>0.15</v>
      </c>
      <c r="H37" s="83">
        <f t="shared" si="5"/>
        <v>0.15</v>
      </c>
      <c r="I37" s="83">
        <f t="shared" si="5"/>
        <v>0.15</v>
      </c>
      <c r="J37" s="83">
        <f t="shared" si="5"/>
        <v>0.15</v>
      </c>
      <c r="K37" s="83"/>
      <c r="M37" s="519"/>
      <c r="O37" s="329" t="s">
        <v>455</v>
      </c>
    </row>
    <row r="38" spans="2:15" s="39" customFormat="1" ht="13.15" x14ac:dyDescent="0.4">
      <c r="C38" s="80" t="str">
        <f t="shared" si="4"/>
        <v>Manholes</v>
      </c>
      <c r="D38" s="84">
        <f>'Parameters and Assumptions'!D29</f>
        <v>3.3000000000000002E-2</v>
      </c>
      <c r="E38" s="83">
        <f t="shared" si="5"/>
        <v>3.3000000000000002E-2</v>
      </c>
      <c r="F38" s="83">
        <f t="shared" si="5"/>
        <v>3.3000000000000002E-2</v>
      </c>
      <c r="G38" s="83">
        <f t="shared" si="5"/>
        <v>3.3000000000000002E-2</v>
      </c>
      <c r="H38" s="83">
        <f t="shared" si="5"/>
        <v>3.3000000000000002E-2</v>
      </c>
      <c r="I38" s="83">
        <f t="shared" si="5"/>
        <v>3.3000000000000002E-2</v>
      </c>
      <c r="J38" s="83">
        <f t="shared" si="5"/>
        <v>3.3000000000000002E-2</v>
      </c>
      <c r="K38" s="83"/>
      <c r="M38" s="519"/>
      <c r="O38" s="329" t="s">
        <v>455</v>
      </c>
    </row>
    <row r="39" spans="2:15" s="39" customFormat="1" ht="13.15" x14ac:dyDescent="0.4">
      <c r="M39" s="65"/>
    </row>
    <row r="40" spans="2:15" s="39" customFormat="1" ht="13.15" x14ac:dyDescent="0.4">
      <c r="B40" s="39" t="s">
        <v>94</v>
      </c>
      <c r="M40" s="65"/>
    </row>
    <row r="41" spans="2:15" s="39" customFormat="1" ht="13.15" x14ac:dyDescent="0.4">
      <c r="C41" s="80" t="str">
        <f>C37</f>
        <v>Joint boxes</v>
      </c>
      <c r="D41" s="324">
        <f>'Parameters and Assumptions'!D13</f>
        <v>0</v>
      </c>
      <c r="E41" s="80">
        <f>$D41</f>
        <v>0</v>
      </c>
      <c r="F41" s="324">
        <f t="shared" ref="F41:J42" si="6">$D41</f>
        <v>0</v>
      </c>
      <c r="G41" s="324">
        <f t="shared" si="6"/>
        <v>0</v>
      </c>
      <c r="H41" s="324">
        <f t="shared" si="6"/>
        <v>0</v>
      </c>
      <c r="I41" s="324">
        <f t="shared" si="6"/>
        <v>0</v>
      </c>
      <c r="J41" s="324">
        <f t="shared" si="6"/>
        <v>0</v>
      </c>
      <c r="K41" s="80"/>
      <c r="M41" s="520"/>
      <c r="O41" s="70" t="s">
        <v>279</v>
      </c>
    </row>
    <row r="42" spans="2:15" s="39" customFormat="1" ht="13.15" x14ac:dyDescent="0.4">
      <c r="C42" s="80" t="str">
        <f>C38</f>
        <v>Manholes</v>
      </c>
      <c r="D42" s="324">
        <f>'Parameters and Assumptions'!D14</f>
        <v>0</v>
      </c>
      <c r="E42" s="324">
        <f>$D42</f>
        <v>0</v>
      </c>
      <c r="F42" s="324">
        <f t="shared" si="6"/>
        <v>0</v>
      </c>
      <c r="G42" s="324">
        <f t="shared" si="6"/>
        <v>0</v>
      </c>
      <c r="H42" s="324">
        <f t="shared" si="6"/>
        <v>0</v>
      </c>
      <c r="I42" s="324">
        <f t="shared" si="6"/>
        <v>0</v>
      </c>
      <c r="J42" s="324">
        <f t="shared" si="6"/>
        <v>0</v>
      </c>
      <c r="K42" s="80"/>
      <c r="M42" s="520"/>
      <c r="O42" s="70" t="s">
        <v>279</v>
      </c>
    </row>
    <row r="43" spans="2:15" s="39" customFormat="1" ht="13.15" x14ac:dyDescent="0.4">
      <c r="C43" s="80"/>
      <c r="D43" s="80"/>
      <c r="E43" s="80"/>
      <c r="F43" s="80"/>
      <c r="G43" s="80"/>
      <c r="H43" s="80"/>
      <c r="I43" s="80"/>
      <c r="J43" s="80"/>
      <c r="K43" s="80"/>
      <c r="M43" s="520"/>
    </row>
    <row r="44" spans="2:15" s="58" customFormat="1" ht="26.25" x14ac:dyDescent="0.4">
      <c r="B44" s="58" t="s">
        <v>95</v>
      </c>
      <c r="C44" s="233"/>
      <c r="D44" s="152" t="str">
        <f>'Input data'!D4</f>
        <v>Published 01/04/2017</v>
      </c>
      <c r="E44" s="152" t="str">
        <f>'Input data'!E4</f>
        <v>Published 01/05/2018</v>
      </c>
      <c r="F44" s="152" t="str">
        <f>'Input data'!F4</f>
        <v>Published 01/04/2019</v>
      </c>
      <c r="G44" s="338" t="str">
        <f>'Input data'!G4</f>
        <v>Published 01/04/2020</v>
      </c>
      <c r="H44" s="80"/>
      <c r="I44" s="80"/>
      <c r="J44" s="80"/>
      <c r="M44" s="521"/>
    </row>
    <row r="45" spans="2:15" s="39" customFormat="1" ht="13.15" x14ac:dyDescent="0.4">
      <c r="C45" s="80" t="str">
        <f t="shared" ref="C45:C50" si="7">C33</f>
        <v>Lead-in duct</v>
      </c>
      <c r="D45" s="124">
        <f>'Input data'!D6</f>
        <v>0.84</v>
      </c>
      <c r="E45" s="124">
        <f>'Input data'!E6</f>
        <v>0.55000000000000004</v>
      </c>
      <c r="F45" s="124">
        <f>'Input data'!F6</f>
        <v>0.56000000000000005</v>
      </c>
      <c r="G45" s="124">
        <f>'Input data'!G6</f>
        <v>0.56000000000000005</v>
      </c>
      <c r="H45" s="80"/>
      <c r="I45" s="80"/>
      <c r="J45" s="80"/>
      <c r="M45" s="522"/>
    </row>
    <row r="46" spans="2:15" s="39" customFormat="1" ht="13.15" x14ac:dyDescent="0.4">
      <c r="C46" s="80" t="str">
        <f t="shared" si="7"/>
        <v>Spine duct – single bore</v>
      </c>
      <c r="D46" s="124">
        <f>'Input data'!D7</f>
        <v>0.6</v>
      </c>
      <c r="E46" s="124">
        <f>'Input data'!E7</f>
        <v>0.28000000000000003</v>
      </c>
      <c r="F46" s="124">
        <f>'Input data'!F7</f>
        <v>0.28000000000000003</v>
      </c>
      <c r="G46" s="124">
        <f>'Input data'!G7</f>
        <v>0.28999999999999998</v>
      </c>
      <c r="H46" s="80"/>
      <c r="I46" s="80"/>
      <c r="J46" s="80"/>
      <c r="M46" s="522"/>
    </row>
    <row r="47" spans="2:15" s="39" customFormat="1" ht="13.15" x14ac:dyDescent="0.4">
      <c r="C47" s="80" t="str">
        <f t="shared" si="7"/>
        <v>Spine duct – 2 bores</v>
      </c>
      <c r="D47" s="124">
        <f>'Input data'!D8</f>
        <v>0.43</v>
      </c>
      <c r="E47" s="124">
        <f>'Input data'!E8</f>
        <v>0.18</v>
      </c>
      <c r="F47" s="124">
        <f>'Input data'!F8</f>
        <v>0.18</v>
      </c>
      <c r="G47" s="124">
        <f>'Input data'!G8</f>
        <v>0.18</v>
      </c>
      <c r="H47" s="80"/>
      <c r="I47" s="80"/>
      <c r="J47" s="80"/>
      <c r="M47" s="522"/>
    </row>
    <row r="48" spans="2:15" s="39" customFormat="1" ht="13.15" x14ac:dyDescent="0.4">
      <c r="C48" s="80" t="str">
        <f t="shared" si="7"/>
        <v>Spine duct – 3+ bores</v>
      </c>
      <c r="D48" s="124">
        <f>'Input data'!D9</f>
        <v>0.37</v>
      </c>
      <c r="E48" s="124">
        <f>'Input data'!E9</f>
        <v>0.13</v>
      </c>
      <c r="F48" s="124">
        <f>'Input data'!F9</f>
        <v>0.13</v>
      </c>
      <c r="G48" s="124">
        <f>'Input data'!G9</f>
        <v>0.13</v>
      </c>
      <c r="H48" s="80"/>
      <c r="I48" s="80"/>
      <c r="J48" s="80"/>
      <c r="M48" s="522"/>
    </row>
    <row r="49" spans="2:15" s="39" customFormat="1" ht="13.15" x14ac:dyDescent="0.4">
      <c r="C49" s="80" t="str">
        <f t="shared" si="7"/>
        <v>Joint boxes</v>
      </c>
      <c r="D49" s="124">
        <f>'Input data'!D10</f>
        <v>5.1100000000000003</v>
      </c>
      <c r="E49" s="124">
        <f>'Input data'!E10</f>
        <v>2.0099999999999998</v>
      </c>
      <c r="F49" s="124">
        <f>'Input data'!F10</f>
        <v>2.0499999999999998</v>
      </c>
      <c r="G49" s="124">
        <f>'Input data'!G10</f>
        <v>2.08</v>
      </c>
      <c r="H49" s="80"/>
      <c r="I49" s="80"/>
      <c r="J49" s="80"/>
      <c r="M49" s="522"/>
    </row>
    <row r="50" spans="2:15" s="39" customFormat="1" ht="13.15" x14ac:dyDescent="0.4">
      <c r="C50" s="80" t="str">
        <f t="shared" si="7"/>
        <v>Manholes</v>
      </c>
      <c r="D50" s="124">
        <f>'Input data'!D11</f>
        <v>11.18</v>
      </c>
      <c r="E50" s="124">
        <f>'Input data'!E11</f>
        <v>8.34</v>
      </c>
      <c r="F50" s="124">
        <f>'Input data'!F11</f>
        <v>8.5399999999999991</v>
      </c>
      <c r="G50" s="124">
        <f>'Input data'!G11</f>
        <v>8.66</v>
      </c>
      <c r="H50" s="80"/>
      <c r="I50" s="80"/>
      <c r="J50" s="80"/>
      <c r="M50" s="522"/>
    </row>
    <row r="51" spans="2:15" s="39" customFormat="1" ht="13.15" x14ac:dyDescent="0.4">
      <c r="C51" s="80"/>
      <c r="D51" s="80"/>
      <c r="E51" s="80"/>
      <c r="F51" s="80"/>
      <c r="G51" s="80"/>
      <c r="H51" s="80"/>
      <c r="I51" s="80"/>
      <c r="J51" s="80"/>
      <c r="K51" s="80"/>
      <c r="M51" s="520"/>
    </row>
    <row r="52" spans="2:15" s="39" customFormat="1" ht="13.15" x14ac:dyDescent="0.4">
      <c r="B52" s="39" t="s">
        <v>252</v>
      </c>
      <c r="C52" s="80"/>
      <c r="D52" s="45" t="str">
        <f t="shared" ref="D52:J52" si="8">D32</f>
        <v>2019/20</v>
      </c>
      <c r="E52" s="45" t="str">
        <f t="shared" si="8"/>
        <v>2020/21</v>
      </c>
      <c r="F52" s="45" t="str">
        <f t="shared" si="8"/>
        <v>2021/22</v>
      </c>
      <c r="G52" s="45" t="str">
        <f t="shared" si="8"/>
        <v>2022/23</v>
      </c>
      <c r="H52" s="45" t="str">
        <f t="shared" si="8"/>
        <v>2023/24</v>
      </c>
      <c r="I52" s="45" t="str">
        <f t="shared" si="8"/>
        <v>2024/25</v>
      </c>
      <c r="J52" s="45" t="str">
        <f t="shared" si="8"/>
        <v>2025/26</v>
      </c>
      <c r="M52" s="520"/>
    </row>
    <row r="53" spans="2:15" s="39" customFormat="1" ht="13.15" x14ac:dyDescent="0.4">
      <c r="C53" s="80" t="str">
        <f t="shared" ref="C53:C58" si="9">C33</f>
        <v>Lead-in duct</v>
      </c>
      <c r="D53" s="235">
        <f>'Input data'!D22</f>
        <v>11.330265589952468</v>
      </c>
      <c r="E53" s="83">
        <f>$D53</f>
        <v>11.330265589952468</v>
      </c>
      <c r="F53" s="83">
        <f t="shared" ref="F53:J54" si="10">$D53</f>
        <v>11.330265589952468</v>
      </c>
      <c r="G53" s="83">
        <f t="shared" si="10"/>
        <v>11.330265589952468</v>
      </c>
      <c r="H53" s="83">
        <f t="shared" si="10"/>
        <v>11.330265589952468</v>
      </c>
      <c r="I53" s="83">
        <f t="shared" si="10"/>
        <v>11.330265589952468</v>
      </c>
      <c r="J53" s="83">
        <f t="shared" si="10"/>
        <v>11.330265589952468</v>
      </c>
      <c r="M53" s="520"/>
      <c r="O53" s="70" t="s">
        <v>287</v>
      </c>
    </row>
    <row r="54" spans="2:15" s="39" customFormat="1" ht="13.15" x14ac:dyDescent="0.4">
      <c r="C54" s="80" t="str">
        <f t="shared" si="9"/>
        <v>Spine duct – single bore</v>
      </c>
      <c r="D54" s="235">
        <f>'Input data'!D23</f>
        <v>10.362464591979981</v>
      </c>
      <c r="E54" s="83">
        <f>$D54</f>
        <v>10.362464591979981</v>
      </c>
      <c r="F54" s="83">
        <f t="shared" si="10"/>
        <v>10.362464591979981</v>
      </c>
      <c r="G54" s="83">
        <f t="shared" si="10"/>
        <v>10.362464591979981</v>
      </c>
      <c r="H54" s="83">
        <f t="shared" si="10"/>
        <v>10.362464591979981</v>
      </c>
      <c r="I54" s="83">
        <f t="shared" si="10"/>
        <v>10.362464591979981</v>
      </c>
      <c r="J54" s="83">
        <f t="shared" si="10"/>
        <v>10.362464591979981</v>
      </c>
      <c r="M54" s="199"/>
      <c r="O54" s="70" t="s">
        <v>287</v>
      </c>
    </row>
    <row r="55" spans="2:15" s="39" customFormat="1" ht="13.15" x14ac:dyDescent="0.4">
      <c r="C55" s="80" t="str">
        <f t="shared" si="9"/>
        <v>Spine duct – 2 bores</v>
      </c>
      <c r="D55" s="238">
        <v>0</v>
      </c>
      <c r="E55" s="238">
        <v>0</v>
      </c>
      <c r="F55" s="238">
        <v>0</v>
      </c>
      <c r="G55" s="238">
        <v>0</v>
      </c>
      <c r="H55" s="238">
        <v>0</v>
      </c>
      <c r="I55" s="238">
        <v>0</v>
      </c>
      <c r="J55" s="238">
        <v>0</v>
      </c>
      <c r="M55" s="199"/>
      <c r="O55" s="70" t="s">
        <v>280</v>
      </c>
    </row>
    <row r="56" spans="2:15" s="39" customFormat="1" ht="13.15" x14ac:dyDescent="0.4">
      <c r="C56" s="80" t="str">
        <f t="shared" si="9"/>
        <v>Spine duct – 3+ bores</v>
      </c>
      <c r="D56" s="238">
        <v>0</v>
      </c>
      <c r="E56" s="238">
        <v>0</v>
      </c>
      <c r="F56" s="238">
        <v>0</v>
      </c>
      <c r="G56" s="238">
        <v>0</v>
      </c>
      <c r="H56" s="238">
        <v>0</v>
      </c>
      <c r="I56" s="238">
        <v>0</v>
      </c>
      <c r="J56" s="238">
        <v>0</v>
      </c>
      <c r="M56" s="199"/>
      <c r="O56" s="70" t="s">
        <v>280</v>
      </c>
    </row>
    <row r="57" spans="2:15" s="39" customFormat="1" ht="13.15" x14ac:dyDescent="0.4">
      <c r="C57" s="80" t="str">
        <f t="shared" si="9"/>
        <v>Joint boxes</v>
      </c>
      <c r="D57" s="235">
        <f>'Input data'!D24</f>
        <v>0.40689955202738448</v>
      </c>
      <c r="E57" s="83">
        <f>$D57</f>
        <v>0.40689955202738448</v>
      </c>
      <c r="F57" s="83">
        <f t="shared" ref="F57:J57" si="11">$D57</f>
        <v>0.40689955202738448</v>
      </c>
      <c r="G57" s="83">
        <f t="shared" si="11"/>
        <v>0.40689955202738448</v>
      </c>
      <c r="H57" s="83">
        <f t="shared" si="11"/>
        <v>0.40689955202738448</v>
      </c>
      <c r="I57" s="83">
        <f t="shared" si="11"/>
        <v>0.40689955202738448</v>
      </c>
      <c r="J57" s="83">
        <f t="shared" si="11"/>
        <v>0.40689955202738448</v>
      </c>
      <c r="M57" s="199"/>
      <c r="O57" s="70" t="s">
        <v>287</v>
      </c>
    </row>
    <row r="58" spans="2:15" s="39" customFormat="1" ht="13.15" x14ac:dyDescent="0.4">
      <c r="C58" s="80" t="str">
        <f t="shared" si="9"/>
        <v>Manholes</v>
      </c>
      <c r="D58" s="238">
        <v>0</v>
      </c>
      <c r="E58" s="238">
        <v>0</v>
      </c>
      <c r="F58" s="238">
        <v>0</v>
      </c>
      <c r="G58" s="238">
        <v>0</v>
      </c>
      <c r="H58" s="238">
        <v>0</v>
      </c>
      <c r="I58" s="238">
        <v>0</v>
      </c>
      <c r="J58" s="238">
        <v>0</v>
      </c>
      <c r="M58" s="199"/>
      <c r="O58" s="70" t="s">
        <v>280</v>
      </c>
    </row>
    <row r="59" spans="2:15" s="39" customFormat="1" ht="13.15" x14ac:dyDescent="0.4">
      <c r="C59" s="80"/>
      <c r="D59" s="231"/>
      <c r="E59" s="80"/>
      <c r="F59" s="80"/>
      <c r="G59" s="232"/>
      <c r="H59" s="232"/>
      <c r="I59" s="232"/>
      <c r="J59" s="232"/>
      <c r="M59" s="199"/>
    </row>
    <row r="60" spans="2:15" s="39" customFormat="1" ht="13.15" x14ac:dyDescent="0.4">
      <c r="B60" s="39" t="s">
        <v>282</v>
      </c>
      <c r="C60" s="80"/>
      <c r="D60" s="231"/>
      <c r="E60" s="80"/>
      <c r="F60" s="80"/>
      <c r="G60" s="232"/>
      <c r="H60" s="232"/>
      <c r="I60" s="232"/>
      <c r="J60" s="232"/>
      <c r="M60" s="199"/>
    </row>
    <row r="61" spans="2:15" s="39" customFormat="1" ht="13.15" x14ac:dyDescent="0.4">
      <c r="C61" s="80" t="str">
        <f t="shared" ref="C61:C66" si="12">C33</f>
        <v>Lead-in duct</v>
      </c>
      <c r="D61" s="231"/>
      <c r="E61" s="80"/>
      <c r="F61" s="230">
        <f>1-Leadin_discount</f>
        <v>0.9</v>
      </c>
      <c r="G61" s="230">
        <f>1-Leadin_discount</f>
        <v>0.9</v>
      </c>
      <c r="H61" s="230">
        <f>1-Leadin_discount</f>
        <v>0.9</v>
      </c>
      <c r="I61" s="230">
        <f>1-Leadin_discount</f>
        <v>0.9</v>
      </c>
      <c r="J61" s="230">
        <f>1-Leadin_discount</f>
        <v>0.9</v>
      </c>
      <c r="M61" s="199"/>
      <c r="O61" s="70" t="s">
        <v>286</v>
      </c>
    </row>
    <row r="62" spans="2:15" s="39" customFormat="1" ht="13.15" x14ac:dyDescent="0.4">
      <c r="C62" s="80" t="str">
        <f t="shared" si="12"/>
        <v>Spine duct – single bore</v>
      </c>
      <c r="D62" s="231"/>
      <c r="E62" s="80"/>
      <c r="F62" s="230">
        <f>1-Single_bore_discount</f>
        <v>1</v>
      </c>
      <c r="G62" s="230">
        <f>1-Single_bore_discount</f>
        <v>1</v>
      </c>
      <c r="H62" s="230">
        <f>1-Single_bore_discount</f>
        <v>1</v>
      </c>
      <c r="I62" s="230">
        <f>1-Single_bore_discount</f>
        <v>1</v>
      </c>
      <c r="J62" s="230">
        <f>1-Single_bore_discount</f>
        <v>1</v>
      </c>
      <c r="M62" s="199"/>
      <c r="O62" s="70" t="s">
        <v>286</v>
      </c>
    </row>
    <row r="63" spans="2:15" s="39" customFormat="1" ht="13.15" x14ac:dyDescent="0.4">
      <c r="C63" s="80" t="str">
        <f t="shared" si="12"/>
        <v>Spine duct – 2 bores</v>
      </c>
      <c r="D63" s="231"/>
      <c r="E63" s="80"/>
      <c r="F63" s="238">
        <v>0</v>
      </c>
      <c r="G63" s="238">
        <v>0</v>
      </c>
      <c r="H63" s="238">
        <v>0</v>
      </c>
      <c r="I63" s="238">
        <v>0</v>
      </c>
      <c r="J63" s="238">
        <v>0</v>
      </c>
      <c r="M63" s="199"/>
      <c r="O63" s="70" t="s">
        <v>280</v>
      </c>
    </row>
    <row r="64" spans="2:15" s="39" customFormat="1" ht="13.15" x14ac:dyDescent="0.4">
      <c r="C64" s="80" t="str">
        <f t="shared" si="12"/>
        <v>Spine duct – 3+ bores</v>
      </c>
      <c r="D64" s="231"/>
      <c r="E64" s="80"/>
      <c r="F64" s="238">
        <v>0</v>
      </c>
      <c r="G64" s="238">
        <v>0</v>
      </c>
      <c r="H64" s="238">
        <v>0</v>
      </c>
      <c r="I64" s="238">
        <v>0</v>
      </c>
      <c r="J64" s="238">
        <v>0</v>
      </c>
      <c r="M64" s="199"/>
      <c r="O64" s="70" t="s">
        <v>280</v>
      </c>
    </row>
    <row r="65" spans="1:15" s="39" customFormat="1" ht="13.15" x14ac:dyDescent="0.4">
      <c r="C65" s="80" t="str">
        <f t="shared" si="12"/>
        <v>Joint boxes</v>
      </c>
      <c r="D65" s="231"/>
      <c r="E65" s="80"/>
      <c r="F65" s="230">
        <f>1-Junction_box_discount</f>
        <v>1</v>
      </c>
      <c r="G65" s="230">
        <f>1-Junction_box_discount</f>
        <v>1</v>
      </c>
      <c r="H65" s="230">
        <f>1-Junction_box_discount</f>
        <v>1</v>
      </c>
      <c r="I65" s="230">
        <f>1-Junction_box_discount</f>
        <v>1</v>
      </c>
      <c r="J65" s="230">
        <f>1-Junction_box_discount</f>
        <v>1</v>
      </c>
      <c r="M65" s="199"/>
      <c r="O65" s="70" t="s">
        <v>286</v>
      </c>
    </row>
    <row r="66" spans="1:15" s="39" customFormat="1" ht="13.15" x14ac:dyDescent="0.4">
      <c r="C66" s="80" t="str">
        <f t="shared" si="12"/>
        <v>Manholes</v>
      </c>
      <c r="D66" s="231"/>
      <c r="E66" s="80"/>
      <c r="F66" s="238">
        <v>0</v>
      </c>
      <c r="G66" s="238">
        <v>0</v>
      </c>
      <c r="H66" s="238">
        <v>0</v>
      </c>
      <c r="I66" s="238">
        <v>0</v>
      </c>
      <c r="J66" s="238">
        <v>0</v>
      </c>
      <c r="M66" s="199"/>
      <c r="O66" s="70" t="s">
        <v>280</v>
      </c>
    </row>
    <row r="67" spans="1:15" s="39" customFormat="1" ht="13.15" x14ac:dyDescent="0.4">
      <c r="C67" s="80"/>
      <c r="D67" s="231"/>
      <c r="E67" s="80"/>
      <c r="F67" s="230"/>
      <c r="G67" s="232"/>
      <c r="H67" s="232"/>
      <c r="I67" s="232"/>
      <c r="J67" s="232"/>
      <c r="M67" s="199"/>
    </row>
    <row r="68" spans="1:15" s="39" customFormat="1" ht="13.15" x14ac:dyDescent="0.4">
      <c r="C68" s="39" t="s">
        <v>281</v>
      </c>
      <c r="D68" s="124">
        <f>ROUND(SUMPRODUCT(F45:F50,D53:D58),2)</f>
        <v>10.08</v>
      </c>
      <c r="F68" s="80"/>
      <c r="G68" s="232"/>
      <c r="H68" s="232"/>
      <c r="I68" s="232"/>
      <c r="J68" s="232"/>
      <c r="M68" s="199"/>
    </row>
    <row r="69" spans="1:15" s="8" customFormat="1" ht="5.85" customHeight="1" thickBot="1" x14ac:dyDescent="0.5">
      <c r="A69" s="2"/>
      <c r="B69" s="2"/>
      <c r="C69" s="253"/>
      <c r="D69" s="253"/>
      <c r="E69" s="253"/>
      <c r="F69" s="253"/>
      <c r="G69" s="253"/>
      <c r="H69" s="253"/>
      <c r="I69" s="253"/>
      <c r="J69" s="253"/>
      <c r="K69" s="253"/>
      <c r="L69" s="253"/>
      <c r="M69" s="523"/>
      <c r="N69" s="253"/>
      <c r="O69" s="253"/>
    </row>
    <row r="70" spans="1:15" ht="5.85" customHeight="1" x14ac:dyDescent="0.45">
      <c r="M70" s="366"/>
    </row>
    <row r="71" spans="1:15" ht="15.75" x14ac:dyDescent="0.5">
      <c r="A71" s="12" t="s">
        <v>249</v>
      </c>
      <c r="D71" s="45" t="str">
        <f t="shared" ref="D71:J71" si="13">D32</f>
        <v>2019/20</v>
      </c>
      <c r="E71" s="45" t="str">
        <f t="shared" si="13"/>
        <v>2020/21</v>
      </c>
      <c r="F71" s="45" t="str">
        <f t="shared" si="13"/>
        <v>2021/22</v>
      </c>
      <c r="G71" s="45" t="str">
        <f t="shared" si="13"/>
        <v>2022/23</v>
      </c>
      <c r="H71" s="45" t="str">
        <f t="shared" si="13"/>
        <v>2023/24</v>
      </c>
      <c r="I71" s="45" t="str">
        <f t="shared" si="13"/>
        <v>2024/25</v>
      </c>
      <c r="J71" s="45" t="str">
        <f t="shared" si="13"/>
        <v>2025/26</v>
      </c>
      <c r="M71" s="268"/>
    </row>
    <row r="72" spans="1:15" ht="7.5" customHeight="1" x14ac:dyDescent="0.45">
      <c r="M72" s="366"/>
    </row>
    <row r="73" spans="1:15" s="39" customFormat="1" ht="13.15" x14ac:dyDescent="0.4">
      <c r="B73" s="39" t="s">
        <v>3</v>
      </c>
      <c r="C73" s="80" t="str">
        <f t="shared" ref="C73:C78" si="14">C33</f>
        <v>Lead-in duct</v>
      </c>
      <c r="D73" s="74">
        <f>D5+D14*D$30</f>
        <v>55.443012258694964</v>
      </c>
      <c r="E73" s="74">
        <f t="shared" ref="D73:J78" si="15">E5+E14*E$30</f>
        <v>60.155721941641431</v>
      </c>
      <c r="F73" s="74">
        <f t="shared" si="15"/>
        <v>60.171089422460881</v>
      </c>
      <c r="G73" s="74">
        <f t="shared" si="15"/>
        <v>60.311400701961176</v>
      </c>
      <c r="H73" s="74">
        <f t="shared" si="15"/>
        <v>58.366575151659198</v>
      </c>
      <c r="I73" s="74">
        <f t="shared" si="15"/>
        <v>59.600774801031768</v>
      </c>
      <c r="J73" s="74">
        <f>J5+J14*J$30</f>
        <v>63.087304873995762</v>
      </c>
      <c r="M73" s="208"/>
    </row>
    <row r="74" spans="1:15" s="39" customFormat="1" ht="13.15" x14ac:dyDescent="0.4">
      <c r="C74" s="80" t="str">
        <f t="shared" si="14"/>
        <v>Spine duct – single bore</v>
      </c>
      <c r="D74" s="74">
        <f t="shared" si="15"/>
        <v>217.28709984839483</v>
      </c>
      <c r="E74" s="74">
        <f t="shared" si="15"/>
        <v>235.83237914060851</v>
      </c>
      <c r="F74" s="74">
        <f t="shared" si="15"/>
        <v>235.96264087452167</v>
      </c>
      <c r="G74" s="74">
        <f t="shared" si="15"/>
        <v>236.60057206985755</v>
      </c>
      <c r="H74" s="74">
        <f t="shared" si="15"/>
        <v>229.03930226865538</v>
      </c>
      <c r="I74" s="74">
        <f t="shared" si="15"/>
        <v>233.95175981917541</v>
      </c>
      <c r="J74" s="74">
        <f t="shared" si="15"/>
        <v>247.71932475239245</v>
      </c>
      <c r="M74" s="208"/>
    </row>
    <row r="75" spans="1:15" s="39" customFormat="1" ht="13.15" x14ac:dyDescent="0.4">
      <c r="C75" s="80" t="str">
        <f t="shared" si="14"/>
        <v>Spine duct – 2 bores</v>
      </c>
      <c r="D75" s="74">
        <f t="shared" si="15"/>
        <v>57.777099718247342</v>
      </c>
      <c r="E75" s="74">
        <f t="shared" si="15"/>
        <v>62.977824350929922</v>
      </c>
      <c r="F75" s="74">
        <f t="shared" si="15"/>
        <v>63.202025686671078</v>
      </c>
      <c r="G75" s="74">
        <f t="shared" si="15"/>
        <v>63.549656182558834</v>
      </c>
      <c r="H75" s="74">
        <f t="shared" si="15"/>
        <v>61.537043517048581</v>
      </c>
      <c r="I75" s="74">
        <f t="shared" si="15"/>
        <v>62.812231399898543</v>
      </c>
      <c r="J75" s="74">
        <f t="shared" si="15"/>
        <v>66.479328347714031</v>
      </c>
      <c r="M75" s="208"/>
    </row>
    <row r="76" spans="1:15" s="39" customFormat="1" ht="13.15" x14ac:dyDescent="0.4">
      <c r="C76" s="80" t="str">
        <f t="shared" si="14"/>
        <v>Spine duct – 3+ bores</v>
      </c>
      <c r="D76" s="74">
        <f>D8+D17*D$30</f>
        <v>88.766183857875944</v>
      </c>
      <c r="E76" s="74">
        <f t="shared" si="15"/>
        <v>95.054353591140867</v>
      </c>
      <c r="F76" s="74">
        <f t="shared" si="15"/>
        <v>93.854463635202876</v>
      </c>
      <c r="G76" s="74">
        <f t="shared" si="15"/>
        <v>92.476660407297842</v>
      </c>
      <c r="H76" s="74">
        <f t="shared" si="15"/>
        <v>88.131722707790004</v>
      </c>
      <c r="I76" s="74">
        <f t="shared" si="15"/>
        <v>88.543041457418184</v>
      </c>
      <c r="J76" s="74">
        <f t="shared" si="15"/>
        <v>92.029365591176543</v>
      </c>
      <c r="M76" s="208"/>
    </row>
    <row r="77" spans="1:15" s="39" customFormat="1" ht="13.15" x14ac:dyDescent="0.4">
      <c r="C77" s="80" t="str">
        <f t="shared" si="14"/>
        <v>Joint boxes</v>
      </c>
      <c r="D77" s="74">
        <f t="shared" si="15"/>
        <v>102.14585237134165</v>
      </c>
      <c r="E77" s="74">
        <f t="shared" si="15"/>
        <v>110.15105771102992</v>
      </c>
      <c r="F77" s="74">
        <f t="shared" si="15"/>
        <v>109.52945324426724</v>
      </c>
      <c r="G77" s="74">
        <f t="shared" si="15"/>
        <v>108.94380732078456</v>
      </c>
      <c r="H77" s="74">
        <f t="shared" si="15"/>
        <v>104.69394880600262</v>
      </c>
      <c r="I77" s="74">
        <f t="shared" si="15"/>
        <v>106.14999048349884</v>
      </c>
      <c r="J77" s="74">
        <f t="shared" si="15"/>
        <v>111.50126521621775</v>
      </c>
      <c r="M77" s="527"/>
    </row>
    <row r="78" spans="1:15" s="39" customFormat="1" ht="13.15" x14ac:dyDescent="0.4">
      <c r="C78" s="81" t="str">
        <f t="shared" si="14"/>
        <v>Manholes</v>
      </c>
      <c r="D78" s="77">
        <f t="shared" si="15"/>
        <v>68.059198162547361</v>
      </c>
      <c r="E78" s="77">
        <f t="shared" si="15"/>
        <v>73.071520850822196</v>
      </c>
      <c r="F78" s="77">
        <f t="shared" si="15"/>
        <v>72.324102280669251</v>
      </c>
      <c r="G78" s="77">
        <f t="shared" si="15"/>
        <v>71.481023642704884</v>
      </c>
      <c r="H78" s="77">
        <f t="shared" si="15"/>
        <v>68.288818749455203</v>
      </c>
      <c r="I78" s="77">
        <f t="shared" si="15"/>
        <v>68.775280057899906</v>
      </c>
      <c r="J78" s="77">
        <f t="shared" si="15"/>
        <v>71.685975893835447</v>
      </c>
      <c r="M78" s="527"/>
    </row>
    <row r="79" spans="1:15" s="39" customFormat="1" ht="13.15" x14ac:dyDescent="0.4">
      <c r="C79" s="80" t="s">
        <v>0</v>
      </c>
      <c r="D79" s="74">
        <f>SUM(D73:D78)</f>
        <v>589.47844621710203</v>
      </c>
      <c r="E79" s="74">
        <f t="shared" ref="E79:J79" si="16">SUM(E73:E78)</f>
        <v>637.24285758617293</v>
      </c>
      <c r="F79" s="74">
        <f t="shared" si="16"/>
        <v>635.04377514379303</v>
      </c>
      <c r="G79" s="74">
        <f t="shared" si="16"/>
        <v>633.3631203251648</v>
      </c>
      <c r="H79" s="74">
        <f t="shared" si="16"/>
        <v>610.057411200611</v>
      </c>
      <c r="I79" s="74">
        <f t="shared" si="16"/>
        <v>619.83307801892261</v>
      </c>
      <c r="J79" s="74">
        <f t="shared" si="16"/>
        <v>652.502564675332</v>
      </c>
      <c r="M79" s="527"/>
    </row>
    <row r="80" spans="1:15" s="39" customFormat="1" ht="13.15" x14ac:dyDescent="0.4">
      <c r="C80" s="80"/>
      <c r="D80" s="114" t="b">
        <f>IF(ABS(SUM(D73:D78)-(D11+D20*D30))&lt;0.00001,TRUE,FALSE)</f>
        <v>1</v>
      </c>
      <c r="E80" s="114" t="b">
        <f t="shared" ref="E80:J80" si="17">IF(ABS(SUM(E73:E78)-(E11+E20*E30))&lt;0.00001,TRUE,FALSE)</f>
        <v>1</v>
      </c>
      <c r="F80" s="114" t="b">
        <f t="shared" si="17"/>
        <v>1</v>
      </c>
      <c r="G80" s="114" t="b">
        <f t="shared" si="17"/>
        <v>1</v>
      </c>
      <c r="H80" s="114" t="b">
        <f t="shared" si="17"/>
        <v>1</v>
      </c>
      <c r="I80" s="114" t="b">
        <f t="shared" si="17"/>
        <v>1</v>
      </c>
      <c r="J80" s="114" t="b">
        <f t="shared" si="17"/>
        <v>1</v>
      </c>
      <c r="M80" s="199"/>
    </row>
    <row r="81" spans="2:17" s="39" customFormat="1" ht="11.65" customHeight="1" x14ac:dyDescent="0.4">
      <c r="C81" s="80"/>
      <c r="D81" s="324"/>
      <c r="E81" s="324"/>
      <c r="F81" s="324"/>
      <c r="G81" s="324"/>
      <c r="H81" s="324"/>
      <c r="I81" s="324"/>
      <c r="J81" s="324"/>
      <c r="K81" s="324"/>
      <c r="L81" s="324"/>
      <c r="M81" s="199"/>
    </row>
    <row r="82" spans="2:17" s="39" customFormat="1" ht="13.15" x14ac:dyDescent="0.4">
      <c r="B82" s="39" t="s">
        <v>16</v>
      </c>
      <c r="C82" s="80" t="str">
        <f t="shared" ref="C82:C87" si="18">C33</f>
        <v>Lead-in duct</v>
      </c>
      <c r="D82" s="112">
        <f>D73*Thousand/D23</f>
        <v>0.58937095815233953</v>
      </c>
      <c r="E82" s="112">
        <f t="shared" ref="D82:J85" si="19">E73*Thousand/E23</f>
        <v>0.634980417798931</v>
      </c>
      <c r="F82" s="112">
        <f t="shared" si="19"/>
        <v>0.62948432800774512</v>
      </c>
      <c r="G82" s="112">
        <f t="shared" si="19"/>
        <v>0.62402900423886287</v>
      </c>
      <c r="H82" s="112">
        <f>H73*Thousand/H23</f>
        <v>0.59581645866749267</v>
      </c>
      <c r="I82" s="112">
        <f t="shared" si="19"/>
        <v>0.60020839595721409</v>
      </c>
      <c r="J82" s="112">
        <f t="shared" si="19"/>
        <v>0.62874735698849682</v>
      </c>
      <c r="L82" s="237"/>
      <c r="M82" s="261"/>
      <c r="O82" s="70" t="s">
        <v>303</v>
      </c>
    </row>
    <row r="83" spans="2:17" s="39" customFormat="1" ht="13.15" x14ac:dyDescent="0.4">
      <c r="C83" s="80" t="str">
        <f t="shared" si="18"/>
        <v>Spine duct – single bore</v>
      </c>
      <c r="D83" s="112">
        <f t="shared" si="19"/>
        <v>0.69393119634796319</v>
      </c>
      <c r="E83" s="112">
        <f t="shared" si="19"/>
        <v>0.74787217617766855</v>
      </c>
      <c r="F83" s="112">
        <f t="shared" si="19"/>
        <v>0.74161900438974493</v>
      </c>
      <c r="G83" s="112">
        <f t="shared" si="19"/>
        <v>0.73546448515750962</v>
      </c>
      <c r="H83" s="112">
        <f t="shared" si="19"/>
        <v>0.70242320796468216</v>
      </c>
      <c r="I83" s="112">
        <f t="shared" si="19"/>
        <v>0.70781055030324547</v>
      </c>
      <c r="J83" s="112">
        <f t="shared" si="19"/>
        <v>0.74171086386498519</v>
      </c>
      <c r="L83" s="237"/>
      <c r="M83" s="261"/>
      <c r="O83" s="70" t="s">
        <v>303</v>
      </c>
    </row>
    <row r="84" spans="2:17" s="39" customFormat="1" ht="13.15" x14ac:dyDescent="0.4">
      <c r="C84" s="80" t="str">
        <f t="shared" si="18"/>
        <v>Spine duct – 2 bores</v>
      </c>
      <c r="D84" s="112">
        <f t="shared" si="19"/>
        <v>0.89327951355341018</v>
      </c>
      <c r="E84" s="112">
        <f t="shared" si="19"/>
        <v>0.97303335621111209</v>
      </c>
      <c r="F84" s="112">
        <f t="shared" si="19"/>
        <v>0.97604288630755531</v>
      </c>
      <c r="G84" s="112">
        <f t="shared" si="19"/>
        <v>0.98081750676921731</v>
      </c>
      <c r="H84" s="112">
        <f t="shared" si="19"/>
        <v>0.94926195207238584</v>
      </c>
      <c r="I84" s="112">
        <f t="shared" si="19"/>
        <v>0.96821407063787324</v>
      </c>
      <c r="J84" s="112">
        <f t="shared" si="19"/>
        <v>1.0240620932148434</v>
      </c>
      <c r="L84" s="237"/>
      <c r="M84" s="261"/>
      <c r="O84" s="70" t="s">
        <v>303</v>
      </c>
      <c r="Q84" s="199"/>
    </row>
    <row r="85" spans="2:17" s="39" customFormat="1" ht="13.15" x14ac:dyDescent="0.4">
      <c r="C85" s="80" t="str">
        <f t="shared" si="18"/>
        <v>Spine duct – 3+ bores</v>
      </c>
      <c r="D85" s="112">
        <f>D76*Thousand/D26</f>
        <v>1.4517202508161233</v>
      </c>
      <c r="E85" s="112">
        <f t="shared" si="19"/>
        <v>1.5543390213009156</v>
      </c>
      <c r="F85" s="112">
        <f t="shared" si="19"/>
        <v>1.5346248201477082</v>
      </c>
      <c r="G85" s="112">
        <f t="shared" si="19"/>
        <v>1.5120257042102612</v>
      </c>
      <c r="H85" s="112">
        <f t="shared" si="19"/>
        <v>1.4408971740481198</v>
      </c>
      <c r="I85" s="112">
        <f t="shared" si="19"/>
        <v>1.4475560693932648</v>
      </c>
      <c r="J85" s="112">
        <f t="shared" si="19"/>
        <v>1.5044933447633839</v>
      </c>
      <c r="L85" s="237"/>
      <c r="M85" s="261"/>
      <c r="O85" s="70" t="s">
        <v>303</v>
      </c>
    </row>
    <row r="86" spans="2:17" s="39" customFormat="1" ht="13.15" x14ac:dyDescent="0.4">
      <c r="C86" s="80" t="str">
        <f t="shared" si="18"/>
        <v>Joint boxes</v>
      </c>
      <c r="D86" s="237">
        <f>D77*Million*(1-D41)/D27</f>
        <v>16.402338449974458</v>
      </c>
      <c r="E86" s="237">
        <f t="shared" ref="D86:J87" si="20">E77*Million*(1-E41)/E27</f>
        <v>17.630117469361657</v>
      </c>
      <c r="F86" s="237">
        <f t="shared" si="20"/>
        <v>17.430587329832225</v>
      </c>
      <c r="G86" s="237">
        <f t="shared" si="20"/>
        <v>17.210783919495963</v>
      </c>
      <c r="H86" s="237">
        <f t="shared" si="20"/>
        <v>16.410058967661389</v>
      </c>
      <c r="I86" s="237">
        <f t="shared" si="20"/>
        <v>16.486822392547637</v>
      </c>
      <c r="J86" s="237">
        <f t="shared" si="20"/>
        <v>17.182276387018913</v>
      </c>
      <c r="L86" s="237"/>
      <c r="M86" s="524"/>
      <c r="O86" s="70" t="s">
        <v>294</v>
      </c>
    </row>
    <row r="87" spans="2:17" s="39" customFormat="1" ht="13.15" x14ac:dyDescent="0.4">
      <c r="C87" s="80" t="str">
        <f t="shared" si="18"/>
        <v>Manholes</v>
      </c>
      <c r="D87" s="237">
        <f t="shared" si="20"/>
        <v>347.00859329338289</v>
      </c>
      <c r="E87" s="237">
        <f t="shared" si="20"/>
        <v>372.5048901799592</v>
      </c>
      <c r="F87" s="237">
        <f t="shared" si="20"/>
        <v>368.68872604257774</v>
      </c>
      <c r="G87" s="237">
        <f t="shared" si="20"/>
        <v>364.37504826984951</v>
      </c>
      <c r="H87" s="237">
        <f t="shared" si="20"/>
        <v>348.08474944199952</v>
      </c>
      <c r="I87" s="237">
        <f t="shared" si="20"/>
        <v>350.5482474587194</v>
      </c>
      <c r="J87" s="237">
        <f t="shared" si="20"/>
        <v>365.36752804862806</v>
      </c>
      <c r="L87" s="237"/>
      <c r="M87" s="524"/>
      <c r="O87" s="70" t="s">
        <v>295</v>
      </c>
    </row>
    <row r="88" spans="2:17" s="39" customFormat="1" ht="7.15" customHeight="1" x14ac:dyDescent="0.4">
      <c r="C88" s="80"/>
      <c r="D88" s="478"/>
      <c r="E88" s="478"/>
      <c r="F88" s="478"/>
      <c r="G88" s="478"/>
      <c r="H88" s="478"/>
      <c r="I88" s="478"/>
      <c r="J88" s="478"/>
      <c r="M88" s="199"/>
    </row>
    <row r="89" spans="2:17" s="39" customFormat="1" ht="13.15" x14ac:dyDescent="0.4">
      <c r="B89" s="39" t="s">
        <v>250</v>
      </c>
      <c r="C89" s="80" t="str">
        <f t="shared" ref="C89:C94" si="21">C33</f>
        <v>Lead-in duct</v>
      </c>
      <c r="D89" s="89">
        <f>D82*D33</f>
        <v>0.58937095815233953</v>
      </c>
      <c r="E89" s="89">
        <f t="shared" ref="D89:J94" si="22">E82*E33</f>
        <v>0.634980417798931</v>
      </c>
      <c r="F89" s="89">
        <f t="shared" si="22"/>
        <v>0.62948432800774512</v>
      </c>
      <c r="G89" s="89">
        <f t="shared" si="22"/>
        <v>0.62402900423886287</v>
      </c>
      <c r="H89" s="89">
        <f>H82*H33</f>
        <v>0.59581645866749267</v>
      </c>
      <c r="I89" s="89">
        <f t="shared" si="22"/>
        <v>0.60020839595721409</v>
      </c>
      <c r="J89" s="89">
        <f t="shared" si="22"/>
        <v>0.62874735698849682</v>
      </c>
      <c r="M89" s="522"/>
      <c r="O89" s="428"/>
    </row>
    <row r="90" spans="2:17" s="39" customFormat="1" ht="13.15" x14ac:dyDescent="0.4">
      <c r="C90" s="80" t="str">
        <f t="shared" si="21"/>
        <v>Spine duct – single bore</v>
      </c>
      <c r="D90" s="89">
        <f>D83*D34</f>
        <v>0.34696559817398159</v>
      </c>
      <c r="E90" s="89">
        <f t="shared" si="22"/>
        <v>0.37393608808883427</v>
      </c>
      <c r="F90" s="89">
        <f t="shared" si="22"/>
        <v>0.37080950219487246</v>
      </c>
      <c r="G90" s="89">
        <f t="shared" si="22"/>
        <v>0.36773224257875481</v>
      </c>
      <c r="H90" s="89">
        <f t="shared" si="22"/>
        <v>0.35121160398234108</v>
      </c>
      <c r="I90" s="89">
        <f t="shared" si="22"/>
        <v>0.35390527515162273</v>
      </c>
      <c r="J90" s="89">
        <f t="shared" si="22"/>
        <v>0.3708554319324926</v>
      </c>
      <c r="M90" s="522"/>
      <c r="O90" s="428"/>
    </row>
    <row r="91" spans="2:17" s="39" customFormat="1" ht="13.15" x14ac:dyDescent="0.4">
      <c r="C91" s="80" t="str">
        <f t="shared" si="21"/>
        <v>Spine duct – 2 bores</v>
      </c>
      <c r="D91" s="89">
        <f t="shared" si="22"/>
        <v>0.22331987838835254</v>
      </c>
      <c r="E91" s="89">
        <f t="shared" si="22"/>
        <v>0.24325833905277802</v>
      </c>
      <c r="F91" s="89">
        <f t="shared" si="22"/>
        <v>0.24401072157688883</v>
      </c>
      <c r="G91" s="89">
        <f t="shared" si="22"/>
        <v>0.24520437669230433</v>
      </c>
      <c r="H91" s="89">
        <f t="shared" si="22"/>
        <v>0.23731548801809646</v>
      </c>
      <c r="I91" s="89">
        <f t="shared" si="22"/>
        <v>0.24205351765946831</v>
      </c>
      <c r="J91" s="89">
        <f t="shared" si="22"/>
        <v>0.25601552330371086</v>
      </c>
      <c r="M91" s="522"/>
      <c r="O91" s="428"/>
    </row>
    <row r="92" spans="2:17" s="39" customFormat="1" ht="13.15" x14ac:dyDescent="0.4">
      <c r="C92" s="80" t="str">
        <f t="shared" si="21"/>
        <v>Spine duct – 3+ bores</v>
      </c>
      <c r="D92" s="89">
        <f t="shared" si="22"/>
        <v>0.14517202508161234</v>
      </c>
      <c r="E92" s="89">
        <f>E85*E36</f>
        <v>0.15543390213009156</v>
      </c>
      <c r="F92" s="89">
        <f t="shared" si="22"/>
        <v>0.15346248201477083</v>
      </c>
      <c r="G92" s="89">
        <f t="shared" si="22"/>
        <v>0.15120257042102614</v>
      </c>
      <c r="H92" s="89">
        <f t="shared" si="22"/>
        <v>0.144089717404812</v>
      </c>
      <c r="I92" s="89">
        <f t="shared" si="22"/>
        <v>0.14475560693932649</v>
      </c>
      <c r="J92" s="89">
        <f t="shared" si="22"/>
        <v>0.1504493344763384</v>
      </c>
      <c r="M92" s="522"/>
      <c r="O92" s="428"/>
    </row>
    <row r="93" spans="2:17" s="39" customFormat="1" ht="13.15" x14ac:dyDescent="0.4">
      <c r="C93" s="80" t="str">
        <f t="shared" si="21"/>
        <v>Joint boxes</v>
      </c>
      <c r="D93" s="89">
        <f t="shared" si="22"/>
        <v>2.4603507674961684</v>
      </c>
      <c r="E93" s="89">
        <f t="shared" si="22"/>
        <v>2.6445176204042484</v>
      </c>
      <c r="F93" s="89">
        <f t="shared" si="22"/>
        <v>2.6145880994748336</v>
      </c>
      <c r="G93" s="89">
        <f t="shared" si="22"/>
        <v>2.5816175879243946</v>
      </c>
      <c r="H93" s="89">
        <f t="shared" si="22"/>
        <v>2.4615088451492082</v>
      </c>
      <c r="I93" s="89">
        <f t="shared" si="22"/>
        <v>2.4730233588821453</v>
      </c>
      <c r="J93" s="89">
        <f t="shared" si="22"/>
        <v>2.5773414580528367</v>
      </c>
      <c r="M93" s="522"/>
      <c r="O93" s="428"/>
    </row>
    <row r="94" spans="2:17" s="39" customFormat="1" ht="13.15" x14ac:dyDescent="0.4">
      <c r="C94" s="80" t="str">
        <f t="shared" si="21"/>
        <v>Manholes</v>
      </c>
      <c r="D94" s="89">
        <f t="shared" si="22"/>
        <v>11.451283578681636</v>
      </c>
      <c r="E94" s="89">
        <f t="shared" si="22"/>
        <v>12.292661375938655</v>
      </c>
      <c r="F94" s="89">
        <f t="shared" si="22"/>
        <v>12.166727959405065</v>
      </c>
      <c r="G94" s="89">
        <f t="shared" si="22"/>
        <v>12.024376592905034</v>
      </c>
      <c r="H94" s="89">
        <f t="shared" si="22"/>
        <v>11.486796731585985</v>
      </c>
      <c r="I94" s="89">
        <f t="shared" si="22"/>
        <v>11.56809216613774</v>
      </c>
      <c r="J94" s="89">
        <f t="shared" si="22"/>
        <v>12.057128425604727</v>
      </c>
      <c r="M94" s="522"/>
      <c r="O94" s="428"/>
    </row>
    <row r="95" spans="2:17" s="39" customFormat="1" ht="11.65" customHeight="1" x14ac:dyDescent="0.4">
      <c r="C95" s="80"/>
      <c r="M95" s="199"/>
    </row>
    <row r="96" spans="2:17" s="39" customFormat="1" ht="13.15" x14ac:dyDescent="0.4">
      <c r="B96" s="199" t="s">
        <v>96</v>
      </c>
      <c r="C96" s="200" t="str">
        <f t="shared" ref="C96:C101" si="23">C33</f>
        <v>Lead-in duct</v>
      </c>
      <c r="D96" s="254">
        <f>ROUND(D89,2)</f>
        <v>0.59</v>
      </c>
      <c r="E96" s="254">
        <f t="shared" ref="E96:I96" si="24">ROUND(E89,2)</f>
        <v>0.63</v>
      </c>
      <c r="F96" s="254">
        <f t="shared" si="24"/>
        <v>0.63</v>
      </c>
      <c r="G96" s="254">
        <f t="shared" si="24"/>
        <v>0.62</v>
      </c>
      <c r="H96" s="254">
        <f>ROUND(H89,2)</f>
        <v>0.6</v>
      </c>
      <c r="I96" s="254">
        <f t="shared" si="24"/>
        <v>0.6</v>
      </c>
      <c r="J96" s="254">
        <f>ROUND(J89,2)</f>
        <v>0.63</v>
      </c>
      <c r="M96" s="254"/>
    </row>
    <row r="97" spans="1:15" s="39" customFormat="1" ht="13.15" x14ac:dyDescent="0.4">
      <c r="B97" s="199" t="s">
        <v>251</v>
      </c>
      <c r="C97" s="200" t="str">
        <f t="shared" si="23"/>
        <v>Spine duct – single bore</v>
      </c>
      <c r="D97" s="254">
        <f t="shared" ref="D97:J97" si="25">ROUND(D90,2)</f>
        <v>0.35</v>
      </c>
      <c r="E97" s="254">
        <f t="shared" si="25"/>
        <v>0.37</v>
      </c>
      <c r="F97" s="254">
        <f t="shared" si="25"/>
        <v>0.37</v>
      </c>
      <c r="G97" s="254">
        <f t="shared" si="25"/>
        <v>0.37</v>
      </c>
      <c r="H97" s="254">
        <f t="shared" si="25"/>
        <v>0.35</v>
      </c>
      <c r="I97" s="254">
        <f t="shared" si="25"/>
        <v>0.35</v>
      </c>
      <c r="J97" s="254">
        <f t="shared" si="25"/>
        <v>0.37</v>
      </c>
      <c r="M97" s="254"/>
    </row>
    <row r="98" spans="1:15" s="39" customFormat="1" ht="13.15" x14ac:dyDescent="0.4">
      <c r="B98" s="199"/>
      <c r="C98" s="200" t="str">
        <f t="shared" si="23"/>
        <v>Spine duct – 2 bores</v>
      </c>
      <c r="D98" s="254">
        <f t="shared" ref="D98:J98" si="26">ROUND(D91,2)</f>
        <v>0.22</v>
      </c>
      <c r="E98" s="254">
        <f t="shared" si="26"/>
        <v>0.24</v>
      </c>
      <c r="F98" s="254">
        <f t="shared" si="26"/>
        <v>0.24</v>
      </c>
      <c r="G98" s="254">
        <f t="shared" si="26"/>
        <v>0.25</v>
      </c>
      <c r="H98" s="254">
        <f t="shared" si="26"/>
        <v>0.24</v>
      </c>
      <c r="I98" s="254">
        <f t="shared" si="26"/>
        <v>0.24</v>
      </c>
      <c r="J98" s="254">
        <f t="shared" si="26"/>
        <v>0.26</v>
      </c>
      <c r="M98" s="254"/>
    </row>
    <row r="99" spans="1:15" s="39" customFormat="1" ht="13.15" x14ac:dyDescent="0.4">
      <c r="B99" s="199"/>
      <c r="C99" s="200" t="str">
        <f t="shared" si="23"/>
        <v>Spine duct – 3+ bores</v>
      </c>
      <c r="D99" s="254">
        <f t="shared" ref="D99:J99" si="27">ROUND(D92,2)</f>
        <v>0.15</v>
      </c>
      <c r="E99" s="254">
        <f>ROUND(E92,2)</f>
        <v>0.16</v>
      </c>
      <c r="F99" s="254">
        <f t="shared" si="27"/>
        <v>0.15</v>
      </c>
      <c r="G99" s="254">
        <f t="shared" si="27"/>
        <v>0.15</v>
      </c>
      <c r="H99" s="254">
        <f t="shared" si="27"/>
        <v>0.14000000000000001</v>
      </c>
      <c r="I99" s="254">
        <f t="shared" si="27"/>
        <v>0.14000000000000001</v>
      </c>
      <c r="J99" s="254">
        <f t="shared" si="27"/>
        <v>0.15</v>
      </c>
      <c r="M99" s="254"/>
    </row>
    <row r="100" spans="1:15" s="39" customFormat="1" ht="13.15" x14ac:dyDescent="0.4">
      <c r="B100" s="199"/>
      <c r="C100" s="200" t="str">
        <f t="shared" si="23"/>
        <v>Joint boxes</v>
      </c>
      <c r="D100" s="254">
        <f t="shared" ref="D100:J100" si="28">ROUND(D93,2)</f>
        <v>2.46</v>
      </c>
      <c r="E100" s="254">
        <f t="shared" si="28"/>
        <v>2.64</v>
      </c>
      <c r="F100" s="254">
        <f t="shared" si="28"/>
        <v>2.61</v>
      </c>
      <c r="G100" s="254">
        <f t="shared" si="28"/>
        <v>2.58</v>
      </c>
      <c r="H100" s="254">
        <f t="shared" si="28"/>
        <v>2.46</v>
      </c>
      <c r="I100" s="254">
        <f t="shared" si="28"/>
        <v>2.4700000000000002</v>
      </c>
      <c r="J100" s="254">
        <f t="shared" si="28"/>
        <v>2.58</v>
      </c>
      <c r="M100" s="254"/>
    </row>
    <row r="101" spans="1:15" s="39" customFormat="1" ht="13.15" x14ac:dyDescent="0.4">
      <c r="B101" s="199"/>
      <c r="C101" s="200" t="str">
        <f t="shared" si="23"/>
        <v>Manholes</v>
      </c>
      <c r="D101" s="254">
        <f t="shared" ref="D101:J101" si="29">ROUND(D94,2)</f>
        <v>11.45</v>
      </c>
      <c r="E101" s="254">
        <f t="shared" si="29"/>
        <v>12.29</v>
      </c>
      <c r="F101" s="254">
        <f t="shared" si="29"/>
        <v>12.17</v>
      </c>
      <c r="G101" s="254">
        <f t="shared" si="29"/>
        <v>12.02</v>
      </c>
      <c r="H101" s="254">
        <f t="shared" si="29"/>
        <v>11.49</v>
      </c>
      <c r="I101" s="254">
        <f t="shared" si="29"/>
        <v>11.57</v>
      </c>
      <c r="J101" s="254">
        <f t="shared" si="29"/>
        <v>12.06</v>
      </c>
      <c r="M101" s="254"/>
    </row>
    <row r="102" spans="1:15" ht="11.65" customHeight="1" x14ac:dyDescent="0.45">
      <c r="M102" s="366"/>
    </row>
    <row r="103" spans="1:15" s="39" customFormat="1" ht="13.15" x14ac:dyDescent="0.4">
      <c r="C103" s="39" t="str">
        <f>C68</f>
        <v>Simplified underground lead-in proposed price 2019/20</v>
      </c>
      <c r="D103" s="248">
        <f>D68</f>
        <v>10.08</v>
      </c>
      <c r="M103" s="199"/>
    </row>
    <row r="104" spans="1:15" s="39" customFormat="1" ht="13.15" x14ac:dyDescent="0.4">
      <c r="C104" s="39" t="s">
        <v>253</v>
      </c>
      <c r="D104" s="89">
        <f>SUMPRODUCT(D53:D58,D96:D101)</f>
        <v>11.312692203252313</v>
      </c>
      <c r="E104" s="89">
        <f>SUMPRODUCT(E53:E58,E96:E101)</f>
        <v>12.046394038054943</v>
      </c>
      <c r="F104" s="89">
        <f>SUMPRODUCT(F53:F58,F61:F66,F96:F101)</f>
        <v>11.320380319327118</v>
      </c>
      <c r="G104" s="89">
        <f>SUMPRODUCT(G53:G58,G61:G66,G96:G101)</f>
        <v>11.206200942456721</v>
      </c>
      <c r="H104" s="89">
        <f>SUMPRODUCT(H53:H58,H61:H66,H96:H101)</f>
        <v>10.746178923754691</v>
      </c>
      <c r="I104" s="89">
        <f>SUMPRODUCT(I53:I58,I61:I66,I96:I101)</f>
        <v>10.750247919274965</v>
      </c>
      <c r="J104" s="89">
        <f>SUMPRODUCT(J53:J58,J61:J66,J96:J101)</f>
        <v>11.308173332766295</v>
      </c>
      <c r="M104" s="199"/>
    </row>
    <row r="105" spans="1:15" s="39" customFormat="1" ht="13.15" x14ac:dyDescent="0.4">
      <c r="C105" s="39" t="s">
        <v>254</v>
      </c>
      <c r="D105" s="234">
        <f>ROUND(D104,2)</f>
        <v>11.31</v>
      </c>
      <c r="E105" s="248">
        <f t="shared" ref="E105:I105" si="30">ROUND(E104,2)</f>
        <v>12.05</v>
      </c>
      <c r="F105" s="248">
        <f t="shared" si="30"/>
        <v>11.32</v>
      </c>
      <c r="G105" s="248">
        <f t="shared" si="30"/>
        <v>11.21</v>
      </c>
      <c r="H105" s="248">
        <f t="shared" si="30"/>
        <v>10.75</v>
      </c>
      <c r="I105" s="248">
        <f t="shared" si="30"/>
        <v>10.75</v>
      </c>
      <c r="J105" s="248">
        <f>ROUND(J104,2)</f>
        <v>11.31</v>
      </c>
      <c r="M105" s="199"/>
    </row>
    <row r="106" spans="1:15" ht="7.5" customHeight="1" thickBot="1" x14ac:dyDescent="0.5">
      <c r="A106" s="2"/>
      <c r="B106" s="2"/>
      <c r="C106" s="2"/>
      <c r="D106" s="2"/>
      <c r="E106" s="2"/>
      <c r="F106" s="2"/>
      <c r="G106" s="2"/>
      <c r="H106" s="2"/>
      <c r="I106" s="2"/>
      <c r="J106" s="2"/>
      <c r="K106" s="2"/>
      <c r="L106" s="2"/>
      <c r="M106" s="525"/>
      <c r="N106" s="2"/>
      <c r="O106" s="2"/>
    </row>
    <row r="107" spans="1:15" ht="7.5" customHeight="1" x14ac:dyDescent="0.45">
      <c r="M107" s="366"/>
    </row>
    <row r="108" spans="1:15" s="39" customFormat="1" ht="15.75" x14ac:dyDescent="0.5">
      <c r="A108" s="12" t="s">
        <v>358</v>
      </c>
      <c r="M108" s="199"/>
    </row>
    <row r="109" spans="1:15" s="39" customFormat="1" ht="15.75" x14ac:dyDescent="0.5">
      <c r="A109" s="12"/>
      <c r="D109" s="284">
        <v>42826</v>
      </c>
      <c r="E109" s="284">
        <v>43221</v>
      </c>
      <c r="F109" s="284">
        <v>43556</v>
      </c>
      <c r="G109" s="284">
        <v>43922</v>
      </c>
      <c r="H109" s="312"/>
      <c r="M109" s="199"/>
    </row>
    <row r="110" spans="1:15" s="39" customFormat="1" ht="13.15" x14ac:dyDescent="0.4">
      <c r="C110" s="80" t="str">
        <f t="shared" ref="C110:C115" si="31">C33</f>
        <v>Lead-in duct</v>
      </c>
      <c r="D110" s="242">
        <f>D45</f>
        <v>0.84</v>
      </c>
      <c r="E110" s="242">
        <f t="shared" ref="D110:G115" si="32">E45</f>
        <v>0.55000000000000004</v>
      </c>
      <c r="F110" s="243">
        <f t="shared" si="32"/>
        <v>0.56000000000000005</v>
      </c>
      <c r="G110" s="244">
        <f t="shared" si="32"/>
        <v>0.56000000000000005</v>
      </c>
      <c r="H110" s="312"/>
      <c r="M110" s="199"/>
    </row>
    <row r="111" spans="1:15" s="39" customFormat="1" ht="13.15" x14ac:dyDescent="0.4">
      <c r="C111" s="80" t="str">
        <f t="shared" si="31"/>
        <v>Spine duct – single bore</v>
      </c>
      <c r="D111" s="245">
        <f t="shared" si="32"/>
        <v>0.6</v>
      </c>
      <c r="E111" s="245">
        <f t="shared" si="32"/>
        <v>0.28000000000000003</v>
      </c>
      <c r="F111" s="243">
        <f t="shared" si="32"/>
        <v>0.28000000000000003</v>
      </c>
      <c r="G111" s="244">
        <f t="shared" si="32"/>
        <v>0.28999999999999998</v>
      </c>
      <c r="H111" s="312"/>
      <c r="M111" s="199"/>
    </row>
    <row r="112" spans="1:15" s="39" customFormat="1" ht="13.15" x14ac:dyDescent="0.4">
      <c r="C112" s="80" t="str">
        <f t="shared" si="31"/>
        <v>Spine duct – 2 bores</v>
      </c>
      <c r="D112" s="245">
        <f t="shared" si="32"/>
        <v>0.43</v>
      </c>
      <c r="E112" s="245">
        <f t="shared" si="32"/>
        <v>0.18</v>
      </c>
      <c r="F112" s="243">
        <f t="shared" si="32"/>
        <v>0.18</v>
      </c>
      <c r="G112" s="244">
        <f t="shared" si="32"/>
        <v>0.18</v>
      </c>
      <c r="H112" s="312"/>
      <c r="M112" s="199"/>
    </row>
    <row r="113" spans="1:15" s="39" customFormat="1" ht="13.15" x14ac:dyDescent="0.4">
      <c r="C113" s="80" t="str">
        <f t="shared" si="31"/>
        <v>Spine duct – 3+ bores</v>
      </c>
      <c r="D113" s="245">
        <f t="shared" si="32"/>
        <v>0.37</v>
      </c>
      <c r="E113" s="245">
        <f t="shared" si="32"/>
        <v>0.13</v>
      </c>
      <c r="F113" s="243">
        <f t="shared" si="32"/>
        <v>0.13</v>
      </c>
      <c r="G113" s="244">
        <f t="shared" si="32"/>
        <v>0.13</v>
      </c>
      <c r="H113" s="312"/>
      <c r="M113" s="199"/>
    </row>
    <row r="114" spans="1:15" s="39" customFormat="1" ht="13.15" x14ac:dyDescent="0.4">
      <c r="C114" s="80" t="str">
        <f t="shared" si="31"/>
        <v>Joint boxes</v>
      </c>
      <c r="D114" s="246">
        <f t="shared" si="32"/>
        <v>5.1100000000000003</v>
      </c>
      <c r="E114" s="246">
        <f t="shared" si="32"/>
        <v>2.0099999999999998</v>
      </c>
      <c r="F114" s="243">
        <f t="shared" si="32"/>
        <v>2.0499999999999998</v>
      </c>
      <c r="G114" s="244">
        <f t="shared" si="32"/>
        <v>2.08</v>
      </c>
      <c r="H114" s="312"/>
      <c r="I114" s="103"/>
      <c r="J114" s="103"/>
      <c r="K114" s="240"/>
      <c r="M114" s="526"/>
    </row>
    <row r="115" spans="1:15" s="39" customFormat="1" ht="13.15" x14ac:dyDescent="0.4">
      <c r="C115" s="80" t="str">
        <f t="shared" si="31"/>
        <v>Manholes</v>
      </c>
      <c r="D115" s="246">
        <f t="shared" si="32"/>
        <v>11.18</v>
      </c>
      <c r="E115" s="246">
        <f t="shared" si="32"/>
        <v>8.34</v>
      </c>
      <c r="F115" s="243">
        <f t="shared" si="32"/>
        <v>8.5399999999999991</v>
      </c>
      <c r="G115" s="244">
        <f t="shared" si="32"/>
        <v>8.66</v>
      </c>
      <c r="H115" s="312"/>
      <c r="I115" s="103"/>
      <c r="J115" s="103"/>
      <c r="K115" s="240"/>
      <c r="M115" s="526"/>
    </row>
    <row r="116" spans="1:15" s="39" customFormat="1" ht="13.15" x14ac:dyDescent="0.4">
      <c r="C116" s="39" t="s">
        <v>255</v>
      </c>
      <c r="D116" s="246"/>
      <c r="E116" s="246"/>
      <c r="F116" s="108">
        <f>D103</f>
        <v>10.08</v>
      </c>
      <c r="G116" s="108">
        <f>SUMPRODUCT(G110:G115,$E$53:$E$58)</f>
        <v>10.196414530264537</v>
      </c>
      <c r="H116" s="312"/>
      <c r="I116" s="103"/>
      <c r="J116" s="103"/>
      <c r="K116" s="240"/>
      <c r="M116" s="526"/>
    </row>
    <row r="117" spans="1:15" s="8" customFormat="1" ht="7.5" customHeight="1" thickBot="1" x14ac:dyDescent="0.5">
      <c r="A117" s="2"/>
      <c r="B117" s="2"/>
      <c r="C117" s="2"/>
      <c r="D117" s="2"/>
      <c r="E117" s="2"/>
      <c r="F117" s="2"/>
      <c r="G117" s="2"/>
      <c r="H117" s="2"/>
      <c r="I117" s="2"/>
      <c r="J117" s="2"/>
      <c r="K117" s="2"/>
      <c r="L117" s="2"/>
      <c r="M117" s="525"/>
      <c r="N117" s="2"/>
      <c r="O117" s="2"/>
    </row>
    <row r="118" spans="1:15" s="8" customFormat="1" ht="7.5" customHeight="1" x14ac:dyDescent="0.45">
      <c r="M118" s="366"/>
    </row>
    <row r="119" spans="1:15" s="39" customFormat="1" ht="15.75" x14ac:dyDescent="0.5">
      <c r="A119" s="12" t="s">
        <v>256</v>
      </c>
      <c r="C119" s="276" t="s">
        <v>263</v>
      </c>
      <c r="D119" s="94" t="s">
        <v>37</v>
      </c>
      <c r="E119" s="94" t="s">
        <v>38</v>
      </c>
      <c r="F119" s="94" t="s">
        <v>45</v>
      </c>
      <c r="G119" s="94" t="s">
        <v>46</v>
      </c>
      <c r="H119" s="94" t="s">
        <v>47</v>
      </c>
      <c r="I119" s="94" t="s">
        <v>52</v>
      </c>
      <c r="J119" s="94" t="s">
        <v>51</v>
      </c>
      <c r="M119" s="199"/>
    </row>
    <row r="120" spans="1:15" s="39" customFormat="1" ht="13.15" x14ac:dyDescent="0.4">
      <c r="C120" s="80" t="str">
        <f t="shared" ref="C120:C125" si="33">C111</f>
        <v>Spine duct – single bore</v>
      </c>
      <c r="D120" s="159">
        <f>D97</f>
        <v>0.35</v>
      </c>
      <c r="E120" s="159">
        <f t="shared" ref="D120:J124" si="34">E97</f>
        <v>0.37</v>
      </c>
      <c r="F120" s="159">
        <f t="shared" si="34"/>
        <v>0.37</v>
      </c>
      <c r="G120" s="159">
        <f t="shared" si="34"/>
        <v>0.37</v>
      </c>
      <c r="H120" s="159">
        <f t="shared" si="34"/>
        <v>0.35</v>
      </c>
      <c r="I120" s="159">
        <f t="shared" si="34"/>
        <v>0.35</v>
      </c>
      <c r="J120" s="159">
        <f t="shared" si="34"/>
        <v>0.37</v>
      </c>
      <c r="M120" s="199"/>
    </row>
    <row r="121" spans="1:15" s="39" customFormat="1" ht="13.15" x14ac:dyDescent="0.4">
      <c r="C121" s="80" t="str">
        <f t="shared" si="33"/>
        <v>Spine duct – 2 bores</v>
      </c>
      <c r="D121" s="159">
        <f t="shared" si="34"/>
        <v>0.22</v>
      </c>
      <c r="E121" s="159">
        <f t="shared" si="34"/>
        <v>0.24</v>
      </c>
      <c r="F121" s="159">
        <f t="shared" si="34"/>
        <v>0.24</v>
      </c>
      <c r="G121" s="159">
        <f t="shared" si="34"/>
        <v>0.25</v>
      </c>
      <c r="H121" s="159">
        <f t="shared" si="34"/>
        <v>0.24</v>
      </c>
      <c r="I121" s="159">
        <f t="shared" si="34"/>
        <v>0.24</v>
      </c>
      <c r="J121" s="159">
        <f t="shared" si="34"/>
        <v>0.26</v>
      </c>
      <c r="M121" s="199"/>
    </row>
    <row r="122" spans="1:15" s="39" customFormat="1" ht="13.15" x14ac:dyDescent="0.4">
      <c r="C122" s="80" t="str">
        <f t="shared" si="33"/>
        <v>Spine duct – 3+ bores</v>
      </c>
      <c r="D122" s="159">
        <f t="shared" si="34"/>
        <v>0.15</v>
      </c>
      <c r="E122" s="159">
        <f>E99</f>
        <v>0.16</v>
      </c>
      <c r="F122" s="159">
        <f t="shared" si="34"/>
        <v>0.15</v>
      </c>
      <c r="G122" s="159">
        <f t="shared" si="34"/>
        <v>0.15</v>
      </c>
      <c r="H122" s="159">
        <f t="shared" si="34"/>
        <v>0.14000000000000001</v>
      </c>
      <c r="I122" s="159">
        <f t="shared" si="34"/>
        <v>0.14000000000000001</v>
      </c>
      <c r="J122" s="159">
        <f t="shared" si="34"/>
        <v>0.15</v>
      </c>
      <c r="M122" s="199"/>
    </row>
    <row r="123" spans="1:15" s="39" customFormat="1" ht="13.15" x14ac:dyDescent="0.4">
      <c r="C123" s="80" t="str">
        <f t="shared" si="33"/>
        <v>Joint boxes</v>
      </c>
      <c r="D123" s="159">
        <f t="shared" si="34"/>
        <v>2.46</v>
      </c>
      <c r="E123" s="159">
        <f t="shared" si="34"/>
        <v>2.64</v>
      </c>
      <c r="F123" s="159">
        <f t="shared" si="34"/>
        <v>2.61</v>
      </c>
      <c r="G123" s="159">
        <f t="shared" si="34"/>
        <v>2.58</v>
      </c>
      <c r="H123" s="159">
        <f t="shared" si="34"/>
        <v>2.46</v>
      </c>
      <c r="I123" s="159">
        <f t="shared" si="34"/>
        <v>2.4700000000000002</v>
      </c>
      <c r="J123" s="159">
        <f t="shared" si="34"/>
        <v>2.58</v>
      </c>
      <c r="M123" s="199"/>
    </row>
    <row r="124" spans="1:15" s="39" customFormat="1" ht="13.15" x14ac:dyDescent="0.4">
      <c r="C124" s="80" t="str">
        <f t="shared" si="33"/>
        <v>Manholes</v>
      </c>
      <c r="D124" s="159">
        <f t="shared" si="34"/>
        <v>11.45</v>
      </c>
      <c r="E124" s="159">
        <f t="shared" si="34"/>
        <v>12.29</v>
      </c>
      <c r="F124" s="159">
        <f t="shared" si="34"/>
        <v>12.17</v>
      </c>
      <c r="G124" s="159">
        <f t="shared" si="34"/>
        <v>12.02</v>
      </c>
      <c r="H124" s="159">
        <f t="shared" si="34"/>
        <v>11.49</v>
      </c>
      <c r="I124" s="159">
        <f t="shared" si="34"/>
        <v>11.57</v>
      </c>
      <c r="J124" s="159">
        <f t="shared" si="34"/>
        <v>12.06</v>
      </c>
    </row>
    <row r="125" spans="1:15" s="39" customFormat="1" ht="13.15" x14ac:dyDescent="0.4">
      <c r="C125" s="80" t="str">
        <f t="shared" si="33"/>
        <v>Simplified underground lead-in</v>
      </c>
      <c r="D125" s="247">
        <f>D105</f>
        <v>11.31</v>
      </c>
      <c r="E125" s="247">
        <f t="shared" ref="E125:J125" si="35">E105</f>
        <v>12.05</v>
      </c>
      <c r="F125" s="247">
        <f t="shared" si="35"/>
        <v>11.32</v>
      </c>
      <c r="G125" s="247">
        <f t="shared" si="35"/>
        <v>11.21</v>
      </c>
      <c r="H125" s="247">
        <f t="shared" si="35"/>
        <v>10.75</v>
      </c>
      <c r="I125" s="247">
        <f t="shared" si="35"/>
        <v>10.75</v>
      </c>
      <c r="J125" s="247">
        <f t="shared" si="35"/>
        <v>11.31</v>
      </c>
    </row>
    <row r="126" spans="1:15" s="39" customFormat="1" ht="13.15" x14ac:dyDescent="0.4">
      <c r="C126" s="80"/>
      <c r="D126" s="247"/>
      <c r="E126" s="247"/>
      <c r="F126" s="247"/>
      <c r="G126" s="247"/>
      <c r="H126" s="247"/>
      <c r="I126" s="247"/>
      <c r="J126" s="247"/>
      <c r="K126" s="332" t="s">
        <v>355</v>
      </c>
    </row>
    <row r="127" spans="1:15" s="39" customFormat="1" ht="13.15" x14ac:dyDescent="0.4">
      <c r="C127" s="199" t="s">
        <v>163</v>
      </c>
      <c r="D127" s="200">
        <f t="array" ref="D127:J127">CPI</f>
        <v>1.7392938670509173E-2</v>
      </c>
      <c r="E127" s="200">
        <v>5.8444858245327858E-3</v>
      </c>
      <c r="F127" s="200">
        <v>1.3816272579449063E-2</v>
      </c>
      <c r="G127" s="200">
        <v>1.5942729226603669E-2</v>
      </c>
      <c r="H127" s="200">
        <v>1.7723776612699194E-2</v>
      </c>
      <c r="I127" s="200">
        <v>1.9481889923258722E-2</v>
      </c>
      <c r="J127" s="200">
        <v>2.0000000000000018E-2</v>
      </c>
      <c r="K127" s="59">
        <f>(J128/E128)^(1/5)-1</f>
        <v>1.7390360420799444E-2</v>
      </c>
      <c r="O127" s="95"/>
    </row>
    <row r="128" spans="1:15" s="39" customFormat="1" ht="13.15" x14ac:dyDescent="0.4">
      <c r="C128" s="199" t="s">
        <v>362</v>
      </c>
      <c r="D128" s="249"/>
      <c r="E128" s="249">
        <f>100</f>
        <v>100</v>
      </c>
      <c r="F128" s="249">
        <f>E128*(1+F127)</f>
        <v>101.3816272579449</v>
      </c>
      <c r="G128" s="249">
        <f>F128*(1+G127)</f>
        <v>102.99792708987077</v>
      </c>
      <c r="H128" s="249">
        <f>G128*(1+H127)</f>
        <v>104.82343934118272</v>
      </c>
      <c r="I128" s="249">
        <f t="shared" ref="I128:J128" si="36">H128*(1+I127)</f>
        <v>106.86559804780502</v>
      </c>
      <c r="J128" s="249">
        <f t="shared" si="36"/>
        <v>109.00291000876112</v>
      </c>
    </row>
    <row r="129" spans="3:14" s="39" customFormat="1" ht="13.15" x14ac:dyDescent="0.4">
      <c r="D129" s="103"/>
      <c r="E129" s="103"/>
      <c r="F129" s="103"/>
      <c r="G129" s="103"/>
      <c r="H129" s="103"/>
      <c r="I129" s="103"/>
      <c r="J129" s="103"/>
      <c r="K129" s="103"/>
    </row>
    <row r="130" spans="3:14" s="39" customFormat="1" ht="13.15" x14ac:dyDescent="0.4">
      <c r="C130" s="95" t="s">
        <v>257</v>
      </c>
      <c r="E130" s="332" t="s">
        <v>258</v>
      </c>
      <c r="G130" s="103"/>
      <c r="J130" s="94" t="s">
        <v>259</v>
      </c>
      <c r="K130" s="94" t="s">
        <v>260</v>
      </c>
      <c r="M130" s="270" t="s">
        <v>261</v>
      </c>
    </row>
    <row r="131" spans="3:14" s="39" customFormat="1" ht="13.15" x14ac:dyDescent="0.4">
      <c r="C131" s="80" t="str">
        <f>C120</f>
        <v>Spine duct – single bore</v>
      </c>
      <c r="E131" s="234">
        <f t="shared" ref="E131:E136" si="37">G111</f>
        <v>0.28999999999999998</v>
      </c>
      <c r="G131" s="103"/>
      <c r="J131" s="159">
        <f t="shared" ref="J131:J136" si="38">J120</f>
        <v>0.37</v>
      </c>
      <c r="K131" s="250">
        <f t="shared" ref="K131:K136" si="39">100*J131/E131</f>
        <v>127.58620689655173</v>
      </c>
      <c r="M131" s="555">
        <f t="shared" ref="M131:M136" si="40">(K131/100)^(1/5)-1-$K$127</f>
        <v>3.2540606828819651E-2</v>
      </c>
    </row>
    <row r="132" spans="3:14" s="39" customFormat="1" ht="13.15" x14ac:dyDescent="0.4">
      <c r="C132" s="80" t="str">
        <f t="shared" ref="C132:C135" si="41">C121</f>
        <v>Spine duct – 2 bores</v>
      </c>
      <c r="E132" s="234">
        <f t="shared" si="37"/>
        <v>0.18</v>
      </c>
      <c r="G132" s="103"/>
      <c r="J132" s="159">
        <f t="shared" si="38"/>
        <v>0.26</v>
      </c>
      <c r="K132" s="250">
        <f t="shared" si="39"/>
        <v>144.44444444444446</v>
      </c>
      <c r="M132" s="555">
        <f t="shared" si="40"/>
        <v>5.892656209401137E-2</v>
      </c>
    </row>
    <row r="133" spans="3:14" s="39" customFormat="1" ht="13.15" x14ac:dyDescent="0.4">
      <c r="C133" s="80" t="str">
        <f t="shared" si="41"/>
        <v>Spine duct – 3+ bores</v>
      </c>
      <c r="E133" s="234">
        <f t="shared" si="37"/>
        <v>0.13</v>
      </c>
      <c r="G133" s="103"/>
      <c r="J133" s="159">
        <f t="shared" si="38"/>
        <v>0.15</v>
      </c>
      <c r="K133" s="250">
        <f t="shared" si="39"/>
        <v>115.38461538461539</v>
      </c>
      <c r="M133" s="555">
        <f t="shared" si="40"/>
        <v>1.1643300650388433E-2</v>
      </c>
    </row>
    <row r="134" spans="3:14" s="39" customFormat="1" ht="13.15" x14ac:dyDescent="0.4">
      <c r="C134" s="80" t="str">
        <f t="shared" si="41"/>
        <v>Joint boxes</v>
      </c>
      <c r="E134" s="234">
        <f t="shared" si="37"/>
        <v>2.08</v>
      </c>
      <c r="G134" s="103"/>
      <c r="J134" s="159">
        <f t="shared" si="38"/>
        <v>2.58</v>
      </c>
      <c r="K134" s="250">
        <f t="shared" si="39"/>
        <v>124.03846153846153</v>
      </c>
      <c r="M134" s="555">
        <f t="shared" si="40"/>
        <v>2.6635543193845868E-2</v>
      </c>
    </row>
    <row r="135" spans="3:14" s="39" customFormat="1" ht="13.15" x14ac:dyDescent="0.4">
      <c r="C135" s="80" t="str">
        <f t="shared" si="41"/>
        <v>Manholes</v>
      </c>
      <c r="E135" s="234">
        <f t="shared" si="37"/>
        <v>8.66</v>
      </c>
      <c r="G135" s="103"/>
      <c r="J135" s="159">
        <f t="shared" si="38"/>
        <v>12.06</v>
      </c>
      <c r="K135" s="250">
        <f t="shared" si="39"/>
        <v>139.2609699769053</v>
      </c>
      <c r="M135" s="555">
        <f t="shared" si="40"/>
        <v>5.1088374469483888E-2</v>
      </c>
    </row>
    <row r="136" spans="3:14" s="39" customFormat="1" ht="13.15" x14ac:dyDescent="0.4">
      <c r="C136" s="80" t="str">
        <f>C125</f>
        <v>Simplified underground lead-in</v>
      </c>
      <c r="E136" s="234">
        <f t="shared" si="37"/>
        <v>10.196414530264537</v>
      </c>
      <c r="G136" s="103"/>
      <c r="J136" s="159">
        <f t="shared" si="38"/>
        <v>11.31</v>
      </c>
      <c r="K136" s="250">
        <f t="shared" si="39"/>
        <v>110.92134363927799</v>
      </c>
      <c r="M136" s="555">
        <f t="shared" si="40"/>
        <v>3.5562329484422062E-3</v>
      </c>
    </row>
    <row r="137" spans="3:14" s="39" customFormat="1" ht="13.15" x14ac:dyDescent="0.4"/>
    <row r="138" spans="3:14" s="39" customFormat="1" ht="13.15" x14ac:dyDescent="0.4">
      <c r="C138" s="276" t="s">
        <v>262</v>
      </c>
      <c r="D138" s="94" t="str">
        <f t="shared" ref="D138:J138" si="42">D119</f>
        <v>2019/20</v>
      </c>
      <c r="E138" s="94" t="str">
        <f t="shared" si="42"/>
        <v>2020/21</v>
      </c>
      <c r="F138" s="94" t="str">
        <f t="shared" si="42"/>
        <v>2021/22</v>
      </c>
      <c r="G138" s="94" t="str">
        <f t="shared" si="42"/>
        <v>2022/23</v>
      </c>
      <c r="H138" s="94" t="str">
        <f t="shared" si="42"/>
        <v>2023/24</v>
      </c>
      <c r="I138" s="94" t="str">
        <f t="shared" si="42"/>
        <v>2024/25</v>
      </c>
      <c r="J138" s="94" t="str">
        <f t="shared" si="42"/>
        <v>2025/26</v>
      </c>
      <c r="M138" s="449" t="s">
        <v>357</v>
      </c>
      <c r="N138" s="449"/>
    </row>
    <row r="139" spans="3:14" s="39" customFormat="1" ht="13.15" x14ac:dyDescent="0.4">
      <c r="C139" s="200" t="str">
        <f t="shared" ref="C139:C144" si="43">C33</f>
        <v>Lead-in duct</v>
      </c>
      <c r="D139" s="553">
        <f>F110</f>
        <v>0.56000000000000005</v>
      </c>
      <c r="E139" s="553"/>
      <c r="F139" s="554"/>
      <c r="G139" s="554"/>
      <c r="H139" s="554"/>
      <c r="I139" s="554"/>
      <c r="J139" s="554"/>
    </row>
    <row r="140" spans="3:14" s="39" customFormat="1" ht="13.15" x14ac:dyDescent="0.4">
      <c r="C140" s="200" t="str">
        <f t="shared" si="43"/>
        <v>Spine duct – single bore</v>
      </c>
      <c r="D140" s="553">
        <f>F111</f>
        <v>0.28000000000000003</v>
      </c>
      <c r="E140" s="553">
        <f>G111</f>
        <v>0.28999999999999998</v>
      </c>
      <c r="F140" s="553">
        <f t="shared" ref="F140:J145" si="44">E140*(1+F$127+$M131)</f>
        <v>0.3034434950283979</v>
      </c>
      <c r="G140" s="553">
        <f t="shared" si="44"/>
        <v>0.31815544797169187</v>
      </c>
      <c r="H140" s="553">
        <f t="shared" si="44"/>
        <v>0.33414733540254921</v>
      </c>
      <c r="I140" s="553">
        <f t="shared" si="44"/>
        <v>0.35153051407324398</v>
      </c>
      <c r="J140" s="553">
        <f t="shared" si="44"/>
        <v>0.37000014060149916</v>
      </c>
      <c r="M140" s="430" t="str">
        <f t="shared" ref="M140:M145" si="45">IF(ABS(J140-J120)&lt;0.00001,"ok","error")</f>
        <v>ok</v>
      </c>
    </row>
    <row r="141" spans="3:14" s="39" customFormat="1" ht="13.15" x14ac:dyDescent="0.4">
      <c r="C141" s="200" t="str">
        <f t="shared" si="43"/>
        <v>Spine duct – 2 bores</v>
      </c>
      <c r="D141" s="553">
        <f t="shared" ref="D141:D144" si="46">F112</f>
        <v>0.18</v>
      </c>
      <c r="E141" s="553">
        <f t="shared" ref="E141:E145" si="47">G112</f>
        <v>0.18</v>
      </c>
      <c r="F141" s="553">
        <f t="shared" si="44"/>
        <v>0.19309371024122288</v>
      </c>
      <c r="G141" s="553">
        <f t="shared" si="44"/>
        <v>0.20755049948545143</v>
      </c>
      <c r="H141" s="553">
        <f t="shared" si="44"/>
        <v>0.22345931556975823</v>
      </c>
      <c r="I141" s="553">
        <f t="shared" si="44"/>
        <v>0.24098041459242164</v>
      </c>
      <c r="J141" s="553">
        <f t="shared" si="44"/>
        <v>0.260000170248191</v>
      </c>
      <c r="M141" s="430" t="str">
        <f t="shared" si="45"/>
        <v>ok</v>
      </c>
    </row>
    <row r="142" spans="3:14" s="39" customFormat="1" ht="13.15" x14ac:dyDescent="0.4">
      <c r="C142" s="200" t="str">
        <f t="shared" si="43"/>
        <v>Spine duct – 3+ bores</v>
      </c>
      <c r="D142" s="553">
        <f t="shared" si="46"/>
        <v>0.13</v>
      </c>
      <c r="E142" s="553">
        <f t="shared" si="47"/>
        <v>0.13</v>
      </c>
      <c r="F142" s="553">
        <f t="shared" si="44"/>
        <v>0.13330974451987887</v>
      </c>
      <c r="G142" s="553">
        <f t="shared" si="44"/>
        <v>0.13698723111509845</v>
      </c>
      <c r="H142" s="553">
        <f t="shared" si="44"/>
        <v>0.14101014571531198</v>
      </c>
      <c r="I142" s="553">
        <f t="shared" si="44"/>
        <v>0.14539911337351882</v>
      </c>
      <c r="J142" s="553">
        <f t="shared" si="44"/>
        <v>0.150000021232297</v>
      </c>
      <c r="M142" s="430" t="str">
        <f t="shared" si="45"/>
        <v>ok</v>
      </c>
    </row>
    <row r="143" spans="3:14" s="39" customFormat="1" ht="13.15" x14ac:dyDescent="0.4">
      <c r="C143" s="200" t="str">
        <f t="shared" si="43"/>
        <v>Joint boxes</v>
      </c>
      <c r="D143" s="553">
        <f t="shared" si="46"/>
        <v>2.0499999999999998</v>
      </c>
      <c r="E143" s="553">
        <f t="shared" si="47"/>
        <v>2.08</v>
      </c>
      <c r="F143" s="553">
        <f t="shared" si="44"/>
        <v>2.1641397768084536</v>
      </c>
      <c r="G143" s="553">
        <f t="shared" si="44"/>
        <v>2.2562851097813348</v>
      </c>
      <c r="H143" s="553">
        <f t="shared" si="44"/>
        <v>2.3563723825408704</v>
      </c>
      <c r="I143" s="553">
        <f t="shared" si="44"/>
        <v>2.4650422282916913</v>
      </c>
      <c r="J143" s="553">
        <f t="shared" si="44"/>
        <v>2.5800008116038424</v>
      </c>
      <c r="M143" s="430" t="str">
        <f t="shared" si="45"/>
        <v>ok</v>
      </c>
    </row>
    <row r="144" spans="3:14" s="39" customFormat="1" ht="13.15" x14ac:dyDescent="0.4">
      <c r="C144" s="200" t="str">
        <f t="shared" si="43"/>
        <v>Manholes</v>
      </c>
      <c r="D144" s="553">
        <f t="shared" si="46"/>
        <v>8.5399999999999991</v>
      </c>
      <c r="E144" s="553">
        <f t="shared" si="47"/>
        <v>8.66</v>
      </c>
      <c r="F144" s="553">
        <f t="shared" si="44"/>
        <v>9.2220742434437604</v>
      </c>
      <c r="G144" s="553">
        <f t="shared" si="44"/>
        <v>9.8402400583490568</v>
      </c>
      <c r="H144" s="553">
        <f t="shared" si="44"/>
        <v>10.517368143929122</v>
      </c>
      <c r="I144" s="553">
        <f t="shared" si="44"/>
        <v>11.259581594562009</v>
      </c>
      <c r="J144" s="553">
        <f t="shared" si="44"/>
        <v>12.060006947325942</v>
      </c>
      <c r="M144" s="430" t="str">
        <f t="shared" si="45"/>
        <v>ok</v>
      </c>
    </row>
    <row r="145" spans="3:13" s="39" customFormat="1" ht="13.15" x14ac:dyDescent="0.4">
      <c r="C145" s="199" t="str">
        <f>C125</f>
        <v>Simplified underground lead-in</v>
      </c>
      <c r="D145" s="553">
        <f>F116</f>
        <v>10.08</v>
      </c>
      <c r="E145" s="553">
        <f t="shared" si="47"/>
        <v>10.196414530264537</v>
      </c>
      <c r="F145" s="553">
        <f t="shared" si="44"/>
        <v>10.373551798056228</v>
      </c>
      <c r="G145" s="553">
        <f t="shared" si="44"/>
        <v>10.575825292187405</v>
      </c>
      <c r="H145" s="553">
        <f t="shared" si="44"/>
        <v>10.800878955522114</v>
      </c>
      <c r="I145" s="553">
        <f t="shared" si="44"/>
        <v>11.049710932021801</v>
      </c>
      <c r="J145" s="553">
        <f t="shared" si="44"/>
        <v>11.310000496749456</v>
      </c>
      <c r="L145" s="234"/>
      <c r="M145" s="430" t="str">
        <f t="shared" si="45"/>
        <v>ok</v>
      </c>
    </row>
    <row r="149" spans="3:13" x14ac:dyDescent="0.45">
      <c r="D149" s="310"/>
      <c r="E149" s="310"/>
      <c r="F149" s="310"/>
      <c r="G149" s="310"/>
      <c r="H149" s="310"/>
      <c r="I149" s="310"/>
      <c r="J149" s="310"/>
      <c r="K149" s="310"/>
    </row>
    <row r="150" spans="3:13" x14ac:dyDescent="0.45">
      <c r="D150" s="310"/>
      <c r="E150" s="310"/>
      <c r="F150" s="310"/>
      <c r="G150" s="310"/>
      <c r="H150" s="310"/>
      <c r="I150" s="310"/>
      <c r="J150" s="310"/>
      <c r="K150" s="310"/>
    </row>
    <row r="151" spans="3:13" x14ac:dyDescent="0.45">
      <c r="D151" s="310"/>
      <c r="E151" s="310"/>
      <c r="F151" s="310"/>
      <c r="G151" s="310"/>
      <c r="H151" s="310"/>
      <c r="I151" s="310"/>
      <c r="J151" s="310"/>
      <c r="K151" s="310"/>
    </row>
    <row r="152" spans="3:13" x14ac:dyDescent="0.45">
      <c r="D152" s="310"/>
      <c r="E152" s="310"/>
      <c r="F152" s="310"/>
      <c r="G152" s="310"/>
      <c r="H152" s="310"/>
      <c r="I152" s="310"/>
      <c r="J152" s="310"/>
      <c r="K152" s="310"/>
    </row>
    <row r="153" spans="3:13" x14ac:dyDescent="0.45">
      <c r="D153" s="310"/>
      <c r="E153" s="310"/>
      <c r="F153" s="310"/>
      <c r="G153" s="310"/>
      <c r="H153" s="310"/>
      <c r="I153" s="310"/>
      <c r="J153" s="310"/>
      <c r="K153" s="310"/>
    </row>
    <row r="154" spans="3:13" x14ac:dyDescent="0.45">
      <c r="D154" s="310"/>
      <c r="E154" s="310"/>
      <c r="F154" s="310"/>
      <c r="G154" s="310"/>
      <c r="H154" s="310"/>
      <c r="I154" s="310"/>
      <c r="J154" s="310"/>
      <c r="K154" s="310"/>
    </row>
    <row r="155" spans="3:13" x14ac:dyDescent="0.45">
      <c r="D155" s="310"/>
      <c r="E155" s="310"/>
      <c r="F155" s="310"/>
      <c r="G155" s="310"/>
      <c r="H155" s="310"/>
      <c r="I155" s="310"/>
      <c r="J155" s="310"/>
      <c r="K155" s="310"/>
    </row>
  </sheetData>
  <printOptions horizontalCentered="1" verticalCentered="1"/>
  <pageMargins left="0.19685039370078741" right="0.19685039370078741" top="0.39370078740157483" bottom="0.19685039370078741" header="0.19685039370078741" footer="0.19685039370078741"/>
  <pageSetup paperSize="9" scale="60" orientation="landscape" r:id="rId1"/>
  <headerFooter>
    <oddHeader>&amp;CPage &amp;P of &amp;N&amp;R&amp;D &amp;T&amp;L&amp;"Calibri"&amp;12&amp;K000000Classification: HIGHLY SENSITIVE&amp;1#_x000D_&amp;"Calibri"&amp;11&amp;K000000File: &amp;F Tab: &amp;A</oddHeader>
  </headerFooter>
  <rowBreaks count="1" manualBreakCount="1">
    <brk id="11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7772-4C99-44AB-9807-95FA85C135BC}">
  <sheetPr codeName="Sheet15">
    <tabColor rgb="FF92D050"/>
  </sheetPr>
  <dimension ref="A1"/>
  <sheetViews>
    <sheetView workbookViewId="0"/>
  </sheetViews>
  <sheetFormatPr defaultRowHeight="14.25" x14ac:dyDescent="0.45"/>
  <sheetData/>
  <pageMargins left="0.7" right="0.7" top="0.75" bottom="0.75" header="0.3" footer="0.3"/>
  <pageSetup paperSize="9" orientation="portrait" r:id="rId1"/>
  <headerFooter>
    <oddHeader>&amp;L&amp;"Calibri"&amp;12&amp;K000000Classification: HIGHLY SENSITIVE&amp;1#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2DF8-9F7C-4B4C-8E92-BB11C1678307}">
  <sheetPr codeName="Sheet16">
    <tabColor theme="0"/>
  </sheetPr>
  <dimension ref="A1:M115"/>
  <sheetViews>
    <sheetView topLeftCell="A85" zoomScale="96" zoomScaleNormal="96" workbookViewId="0">
      <selection activeCell="H125" sqref="H125"/>
    </sheetView>
  </sheetViews>
  <sheetFormatPr defaultColWidth="8.86328125" defaultRowHeight="13.15" x14ac:dyDescent="0.4"/>
  <cols>
    <col min="1" max="1" width="17.86328125" style="39" customWidth="1"/>
    <col min="2" max="2" width="22.265625" style="39" bestFit="1" customWidth="1"/>
    <col min="3" max="10" width="12" style="39" customWidth="1"/>
    <col min="11" max="11" width="10.265625" style="39" customWidth="1"/>
    <col min="12" max="12" width="8.59765625" style="39" customWidth="1"/>
    <col min="13" max="13" width="8.86328125" style="39" customWidth="1"/>
    <col min="14" max="16384" width="8.86328125" style="39"/>
  </cols>
  <sheetData>
    <row r="1" spans="1:10" ht="21" x14ac:dyDescent="0.65">
      <c r="A1" s="127" t="s">
        <v>220</v>
      </c>
    </row>
    <row r="2" spans="1:10" ht="6" customHeight="1" x14ac:dyDescent="0.4"/>
    <row r="3" spans="1:10" ht="15.75" x14ac:dyDescent="0.5">
      <c r="A3" s="12" t="s">
        <v>304</v>
      </c>
    </row>
    <row r="4" spans="1:10" ht="9.75" customHeight="1" x14ac:dyDescent="0.5">
      <c r="A4" s="12"/>
    </row>
    <row r="5" spans="1:10" x14ac:dyDescent="0.4">
      <c r="A5" s="326"/>
      <c r="B5" s="401"/>
      <c r="C5" s="377"/>
      <c r="D5" s="94" t="s">
        <v>37</v>
      </c>
      <c r="E5" s="94" t="s">
        <v>38</v>
      </c>
      <c r="F5" s="94" t="s">
        <v>45</v>
      </c>
      <c r="G5" s="94" t="s">
        <v>46</v>
      </c>
      <c r="H5" s="94" t="s">
        <v>47</v>
      </c>
      <c r="I5" s="94" t="s">
        <v>52</v>
      </c>
      <c r="J5" s="94" t="s">
        <v>51</v>
      </c>
    </row>
    <row r="7" spans="1:10" x14ac:dyDescent="0.4">
      <c r="A7" s="321" t="s">
        <v>322</v>
      </c>
    </row>
    <row r="8" spans="1:10" x14ac:dyDescent="0.4">
      <c r="A8" s="39" t="str">
        <f>'Parameters and Assumptions'!B69</f>
        <v>Year Start</v>
      </c>
      <c r="D8" s="41">
        <f>'Parameters and Assumptions'!D69</f>
        <v>4634482.7607225552</v>
      </c>
      <c r="E8" s="328">
        <f>'Parameters and Assumptions'!E69</f>
        <v>4642807.7233462203</v>
      </c>
      <c r="F8" s="328">
        <f>'Parameters and Assumptions'!F69</f>
        <v>4683423.0413598875</v>
      </c>
      <c r="G8" s="328">
        <f>'Parameters and Assumptions'!G69</f>
        <v>4711358.0500950599</v>
      </c>
      <c r="H8" s="328">
        <f>'Parameters and Assumptions'!H69</f>
        <v>4750278.4474358587</v>
      </c>
      <c r="I8" s="328">
        <f>'Parameters and Assumptions'!I69</f>
        <v>4787659.6675358303</v>
      </c>
      <c r="J8" s="328">
        <f>'Parameters and Assumptions'!J69</f>
        <v>4819456.1674478455</v>
      </c>
    </row>
    <row r="9" spans="1:10" x14ac:dyDescent="0.4">
      <c r="A9" s="312" t="str">
        <f>'Parameters and Assumptions'!B70</f>
        <v>Gross additions</v>
      </c>
      <c r="D9" s="328">
        <f>'Parameters and Assumptions'!D70</f>
        <v>35623.152284032098</v>
      </c>
      <c r="E9" s="328">
        <f>'Parameters and Assumptions'!E70</f>
        <v>92479.485090899354</v>
      </c>
      <c r="F9" s="328">
        <f>'Parameters and Assumptions'!F70</f>
        <v>82875.217374273954</v>
      </c>
      <c r="G9" s="328">
        <f>'Parameters and Assumptions'!G70</f>
        <v>90773.000462071606</v>
      </c>
      <c r="H9" s="328">
        <f>'Parameters and Assumptions'!H70</f>
        <v>80449.87548061907</v>
      </c>
      <c r="I9" s="328">
        <f>'Parameters and Assumptions'!I70</f>
        <v>63976.681429951313</v>
      </c>
      <c r="J9" s="328">
        <f>'Parameters and Assumptions'!J70</f>
        <v>62360.678702565812</v>
      </c>
    </row>
    <row r="10" spans="1:10" s="312" customFormat="1" x14ac:dyDescent="0.4">
      <c r="A10" s="312" t="str">
        <f>'Parameters and Assumptions'!B71</f>
        <v>Retirements (poles replaced)</v>
      </c>
      <c r="D10" s="328">
        <f>'Parameters and Assumptions'!D71</f>
        <v>-27298.189660366304</v>
      </c>
      <c r="E10" s="328">
        <f>'Parameters and Assumptions'!E71</f>
        <v>-51864.167077231847</v>
      </c>
      <c r="F10" s="328">
        <f>'Parameters and Assumptions'!F71</f>
        <v>-54940.208639101344</v>
      </c>
      <c r="G10" s="328">
        <f>'Parameters and Assumptions'!G71</f>
        <v>-51852.603121273532</v>
      </c>
      <c r="H10" s="328">
        <f>'Parameters and Assumptions'!H71</f>
        <v>-43068.655380647433</v>
      </c>
      <c r="I10" s="328">
        <f>'Parameters and Assumptions'!I71</f>
        <v>-32180.181517936609</v>
      </c>
      <c r="J10" s="328">
        <f>'Parameters and Assumptions'!J71</f>
        <v>-42732.625390470515</v>
      </c>
    </row>
    <row r="11" spans="1:10" x14ac:dyDescent="0.4">
      <c r="A11" s="312" t="str">
        <f>'Parameters and Assumptions'!B72</f>
        <v>Year end</v>
      </c>
      <c r="D11" s="328">
        <f>'Parameters and Assumptions'!D72</f>
        <v>4642807.7233462203</v>
      </c>
      <c r="E11" s="328">
        <f>'Parameters and Assumptions'!E72</f>
        <v>4683423.0413598875</v>
      </c>
      <c r="F11" s="328">
        <f>'Parameters and Assumptions'!F72</f>
        <v>4711358.0500950599</v>
      </c>
      <c r="G11" s="328">
        <f>'Parameters and Assumptions'!G72</f>
        <v>4750278.4474358587</v>
      </c>
      <c r="H11" s="328">
        <f>'Parameters and Assumptions'!H72</f>
        <v>4787659.6675358303</v>
      </c>
      <c r="I11" s="328">
        <f>'Parameters and Assumptions'!I72</f>
        <v>4819456.1674478455</v>
      </c>
      <c r="J11" s="328">
        <f>'Parameters and Assumptions'!J72</f>
        <v>4839084.2207599403</v>
      </c>
    </row>
    <row r="13" spans="1:10" s="312" customFormat="1" x14ac:dyDescent="0.4">
      <c r="D13" s="328"/>
      <c r="E13" s="328"/>
      <c r="F13" s="328"/>
      <c r="G13" s="328"/>
      <c r="H13" s="328"/>
      <c r="I13" s="328"/>
      <c r="J13" s="328"/>
    </row>
    <row r="14" spans="1:10" s="312" customFormat="1" x14ac:dyDescent="0.4">
      <c r="A14" s="312" t="str">
        <f>'Parameters and Assumptions'!B75</f>
        <v>LDC</v>
      </c>
      <c r="D14" s="328">
        <f>'Parameters and Assumptions'!D75</f>
        <v>21608.420126079764</v>
      </c>
      <c r="E14" s="328">
        <f>'Parameters and Assumptions'!E75</f>
        <v>52614.710510936966</v>
      </c>
      <c r="F14" s="328">
        <f>'Parameters and Assumptions'!F75</f>
        <v>56982.050775700838</v>
      </c>
      <c r="G14" s="328">
        <f>'Parameters and Assumptions'!G75</f>
        <v>60890.492286746136</v>
      </c>
      <c r="H14" s="328">
        <f>'Parameters and Assumptions'!H75</f>
        <v>48645.362093575575</v>
      </c>
      <c r="I14" s="328">
        <f>'Parameters and Assumptions'!I75</f>
        <v>40003.857480282801</v>
      </c>
      <c r="J14" s="328">
        <f>'Parameters and Assumptions'!J75</f>
        <v>36324.107737450409</v>
      </c>
    </row>
    <row r="15" spans="1:10" s="312" customFormat="1" x14ac:dyDescent="0.4">
      <c r="A15" s="312" t="str">
        <f>'Parameters and Assumptions'!B76</f>
        <v>LFDC</v>
      </c>
      <c r="D15" s="328">
        <f>'Parameters and Assumptions'!D76</f>
        <v>12249.124868627185</v>
      </c>
      <c r="E15" s="328">
        <f>'Parameters and Assumptions'!E76</f>
        <v>12281.965303927136</v>
      </c>
      <c r="F15" s="328">
        <f>'Parameters and Assumptions'!F76</f>
        <v>13225.624771590561</v>
      </c>
      <c r="G15" s="328">
        <f>'Parameters and Assumptions'!G76</f>
        <v>18330.920768420721</v>
      </c>
      <c r="H15" s="328">
        <f>'Parameters and Assumptions'!H76</f>
        <v>16969.902698202288</v>
      </c>
      <c r="I15" s="328">
        <f>'Parameters and Assumptions'!I76</f>
        <v>15608.690303546273</v>
      </c>
      <c r="J15" s="328">
        <f>'Parameters and Assumptions'!J76</f>
        <v>14810.434060171896</v>
      </c>
    </row>
    <row r="16" spans="1:10" s="312" customFormat="1" x14ac:dyDescent="0.4">
      <c r="A16" s="312" t="str">
        <f>'Parameters and Assumptions'!B77</f>
        <v>LFSC</v>
      </c>
      <c r="D16" s="328">
        <f>'Parameters and Assumptions'!D77</f>
        <v>786.02507842258126</v>
      </c>
      <c r="E16" s="328">
        <f>'Parameters and Assumptions'!E77</f>
        <v>1845.9472965672178</v>
      </c>
      <c r="F16" s="328">
        <f>'Parameters and Assumptions'!F77</f>
        <v>2735.4856629609135</v>
      </c>
      <c r="G16" s="328">
        <f>'Parameters and Assumptions'!G77</f>
        <v>3592.1156906754904</v>
      </c>
      <c r="H16" s="328">
        <f>'Parameters and Assumptions'!H77</f>
        <v>3753.3498321622874</v>
      </c>
      <c r="I16" s="328">
        <f>'Parameters and Assumptions'!I77</f>
        <v>4344.6981786286224</v>
      </c>
      <c r="J16" s="328">
        <f>'Parameters and Assumptions'!J77</f>
        <v>3078.7181292215196</v>
      </c>
    </row>
    <row r="17" spans="1:11" s="312" customFormat="1" x14ac:dyDescent="0.4">
      <c r="A17" s="312" t="str">
        <f>'Parameters and Assumptions'!B78</f>
        <v>NWR</v>
      </c>
      <c r="D17" s="328">
        <f>'Parameters and Assumptions'!D78</f>
        <v>1336.6105556957962</v>
      </c>
      <c r="E17" s="328">
        <f>'Parameters and Assumptions'!E78</f>
        <v>1396.8501035686402</v>
      </c>
      <c r="F17" s="328">
        <f>'Parameters and Assumptions'!F78</f>
        <v>1377.2412710607093</v>
      </c>
      <c r="G17" s="328">
        <f>'Parameters and Assumptions'!G78</f>
        <v>1381.3742873017138</v>
      </c>
      <c r="H17" s="328">
        <f>'Parameters and Assumptions'!H78</f>
        <v>1115.523774334838</v>
      </c>
      <c r="I17" s="328">
        <f>'Parameters and Assumptions'!I78</f>
        <v>927.74146572050154</v>
      </c>
      <c r="J17" s="328">
        <f>'Parameters and Assumptions'!J78</f>
        <v>1141.9746969892624</v>
      </c>
    </row>
    <row r="18" spans="1:11" s="312" customFormat="1" x14ac:dyDescent="0.4">
      <c r="D18" s="402"/>
      <c r="E18" s="402"/>
      <c r="F18" s="402"/>
      <c r="G18" s="402"/>
      <c r="H18" s="402"/>
      <c r="I18" s="402"/>
      <c r="J18" s="402"/>
    </row>
    <row r="19" spans="1:11" s="312" customFormat="1" x14ac:dyDescent="0.4"/>
    <row r="20" spans="1:11" x14ac:dyDescent="0.4">
      <c r="A20" s="199" t="s">
        <v>103</v>
      </c>
      <c r="B20" s="199"/>
      <c r="C20" s="199"/>
      <c r="D20" s="556">
        <f>(D8+D11)/2</f>
        <v>4638645.2420343878</v>
      </c>
      <c r="E20" s="556">
        <f>(E8+E11)/2</f>
        <v>4663115.3823530544</v>
      </c>
      <c r="F20" s="556">
        <f t="shared" ref="F20:J20" si="0">(F8+F11)/2</f>
        <v>4697390.5457274737</v>
      </c>
      <c r="G20" s="556">
        <f t="shared" si="0"/>
        <v>4730818.2487654593</v>
      </c>
      <c r="H20" s="556">
        <f t="shared" si="0"/>
        <v>4768969.0574858449</v>
      </c>
      <c r="I20" s="556">
        <f t="shared" si="0"/>
        <v>4803557.9174918383</v>
      </c>
      <c r="J20" s="556">
        <f t="shared" si="0"/>
        <v>4829270.1941038929</v>
      </c>
    </row>
    <row r="21" spans="1:11" s="312" customFormat="1" x14ac:dyDescent="0.4">
      <c r="A21" s="199" t="s">
        <v>325</v>
      </c>
      <c r="B21" s="199"/>
      <c r="C21" s="199"/>
      <c r="D21" s="556"/>
      <c r="E21" s="557">
        <f>E20/D20-1</f>
        <v>5.2752773798960817E-3</v>
      </c>
      <c r="F21" s="557">
        <f t="shared" ref="F21:J21" si="1">F20/E20-1</f>
        <v>7.3502713452318069E-3</v>
      </c>
      <c r="G21" s="557">
        <f t="shared" si="1"/>
        <v>7.1162281936276717E-3</v>
      </c>
      <c r="H21" s="557">
        <f t="shared" si="1"/>
        <v>8.0643150326777935E-3</v>
      </c>
      <c r="I21" s="557">
        <f t="shared" si="1"/>
        <v>7.2529009077337836E-3</v>
      </c>
      <c r="J21" s="557">
        <f t="shared" si="1"/>
        <v>5.3527566553168704E-3</v>
      </c>
    </row>
    <row r="22" spans="1:11" ht="8.1" customHeight="1" thickBot="1" x14ac:dyDescent="0.45">
      <c r="A22" s="125"/>
      <c r="B22" s="125"/>
      <c r="C22" s="125"/>
      <c r="D22" s="125"/>
      <c r="E22" s="125"/>
      <c r="F22" s="125"/>
      <c r="G22" s="125"/>
      <c r="H22" s="125"/>
      <c r="I22" s="125"/>
      <c r="J22" s="125"/>
      <c r="K22" s="125"/>
    </row>
    <row r="23" spans="1:11" ht="8.1" customHeight="1" x14ac:dyDescent="0.4"/>
    <row r="25" spans="1:11" ht="8.1" customHeight="1" x14ac:dyDescent="0.4"/>
    <row r="26" spans="1:11" ht="15.75" x14ac:dyDescent="0.5">
      <c r="A26" s="12" t="s">
        <v>305</v>
      </c>
    </row>
    <row r="28" spans="1:11" x14ac:dyDescent="0.4">
      <c r="A28" s="119"/>
      <c r="B28" s="119"/>
      <c r="C28" s="272" t="s">
        <v>221</v>
      </c>
      <c r="D28" s="272" t="s">
        <v>314</v>
      </c>
      <c r="F28" s="58"/>
      <c r="G28" s="58"/>
    </row>
    <row r="29" spans="1:11" x14ac:dyDescent="0.4">
      <c r="A29" s="119" t="s">
        <v>17</v>
      </c>
      <c r="B29" s="119"/>
      <c r="C29" s="201">
        <f>'Input data'!E129</f>
        <v>0.23480072133202656</v>
      </c>
      <c r="D29" s="120">
        <f>C29*$D$20</f>
        <v>1089157.2488330472</v>
      </c>
      <c r="F29" s="58"/>
      <c r="G29" s="58"/>
    </row>
    <row r="30" spans="1:11" x14ac:dyDescent="0.4">
      <c r="A30" s="119" t="s">
        <v>18</v>
      </c>
      <c r="B30" s="119"/>
      <c r="C30" s="201">
        <f>'Input data'!E130</f>
        <v>0.11600186161067262</v>
      </c>
      <c r="D30" s="120">
        <f>C30*$D$20</f>
        <v>538091.483427478</v>
      </c>
      <c r="F30" s="58"/>
      <c r="G30" s="58"/>
    </row>
    <row r="31" spans="1:11" x14ac:dyDescent="0.4">
      <c r="A31" s="119" t="s">
        <v>19</v>
      </c>
      <c r="B31" s="119"/>
      <c r="C31" s="201">
        <f>'Input data'!E131</f>
        <v>0.30672641275194967</v>
      </c>
      <c r="D31" s="120">
        <f>C31*$D$20</f>
        <v>1422795.0151181072</v>
      </c>
      <c r="F31" s="58"/>
      <c r="G31" s="58"/>
    </row>
    <row r="32" spans="1:11" x14ac:dyDescent="0.4">
      <c r="A32" s="119" t="s">
        <v>20</v>
      </c>
      <c r="B32" s="119"/>
      <c r="C32" s="201">
        <f>'Input data'!E132</f>
        <v>0.11761409086278587</v>
      </c>
      <c r="D32" s="120">
        <f>C32*$D$20</f>
        <v>545570.04297686182</v>
      </c>
      <c r="F32" s="58"/>
      <c r="G32" s="58"/>
    </row>
    <row r="33" spans="1:10" x14ac:dyDescent="0.4">
      <c r="A33" s="115" t="s">
        <v>21</v>
      </c>
      <c r="B33" s="119"/>
      <c r="C33" s="201">
        <f>'Input data'!E133</f>
        <v>0.22485691344256523</v>
      </c>
      <c r="D33" s="116">
        <f>C33*$D$20</f>
        <v>1043031.4516788934</v>
      </c>
      <c r="F33" s="58"/>
      <c r="G33" s="58"/>
    </row>
    <row r="34" spans="1:10" x14ac:dyDescent="0.4">
      <c r="A34" s="119" t="s">
        <v>1</v>
      </c>
      <c r="B34" s="118"/>
      <c r="C34" s="202">
        <f>SUM(C29:C33)</f>
        <v>0.99999999999999989</v>
      </c>
      <c r="D34" s="147">
        <f>SUM(D29:D33)</f>
        <v>4638645.2420343878</v>
      </c>
      <c r="F34" s="58"/>
      <c r="G34" s="58"/>
    </row>
    <row r="35" spans="1:10" x14ac:dyDescent="0.4">
      <c r="C35" s="72" t="b">
        <f>IF(ABS(C34-1)&lt;0.000001,TRUE,FALSE)</f>
        <v>1</v>
      </c>
      <c r="D35" s="72" t="b">
        <f>IF(ABS(D34-D20)&lt;0.000001,TRUE,FALSE)</f>
        <v>1</v>
      </c>
    </row>
    <row r="37" spans="1:10" x14ac:dyDescent="0.4">
      <c r="A37" s="95" t="s">
        <v>132</v>
      </c>
    </row>
    <row r="39" spans="1:10" x14ac:dyDescent="0.4">
      <c r="C39" s="312"/>
      <c r="D39" s="94" t="s">
        <v>37</v>
      </c>
      <c r="E39" s="94" t="s">
        <v>38</v>
      </c>
      <c r="F39" s="94" t="s">
        <v>45</v>
      </c>
      <c r="G39" s="94" t="s">
        <v>46</v>
      </c>
      <c r="H39" s="94" t="s">
        <v>47</v>
      </c>
      <c r="I39" s="94" t="s">
        <v>52</v>
      </c>
      <c r="J39" s="94" t="s">
        <v>51</v>
      </c>
    </row>
    <row r="40" spans="1:10" x14ac:dyDescent="0.4">
      <c r="A40" s="39" t="str">
        <f>A29</f>
        <v>DP poles - pure</v>
      </c>
      <c r="D40" s="117">
        <f>D29</f>
        <v>1089157.2488330472</v>
      </c>
      <c r="E40" s="117">
        <f>D40*(1+E$21)</f>
        <v>1094902.855430966</v>
      </c>
      <c r="F40" s="117">
        <f t="shared" ref="F40:J40" si="2">E40*(1+F$21)</f>
        <v>1102950.6885150527</v>
      </c>
      <c r="G40" s="117">
        <f t="shared" si="2"/>
        <v>1110799.5373008444</v>
      </c>
      <c r="H40" s="117">
        <f t="shared" si="2"/>
        <v>1119757.3747077913</v>
      </c>
      <c r="I40" s="117">
        <f t="shared" si="2"/>
        <v>1127878.863987251</v>
      </c>
      <c r="J40" s="117">
        <f t="shared" si="2"/>
        <v>1133916.12508285</v>
      </c>
    </row>
    <row r="41" spans="1:10" x14ac:dyDescent="0.4">
      <c r="A41" s="39" t="str">
        <f>A30</f>
        <v>DP poles - mixed</v>
      </c>
      <c r="D41" s="117">
        <f>D30</f>
        <v>538091.483427478</v>
      </c>
      <c r="E41" s="117">
        <f t="shared" ref="E41:J41" si="3">D41*(1+E$21)</f>
        <v>540930.06525831774</v>
      </c>
      <c r="F41" s="117">
        <f t="shared" si="3"/>
        <v>544906.04801676038</v>
      </c>
      <c r="G41" s="117">
        <f t="shared" si="3"/>
        <v>548783.72379853553</v>
      </c>
      <c r="H41" s="117">
        <f t="shared" si="3"/>
        <v>553209.28863205295</v>
      </c>
      <c r="I41" s="117">
        <f t="shared" si="3"/>
        <v>557221.66078373918</v>
      </c>
      <c r="J41" s="117">
        <f t="shared" si="3"/>
        <v>560204.33273698611</v>
      </c>
    </row>
    <row r="42" spans="1:10" x14ac:dyDescent="0.4">
      <c r="A42" s="39" t="str">
        <f>A31</f>
        <v>Feeder poles - pure</v>
      </c>
      <c r="D42" s="117">
        <f>D31</f>
        <v>1422795.0151181072</v>
      </c>
      <c r="E42" s="117">
        <f t="shared" ref="E42:J42" si="4">D42*(1+E$21)</f>
        <v>1430300.6534775887</v>
      </c>
      <c r="F42" s="117">
        <f t="shared" si="4"/>
        <v>1440813.7513859114</v>
      </c>
      <c r="G42" s="117">
        <f t="shared" si="4"/>
        <v>1451066.9108252903</v>
      </c>
      <c r="H42" s="117">
        <f t="shared" si="4"/>
        <v>1462768.7715276799</v>
      </c>
      <c r="I42" s="117">
        <f t="shared" si="4"/>
        <v>1473378.0884784977</v>
      </c>
      <c r="J42" s="117">
        <f t="shared" si="4"/>
        <v>1481264.7228473991</v>
      </c>
    </row>
    <row r="43" spans="1:10" x14ac:dyDescent="0.4">
      <c r="A43" s="39" t="str">
        <f>A32</f>
        <v>Feeder poles - mixed</v>
      </c>
      <c r="D43" s="476">
        <f>D32</f>
        <v>545570.04297686182</v>
      </c>
      <c r="E43" s="476">
        <f t="shared" ref="E43:J43" si="5">D43*(1+E$21)</f>
        <v>548448.07628372661</v>
      </c>
      <c r="F43" s="476">
        <f t="shared" si="5"/>
        <v>552479.31846318243</v>
      </c>
      <c r="G43" s="476">
        <f t="shared" si="5"/>
        <v>556410.88736562629</v>
      </c>
      <c r="H43" s="476">
        <f t="shared" si="5"/>
        <v>560897.96004895447</v>
      </c>
      <c r="I43" s="476">
        <f t="shared" si="5"/>
        <v>564966.09737253957</v>
      </c>
      <c r="J43" s="476">
        <f t="shared" si="5"/>
        <v>567990.22341027879</v>
      </c>
    </row>
    <row r="44" spans="1:10" x14ac:dyDescent="0.4">
      <c r="A44" s="85" t="str">
        <f>A33</f>
        <v>Cable poles</v>
      </c>
      <c r="B44" s="85"/>
      <c r="C44" s="326"/>
      <c r="D44" s="121">
        <f>D33</f>
        <v>1043031.4516788934</v>
      </c>
      <c r="E44" s="121">
        <f t="shared" ref="E44:J44" si="6">D44*(1+E$21)</f>
        <v>1048533.7319024552</v>
      </c>
      <c r="F44" s="121">
        <f t="shared" si="6"/>
        <v>1056240.7393465668</v>
      </c>
      <c r="G44" s="121">
        <f t="shared" si="6"/>
        <v>1063757.1894751631</v>
      </c>
      <c r="H44" s="121">
        <f t="shared" si="6"/>
        <v>1072335.6625693669</v>
      </c>
      <c r="I44" s="121">
        <f t="shared" si="6"/>
        <v>1080113.2068698115</v>
      </c>
      <c r="J44" s="121">
        <f t="shared" si="6"/>
        <v>1085894.7900263795</v>
      </c>
    </row>
    <row r="45" spans="1:10" x14ac:dyDescent="0.4">
      <c r="A45" s="119" t="s">
        <v>1</v>
      </c>
      <c r="B45" s="119"/>
      <c r="D45" s="120">
        <f>SUM(D40:D44)</f>
        <v>4638645.2420343878</v>
      </c>
      <c r="E45" s="120">
        <f>SUM(E40:E44)</f>
        <v>4663115.3823530544</v>
      </c>
      <c r="F45" s="120">
        <f t="shared" ref="F45:J45" si="7">SUM(F40:F44)</f>
        <v>4697390.5457274737</v>
      </c>
      <c r="G45" s="120">
        <f t="shared" si="7"/>
        <v>4730818.2487654593</v>
      </c>
      <c r="H45" s="120">
        <f t="shared" si="7"/>
        <v>4768969.0574858449</v>
      </c>
      <c r="I45" s="120">
        <f t="shared" si="7"/>
        <v>4803557.9174918393</v>
      </c>
      <c r="J45" s="120">
        <f t="shared" si="7"/>
        <v>4829270.1941038938</v>
      </c>
    </row>
    <row r="46" spans="1:10" x14ac:dyDescent="0.4">
      <c r="D46" s="72" t="b">
        <f>ROUND(D45,0)=ROUND(D20,0)</f>
        <v>1</v>
      </c>
      <c r="E46" s="72" t="b">
        <f t="shared" ref="E46:J46" si="8">ROUND(E45,0)=ROUND(E20,0)</f>
        <v>1</v>
      </c>
      <c r="F46" s="72" t="b">
        <f t="shared" si="8"/>
        <v>1</v>
      </c>
      <c r="G46" s="72" t="b">
        <f t="shared" si="8"/>
        <v>1</v>
      </c>
      <c r="H46" s="72" t="b">
        <f t="shared" si="8"/>
        <v>1</v>
      </c>
      <c r="I46" s="72" t="b">
        <f t="shared" si="8"/>
        <v>1</v>
      </c>
      <c r="J46" s="72" t="b">
        <f t="shared" si="8"/>
        <v>1</v>
      </c>
    </row>
    <row r="48" spans="1:10" x14ac:dyDescent="0.4">
      <c r="A48" s="182" t="s">
        <v>118</v>
      </c>
      <c r="B48" s="182"/>
      <c r="C48" s="204"/>
      <c r="D48" s="558">
        <f>D40+D41</f>
        <v>1627248.7322605252</v>
      </c>
      <c r="E48" s="558">
        <f t="shared" ref="E48:J48" si="9">E40+E41</f>
        <v>1635832.9206892839</v>
      </c>
      <c r="F48" s="558">
        <f t="shared" si="9"/>
        <v>1647856.7365318132</v>
      </c>
      <c r="G48" s="558">
        <f t="shared" si="9"/>
        <v>1659583.26109938</v>
      </c>
      <c r="H48" s="558">
        <f t="shared" si="9"/>
        <v>1672966.6633398442</v>
      </c>
      <c r="I48" s="558">
        <f t="shared" si="9"/>
        <v>1685100.52477099</v>
      </c>
      <c r="J48" s="558">
        <f t="shared" si="9"/>
        <v>1694120.4578198362</v>
      </c>
    </row>
    <row r="49" spans="1:11" ht="8.1" customHeight="1" thickBot="1" x14ac:dyDescent="0.45">
      <c r="A49" s="125"/>
      <c r="B49" s="125"/>
      <c r="C49" s="125"/>
      <c r="D49" s="125"/>
      <c r="E49" s="125"/>
      <c r="F49" s="125"/>
      <c r="G49" s="125"/>
      <c r="H49" s="125"/>
      <c r="I49" s="125"/>
      <c r="J49" s="125"/>
      <c r="K49" s="125"/>
    </row>
    <row r="50" spans="1:11" ht="8.1" customHeight="1" x14ac:dyDescent="0.4"/>
    <row r="51" spans="1:11" ht="15.75" x14ac:dyDescent="0.5">
      <c r="A51" s="12" t="s">
        <v>306</v>
      </c>
    </row>
    <row r="52" spans="1:11" ht="8.1" customHeight="1" x14ac:dyDescent="0.4"/>
    <row r="53" spans="1:11" x14ac:dyDescent="0.4">
      <c r="A53" s="39" t="str">
        <f>'Input data'!A157</f>
        <v>Ratio of manifolds to poles</v>
      </c>
      <c r="C53" s="59">
        <f>'Input data'!D157</f>
        <v>0.44274519374868471</v>
      </c>
    </row>
    <row r="55" spans="1:11" x14ac:dyDescent="0.4">
      <c r="A55" s="39" t="s">
        <v>222</v>
      </c>
      <c r="D55" s="117">
        <f t="shared" ref="D55:J55" si="10">D20*$C$53</f>
        <v>2053737.8864159295</v>
      </c>
      <c r="E55" s="117">
        <f t="shared" si="10"/>
        <v>2064571.9234323751</v>
      </c>
      <c r="F55" s="117">
        <f t="shared" si="10"/>
        <v>2079747.08728135</v>
      </c>
      <c r="G55" s="117">
        <f t="shared" si="10"/>
        <v>2094547.0421394766</v>
      </c>
      <c r="H55" s="117">
        <f t="shared" si="10"/>
        <v>2111438.1293380526</v>
      </c>
      <c r="I55" s="117">
        <f t="shared" si="10"/>
        <v>2126752.1808629525</v>
      </c>
      <c r="J55" s="117">
        <f t="shared" si="10"/>
        <v>2138136.1677532764</v>
      </c>
    </row>
    <row r="57" spans="1:11" x14ac:dyDescent="0.4">
      <c r="A57" s="95" t="s">
        <v>363</v>
      </c>
    </row>
    <row r="58" spans="1:11" ht="7.15" customHeight="1" x14ac:dyDescent="0.4">
      <c r="A58" s="95"/>
    </row>
    <row r="59" spans="1:11" s="58" customFormat="1" ht="39.4" x14ac:dyDescent="0.45">
      <c r="A59" s="126" t="s">
        <v>131</v>
      </c>
      <c r="B59" s="126" t="s">
        <v>44</v>
      </c>
      <c r="D59" s="126"/>
      <c r="E59" s="126"/>
      <c r="F59" s="153" t="s">
        <v>298</v>
      </c>
      <c r="G59" s="60" t="s">
        <v>24</v>
      </c>
      <c r="H59" s="153" t="s">
        <v>301</v>
      </c>
      <c r="J59" s="153" t="s">
        <v>323</v>
      </c>
    </row>
    <row r="60" spans="1:11" x14ac:dyDescent="0.4">
      <c r="A60" s="39" t="str">
        <f>'Input data'!A140</f>
        <v>DP poles - pure</v>
      </c>
      <c r="B60" s="39" t="str">
        <f>'Input data'!F140</f>
        <v>Single Premise attachments</v>
      </c>
      <c r="F60" s="56">
        <f>'Input data'!D140</f>
        <v>9370082.0140145291</v>
      </c>
      <c r="G60" s="367">
        <f>'Input data'!E140</f>
        <v>43922</v>
      </c>
      <c r="H60" s="41">
        <f>$D$11</f>
        <v>4642807.7233462203</v>
      </c>
      <c r="J60" s="56">
        <f>F60*$D$20/H60</f>
        <v>9361681.3233984727</v>
      </c>
    </row>
    <row r="61" spans="1:11" x14ac:dyDescent="0.4">
      <c r="B61" s="39" t="str">
        <f>'Input data'!F141</f>
        <v>Multi premise attachments</v>
      </c>
      <c r="F61" s="56">
        <f>'Input data'!D141</f>
        <v>0</v>
      </c>
      <c r="G61" s="367">
        <f>'Input data'!E141</f>
        <v>43922</v>
      </c>
      <c r="H61" s="328">
        <f>$D$11</f>
        <v>4642807.7233462203</v>
      </c>
      <c r="J61" s="56">
        <f>F61*$D$20/H61</f>
        <v>0</v>
      </c>
    </row>
    <row r="62" spans="1:11" x14ac:dyDescent="0.4">
      <c r="F62" s="56"/>
      <c r="G62" s="367"/>
    </row>
    <row r="63" spans="1:11" x14ac:dyDescent="0.4">
      <c r="A63" s="39" t="str">
        <f>'Input data'!A143</f>
        <v>DP poles - mixed</v>
      </c>
      <c r="B63" s="39" t="str">
        <f>'Input data'!F143</f>
        <v>Single Premise attachments</v>
      </c>
      <c r="F63" s="56">
        <f>'Input data'!D143</f>
        <v>2835707.5685779573</v>
      </c>
      <c r="G63" s="367">
        <f>'Input data'!E143</f>
        <v>43922</v>
      </c>
      <c r="H63" s="328">
        <f>$D$11</f>
        <v>4642807.7233462203</v>
      </c>
      <c r="J63" s="56">
        <f>F63*$D$20/H63</f>
        <v>2833165.2320300378</v>
      </c>
    </row>
    <row r="64" spans="1:11" x14ac:dyDescent="0.4">
      <c r="B64" s="39" t="str">
        <f>'Input data'!F144</f>
        <v>Multi premise attachments</v>
      </c>
      <c r="F64" s="56">
        <f>'Input data'!D144</f>
        <v>548431.6044396162</v>
      </c>
      <c r="G64" s="367">
        <f>'Input data'!E144</f>
        <v>43922</v>
      </c>
      <c r="H64" s="328">
        <f>$D$11</f>
        <v>4642807.7233462203</v>
      </c>
      <c r="J64" s="56">
        <f>F64*$D$20/H64</f>
        <v>547939.91138654854</v>
      </c>
    </row>
    <row r="65" spans="1:10" x14ac:dyDescent="0.4">
      <c r="F65" s="56"/>
      <c r="G65" s="367"/>
    </row>
    <row r="66" spans="1:10" x14ac:dyDescent="0.4">
      <c r="A66" s="39" t="str">
        <f>'Input data'!A146</f>
        <v>Feeder poles - pure</v>
      </c>
      <c r="B66" s="39" t="str">
        <f>'Input data'!F146</f>
        <v>Single Premise attachments</v>
      </c>
      <c r="F66" s="56">
        <f>'Input data'!D146</f>
        <v>3326527.3687788486</v>
      </c>
      <c r="G66" s="367">
        <f>'Input data'!E146</f>
        <v>43922</v>
      </c>
      <c r="H66" s="328">
        <f>$D$11</f>
        <v>4642807.7233462203</v>
      </c>
      <c r="J66" s="56">
        <f>F66*$D$20/H66</f>
        <v>3323544.9906940931</v>
      </c>
    </row>
    <row r="67" spans="1:10" x14ac:dyDescent="0.4">
      <c r="B67" s="39" t="str">
        <f>'Input data'!F147</f>
        <v>Multi premise attachments</v>
      </c>
      <c r="F67" s="56">
        <f>'Input data'!D147</f>
        <v>0</v>
      </c>
      <c r="G67" s="367">
        <f>'Input data'!E147</f>
        <v>43922</v>
      </c>
      <c r="H67" s="328">
        <f>$D$11</f>
        <v>4642807.7233462203</v>
      </c>
      <c r="J67" s="56">
        <f>F67*$D$20/H67</f>
        <v>0</v>
      </c>
    </row>
    <row r="68" spans="1:10" x14ac:dyDescent="0.4">
      <c r="F68" s="56"/>
      <c r="G68" s="367"/>
    </row>
    <row r="69" spans="1:10" x14ac:dyDescent="0.4">
      <c r="A69" s="39" t="str">
        <f>'Input data'!A149</f>
        <v>Feeder poles - mixed</v>
      </c>
      <c r="B69" s="39" t="str">
        <f>'Input data'!F149</f>
        <v>Single Premise attachments</v>
      </c>
      <c r="F69" s="56">
        <f>'Input data'!D149</f>
        <v>1510570.48817153</v>
      </c>
      <c r="G69" s="367">
        <f>'Input data'!E149</f>
        <v>43922</v>
      </c>
      <c r="H69" s="328">
        <f>$D$11</f>
        <v>4642807.7233462203</v>
      </c>
      <c r="J69" s="56">
        <f>F69*$D$20/H69</f>
        <v>1509216.1952949152</v>
      </c>
    </row>
    <row r="70" spans="1:10" x14ac:dyDescent="0.4">
      <c r="B70" s="39" t="str">
        <f>'Input data'!F150</f>
        <v>Multi premise attachments</v>
      </c>
      <c r="F70" s="56">
        <f>'Input data'!D150</f>
        <v>796651.01995391841</v>
      </c>
      <c r="G70" s="367">
        <f>'Input data'!E150</f>
        <v>43922</v>
      </c>
      <c r="H70" s="328">
        <f>$D$11</f>
        <v>4642807.7233462203</v>
      </c>
      <c r="J70" s="56">
        <f>F70*$D$20/H70</f>
        <v>795936.78727830364</v>
      </c>
    </row>
    <row r="71" spans="1:10" x14ac:dyDescent="0.4">
      <c r="F71" s="56"/>
      <c r="G71" s="367"/>
    </row>
    <row r="72" spans="1:10" x14ac:dyDescent="0.4">
      <c r="A72" s="39" t="str">
        <f>'Input data'!A152</f>
        <v>Cable poles</v>
      </c>
      <c r="B72" s="39" t="str">
        <f>'Input data'!F152</f>
        <v>Single Premise attachments</v>
      </c>
      <c r="F72" s="56">
        <f>'Input data'!D152</f>
        <v>0</v>
      </c>
      <c r="G72" s="367">
        <f>'Input data'!E152</f>
        <v>43922</v>
      </c>
      <c r="H72" s="328">
        <f>$D$11</f>
        <v>4642807.7233462203</v>
      </c>
      <c r="J72" s="56">
        <f>F72*$D$20/H72</f>
        <v>0</v>
      </c>
    </row>
    <row r="73" spans="1:10" x14ac:dyDescent="0.4">
      <c r="B73" s="39" t="str">
        <f>'Input data'!F153</f>
        <v>Multi premise attachments</v>
      </c>
      <c r="F73" s="56">
        <f>'Input data'!D153</f>
        <v>1236484.6049938917</v>
      </c>
      <c r="G73" s="367">
        <f>'Input data'!E153</f>
        <v>43922</v>
      </c>
      <c r="H73" s="328">
        <f>$D$11</f>
        <v>4642807.7233462203</v>
      </c>
      <c r="J73" s="56">
        <f>F73*$D$20/H73</f>
        <v>1235376.0421656757</v>
      </c>
    </row>
    <row r="74" spans="1:10" x14ac:dyDescent="0.4">
      <c r="G74" s="361"/>
    </row>
    <row r="75" spans="1:10" x14ac:dyDescent="0.4">
      <c r="A75" s="39" t="s">
        <v>127</v>
      </c>
      <c r="B75" s="39" t="str">
        <f>B72</f>
        <v>Single Premise attachments</v>
      </c>
      <c r="F75" s="56">
        <f>SUMIF($B$60:$B$73,$B75,F$60:F$73)</f>
        <v>17042887.439542867</v>
      </c>
      <c r="G75" s="328"/>
    </row>
    <row r="76" spans="1:10" x14ac:dyDescent="0.4">
      <c r="B76" s="39" t="str">
        <f>B73</f>
        <v>Multi premise attachments</v>
      </c>
      <c r="F76" s="56">
        <f>SUMIF($B$60:$B$73,$B76,F$60:F$73)</f>
        <v>2581567.2293874263</v>
      </c>
      <c r="G76" s="328"/>
    </row>
    <row r="77" spans="1:10" x14ac:dyDescent="0.4">
      <c r="F77" s="56"/>
    </row>
    <row r="78" spans="1:10" x14ac:dyDescent="0.4">
      <c r="A78" s="95" t="s">
        <v>307</v>
      </c>
      <c r="F78" s="56"/>
    </row>
    <row r="79" spans="1:10" ht="7.5" customHeight="1" x14ac:dyDescent="0.4">
      <c r="C79" s="312"/>
    </row>
    <row r="80" spans="1:10" x14ac:dyDescent="0.4">
      <c r="C80" s="312"/>
      <c r="D80" s="94" t="str">
        <f t="shared" ref="D80:J80" si="11">D39</f>
        <v>2019/20</v>
      </c>
      <c r="E80" s="94" t="str">
        <f t="shared" si="11"/>
        <v>2020/21</v>
      </c>
      <c r="F80" s="94" t="str">
        <f t="shared" si="11"/>
        <v>2021/22</v>
      </c>
      <c r="G80" s="94" t="str">
        <f t="shared" si="11"/>
        <v>2022/23</v>
      </c>
      <c r="H80" s="94" t="str">
        <f t="shared" si="11"/>
        <v>2023/24</v>
      </c>
      <c r="I80" s="94" t="str">
        <f t="shared" si="11"/>
        <v>2024/25</v>
      </c>
      <c r="J80" s="94" t="str">
        <f t="shared" si="11"/>
        <v>2025/26</v>
      </c>
    </row>
    <row r="81" spans="1:10" x14ac:dyDescent="0.4">
      <c r="A81" s="39" t="str">
        <f>A60</f>
        <v>DP poles - pure</v>
      </c>
      <c r="B81" s="39" t="s">
        <v>120</v>
      </c>
      <c r="C81" s="312"/>
      <c r="D81" s="41">
        <f>J60</f>
        <v>9361681.3233984727</v>
      </c>
      <c r="E81" s="41">
        <f>D81*E$20/D$20</f>
        <v>9411066.7891215924</v>
      </c>
      <c r="F81" s="41">
        <f t="shared" ref="F81:J82" si="12">E81*F$20/E$20</f>
        <v>9480240.6836697347</v>
      </c>
      <c r="G81" s="41">
        <f t="shared" si="12"/>
        <v>9547704.2397052404</v>
      </c>
      <c r="H81" s="41">
        <f t="shared" si="12"/>
        <v>9624699.9345330559</v>
      </c>
      <c r="I81" s="41">
        <f t="shared" si="12"/>
        <v>9694506.929424895</v>
      </c>
      <c r="J81" s="41">
        <f t="shared" si="12"/>
        <v>9746399.2659113891</v>
      </c>
    </row>
    <row r="82" spans="1:10" x14ac:dyDescent="0.4">
      <c r="B82" s="39" t="s">
        <v>121</v>
      </c>
      <c r="C82" s="312"/>
      <c r="D82" s="41">
        <f>J61</f>
        <v>0</v>
      </c>
      <c r="E82" s="328">
        <f>D82*E$20/D$20</f>
        <v>0</v>
      </c>
      <c r="F82" s="41">
        <f t="shared" si="12"/>
        <v>0</v>
      </c>
      <c r="G82" s="41">
        <f t="shared" si="12"/>
        <v>0</v>
      </c>
      <c r="H82" s="41">
        <f t="shared" si="12"/>
        <v>0</v>
      </c>
      <c r="I82" s="41">
        <f t="shared" si="12"/>
        <v>0</v>
      </c>
      <c r="J82" s="41">
        <f t="shared" si="12"/>
        <v>0</v>
      </c>
    </row>
    <row r="83" spans="1:10" x14ac:dyDescent="0.4">
      <c r="D83" s="41"/>
    </row>
    <row r="84" spans="1:10" x14ac:dyDescent="0.4">
      <c r="A84" s="39" t="str">
        <f>A63</f>
        <v>DP poles - mixed</v>
      </c>
      <c r="B84" s="39" t="str">
        <f>B81</f>
        <v>Single</v>
      </c>
      <c r="D84" s="41">
        <f>J63</f>
        <v>2833165.2320300378</v>
      </c>
      <c r="E84" s="328">
        <f>D84*E$20/D$20</f>
        <v>2848110.9644920737</v>
      </c>
      <c r="F84" s="41">
        <f t="shared" ref="F84:J84" si="13">E84*F$20/E$20</f>
        <v>2869045.3529024203</v>
      </c>
      <c r="G84" s="41">
        <f t="shared" si="13"/>
        <v>2889462.1343315411</v>
      </c>
      <c r="H84" s="41">
        <f t="shared" si="13"/>
        <v>2912763.6672577839</v>
      </c>
      <c r="I84" s="41">
        <f t="shared" si="13"/>
        <v>2933889.6535040522</v>
      </c>
      <c r="J84" s="41">
        <f t="shared" si="13"/>
        <v>2949594.0508728116</v>
      </c>
    </row>
    <row r="85" spans="1:10" x14ac:dyDescent="0.4">
      <c r="B85" s="39" t="str">
        <f>B82</f>
        <v>Multi</v>
      </c>
      <c r="D85" s="41">
        <f>J64</f>
        <v>547939.91138654854</v>
      </c>
      <c r="E85" s="328">
        <f>D85*E$20/D$20</f>
        <v>550830.44640662835</v>
      </c>
      <c r="F85" s="41">
        <f t="shared" ref="F85:J85" si="14">E85*F$20/E$20</f>
        <v>554879.19965293224</v>
      </c>
      <c r="G85" s="41">
        <f t="shared" si="14"/>
        <v>558827.84665755997</v>
      </c>
      <c r="H85" s="41">
        <f t="shared" si="14"/>
        <v>563334.41046203952</v>
      </c>
      <c r="I85" s="41">
        <f t="shared" si="14"/>
        <v>567420.21911903727</v>
      </c>
      <c r="J85" s="41">
        <f t="shared" si="14"/>
        <v>570457.48147328803</v>
      </c>
    </row>
    <row r="86" spans="1:10" x14ac:dyDescent="0.4">
      <c r="D86" s="41"/>
    </row>
    <row r="87" spans="1:10" x14ac:dyDescent="0.4">
      <c r="A87" s="39" t="str">
        <f>A66</f>
        <v>Feeder poles - pure</v>
      </c>
      <c r="B87" s="39" t="str">
        <f>B84</f>
        <v>Single</v>
      </c>
      <c r="D87" s="41">
        <f>J66</f>
        <v>3323544.9906940931</v>
      </c>
      <c r="E87" s="328">
        <f>D87*E$20/D$20</f>
        <v>3341077.6124045686</v>
      </c>
      <c r="F87" s="41">
        <f t="shared" ref="F87:J87" si="15">E87*F$20/E$20</f>
        <v>3365635.4394412213</v>
      </c>
      <c r="G87" s="41">
        <f t="shared" si="15"/>
        <v>3389586.0692448448</v>
      </c>
      <c r="H87" s="41">
        <f t="shared" si="15"/>
        <v>3416920.7591376114</v>
      </c>
      <c r="I87" s="41">
        <f t="shared" si="15"/>
        <v>3441703.3468132149</v>
      </c>
      <c r="J87" s="41">
        <f t="shared" si="15"/>
        <v>3460125.9473084956</v>
      </c>
    </row>
    <row r="88" spans="1:10" x14ac:dyDescent="0.4">
      <c r="B88" s="39" t="str">
        <f>B85</f>
        <v>Multi</v>
      </c>
      <c r="D88" s="41">
        <f>J67</f>
        <v>0</v>
      </c>
      <c r="E88" s="328">
        <f>D88*E$20/D$20</f>
        <v>0</v>
      </c>
      <c r="F88" s="41">
        <f t="shared" ref="F88:J88" si="16">E88*F$20/E$20</f>
        <v>0</v>
      </c>
      <c r="G88" s="41">
        <f t="shared" si="16"/>
        <v>0</v>
      </c>
      <c r="H88" s="41">
        <f t="shared" si="16"/>
        <v>0</v>
      </c>
      <c r="I88" s="41">
        <f t="shared" si="16"/>
        <v>0</v>
      </c>
      <c r="J88" s="41">
        <f t="shared" si="16"/>
        <v>0</v>
      </c>
    </row>
    <row r="89" spans="1:10" x14ac:dyDescent="0.4">
      <c r="D89" s="41"/>
    </row>
    <row r="90" spans="1:10" x14ac:dyDescent="0.4">
      <c r="A90" s="39" t="str">
        <f>A69</f>
        <v>Feeder poles - mixed</v>
      </c>
      <c r="B90" s="39" t="str">
        <f>B87</f>
        <v>Single</v>
      </c>
      <c r="D90" s="41">
        <f>J69</f>
        <v>1509216.1952949152</v>
      </c>
      <c r="E90" s="328">
        <f>D90*E$20/D$20</f>
        <v>1517177.7293513273</v>
      </c>
      <c r="F90" s="41">
        <f t="shared" ref="F90:J90" si="17">E90*F$20/E$20</f>
        <v>1528329.397341002</v>
      </c>
      <c r="G90" s="41">
        <f t="shared" si="17"/>
        <v>1539205.3380875101</v>
      </c>
      <c r="H90" s="41">
        <f t="shared" si="17"/>
        <v>1551617.974833827</v>
      </c>
      <c r="I90" s="41">
        <f t="shared" si="17"/>
        <v>1562871.7062519554</v>
      </c>
      <c r="J90" s="41">
        <f t="shared" si="17"/>
        <v>1571237.3781790019</v>
      </c>
    </row>
    <row r="91" spans="1:10" x14ac:dyDescent="0.4">
      <c r="B91" s="39" t="str">
        <f>B88</f>
        <v>Multi</v>
      </c>
      <c r="D91" s="41">
        <f>J70</f>
        <v>795936.78727830364</v>
      </c>
      <c r="E91" s="328">
        <f>D91*E$20/D$20</f>
        <v>800135.57460805995</v>
      </c>
      <c r="F91" s="41">
        <f t="shared" ref="F91:J91" si="18">E91*F$20/E$20</f>
        <v>806016.78819440224</v>
      </c>
      <c r="G91" s="41">
        <f t="shared" si="18"/>
        <v>811752.58758708846</v>
      </c>
      <c r="H91" s="41">
        <f t="shared" si="18"/>
        <v>818298.81618198205</v>
      </c>
      <c r="I91" s="41">
        <f t="shared" si="18"/>
        <v>824233.85640866577</v>
      </c>
      <c r="J91" s="41">
        <f t="shared" si="18"/>
        <v>828645.77966909483</v>
      </c>
    </row>
    <row r="93" spans="1:10" x14ac:dyDescent="0.4">
      <c r="A93" s="39" t="str">
        <f>A72</f>
        <v>Cable poles</v>
      </c>
      <c r="B93" s="39" t="str">
        <f>B90</f>
        <v>Single</v>
      </c>
      <c r="D93" s="41">
        <f>J72</f>
        <v>0</v>
      </c>
      <c r="E93" s="328">
        <f>D93*E$20/D$20</f>
        <v>0</v>
      </c>
      <c r="F93" s="41">
        <f t="shared" ref="F93:J93" si="19">E93*F$20/E$20</f>
        <v>0</v>
      </c>
      <c r="G93" s="41">
        <f t="shared" si="19"/>
        <v>0</v>
      </c>
      <c r="H93" s="41">
        <f t="shared" si="19"/>
        <v>0</v>
      </c>
      <c r="I93" s="41">
        <f t="shared" si="19"/>
        <v>0</v>
      </c>
      <c r="J93" s="41">
        <f t="shared" si="19"/>
        <v>0</v>
      </c>
    </row>
    <row r="94" spans="1:10" x14ac:dyDescent="0.4">
      <c r="B94" s="39" t="str">
        <f>B91</f>
        <v>Multi</v>
      </c>
      <c r="D94" s="41">
        <f>J73</f>
        <v>1235376.0421656757</v>
      </c>
      <c r="E94" s="328">
        <f>D94*E$20/D$20</f>
        <v>1241892.9934565776</v>
      </c>
      <c r="F94" s="41">
        <f t="shared" ref="F94:J94" si="20">E94*F$20/E$20</f>
        <v>1251021.2439402256</v>
      </c>
      <c r="G94" s="41">
        <f t="shared" si="20"/>
        <v>1259923.7965871801</v>
      </c>
      <c r="H94" s="41">
        <f t="shared" si="20"/>
        <v>1270084.2190000266</v>
      </c>
      <c r="I94" s="41">
        <f t="shared" si="20"/>
        <v>1279296.0139849102</v>
      </c>
      <c r="J94" s="41">
        <f t="shared" si="20"/>
        <v>1286143.7742378884</v>
      </c>
    </row>
    <row r="96" spans="1:10" x14ac:dyDescent="0.4">
      <c r="A96" s="182" t="str">
        <f>A75</f>
        <v>Total attachments</v>
      </c>
      <c r="B96" s="182" t="str">
        <f>B93</f>
        <v>Single</v>
      </c>
      <c r="D96" s="559">
        <f>SUMIF($B$81:$B$94,$B96,D$81:D$94)</f>
        <v>17027607.74141752</v>
      </c>
      <c r="E96" s="559">
        <f t="shared" ref="E96:J97" si="21">SUMIF($B$81:$B$94,$B96,E$81:E$94)</f>
        <v>17117433.095369563</v>
      </c>
      <c r="F96" s="559">
        <f t="shared" si="21"/>
        <v>17243250.873354379</v>
      </c>
      <c r="G96" s="559">
        <f t="shared" si="21"/>
        <v>17365957.781369135</v>
      </c>
      <c r="H96" s="559">
        <f t="shared" si="21"/>
        <v>17506002.335762277</v>
      </c>
      <c r="I96" s="559">
        <f t="shared" si="21"/>
        <v>17632971.635994118</v>
      </c>
      <c r="J96" s="559">
        <f t="shared" si="21"/>
        <v>17727356.642271698</v>
      </c>
    </row>
    <row r="97" spans="1:13" x14ac:dyDescent="0.4">
      <c r="A97" s="182"/>
      <c r="B97" s="182" t="str">
        <f>B94</f>
        <v>Multi</v>
      </c>
      <c r="D97" s="559">
        <f>SUMIF($B$81:$B$94,$B97,D$81:D$94)</f>
        <v>2579252.7408305276</v>
      </c>
      <c r="E97" s="559">
        <f t="shared" si="21"/>
        <v>2592859.014471266</v>
      </c>
      <c r="F97" s="559">
        <f t="shared" si="21"/>
        <v>2611917.23178756</v>
      </c>
      <c r="G97" s="559">
        <f t="shared" si="21"/>
        <v>2630504.2308318289</v>
      </c>
      <c r="H97" s="559">
        <f t="shared" si="21"/>
        <v>2651717.445644048</v>
      </c>
      <c r="I97" s="559">
        <f t="shared" si="21"/>
        <v>2670950.0895126131</v>
      </c>
      <c r="J97" s="559">
        <f t="shared" si="21"/>
        <v>2685247.0353802713</v>
      </c>
      <c r="M97" s="328"/>
    </row>
    <row r="99" spans="1:13" x14ac:dyDescent="0.4">
      <c r="A99" s="39" t="s">
        <v>130</v>
      </c>
      <c r="B99" s="39" t="str">
        <f>B93</f>
        <v>Single</v>
      </c>
    </row>
    <row r="100" spans="1:13" x14ac:dyDescent="0.4">
      <c r="A100" s="39" t="s">
        <v>124</v>
      </c>
      <c r="B100" s="39" t="str">
        <f>B99</f>
        <v>Single</v>
      </c>
      <c r="D100" s="41">
        <f>D81+D87</f>
        <v>12685226.314092565</v>
      </c>
      <c r="E100" s="41">
        <f t="shared" ref="E100:J100" si="22">E81+E87</f>
        <v>12752144.401526161</v>
      </c>
      <c r="F100" s="41">
        <f t="shared" si="22"/>
        <v>12845876.123110956</v>
      </c>
      <c r="G100" s="41">
        <f t="shared" si="22"/>
        <v>12937290.308950085</v>
      </c>
      <c r="H100" s="41">
        <f t="shared" si="22"/>
        <v>13041620.693670668</v>
      </c>
      <c r="I100" s="41">
        <f t="shared" si="22"/>
        <v>13136210.27623811</v>
      </c>
      <c r="J100" s="41">
        <f t="shared" si="22"/>
        <v>13206525.213219885</v>
      </c>
    </row>
    <row r="101" spans="1:13" x14ac:dyDescent="0.4">
      <c r="A101" s="39" t="s">
        <v>122</v>
      </c>
      <c r="B101" s="39" t="str">
        <f t="shared" ref="B101:B102" si="23">B100</f>
        <v>Single</v>
      </c>
      <c r="D101" s="117">
        <f>D40+D42</f>
        <v>2511952.2639511544</v>
      </c>
      <c r="E101" s="117">
        <f t="shared" ref="E101:J101" si="24">E40+E42</f>
        <v>2525203.5089085549</v>
      </c>
      <c r="F101" s="117">
        <f t="shared" si="24"/>
        <v>2543764.439900964</v>
      </c>
      <c r="G101" s="117">
        <f t="shared" si="24"/>
        <v>2561866.4481261345</v>
      </c>
      <c r="H101" s="117">
        <f t="shared" si="24"/>
        <v>2582526.1462354711</v>
      </c>
      <c r="I101" s="117">
        <f t="shared" si="24"/>
        <v>2601256.9524657484</v>
      </c>
      <c r="J101" s="117">
        <f t="shared" si="24"/>
        <v>2615180.8479302488</v>
      </c>
    </row>
    <row r="102" spans="1:13" x14ac:dyDescent="0.4">
      <c r="A102" s="182" t="s">
        <v>123</v>
      </c>
      <c r="B102" s="182" t="str">
        <f t="shared" si="23"/>
        <v>Single</v>
      </c>
      <c r="D102" s="560">
        <f>D100/D101</f>
        <v>5.0499472048642531</v>
      </c>
      <c r="E102" s="560">
        <f t="shared" ref="E102:J102" si="25">E100/E101</f>
        <v>5.0499472048642531</v>
      </c>
      <c r="F102" s="560">
        <f t="shared" si="25"/>
        <v>5.0499472048642531</v>
      </c>
      <c r="G102" s="560">
        <f t="shared" si="25"/>
        <v>5.0499472048642531</v>
      </c>
      <c r="H102" s="560">
        <f t="shared" si="25"/>
        <v>5.0499472048642531</v>
      </c>
      <c r="I102" s="560">
        <f t="shared" si="25"/>
        <v>5.0499472048642522</v>
      </c>
      <c r="J102" s="560">
        <f t="shared" si="25"/>
        <v>5.0499472048642522</v>
      </c>
    </row>
    <row r="104" spans="1:13" x14ac:dyDescent="0.4">
      <c r="A104" s="39" t="s">
        <v>130</v>
      </c>
      <c r="B104" s="39" t="str">
        <f>B94</f>
        <v>Multi</v>
      </c>
    </row>
    <row r="105" spans="1:13" x14ac:dyDescent="0.4">
      <c r="A105" s="39" t="s">
        <v>126</v>
      </c>
      <c r="B105" s="39" t="str">
        <f>B104</f>
        <v>Multi</v>
      </c>
      <c r="D105" s="41">
        <f>D94</f>
        <v>1235376.0421656757</v>
      </c>
      <c r="E105" s="41">
        <f t="shared" ref="E105:J105" si="26">E94</f>
        <v>1241892.9934565776</v>
      </c>
      <c r="F105" s="41">
        <f t="shared" si="26"/>
        <v>1251021.2439402256</v>
      </c>
      <c r="G105" s="41">
        <f t="shared" si="26"/>
        <v>1259923.7965871801</v>
      </c>
      <c r="H105" s="41">
        <f t="shared" si="26"/>
        <v>1270084.2190000266</v>
      </c>
      <c r="I105" s="41">
        <f t="shared" si="26"/>
        <v>1279296.0139849102</v>
      </c>
      <c r="J105" s="41">
        <f t="shared" si="26"/>
        <v>1286143.7742378884</v>
      </c>
    </row>
    <row r="106" spans="1:13" x14ac:dyDescent="0.4">
      <c r="A106" s="39" t="s">
        <v>21</v>
      </c>
      <c r="B106" s="39" t="str">
        <f t="shared" ref="B106:B107" si="27">B105</f>
        <v>Multi</v>
      </c>
      <c r="D106" s="117">
        <f>D44</f>
        <v>1043031.4516788934</v>
      </c>
      <c r="E106" s="117">
        <f t="shared" ref="E106:J106" si="28">E44</f>
        <v>1048533.7319024552</v>
      </c>
      <c r="F106" s="117">
        <f t="shared" si="28"/>
        <v>1056240.7393465668</v>
      </c>
      <c r="G106" s="117">
        <f t="shared" si="28"/>
        <v>1063757.1894751631</v>
      </c>
      <c r="H106" s="117">
        <f t="shared" si="28"/>
        <v>1072335.6625693669</v>
      </c>
      <c r="I106" s="117">
        <f t="shared" si="28"/>
        <v>1080113.2068698115</v>
      </c>
      <c r="J106" s="117">
        <f t="shared" si="28"/>
        <v>1085894.7900263795</v>
      </c>
    </row>
    <row r="107" spans="1:13" x14ac:dyDescent="0.4">
      <c r="A107" s="182" t="s">
        <v>123</v>
      </c>
      <c r="B107" s="182" t="str">
        <f t="shared" si="27"/>
        <v>Multi</v>
      </c>
      <c r="D107" s="560">
        <f>D105/D106</f>
        <v>1.1844091951179219</v>
      </c>
      <c r="E107" s="560">
        <f t="shared" ref="E107:J107" si="29">E105/E106</f>
        <v>1.1844091951179216</v>
      </c>
      <c r="F107" s="560">
        <f t="shared" si="29"/>
        <v>1.1844091951179214</v>
      </c>
      <c r="G107" s="560">
        <f t="shared" si="29"/>
        <v>1.1844091951179214</v>
      </c>
      <c r="H107" s="560">
        <f t="shared" si="29"/>
        <v>1.1844091951179212</v>
      </c>
      <c r="I107" s="560">
        <f t="shared" si="29"/>
        <v>1.1844091951179212</v>
      </c>
      <c r="J107" s="560">
        <f t="shared" si="29"/>
        <v>1.1844091951179214</v>
      </c>
    </row>
    <row r="109" spans="1:13" x14ac:dyDescent="0.4">
      <c r="A109" s="39" t="s">
        <v>125</v>
      </c>
      <c r="B109" s="39" t="str">
        <f>B93</f>
        <v>Single</v>
      </c>
      <c r="D109" s="203">
        <f>'Parameters and Assumptions'!D41</f>
        <v>0</v>
      </c>
      <c r="E109" s="203">
        <f t="shared" ref="E109:J110" si="30">$D109</f>
        <v>0</v>
      </c>
      <c r="F109" s="203">
        <f t="shared" si="30"/>
        <v>0</v>
      </c>
      <c r="G109" s="203">
        <f t="shared" si="30"/>
        <v>0</v>
      </c>
      <c r="H109" s="203">
        <f t="shared" si="30"/>
        <v>0</v>
      </c>
      <c r="I109" s="203">
        <f t="shared" si="30"/>
        <v>0</v>
      </c>
      <c r="J109" s="203">
        <f t="shared" si="30"/>
        <v>0</v>
      </c>
      <c r="K109" s="203"/>
    </row>
    <row r="110" spans="1:13" x14ac:dyDescent="0.4">
      <c r="B110" s="39" t="str">
        <f>B94</f>
        <v>Multi</v>
      </c>
      <c r="D110" s="203">
        <f>'Parameters and Assumptions'!D42</f>
        <v>1</v>
      </c>
      <c r="E110" s="203">
        <f t="shared" si="30"/>
        <v>1</v>
      </c>
      <c r="F110" s="203">
        <f t="shared" si="30"/>
        <v>1</v>
      </c>
      <c r="G110" s="203">
        <f t="shared" si="30"/>
        <v>1</v>
      </c>
      <c r="H110" s="203">
        <f t="shared" si="30"/>
        <v>1</v>
      </c>
      <c r="I110" s="203">
        <f t="shared" si="30"/>
        <v>1</v>
      </c>
      <c r="J110" s="203">
        <f t="shared" si="30"/>
        <v>1</v>
      </c>
      <c r="K110" s="203"/>
    </row>
    <row r="112" spans="1:13" x14ac:dyDescent="0.4">
      <c r="A112" s="182" t="s">
        <v>129</v>
      </c>
      <c r="B112" s="182" t="str">
        <f>B109</f>
        <v>Single</v>
      </c>
      <c r="D112" s="560">
        <f>D102+D109</f>
        <v>5.0499472048642531</v>
      </c>
      <c r="E112" s="560">
        <f t="shared" ref="E112:J112" si="31">E102+E109</f>
        <v>5.0499472048642531</v>
      </c>
      <c r="F112" s="560">
        <f t="shared" si="31"/>
        <v>5.0499472048642531</v>
      </c>
      <c r="G112" s="560">
        <f t="shared" si="31"/>
        <v>5.0499472048642531</v>
      </c>
      <c r="H112" s="560">
        <f t="shared" si="31"/>
        <v>5.0499472048642531</v>
      </c>
      <c r="I112" s="560">
        <f t="shared" si="31"/>
        <v>5.0499472048642522</v>
      </c>
      <c r="J112" s="560">
        <f t="shared" si="31"/>
        <v>5.0499472048642522</v>
      </c>
    </row>
    <row r="113" spans="1:11" x14ac:dyDescent="0.4">
      <c r="A113" s="182"/>
      <c r="B113" s="182" t="str">
        <f>B110</f>
        <v>Multi</v>
      </c>
      <c r="D113" s="560">
        <f>D107+D110</f>
        <v>2.1844091951179219</v>
      </c>
      <c r="E113" s="560">
        <f t="shared" ref="E113:J113" si="32">E107+E110</f>
        <v>2.1844091951179214</v>
      </c>
      <c r="F113" s="560">
        <f t="shared" si="32"/>
        <v>2.1844091951179214</v>
      </c>
      <c r="G113" s="560">
        <f t="shared" si="32"/>
        <v>2.1844091951179214</v>
      </c>
      <c r="H113" s="560">
        <f t="shared" si="32"/>
        <v>2.1844091951179214</v>
      </c>
      <c r="I113" s="560">
        <f t="shared" si="32"/>
        <v>2.1844091951179214</v>
      </c>
      <c r="J113" s="560">
        <f t="shared" si="32"/>
        <v>2.1844091951179214</v>
      </c>
    </row>
    <row r="114" spans="1:11" ht="8.1" customHeight="1" thickBot="1" x14ac:dyDescent="0.45">
      <c r="A114" s="125"/>
      <c r="B114" s="125"/>
      <c r="C114" s="125"/>
      <c r="D114" s="125"/>
      <c r="E114" s="125"/>
      <c r="F114" s="125"/>
      <c r="G114" s="125"/>
      <c r="H114" s="125"/>
      <c r="I114" s="125"/>
      <c r="J114" s="125"/>
      <c r="K114" s="125"/>
    </row>
    <row r="115" spans="1:11" ht="8.1" customHeight="1" x14ac:dyDescent="0.4"/>
  </sheetData>
  <pageMargins left="0.19685039370078741" right="0.19685039370078741" top="0.39370078740157483" bottom="0.39370078740157483" header="0.19685039370078741" footer="0.19685039370078741"/>
  <pageSetup paperSize="9" scale="65" orientation="landscape" r:id="rId1"/>
  <headerFooter>
    <oddHeader>&amp;Cpage &amp;P of &amp;N&amp;R&amp;D &amp;T&amp;L&amp;"Calibri"&amp;12&amp;K000000Classification: HIGHLY SENSITIVE&amp;1#_x000D_&amp;"Calibri"&amp;11&amp;K000000File: &amp;F Tab: &amp;A</oddHeader>
  </headerFooter>
  <rowBreaks count="2" manualBreakCount="2">
    <brk id="24" max="16383" man="1"/>
    <brk id="7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969-3ABE-4C08-846E-5EFC68D019D7}">
  <sheetPr codeName="Sheet17">
    <tabColor theme="0"/>
  </sheetPr>
  <dimension ref="A1:M357"/>
  <sheetViews>
    <sheetView zoomScaleNormal="100" workbookViewId="0">
      <selection activeCell="M23" sqref="M23"/>
    </sheetView>
  </sheetViews>
  <sheetFormatPr defaultColWidth="8.86328125" defaultRowHeight="14.25" x14ac:dyDescent="0.45"/>
  <cols>
    <col min="1" max="1" width="16.73046875" style="8" customWidth="1"/>
    <col min="2" max="2" width="8.86328125" style="8"/>
    <col min="3" max="3" width="10.59765625" style="8" customWidth="1"/>
    <col min="4" max="10" width="9.73046875" style="8" customWidth="1"/>
    <col min="11" max="12" width="8.86328125" style="8"/>
    <col min="13" max="13" width="23.73046875" style="8" customWidth="1"/>
    <col min="14" max="16384" width="8.86328125" style="8"/>
  </cols>
  <sheetData>
    <row r="1" spans="1:11" s="39" customFormat="1" ht="21" x14ac:dyDescent="0.65">
      <c r="A1" s="127" t="s">
        <v>110</v>
      </c>
    </row>
    <row r="2" spans="1:11" s="39" customFormat="1" ht="9" customHeight="1" x14ac:dyDescent="0.4"/>
    <row r="3" spans="1:11" s="39" customFormat="1" ht="15.75" x14ac:dyDescent="0.5">
      <c r="A3" s="12" t="s">
        <v>237</v>
      </c>
    </row>
    <row r="5" spans="1:11" s="312" customFormat="1" ht="15.75" customHeight="1" x14ac:dyDescent="0.5">
      <c r="A5" s="314" t="str">
        <f>'Input data'!A176</f>
        <v>Poles Balance Sheets by COW (19/20 Prices)</v>
      </c>
      <c r="D5" s="572" t="str">
        <f>'Input data'!E176</f>
        <v>Assets installed up to 1/4/2021</v>
      </c>
      <c r="E5" s="572"/>
      <c r="F5" s="572"/>
      <c r="H5" s="395" t="str">
        <f>'Input data'!I176</f>
        <v>Asset lives</v>
      </c>
      <c r="I5" s="395"/>
      <c r="K5" s="333"/>
    </row>
    <row r="6" spans="1:11" s="312" customFormat="1" ht="13.15" x14ac:dyDescent="0.4">
      <c r="A6" s="389" t="str">
        <f>'Input data'!A177</f>
        <v>LDC</v>
      </c>
      <c r="D6" s="286" t="str">
        <f>'Input data'!E177</f>
        <v>2019/20</v>
      </c>
      <c r="E6" s="286" t="str">
        <f>'Input data'!F177</f>
        <v>2020/21</v>
      </c>
      <c r="F6" s="286" t="str">
        <f>'Input data'!G177</f>
        <v>2021/22</v>
      </c>
      <c r="H6" s="286" t="str">
        <f>'Input data'!I177</f>
        <v>2019/20</v>
      </c>
      <c r="I6" s="286" t="str">
        <f>'Input data'!J177</f>
        <v>2020/21</v>
      </c>
      <c r="K6" s="333"/>
    </row>
    <row r="7" spans="1:11" s="312" customFormat="1" x14ac:dyDescent="0.45">
      <c r="A7" s="312" t="str">
        <f>'Input data'!A178</f>
        <v>Opening GRC</v>
      </c>
      <c r="D7" s="463">
        <f>'Input data'!E178</f>
        <v>378.61089423445702</v>
      </c>
      <c r="E7" s="199"/>
      <c r="F7" s="199"/>
      <c r="G7" s="199"/>
      <c r="H7" s="541">
        <f>'Input data'!I178</f>
        <v>18</v>
      </c>
      <c r="I7" s="541">
        <f>'Input data'!J178</f>
        <v>18</v>
      </c>
      <c r="K7" s="333"/>
    </row>
    <row r="8" spans="1:11" s="312" customFormat="1" x14ac:dyDescent="0.45">
      <c r="A8" s="312" t="str">
        <f>'Input data'!A179</f>
        <v>New Assets</v>
      </c>
      <c r="D8" s="463">
        <f>'Input data'!E179</f>
        <v>19.750520888650417</v>
      </c>
      <c r="E8" s="366"/>
      <c r="F8" s="366"/>
      <c r="G8" s="366"/>
      <c r="H8" s="366"/>
      <c r="I8" s="366"/>
      <c r="K8" s="333"/>
    </row>
    <row r="9" spans="1:11" s="312" customFormat="1" x14ac:dyDescent="0.45">
      <c r="A9" s="312" t="str">
        <f>'Input data'!A180</f>
        <v>Price movement</v>
      </c>
      <c r="D9" s="463">
        <f>'Input data'!E180</f>
        <v>10.323325299253463</v>
      </c>
      <c r="E9" s="366"/>
      <c r="F9" s="366"/>
      <c r="G9" s="366"/>
      <c r="H9" s="366"/>
      <c r="I9" s="366"/>
      <c r="K9" s="333"/>
    </row>
    <row r="10" spans="1:11" s="312" customFormat="1" x14ac:dyDescent="0.45">
      <c r="A10" s="312" t="str">
        <f>'Input data'!A181</f>
        <v>Write outs and Other adjs</v>
      </c>
      <c r="D10" s="463">
        <f>'Input data'!E181</f>
        <v>-33.197916942703721</v>
      </c>
      <c r="E10" s="463">
        <f>'Input data'!F181</f>
        <v>-42.960422612857819</v>
      </c>
      <c r="F10" s="366"/>
      <c r="G10" s="366"/>
      <c r="H10" s="366"/>
      <c r="I10" s="366"/>
      <c r="K10" s="333"/>
    </row>
    <row r="11" spans="1:11" s="312" customFormat="1" x14ac:dyDescent="0.45">
      <c r="A11" s="312" t="str">
        <f>'Input data'!A182</f>
        <v>Closing GRC</v>
      </c>
      <c r="D11" s="463">
        <f>'Input data'!E182</f>
        <v>375.48682347965718</v>
      </c>
      <c r="E11" s="366"/>
      <c r="F11" s="366"/>
      <c r="G11" s="366"/>
      <c r="H11" s="366"/>
      <c r="I11" s="366"/>
      <c r="K11" s="333"/>
    </row>
    <row r="12" spans="1:11" s="312" customFormat="1" x14ac:dyDescent="0.45">
      <c r="A12" s="311"/>
      <c r="D12" s="366"/>
      <c r="E12" s="366"/>
      <c r="F12" s="366"/>
      <c r="G12" s="366"/>
      <c r="H12" s="366"/>
      <c r="I12" s="366"/>
      <c r="K12" s="333"/>
    </row>
    <row r="13" spans="1:11" s="312" customFormat="1" x14ac:dyDescent="0.45">
      <c r="A13" s="312" t="str">
        <f>'Input data'!A184</f>
        <v>Opening NRC</v>
      </c>
      <c r="D13" s="463">
        <f>'Input data'!E184</f>
        <v>190.16627843820572</v>
      </c>
      <c r="E13" s="366"/>
      <c r="F13" s="366"/>
      <c r="G13" s="366"/>
      <c r="H13" s="366"/>
      <c r="I13" s="366"/>
      <c r="K13" s="333"/>
    </row>
    <row r="14" spans="1:11" s="312" customFormat="1" x14ac:dyDescent="0.45">
      <c r="A14" s="312" t="str">
        <f>'Input data'!A185</f>
        <v>New Assets</v>
      </c>
      <c r="D14" s="463">
        <f>'Input data'!E185</f>
        <v>18.556909540829658</v>
      </c>
      <c r="E14" s="366"/>
      <c r="F14" s="366"/>
      <c r="G14" s="366"/>
      <c r="H14" s="366"/>
      <c r="I14" s="366"/>
      <c r="K14" s="333"/>
    </row>
    <row r="15" spans="1:11" s="312" customFormat="1" x14ac:dyDescent="0.45">
      <c r="A15" s="312" t="str">
        <f>'Input data'!A186</f>
        <v>Price Movement</v>
      </c>
      <c r="D15" s="463">
        <f>'Input data'!E186</f>
        <v>3.7178972839951516</v>
      </c>
      <c r="E15" s="366"/>
      <c r="F15" s="366"/>
      <c r="G15" s="366"/>
      <c r="H15" s="366"/>
      <c r="I15" s="366"/>
      <c r="K15" s="333"/>
    </row>
    <row r="16" spans="1:11" s="312" customFormat="1" x14ac:dyDescent="0.45">
      <c r="A16" s="312" t="str">
        <f>'Input data'!A187</f>
        <v>OCM Depreciation</v>
      </c>
      <c r="D16" s="463">
        <f>'Input data'!E187</f>
        <v>-25.131530250463484</v>
      </c>
      <c r="E16" s="463">
        <f>'Input data'!F187</f>
        <v>-19.265021710579397</v>
      </c>
      <c r="F16" s="463">
        <f>'Input data'!G187</f>
        <v>-3.7018755741548541</v>
      </c>
      <c r="G16" s="366"/>
      <c r="H16" s="366"/>
      <c r="I16" s="366"/>
      <c r="K16" s="333"/>
    </row>
    <row r="17" spans="1:11" s="312" customFormat="1" x14ac:dyDescent="0.45">
      <c r="A17" s="312" t="str">
        <f>'Input data'!A188</f>
        <v>Closing NRC</v>
      </c>
      <c r="D17" s="463">
        <f>'Input data'!E188</f>
        <v>187.30955501256705</v>
      </c>
      <c r="E17" s="366"/>
      <c r="F17" s="366"/>
      <c r="G17" s="366"/>
      <c r="H17" s="366"/>
      <c r="I17" s="366"/>
      <c r="K17" s="333"/>
    </row>
    <row r="18" spans="1:11" s="312" customFormat="1" ht="13.15" x14ac:dyDescent="0.4">
      <c r="A18" s="333"/>
      <c r="B18" s="333"/>
      <c r="C18" s="333"/>
      <c r="D18" s="333"/>
      <c r="E18" s="333"/>
      <c r="F18" s="333"/>
      <c r="G18" s="333"/>
      <c r="I18" s="333"/>
      <c r="K18" s="333"/>
    </row>
    <row r="19" spans="1:11" s="312" customFormat="1" x14ac:dyDescent="0.45">
      <c r="A19" s="389" t="str">
        <f>'Input data'!A190</f>
        <v>LFDC</v>
      </c>
      <c r="D19" s="286" t="str">
        <f>'Input data'!E190</f>
        <v>2019/20</v>
      </c>
      <c r="E19" s="286" t="str">
        <f>'Input data'!F190</f>
        <v>2020/21</v>
      </c>
      <c r="F19" s="286" t="str">
        <f>'Input data'!G190</f>
        <v>2021/22</v>
      </c>
      <c r="G19" s="311"/>
      <c r="H19" s="286" t="str">
        <f>'Input data'!I190</f>
        <v>2019/20</v>
      </c>
      <c r="I19" s="286" t="str">
        <f>'Input data'!J190</f>
        <v>2020/21</v>
      </c>
      <c r="K19" s="333"/>
    </row>
    <row r="20" spans="1:11" s="312" customFormat="1" x14ac:dyDescent="0.45">
      <c r="A20" s="312" t="str">
        <f>'Input data'!A191</f>
        <v>Opening GRC</v>
      </c>
      <c r="D20" s="463">
        <f>'Input data'!E191</f>
        <v>19.790395083832742</v>
      </c>
      <c r="E20" s="199"/>
      <c r="F20" s="199"/>
      <c r="G20" s="311"/>
      <c r="H20" s="541">
        <f>'Input data'!I191</f>
        <v>20</v>
      </c>
      <c r="I20" s="541">
        <f>'Input data'!J191</f>
        <v>20</v>
      </c>
      <c r="K20" s="333"/>
    </row>
    <row r="21" spans="1:11" s="312" customFormat="1" x14ac:dyDescent="0.45">
      <c r="A21" s="312" t="str">
        <f>'Input data'!A192</f>
        <v>New Assets</v>
      </c>
      <c r="D21" s="463">
        <f>'Input data'!E192</f>
        <v>6.9638791993713385</v>
      </c>
      <c r="E21" s="366"/>
      <c r="F21" s="366"/>
      <c r="G21" s="311"/>
      <c r="H21" s="311"/>
      <c r="I21" s="311"/>
      <c r="K21" s="333"/>
    </row>
    <row r="22" spans="1:11" s="312" customFormat="1" x14ac:dyDescent="0.45">
      <c r="A22" s="312" t="str">
        <f>'Input data'!A193</f>
        <v>Price movement</v>
      </c>
      <c r="D22" s="463">
        <f>'Input data'!E193</f>
        <v>0</v>
      </c>
      <c r="E22" s="366"/>
      <c r="F22" s="366"/>
      <c r="G22" s="311"/>
      <c r="H22" s="311"/>
      <c r="I22" s="311"/>
      <c r="K22" s="333"/>
    </row>
    <row r="23" spans="1:11" s="312" customFormat="1" x14ac:dyDescent="0.45">
      <c r="A23" s="312" t="str">
        <f>'Input data'!A194</f>
        <v>Write outs and Other adjs</v>
      </c>
      <c r="D23" s="463">
        <f>'Input data'!E194</f>
        <v>-0.34964267055988313</v>
      </c>
      <c r="E23" s="463">
        <f>'Input data'!F194</f>
        <v>-0.30981011878252029</v>
      </c>
      <c r="F23" s="366"/>
      <c r="G23" s="311"/>
      <c r="H23" s="311"/>
      <c r="I23" s="311"/>
      <c r="K23" s="333"/>
    </row>
    <row r="24" spans="1:11" s="312" customFormat="1" x14ac:dyDescent="0.45">
      <c r="A24" s="312" t="str">
        <f>'Input data'!A195</f>
        <v>Closing GRC</v>
      </c>
      <c r="D24" s="463">
        <f>'Input data'!E195</f>
        <v>26.404631612644195</v>
      </c>
      <c r="E24" s="366"/>
      <c r="F24" s="366"/>
      <c r="G24" s="311"/>
      <c r="H24" s="311"/>
      <c r="I24" s="311"/>
      <c r="K24" s="333"/>
    </row>
    <row r="25" spans="1:11" s="312" customFormat="1" x14ac:dyDescent="0.45">
      <c r="A25" s="311"/>
      <c r="D25" s="366"/>
      <c r="E25" s="366"/>
      <c r="F25" s="366"/>
      <c r="G25" s="311"/>
      <c r="H25" s="311"/>
      <c r="I25" s="311"/>
      <c r="K25" s="333"/>
    </row>
    <row r="26" spans="1:11" s="312" customFormat="1" x14ac:dyDescent="0.45">
      <c r="A26" s="312" t="str">
        <f>'Input data'!A197</f>
        <v>Opening NRC</v>
      </c>
      <c r="D26" s="463">
        <f>'Input data'!E197</f>
        <v>19.210383661651612</v>
      </c>
      <c r="E26" s="366"/>
      <c r="F26" s="366"/>
      <c r="G26" s="311"/>
      <c r="H26" s="311"/>
      <c r="I26" s="311"/>
      <c r="K26" s="333"/>
    </row>
    <row r="27" spans="1:11" s="312" customFormat="1" x14ac:dyDescent="0.45">
      <c r="A27" s="312" t="str">
        <f>'Input data'!A198</f>
        <v>New Assets</v>
      </c>
      <c r="D27" s="463">
        <f>'Input data'!E198</f>
        <v>6.759657219939232</v>
      </c>
      <c r="E27" s="366"/>
      <c r="F27" s="366"/>
      <c r="G27" s="311"/>
      <c r="H27" s="311"/>
      <c r="I27" s="311"/>
      <c r="K27" s="333"/>
    </row>
    <row r="28" spans="1:11" s="312" customFormat="1" x14ac:dyDescent="0.45">
      <c r="A28" s="312" t="str">
        <f>'Input data'!A199</f>
        <v>Price Movement</v>
      </c>
      <c r="D28" s="463">
        <f>'Input data'!E199</f>
        <v>-8.8943049669265757E-3</v>
      </c>
      <c r="E28" s="366"/>
      <c r="F28" s="366"/>
      <c r="G28" s="311"/>
      <c r="H28" s="311"/>
      <c r="I28" s="311"/>
      <c r="K28" s="333"/>
    </row>
    <row r="29" spans="1:11" s="312" customFormat="1" x14ac:dyDescent="0.45">
      <c r="A29" s="312" t="str">
        <f>'Input data'!A200</f>
        <v>OCM Depreciation</v>
      </c>
      <c r="D29" s="463">
        <f>'Input data'!E200</f>
        <v>-1.1340385189247133</v>
      </c>
      <c r="E29" s="463">
        <f>'Input data'!F200</f>
        <v>-1.5455597187995911</v>
      </c>
      <c r="F29" s="463">
        <f>'Input data'!G200</f>
        <v>-0.58097668878555297</v>
      </c>
      <c r="G29" s="311"/>
      <c r="H29" s="311"/>
      <c r="I29" s="311"/>
      <c r="K29" s="333"/>
    </row>
    <row r="30" spans="1:11" s="312" customFormat="1" x14ac:dyDescent="0.45">
      <c r="A30" s="312" t="str">
        <f>'Input data'!A201</f>
        <v>Closing NRC</v>
      </c>
      <c r="D30" s="463">
        <f>'Input data'!E201</f>
        <v>24.827108057699206</v>
      </c>
      <c r="E30" s="366"/>
      <c r="F30" s="366"/>
      <c r="G30" s="311"/>
      <c r="H30" s="311"/>
      <c r="I30" s="311"/>
      <c r="K30" s="333"/>
    </row>
    <row r="31" spans="1:11" s="312" customFormat="1" x14ac:dyDescent="0.45">
      <c r="A31" s="311"/>
      <c r="B31" s="311"/>
      <c r="C31" s="311"/>
      <c r="D31" s="311"/>
      <c r="E31" s="311"/>
      <c r="F31" s="311"/>
      <c r="G31" s="311"/>
      <c r="H31" s="311"/>
      <c r="I31" s="311"/>
      <c r="K31" s="333"/>
    </row>
    <row r="32" spans="1:11" s="312" customFormat="1" x14ac:dyDescent="0.45">
      <c r="A32" s="389" t="str">
        <f>'Input data'!A203</f>
        <v>LFSC</v>
      </c>
      <c r="D32" s="286" t="str">
        <f>'Input data'!E203</f>
        <v>2019/20</v>
      </c>
      <c r="E32" s="286" t="str">
        <f>'Input data'!F203</f>
        <v>2020/21</v>
      </c>
      <c r="F32" s="286" t="str">
        <f>'Input data'!G203</f>
        <v>2021/22</v>
      </c>
      <c r="G32" s="311"/>
      <c r="H32" s="286" t="str">
        <f>'Input data'!I203</f>
        <v>2019/20</v>
      </c>
      <c r="I32" s="286" t="str">
        <f>'Input data'!J203</f>
        <v>2020/21</v>
      </c>
      <c r="K32" s="333"/>
    </row>
    <row r="33" spans="1:11" s="312" customFormat="1" x14ac:dyDescent="0.45">
      <c r="A33" s="312" t="str">
        <f>'Input data'!A204</f>
        <v>Opening GRC</v>
      </c>
      <c r="D33" s="463">
        <f>'Input data'!E204</f>
        <v>2.4283231840181352</v>
      </c>
      <c r="E33" s="199"/>
      <c r="F33" s="199"/>
      <c r="G33" s="311"/>
      <c r="H33" s="541">
        <f>'Input data'!I204</f>
        <v>20</v>
      </c>
      <c r="I33" s="541">
        <f>'Input data'!J204</f>
        <v>20</v>
      </c>
      <c r="K33" s="333"/>
    </row>
    <row r="34" spans="1:11" s="312" customFormat="1" x14ac:dyDescent="0.45">
      <c r="A34" s="312" t="str">
        <f>'Input data'!A205</f>
        <v>New Assets</v>
      </c>
      <c r="D34" s="463">
        <f>'Input data'!E205</f>
        <v>0.62127086162567136</v>
      </c>
      <c r="E34" s="366"/>
      <c r="F34" s="366"/>
      <c r="G34" s="311"/>
      <c r="H34" s="311"/>
      <c r="I34" s="311"/>
      <c r="K34" s="333"/>
    </row>
    <row r="35" spans="1:11" s="312" customFormat="1" x14ac:dyDescent="0.45">
      <c r="A35" s="312" t="str">
        <f>'Input data'!A206</f>
        <v>Price movement</v>
      </c>
      <c r="D35" s="463">
        <f>'Input data'!E206</f>
        <v>0</v>
      </c>
      <c r="E35" s="366"/>
      <c r="F35" s="366"/>
      <c r="G35" s="311"/>
      <c r="H35" s="311"/>
      <c r="I35" s="311"/>
      <c r="K35" s="333"/>
    </row>
    <row r="36" spans="1:11" s="312" customFormat="1" x14ac:dyDescent="0.45">
      <c r="A36" s="312" t="str">
        <f>'Input data'!A207</f>
        <v>Write outs and Other adjs</v>
      </c>
      <c r="D36" s="463">
        <f>'Input data'!E207</f>
        <v>-5.6215355300903323E-3</v>
      </c>
      <c r="E36" s="463">
        <f>'Input data'!F207</f>
        <v>-4.1025897407531734E-3</v>
      </c>
      <c r="F36" s="366"/>
      <c r="G36" s="311"/>
      <c r="H36" s="311"/>
      <c r="I36" s="311"/>
      <c r="K36" s="333"/>
    </row>
    <row r="37" spans="1:11" s="312" customFormat="1" x14ac:dyDescent="0.45">
      <c r="A37" s="312" t="str">
        <f>'Input data'!A208</f>
        <v>Closing GRC</v>
      </c>
      <c r="D37" s="463">
        <f>'Input data'!E208</f>
        <v>3.0439725101137163</v>
      </c>
      <c r="E37" s="366"/>
      <c r="F37" s="366"/>
      <c r="G37" s="311"/>
      <c r="H37" s="311"/>
      <c r="I37" s="311"/>
      <c r="K37" s="333"/>
    </row>
    <row r="38" spans="1:11" s="312" customFormat="1" x14ac:dyDescent="0.45">
      <c r="A38" s="311"/>
      <c r="D38" s="366"/>
      <c r="E38" s="366"/>
      <c r="F38" s="366"/>
      <c r="G38" s="311"/>
      <c r="H38" s="311"/>
      <c r="I38" s="311"/>
      <c r="K38" s="333"/>
    </row>
    <row r="39" spans="1:11" s="312" customFormat="1" x14ac:dyDescent="0.45">
      <c r="A39" s="312" t="str">
        <f>'Input data'!A210</f>
        <v>Opening NRC</v>
      </c>
      <c r="D39" s="463">
        <f>'Input data'!E210</f>
        <v>1.9750515347504616</v>
      </c>
      <c r="E39" s="366"/>
      <c r="F39" s="366"/>
      <c r="G39" s="311"/>
      <c r="H39" s="311"/>
      <c r="I39" s="311"/>
      <c r="K39" s="333"/>
    </row>
    <row r="40" spans="1:11" s="312" customFormat="1" x14ac:dyDescent="0.45">
      <c r="A40" s="312" t="str">
        <f>'Input data'!A211</f>
        <v>New Assets</v>
      </c>
      <c r="D40" s="463">
        <f>'Input data'!E211</f>
        <v>0.49936592102050781</v>
      </c>
      <c r="E40" s="366"/>
      <c r="F40" s="366"/>
      <c r="G40" s="311"/>
      <c r="H40" s="311"/>
      <c r="I40" s="311"/>
      <c r="K40" s="333"/>
    </row>
    <row r="41" spans="1:11" s="312" customFormat="1" x14ac:dyDescent="0.45">
      <c r="A41" s="312" t="str">
        <f>'Input data'!A212</f>
        <v>Price Movement</v>
      </c>
      <c r="D41" s="463">
        <f>'Input data'!E212</f>
        <v>-1.0537487745285035E-4</v>
      </c>
      <c r="E41" s="366"/>
      <c r="F41" s="366"/>
      <c r="G41" s="311"/>
      <c r="H41" s="311"/>
      <c r="I41" s="311"/>
      <c r="K41" s="333"/>
    </row>
    <row r="42" spans="1:11" s="312" customFormat="1" x14ac:dyDescent="0.45">
      <c r="A42" s="312" t="str">
        <f>'Input data'!A213</f>
        <v>OCM Depreciation</v>
      </c>
      <c r="D42" s="463">
        <f>'Input data'!E213</f>
        <v>-0.11635657105922699</v>
      </c>
      <c r="E42" s="463">
        <f>'Input data'!F213</f>
        <v>-0.16045491651296614</v>
      </c>
      <c r="F42" s="463">
        <f>'Input data'!G213</f>
        <v>-5.2188903245925906E-2</v>
      </c>
      <c r="G42" s="311"/>
      <c r="H42" s="311"/>
      <c r="I42" s="311"/>
      <c r="K42" s="333"/>
    </row>
    <row r="43" spans="1:11" s="312" customFormat="1" x14ac:dyDescent="0.45">
      <c r="A43" s="312" t="str">
        <f>'Input data'!A214</f>
        <v>Closing NRC</v>
      </c>
      <c r="D43" s="463">
        <f>'Input data'!E214</f>
        <v>2.3579555098342895</v>
      </c>
      <c r="E43" s="366"/>
      <c r="F43" s="366"/>
      <c r="G43" s="311"/>
      <c r="H43" s="311"/>
      <c r="I43" s="311"/>
      <c r="K43" s="333"/>
    </row>
    <row r="44" spans="1:11" s="312" customFormat="1" x14ac:dyDescent="0.45">
      <c r="A44" s="311"/>
      <c r="B44" s="311"/>
      <c r="C44" s="311"/>
      <c r="D44" s="311"/>
      <c r="E44" s="311"/>
      <c r="F44" s="311"/>
      <c r="G44" s="311"/>
      <c r="H44" s="311"/>
      <c r="I44" s="311"/>
      <c r="K44" s="333"/>
    </row>
    <row r="45" spans="1:11" s="312" customFormat="1" x14ac:dyDescent="0.45">
      <c r="A45" s="389" t="str">
        <f>'Input data'!A216</f>
        <v>NWR</v>
      </c>
      <c r="D45" s="286" t="str">
        <f>'Input data'!E216</f>
        <v>2019/20</v>
      </c>
      <c r="E45" s="286" t="str">
        <f>'Input data'!F216</f>
        <v>2020/21</v>
      </c>
      <c r="F45" s="286" t="str">
        <f>'Input data'!G216</f>
        <v>2021/22</v>
      </c>
      <c r="G45" s="311"/>
      <c r="H45" s="286" t="str">
        <f>'Input data'!I216</f>
        <v>2019/20</v>
      </c>
      <c r="I45" s="286" t="str">
        <f>'Input data'!J216</f>
        <v>2020/21</v>
      </c>
      <c r="K45" s="333"/>
    </row>
    <row r="46" spans="1:11" s="312" customFormat="1" x14ac:dyDescent="0.45">
      <c r="A46" s="312" t="str">
        <f>'Input data'!A217</f>
        <v>Opening GRC</v>
      </c>
      <c r="D46" s="463">
        <f>'Input data'!E217</f>
        <v>21.631506279451845</v>
      </c>
      <c r="E46" s="199"/>
      <c r="F46" s="199"/>
      <c r="G46" s="366"/>
      <c r="H46" s="541">
        <f>'Input data'!I217</f>
        <v>10</v>
      </c>
      <c r="I46" s="541">
        <f>'Input data'!J217</f>
        <v>10</v>
      </c>
      <c r="K46" s="333"/>
    </row>
    <row r="47" spans="1:11" s="312" customFormat="1" x14ac:dyDescent="0.45">
      <c r="A47" s="312" t="str">
        <f>'Input data'!A218</f>
        <v>New Assets</v>
      </c>
      <c r="D47" s="463">
        <f>'Input data'!E218</f>
        <v>1.0194711413240434</v>
      </c>
      <c r="E47" s="366"/>
      <c r="F47" s="366"/>
      <c r="G47" s="366"/>
      <c r="H47" s="311"/>
      <c r="I47" s="311"/>
      <c r="K47" s="333"/>
    </row>
    <row r="48" spans="1:11" s="312" customFormat="1" x14ac:dyDescent="0.45">
      <c r="A48" s="312" t="str">
        <f>'Input data'!A219</f>
        <v>Price movement</v>
      </c>
      <c r="D48" s="463">
        <f>'Input data'!E219</f>
        <v>0.45818228513479231</v>
      </c>
      <c r="E48" s="366"/>
      <c r="F48" s="366"/>
      <c r="G48" s="366"/>
      <c r="H48" s="311"/>
      <c r="I48" s="311"/>
      <c r="K48" s="333"/>
    </row>
    <row r="49" spans="1:11" s="312" customFormat="1" x14ac:dyDescent="0.45">
      <c r="A49" s="312" t="str">
        <f>'Input data'!A220</f>
        <v>Write outs and Other adjs</v>
      </c>
      <c r="D49" s="463">
        <f>'Input data'!E220</f>
        <v>-2.1875882829666136</v>
      </c>
      <c r="E49" s="463">
        <f>'Input data'!F220</f>
        <v>-2.5581471782398224</v>
      </c>
      <c r="F49" s="366"/>
      <c r="G49" s="366"/>
      <c r="H49" s="311"/>
      <c r="I49" s="311"/>
      <c r="J49" s="311"/>
      <c r="K49" s="333"/>
    </row>
    <row r="50" spans="1:11" s="312" customFormat="1" x14ac:dyDescent="0.45">
      <c r="A50" s="312" t="str">
        <f>'Input data'!A221</f>
        <v>Closing GRC</v>
      </c>
      <c r="D50" s="463">
        <f>'Input data'!E221</f>
        <v>20.921571422944069</v>
      </c>
      <c r="E50" s="366"/>
      <c r="F50" s="366"/>
      <c r="G50" s="366"/>
      <c r="H50" s="311"/>
      <c r="I50" s="311"/>
      <c r="J50" s="311"/>
      <c r="K50" s="333"/>
    </row>
    <row r="51" spans="1:11" s="312" customFormat="1" x14ac:dyDescent="0.45">
      <c r="A51" s="311"/>
      <c r="D51" s="366"/>
      <c r="E51" s="366"/>
      <c r="F51" s="366"/>
      <c r="G51" s="366"/>
      <c r="H51" s="311"/>
      <c r="I51" s="311"/>
      <c r="J51" s="311"/>
      <c r="K51" s="333"/>
    </row>
    <row r="52" spans="1:11" s="312" customFormat="1" x14ac:dyDescent="0.45">
      <c r="A52" s="312" t="str">
        <f>'Input data'!A223</f>
        <v>Opening NRC</v>
      </c>
      <c r="D52" s="463">
        <f>'Input data'!E223</f>
        <v>7.1953243286609654</v>
      </c>
      <c r="E52" s="366"/>
      <c r="F52" s="366"/>
      <c r="G52" s="366"/>
      <c r="H52" s="311"/>
      <c r="I52" s="311"/>
      <c r="J52" s="311"/>
      <c r="K52" s="333"/>
    </row>
    <row r="53" spans="1:11" s="312" customFormat="1" x14ac:dyDescent="0.45">
      <c r="A53" s="312" t="str">
        <f>'Input data'!A224</f>
        <v>New Assets</v>
      </c>
      <c r="D53" s="463">
        <f>'Input data'!E224</f>
        <v>1.1648009819483758</v>
      </c>
      <c r="E53" s="366"/>
      <c r="F53" s="366"/>
      <c r="G53" s="366"/>
      <c r="H53" s="311"/>
      <c r="I53" s="311"/>
      <c r="J53" s="311"/>
      <c r="K53" s="333"/>
    </row>
    <row r="54" spans="1:11" s="312" customFormat="1" x14ac:dyDescent="0.45">
      <c r="A54" s="312" t="str">
        <f>'Input data'!A225</f>
        <v>Price Movement</v>
      </c>
      <c r="D54" s="463">
        <f>'Input data'!E225</f>
        <v>9.9533243255615231E-2</v>
      </c>
      <c r="E54" s="366"/>
      <c r="F54" s="366"/>
      <c r="G54" s="366"/>
      <c r="H54" s="311"/>
      <c r="I54" s="311"/>
      <c r="J54" s="311"/>
      <c r="K54" s="333"/>
    </row>
    <row r="55" spans="1:11" s="312" customFormat="1" x14ac:dyDescent="0.45">
      <c r="A55" s="312" t="str">
        <f>'Input data'!A226</f>
        <v>OCM Depreciation</v>
      </c>
      <c r="D55" s="463">
        <f>'Input data'!E226</f>
        <v>-1.373799140548706</v>
      </c>
      <c r="E55" s="463">
        <f>'Input data'!F226</f>
        <v>-1.3918492095756532</v>
      </c>
      <c r="F55" s="463">
        <f>'Input data'!G226</f>
        <v>-0.16875756254196167</v>
      </c>
      <c r="G55" s="366"/>
      <c r="H55" s="311"/>
      <c r="I55" s="311"/>
      <c r="J55" s="311"/>
      <c r="K55" s="333"/>
    </row>
    <row r="56" spans="1:11" s="312" customFormat="1" x14ac:dyDescent="0.45">
      <c r="A56" s="312" t="str">
        <f>'Input data'!A227</f>
        <v>Closing NRC</v>
      </c>
      <c r="D56" s="463">
        <f>'Input data'!E227</f>
        <v>7.0858594133162507</v>
      </c>
      <c r="E56" s="366"/>
      <c r="F56" s="366"/>
      <c r="G56" s="366"/>
      <c r="H56" s="311"/>
      <c r="I56" s="311"/>
      <c r="J56" s="311"/>
      <c r="K56" s="333"/>
    </row>
    <row r="57" spans="1:11" s="312" customFormat="1" x14ac:dyDescent="0.45">
      <c r="A57" s="311"/>
      <c r="B57" s="311"/>
      <c r="C57" s="311"/>
      <c r="D57" s="311"/>
      <c r="E57" s="311"/>
      <c r="F57" s="311"/>
      <c r="G57" s="311"/>
      <c r="H57" s="573"/>
      <c r="I57" s="573"/>
      <c r="J57" s="573"/>
      <c r="K57" s="333"/>
    </row>
    <row r="58" spans="1:11" s="312" customFormat="1" x14ac:dyDescent="0.45">
      <c r="A58" s="389" t="str">
        <f>'Input data'!A229</f>
        <v>Total</v>
      </c>
      <c r="D58" s="286" t="str">
        <f>'Input data'!E229</f>
        <v>2019/20</v>
      </c>
      <c r="E58" s="286" t="str">
        <f>'Input data'!F229</f>
        <v>2020/21</v>
      </c>
      <c r="F58" s="286" t="str">
        <f>'Input data'!G229</f>
        <v>2021/22</v>
      </c>
      <c r="G58" s="311"/>
      <c r="H58" s="377"/>
      <c r="I58" s="377"/>
      <c r="J58" s="377"/>
      <c r="K58" s="333"/>
    </row>
    <row r="59" spans="1:11" s="312" customFormat="1" x14ac:dyDescent="0.45">
      <c r="A59" s="312" t="str">
        <f>'Input data'!A230</f>
        <v>Opening GRC</v>
      </c>
      <c r="D59" s="463">
        <f>'Input data'!E230</f>
        <v>422.46111878175975</v>
      </c>
      <c r="E59" s="199"/>
      <c r="F59" s="199"/>
      <c r="G59" s="311"/>
      <c r="H59" s="563"/>
      <c r="I59" s="563"/>
      <c r="J59" s="563"/>
      <c r="K59" s="333"/>
    </row>
    <row r="60" spans="1:11" s="312" customFormat="1" x14ac:dyDescent="0.45">
      <c r="A60" s="312" t="str">
        <f>'Input data'!A231</f>
        <v>New Assets</v>
      </c>
      <c r="D60" s="463">
        <f>'Input data'!E231</f>
        <v>28.355142090971469</v>
      </c>
      <c r="E60" s="366"/>
      <c r="F60" s="366"/>
      <c r="G60" s="311"/>
      <c r="H60" s="563"/>
      <c r="I60" s="366"/>
      <c r="J60" s="366"/>
      <c r="K60" s="333"/>
    </row>
    <row r="61" spans="1:11" s="312" customFormat="1" x14ac:dyDescent="0.45">
      <c r="A61" s="312" t="str">
        <f>'Input data'!A232</f>
        <v>Price movement</v>
      </c>
      <c r="D61" s="463">
        <f>'Input data'!E232</f>
        <v>10.781507584388256</v>
      </c>
      <c r="E61" s="366"/>
      <c r="F61" s="366"/>
      <c r="G61" s="311"/>
      <c r="H61" s="563"/>
      <c r="I61" s="563"/>
      <c r="J61" s="366"/>
      <c r="K61" s="333"/>
    </row>
    <row r="62" spans="1:11" s="312" customFormat="1" x14ac:dyDescent="0.45">
      <c r="A62" s="312" t="str">
        <f>'Input data'!A233</f>
        <v>Write outs and Other adjs</v>
      </c>
      <c r="D62" s="463">
        <f>'Input data'!E233</f>
        <v>-35.740769431760306</v>
      </c>
      <c r="E62" s="463">
        <f>'Input data'!F233</f>
        <v>-45.832482499620916</v>
      </c>
      <c r="F62" s="366"/>
      <c r="G62" s="311"/>
      <c r="H62" s="563"/>
      <c r="I62" s="563"/>
      <c r="J62" s="366"/>
      <c r="K62" s="333"/>
    </row>
    <row r="63" spans="1:11" s="312" customFormat="1" x14ac:dyDescent="0.45">
      <c r="A63" s="312" t="str">
        <f>'Input data'!A234</f>
        <v>Closing GRC</v>
      </c>
      <c r="D63" s="463">
        <f>'Input data'!E234</f>
        <v>425.85699902535913</v>
      </c>
      <c r="E63" s="366"/>
      <c r="F63" s="366"/>
      <c r="G63" s="311"/>
      <c r="H63" s="563"/>
      <c r="I63" s="563"/>
      <c r="J63" s="366"/>
      <c r="K63" s="333"/>
    </row>
    <row r="64" spans="1:11" s="312" customFormat="1" x14ac:dyDescent="0.45">
      <c r="A64" s="311"/>
      <c r="D64" s="366"/>
      <c r="E64" s="366"/>
      <c r="F64" s="366"/>
      <c r="G64" s="311"/>
      <c r="H64" s="366"/>
      <c r="I64" s="366"/>
      <c r="J64" s="366"/>
      <c r="K64" s="333"/>
    </row>
    <row r="65" spans="1:13" s="312" customFormat="1" x14ac:dyDescent="0.45">
      <c r="A65" s="312" t="str">
        <f>'Input data'!A236</f>
        <v>Opening NRC</v>
      </c>
      <c r="D65" s="463">
        <f>'Input data'!E236</f>
        <v>218.54703796326876</v>
      </c>
      <c r="E65" s="366"/>
      <c r="F65" s="366"/>
      <c r="G65" s="311"/>
      <c r="H65" s="563"/>
      <c r="I65" s="563"/>
      <c r="J65" s="563"/>
      <c r="K65" s="333"/>
    </row>
    <row r="66" spans="1:13" s="312" customFormat="1" x14ac:dyDescent="0.45">
      <c r="A66" s="312" t="str">
        <f>'Input data'!A237</f>
        <v>New Assets</v>
      </c>
      <c r="D66" s="463">
        <f>'Input data'!E237</f>
        <v>26.980733663737773</v>
      </c>
      <c r="E66" s="366"/>
      <c r="F66" s="366"/>
      <c r="G66" s="311"/>
      <c r="H66" s="563"/>
      <c r="I66" s="366"/>
      <c r="J66" s="366"/>
      <c r="K66" s="333"/>
    </row>
    <row r="67" spans="1:13" s="312" customFormat="1" x14ac:dyDescent="0.45">
      <c r="A67" s="312" t="str">
        <f>'Input data'!A238</f>
        <v>Price Movement</v>
      </c>
      <c r="D67" s="463">
        <f>'Input data'!E238</f>
        <v>3.8084308474063877</v>
      </c>
      <c r="E67" s="366"/>
      <c r="F67" s="366"/>
      <c r="G67" s="311"/>
      <c r="H67" s="563"/>
      <c r="I67" s="563"/>
      <c r="J67" s="366"/>
      <c r="K67" s="333"/>
    </row>
    <row r="68" spans="1:13" s="312" customFormat="1" x14ac:dyDescent="0.45">
      <c r="A68" s="312" t="str">
        <f>'Input data'!A239</f>
        <v>OCM Depreciation</v>
      </c>
      <c r="D68" s="463">
        <f>'Input data'!E239</f>
        <v>-27.755724480996129</v>
      </c>
      <c r="E68" s="463">
        <f>'Input data'!F239</f>
        <v>-22.362885555467606</v>
      </c>
      <c r="F68" s="463">
        <f>'Input data'!G239</f>
        <v>-4.5037987287282952</v>
      </c>
      <c r="G68" s="311"/>
      <c r="H68" s="563"/>
      <c r="I68" s="563"/>
      <c r="J68" s="563"/>
      <c r="K68" s="333"/>
    </row>
    <row r="69" spans="1:13" s="312" customFormat="1" x14ac:dyDescent="0.45">
      <c r="A69" s="312" t="str">
        <f>'Input data'!A240</f>
        <v>Closing NRC</v>
      </c>
      <c r="D69" s="463">
        <f>'Input data'!E240</f>
        <v>221.58047799341679</v>
      </c>
      <c r="E69" s="366"/>
      <c r="F69" s="366"/>
      <c r="G69" s="311"/>
      <c r="H69" s="563"/>
      <c r="I69" s="563"/>
      <c r="J69" s="366"/>
      <c r="K69" s="333"/>
    </row>
    <row r="70" spans="1:13" s="39" customFormat="1" ht="10.15" customHeight="1" thickBot="1" x14ac:dyDescent="0.45">
      <c r="A70" s="125"/>
      <c r="B70" s="125"/>
      <c r="C70" s="125"/>
      <c r="D70" s="125"/>
      <c r="E70" s="125"/>
      <c r="F70" s="125"/>
      <c r="G70" s="125"/>
      <c r="H70" s="125"/>
      <c r="I70" s="125"/>
      <c r="J70" s="125"/>
      <c r="K70" s="125"/>
      <c r="L70" s="125"/>
      <c r="M70" s="125"/>
    </row>
    <row r="71" spans="1:13" s="39" customFormat="1" ht="10.15" customHeight="1" x14ac:dyDescent="0.4"/>
    <row r="72" spans="1:13" s="39" customFormat="1" ht="15.75" x14ac:dyDescent="0.5">
      <c r="A72" s="12" t="s">
        <v>238</v>
      </c>
    </row>
    <row r="73" spans="1:13" s="39" customFormat="1" ht="10.15" customHeight="1" x14ac:dyDescent="0.4"/>
    <row r="74" spans="1:13" s="39" customFormat="1" ht="13.15" x14ac:dyDescent="0.4">
      <c r="A74" s="95" t="s">
        <v>109</v>
      </c>
      <c r="D74" s="98" t="str">
        <f>'Parameters and Assumptions'!D45</f>
        <v>2019/20</v>
      </c>
      <c r="E74" s="98" t="str">
        <f>'Parameters and Assumptions'!E45</f>
        <v>2020/21</v>
      </c>
      <c r="F74" s="98" t="str">
        <f>'Parameters and Assumptions'!F45</f>
        <v>2021/22</v>
      </c>
      <c r="G74" s="98" t="str">
        <f>'Parameters and Assumptions'!G45</f>
        <v>2022/23</v>
      </c>
      <c r="H74" s="98" t="str">
        <f>'Parameters and Assumptions'!H45</f>
        <v>2023/24</v>
      </c>
      <c r="I74" s="98" t="str">
        <f>'Parameters and Assumptions'!I45</f>
        <v>2024/25</v>
      </c>
      <c r="J74" s="98" t="str">
        <f>'Parameters and Assumptions'!J45</f>
        <v>2025/26</v>
      </c>
    </row>
    <row r="75" spans="1:13" s="39" customFormat="1" ht="13.15" x14ac:dyDescent="0.4">
      <c r="A75" s="39" t="str">
        <f>'Parameters and Assumptions'!A46</f>
        <v>PIA Asset Inflation  - measure</v>
      </c>
      <c r="D75" s="285"/>
      <c r="E75" s="285" t="str">
        <f>INDEX('Parameters and Assumptions'!$A$45:$J$49,MATCH($A75,'Parameters and Assumptions'!$A$45:$A$49,0),MATCH(E$74,'Parameters and Assumptions'!$A$45:$J$45,0))</f>
        <v>RPI</v>
      </c>
      <c r="F75" s="285" t="str">
        <f>INDEX('Parameters and Assumptions'!$A$45:$J$49,MATCH($A75,'Parameters and Assumptions'!$A$45:$A$49,0),MATCH(F$74,'Parameters and Assumptions'!$A$45:$J$45,0))</f>
        <v>RPI</v>
      </c>
      <c r="G75" s="285" t="str">
        <f>INDEX('Parameters and Assumptions'!$A$45:$J$49,MATCH($A75,'Parameters and Assumptions'!$A$45:$A$49,0),MATCH(G$74,'Parameters and Assumptions'!$A$45:$J$45,0))</f>
        <v>RPI</v>
      </c>
      <c r="H75" s="285" t="str">
        <f>INDEX('Parameters and Assumptions'!$A$45:$J$49,MATCH($A75,'Parameters and Assumptions'!$A$45:$A$49,0),MATCH(H$74,'Parameters and Assumptions'!$A$45:$J$45,0))</f>
        <v>RPI</v>
      </c>
      <c r="I75" s="285" t="str">
        <f>INDEX('Parameters and Assumptions'!$A$45:$J$49,MATCH($A75,'Parameters and Assumptions'!$A$45:$A$49,0),MATCH(I$74,'Parameters and Assumptions'!$A$45:$J$45,0))</f>
        <v>RPI</v>
      </c>
      <c r="J75" s="285" t="str">
        <f>INDEX('Parameters and Assumptions'!$A$45:$J$49,MATCH($A75,'Parameters and Assumptions'!$A$45:$A$49,0),MATCH(J$74,'Parameters and Assumptions'!$A$45:$J$45,0))</f>
        <v>RPI</v>
      </c>
    </row>
    <row r="76" spans="1:13" s="39" customFormat="1" ht="13.15" x14ac:dyDescent="0.4">
      <c r="A76" s="312" t="str">
        <f>'Parameters and Assumptions'!A47</f>
        <v>PIA Asset Inflation value</v>
      </c>
      <c r="D76" s="388"/>
      <c r="E76" s="388">
        <f>INDEX('Parameters and Assumptions'!$A$45:$J$49,MATCH($A76,'Parameters and Assumptions'!$A$45:$A$49,0),MATCH(E$74,'Parameters and Assumptions'!$A$45:$J$45,0))</f>
        <v>1.1073457872565307E-2</v>
      </c>
      <c r="F76" s="388">
        <f>INDEX('Parameters and Assumptions'!$A$45:$J$49,MATCH($A76,'Parameters and Assumptions'!$A$45:$A$49,0),MATCH(F$74,'Parameters and Assumptions'!$A$45:$J$45,0))</f>
        <v>1.3661503705174605E-2</v>
      </c>
      <c r="G76" s="388">
        <f>INDEX('Parameters and Assumptions'!$A$45:$J$49,MATCH($A76,'Parameters and Assumptions'!$A$45:$A$49,0),MATCH(G$74,'Parameters and Assumptions'!$A$45:$J$45,0))</f>
        <v>1.8241004518661841E-2</v>
      </c>
      <c r="H76" s="388">
        <f>INDEX('Parameters and Assumptions'!$A$45:$J$49,MATCH($A76,'Parameters and Assumptions'!$A$45:$A$49,0),MATCH(H$74,'Parameters and Assumptions'!$A$45:$J$45,0))</f>
        <v>2.7241532208208463E-2</v>
      </c>
      <c r="I76" s="388">
        <f>INDEX('Parameters and Assumptions'!$A$45:$J$49,MATCH($A76,'Parameters and Assumptions'!$A$45:$A$49,0),MATCH(I$74,'Parameters and Assumptions'!$A$45:$J$45,0))</f>
        <v>3.0231103283176353E-2</v>
      </c>
      <c r="J76" s="388">
        <f>INDEX('Parameters and Assumptions'!$A$45:$J$49,MATCH($A76,'Parameters and Assumptions'!$A$45:$A$49,0),MATCH(J$74,'Parameters and Assumptions'!$A$45:$J$45,0))</f>
        <v>2.9722096204275905E-2</v>
      </c>
    </row>
    <row r="77" spans="1:13" s="39" customFormat="1" ht="13.15" x14ac:dyDescent="0.4">
      <c r="A77" s="39" t="s">
        <v>108</v>
      </c>
      <c r="D77" s="101">
        <v>1</v>
      </c>
      <c r="E77" s="101">
        <f t="shared" ref="E77:J77" si="0">D77*(1+E76)</f>
        <v>1.0110734578725653</v>
      </c>
      <c r="F77" s="101">
        <f t="shared" si="0"/>
        <v>1.024886241663495</v>
      </c>
      <c r="G77" s="101">
        <f t="shared" si="0"/>
        <v>1.0435811962287931</v>
      </c>
      <c r="H77" s="101">
        <f t="shared" si="0"/>
        <v>1.0720099469977404</v>
      </c>
      <c r="I77" s="101">
        <f t="shared" si="0"/>
        <v>1.1044179904260216</v>
      </c>
      <c r="J77" s="101">
        <f t="shared" si="0"/>
        <v>1.1372436081871968</v>
      </c>
    </row>
    <row r="78" spans="1:13" s="39" customFormat="1" ht="13.15" x14ac:dyDescent="0.4"/>
    <row r="79" spans="1:13" s="39" customFormat="1" ht="13.15" x14ac:dyDescent="0.4">
      <c r="A79" s="95" t="s">
        <v>107</v>
      </c>
      <c r="D79" s="98" t="str">
        <f t="shared" ref="D79:J79" si="1">D74</f>
        <v>2019/20</v>
      </c>
      <c r="E79" s="98" t="str">
        <f t="shared" si="1"/>
        <v>2020/21</v>
      </c>
      <c r="F79" s="98" t="str">
        <f t="shared" si="1"/>
        <v>2021/22</v>
      </c>
      <c r="G79" s="98" t="str">
        <f t="shared" si="1"/>
        <v>2022/23</v>
      </c>
      <c r="H79" s="98" t="str">
        <f t="shared" si="1"/>
        <v>2023/24</v>
      </c>
      <c r="I79" s="98" t="str">
        <f t="shared" si="1"/>
        <v>2024/25</v>
      </c>
      <c r="J79" s="98" t="str">
        <f t="shared" si="1"/>
        <v>2025/26</v>
      </c>
    </row>
    <row r="80" spans="1:13" s="39" customFormat="1" ht="13.15" x14ac:dyDescent="0.4">
      <c r="A80" s="39" t="s">
        <v>360</v>
      </c>
      <c r="D80" s="223">
        <f>'Input data'!E244</f>
        <v>752.28747927017207</v>
      </c>
      <c r="E80" s="223">
        <f t="shared" ref="E80:J80" si="2">D80*(1+E76)</f>
        <v>760.61790297992866</v>
      </c>
      <c r="F80" s="223">
        <f t="shared" si="2"/>
        <v>771.00908727971114</v>
      </c>
      <c r="G80" s="223">
        <f t="shared" si="2"/>
        <v>785.0730675247097</v>
      </c>
      <c r="H80" s="223">
        <f t="shared" si="2"/>
        <v>806.45966077948106</v>
      </c>
      <c r="I80" s="223">
        <f t="shared" si="2"/>
        <v>830.83982607822088</v>
      </c>
      <c r="J80" s="223">
        <f t="shared" si="2"/>
        <v>855.53412731926164</v>
      </c>
    </row>
    <row r="82" spans="1:11" x14ac:dyDescent="0.45">
      <c r="A82" s="95" t="s">
        <v>239</v>
      </c>
    </row>
    <row r="83" spans="1:11" s="311" customFormat="1" x14ac:dyDescent="0.45">
      <c r="A83" s="459"/>
      <c r="B83" s="460"/>
    </row>
    <row r="84" spans="1:11" x14ac:dyDescent="0.45">
      <c r="A84" s="8" t="s">
        <v>349</v>
      </c>
      <c r="C84" s="311"/>
      <c r="D84" s="311"/>
      <c r="E84" s="328">
        <f>'Parameters and Assumptions'!E75</f>
        <v>52614.710510936966</v>
      </c>
      <c r="F84" s="328">
        <f>'Parameters and Assumptions'!F75</f>
        <v>56982.050775700838</v>
      </c>
      <c r="G84" s="328">
        <f>'Parameters and Assumptions'!G75</f>
        <v>60890.492286746136</v>
      </c>
      <c r="H84" s="328">
        <f>'Parameters and Assumptions'!H75</f>
        <v>48645.362093575575</v>
      </c>
      <c r="I84" s="328">
        <f>'Parameters and Assumptions'!I75</f>
        <v>40003.857480282801</v>
      </c>
      <c r="J84" s="328">
        <f>'Parameters and Assumptions'!J75</f>
        <v>36324.107737450409</v>
      </c>
    </row>
    <row r="85" spans="1:11" x14ac:dyDescent="0.45">
      <c r="A85" s="8" t="s">
        <v>350</v>
      </c>
      <c r="D85" s="311"/>
      <c r="E85" s="328">
        <f>'Parameters and Assumptions'!E76</f>
        <v>12281.965303927136</v>
      </c>
      <c r="F85" s="328">
        <f>'Parameters and Assumptions'!F76</f>
        <v>13225.624771590561</v>
      </c>
      <c r="G85" s="328">
        <f>'Parameters and Assumptions'!G76</f>
        <v>18330.920768420721</v>
      </c>
      <c r="H85" s="328">
        <f>'Parameters and Assumptions'!H76</f>
        <v>16969.902698202288</v>
      </c>
      <c r="I85" s="328">
        <f>'Parameters and Assumptions'!I76</f>
        <v>15608.690303546273</v>
      </c>
      <c r="J85" s="328">
        <f>'Parameters and Assumptions'!J76</f>
        <v>14810.434060171896</v>
      </c>
    </row>
    <row r="86" spans="1:11" x14ac:dyDescent="0.45">
      <c r="A86" s="8" t="s">
        <v>351</v>
      </c>
      <c r="D86" s="311"/>
      <c r="E86" s="328">
        <f>'Parameters and Assumptions'!E77</f>
        <v>1845.9472965672178</v>
      </c>
      <c r="F86" s="328">
        <f>'Parameters and Assumptions'!F77</f>
        <v>2735.4856629609135</v>
      </c>
      <c r="G86" s="328">
        <f>'Parameters and Assumptions'!G77</f>
        <v>3592.1156906754904</v>
      </c>
      <c r="H86" s="328">
        <f>'Parameters and Assumptions'!H77</f>
        <v>3753.3498321622874</v>
      </c>
      <c r="I86" s="328">
        <f>'Parameters and Assumptions'!I77</f>
        <v>4344.6981786286224</v>
      </c>
      <c r="J86" s="328">
        <f>'Parameters and Assumptions'!J77</f>
        <v>3078.7181292215196</v>
      </c>
    </row>
    <row r="87" spans="1:11" x14ac:dyDescent="0.45">
      <c r="A87" s="6" t="s">
        <v>352</v>
      </c>
      <c r="B87" s="6"/>
      <c r="C87" s="6"/>
      <c r="D87" s="6"/>
      <c r="E87" s="93">
        <f>'Parameters and Assumptions'!E78</f>
        <v>1396.8501035686402</v>
      </c>
      <c r="F87" s="93">
        <f>'Parameters and Assumptions'!F78</f>
        <v>1377.2412710607093</v>
      </c>
      <c r="G87" s="93">
        <f>'Parameters and Assumptions'!G78</f>
        <v>1381.3742873017138</v>
      </c>
      <c r="H87" s="93">
        <f>'Parameters and Assumptions'!H78</f>
        <v>1115.523774334838</v>
      </c>
      <c r="I87" s="93">
        <f>'Parameters and Assumptions'!I78</f>
        <v>927.74146572050154</v>
      </c>
      <c r="J87" s="93">
        <f>'Parameters and Assumptions'!J78</f>
        <v>1141.9746969892624</v>
      </c>
    </row>
    <row r="88" spans="1:11" x14ac:dyDescent="0.45">
      <c r="A88" s="8" t="s">
        <v>1</v>
      </c>
      <c r="D88" s="328"/>
      <c r="E88" s="41">
        <f>SUM(E84:E87)</f>
        <v>68139.473214999962</v>
      </c>
      <c r="F88" s="328">
        <f t="shared" ref="F88:J88" si="3">SUM(F84:F87)</f>
        <v>74320.402481313009</v>
      </c>
      <c r="G88" s="328">
        <f t="shared" si="3"/>
        <v>84194.903033144074</v>
      </c>
      <c r="H88" s="328">
        <f t="shared" si="3"/>
        <v>70484.138398274998</v>
      </c>
      <c r="I88" s="328">
        <f t="shared" si="3"/>
        <v>60884.987428178196</v>
      </c>
      <c r="J88" s="328">
        <f t="shared" si="3"/>
        <v>55355.234623833087</v>
      </c>
    </row>
    <row r="90" spans="1:11" x14ac:dyDescent="0.45">
      <c r="A90" s="95" t="s">
        <v>240</v>
      </c>
    </row>
    <row r="91" spans="1:11" x14ac:dyDescent="0.45">
      <c r="A91" s="39" t="str">
        <f>A84</f>
        <v>LDC</v>
      </c>
      <c r="D91" s="333"/>
      <c r="E91" s="333">
        <f>E84*E$80/Million</f>
        <v>40.019690774724886</v>
      </c>
      <c r="F91" s="333">
        <f t="shared" ref="E91:J94" si="4">F84*F$80/Million</f>
        <v>43.933678959899261</v>
      </c>
      <c r="G91" s="333">
        <f t="shared" si="4"/>
        <v>47.803485562645463</v>
      </c>
      <c r="H91" s="333">
        <f t="shared" si="4"/>
        <v>39.23052221247999</v>
      </c>
      <c r="I91" s="333">
        <f t="shared" si="4"/>
        <v>33.2367979913761</v>
      </c>
      <c r="J91" s="333">
        <f t="shared" si="4"/>
        <v>31.076513813810475</v>
      </c>
    </row>
    <row r="92" spans="1:11" x14ac:dyDescent="0.45">
      <c r="A92" s="39" t="str">
        <f>A85</f>
        <v>LFDC</v>
      </c>
      <c r="D92" s="333"/>
      <c r="E92" s="333">
        <f t="shared" si="4"/>
        <v>9.3418826939452995</v>
      </c>
      <c r="F92" s="333">
        <f t="shared" si="4"/>
        <v>10.197076883847975</v>
      </c>
      <c r="G92" s="333">
        <f t="shared" si="4"/>
        <v>14.391112198216465</v>
      </c>
      <c r="H92" s="333">
        <f t="shared" si="4"/>
        <v>13.685541973453017</v>
      </c>
      <c r="I92" s="333">
        <f t="shared" si="4"/>
        <v>12.968321537107197</v>
      </c>
      <c r="J92" s="333">
        <f t="shared" si="4"/>
        <v>12.670831778888632</v>
      </c>
    </row>
    <row r="93" spans="1:11" x14ac:dyDescent="0.45">
      <c r="A93" s="39" t="str">
        <f>A86</f>
        <v>LFSC</v>
      </c>
      <c r="D93" s="333"/>
      <c r="E93" s="333">
        <f t="shared" si="4"/>
        <v>1.4040605617264255</v>
      </c>
      <c r="F93" s="333">
        <f t="shared" si="4"/>
        <v>2.1090843042662293</v>
      </c>
      <c r="G93" s="333">
        <f t="shared" si="4"/>
        <v>2.8200732841822487</v>
      </c>
      <c r="H93" s="333">
        <f t="shared" si="4"/>
        <v>3.0269252324323204</v>
      </c>
      <c r="I93" s="333">
        <f t="shared" si="4"/>
        <v>3.6097482790941675</v>
      </c>
      <c r="J93" s="333">
        <f t="shared" si="4"/>
        <v>2.6339484279455228</v>
      </c>
    </row>
    <row r="94" spans="1:11" x14ac:dyDescent="0.45">
      <c r="A94" s="39" t="str">
        <f>A87</f>
        <v>NWR</v>
      </c>
      <c r="D94" s="403"/>
      <c r="E94" s="403">
        <f t="shared" si="4"/>
        <v>1.0624691965536752</v>
      </c>
      <c r="F94" s="403">
        <f t="shared" si="4"/>
        <v>1.0618655353644668</v>
      </c>
      <c r="G94" s="403">
        <f t="shared" si="4"/>
        <v>1.0844797491317162</v>
      </c>
      <c r="H94" s="403">
        <f t="shared" si="4"/>
        <v>0.89962492464151977</v>
      </c>
      <c r="I94" s="403">
        <f t="shared" si="4"/>
        <v>0.77080455802477521</v>
      </c>
      <c r="J94" s="403">
        <f t="shared" si="4"/>
        <v>0.97699832580938684</v>
      </c>
    </row>
    <row r="95" spans="1:11" x14ac:dyDescent="0.45">
      <c r="A95" s="39" t="str">
        <f>A88</f>
        <v>Total</v>
      </c>
      <c r="D95" s="333"/>
      <c r="E95" s="333">
        <f>SUM(E91:E94)</f>
        <v>51.82810322695029</v>
      </c>
      <c r="F95" s="333">
        <f t="shared" ref="F95:J95" si="5">SUM(F91:F94)</f>
        <v>57.301705683377939</v>
      </c>
      <c r="G95" s="333">
        <f t="shared" si="5"/>
        <v>66.099150794175884</v>
      </c>
      <c r="H95" s="333">
        <f t="shared" si="5"/>
        <v>56.842614343006851</v>
      </c>
      <c r="I95" s="333">
        <f t="shared" si="5"/>
        <v>50.585672365602242</v>
      </c>
      <c r="J95" s="333">
        <f t="shared" si="5"/>
        <v>47.358292346454022</v>
      </c>
    </row>
    <row r="96" spans="1:11" x14ac:dyDescent="0.45">
      <c r="A96" s="128" t="s">
        <v>48</v>
      </c>
      <c r="B96" s="10"/>
      <c r="C96" s="10"/>
      <c r="D96" s="129"/>
      <c r="E96" s="129" t="b">
        <f>E88*E80=E95*Million</f>
        <v>1</v>
      </c>
      <c r="F96" s="129" t="b">
        <f t="shared" ref="F96:J96" si="6">F88*F80=F95*Million</f>
        <v>1</v>
      </c>
      <c r="G96" s="129" t="b">
        <f t="shared" si="6"/>
        <v>1</v>
      </c>
      <c r="H96" s="129" t="b">
        <f t="shared" si="6"/>
        <v>1</v>
      </c>
      <c r="I96" s="129" t="b">
        <f>I88*I80=I95*Million</f>
        <v>1</v>
      </c>
      <c r="J96" s="129" t="b">
        <f t="shared" si="6"/>
        <v>1</v>
      </c>
      <c r="K96" s="10"/>
    </row>
    <row r="97" spans="1:13" s="39" customFormat="1" ht="10.15" customHeight="1" thickBot="1" x14ac:dyDescent="0.45">
      <c r="A97" s="125"/>
      <c r="B97" s="125"/>
      <c r="C97" s="125"/>
      <c r="D97" s="125"/>
      <c r="E97" s="125"/>
      <c r="F97" s="125"/>
      <c r="G97" s="125"/>
      <c r="H97" s="125"/>
      <c r="I97" s="125"/>
      <c r="J97" s="125"/>
      <c r="K97" s="125"/>
      <c r="L97" s="125"/>
      <c r="M97" s="125"/>
    </row>
    <row r="98" spans="1:13" s="39" customFormat="1" ht="10.15" customHeight="1" x14ac:dyDescent="0.4"/>
    <row r="99" spans="1:13" ht="15.75" x14ac:dyDescent="0.5">
      <c r="A99" s="12" t="s">
        <v>241</v>
      </c>
    </row>
    <row r="100" spans="1:13" s="311" customFormat="1" ht="8.4499999999999993" customHeight="1" x14ac:dyDescent="0.5">
      <c r="A100" s="314"/>
    </row>
    <row r="101" spans="1:13" x14ac:dyDescent="0.45">
      <c r="A101" s="392" t="str">
        <f>A6</f>
        <v>LDC</v>
      </c>
      <c r="B101" s="394"/>
      <c r="C101" s="394"/>
      <c r="D101" s="98" t="str">
        <f t="shared" ref="D101:J101" si="7">D79</f>
        <v>2019/20</v>
      </c>
      <c r="E101" s="98" t="str">
        <f t="shared" si="7"/>
        <v>2020/21</v>
      </c>
      <c r="F101" s="98" t="str">
        <f t="shared" si="7"/>
        <v>2021/22</v>
      </c>
      <c r="G101" s="98" t="str">
        <f t="shared" si="7"/>
        <v>2022/23</v>
      </c>
      <c r="H101" s="98" t="str">
        <f t="shared" si="7"/>
        <v>2023/24</v>
      </c>
      <c r="I101" s="98" t="str">
        <f t="shared" si="7"/>
        <v>2024/25</v>
      </c>
      <c r="J101" s="98" t="str">
        <f t="shared" si="7"/>
        <v>2025/26</v>
      </c>
    </row>
    <row r="102" spans="1:13" s="311" customFormat="1" x14ac:dyDescent="0.45">
      <c r="A102" s="393" t="s">
        <v>318</v>
      </c>
      <c r="D102" s="8">
        <f>H7</f>
        <v>18</v>
      </c>
      <c r="E102" s="311">
        <f>I7</f>
        <v>18</v>
      </c>
      <c r="F102" s="311">
        <f>pole_asset_life</f>
        <v>40</v>
      </c>
      <c r="G102" s="311">
        <f>pole_asset_life</f>
        <v>40</v>
      </c>
      <c r="H102" s="311">
        <f>pole_asset_life</f>
        <v>40</v>
      </c>
      <c r="I102" s="311">
        <f>pole_asset_life</f>
        <v>40</v>
      </c>
      <c r="J102" s="311">
        <f>pole_asset_life</f>
        <v>40</v>
      </c>
    </row>
    <row r="103" spans="1:13" s="39" customFormat="1" ht="13.15" x14ac:dyDescent="0.4">
      <c r="A103" s="312" t="s">
        <v>319</v>
      </c>
      <c r="D103" s="312"/>
      <c r="E103" s="324">
        <f>E$76</f>
        <v>1.1073457872565307E-2</v>
      </c>
      <c r="F103" s="324">
        <f t="shared" ref="F103:J103" si="8">F$76</f>
        <v>1.3661503705174605E-2</v>
      </c>
      <c r="G103" s="324">
        <f t="shared" si="8"/>
        <v>1.8241004518661841E-2</v>
      </c>
      <c r="H103" s="324">
        <f t="shared" si="8"/>
        <v>2.7241532208208463E-2</v>
      </c>
      <c r="I103" s="324">
        <f t="shared" si="8"/>
        <v>3.0231103283176353E-2</v>
      </c>
      <c r="J103" s="324">
        <f t="shared" si="8"/>
        <v>2.9722096204275905E-2</v>
      </c>
    </row>
    <row r="104" spans="1:13" s="312" customFormat="1" ht="13.15" x14ac:dyDescent="0.4">
      <c r="E104" s="324"/>
      <c r="F104" s="324"/>
      <c r="G104" s="324"/>
      <c r="H104" s="324"/>
      <c r="I104" s="324"/>
      <c r="J104" s="324"/>
    </row>
    <row r="105" spans="1:13" s="39" customFormat="1" x14ac:dyDescent="0.45">
      <c r="A105" s="39" t="s">
        <v>63</v>
      </c>
      <c r="B105" s="123" t="str">
        <f>_xlfn.CONCAT(A101," Assets pre 2021/22")</f>
        <v>LDC Assets pre 2021/22</v>
      </c>
      <c r="C105" s="391"/>
      <c r="D105" s="333">
        <f>D7</f>
        <v>378.61089423445702</v>
      </c>
      <c r="E105" s="333">
        <f>D109</f>
        <v>375.48682347965718</v>
      </c>
      <c r="F105" s="333">
        <f>E109</f>
        <v>376.22830873303849</v>
      </c>
      <c r="G105" s="333">
        <f t="shared" ref="G105:J105" si="9">F109</f>
        <v>381.36815316678644</v>
      </c>
      <c r="H105" s="333">
        <f t="shared" si="9"/>
        <v>388.32469137197552</v>
      </c>
      <c r="I105" s="333">
        <f t="shared" si="9"/>
        <v>398.90325095922782</v>
      </c>
      <c r="J105" s="333">
        <f t="shared" si="9"/>
        <v>410.96253633897106</v>
      </c>
    </row>
    <row r="106" spans="1:13" s="39" customFormat="1" ht="13.15" x14ac:dyDescent="0.4">
      <c r="A106" s="39" t="s">
        <v>104</v>
      </c>
      <c r="D106" s="333">
        <f>D8</f>
        <v>19.750520888650417</v>
      </c>
      <c r="E106" s="390">
        <f>E91</f>
        <v>40.019690774724886</v>
      </c>
      <c r="F106" s="390">
        <v>0</v>
      </c>
      <c r="G106" s="390">
        <v>0</v>
      </c>
      <c r="H106" s="390">
        <v>0</v>
      </c>
      <c r="I106" s="390">
        <v>0</v>
      </c>
      <c r="J106" s="390">
        <v>0</v>
      </c>
      <c r="M106" s="26" t="s">
        <v>378</v>
      </c>
    </row>
    <row r="107" spans="1:13" s="39" customFormat="1" ht="13.15" x14ac:dyDescent="0.4">
      <c r="A107" s="39" t="s">
        <v>61</v>
      </c>
      <c r="D107" s="333">
        <f>D9</f>
        <v>10.323325299253463</v>
      </c>
      <c r="E107" s="333">
        <f>E105*E103</f>
        <v>4.1579375215053496</v>
      </c>
      <c r="F107" s="333">
        <f>F105*F103</f>
        <v>5.1398444337479807</v>
      </c>
      <c r="G107" s="333">
        <f t="shared" ref="G107:J107" si="10">G105*G103</f>
        <v>6.9565382051890721</v>
      </c>
      <c r="H107" s="333">
        <f t="shared" si="10"/>
        <v>10.578559587252283</v>
      </c>
      <c r="I107" s="333">
        <f t="shared" si="10"/>
        <v>12.059285379743233</v>
      </c>
      <c r="J107" s="333">
        <f t="shared" si="10"/>
        <v>12.214668041420131</v>
      </c>
    </row>
    <row r="108" spans="1:13" s="39" customFormat="1" ht="13.15" x14ac:dyDescent="0.4">
      <c r="A108" s="39" t="s">
        <v>64</v>
      </c>
      <c r="D108" s="333">
        <f>D10</f>
        <v>-33.197916942703721</v>
      </c>
      <c r="E108" s="333">
        <f>E10*(1+E103)</f>
        <v>-43.436143042848904</v>
      </c>
      <c r="F108" s="333"/>
      <c r="G108" s="333"/>
      <c r="H108" s="333"/>
      <c r="I108" s="333"/>
      <c r="J108" s="333"/>
    </row>
    <row r="109" spans="1:13" s="39" customFormat="1" ht="13.15" x14ac:dyDescent="0.4">
      <c r="A109" s="39" t="s">
        <v>65</v>
      </c>
      <c r="D109" s="333">
        <f>SUM(D105:D108)</f>
        <v>375.48682347965718</v>
      </c>
      <c r="E109" s="333">
        <f>SUM(E105:E108)</f>
        <v>376.22830873303849</v>
      </c>
      <c r="F109" s="333">
        <f t="shared" ref="F109:J109" si="11">SUM(F105:F108)</f>
        <v>381.36815316678644</v>
      </c>
      <c r="G109" s="333">
        <f t="shared" si="11"/>
        <v>388.32469137197552</v>
      </c>
      <c r="H109" s="333">
        <f t="shared" si="11"/>
        <v>398.90325095922782</v>
      </c>
      <c r="I109" s="333">
        <f t="shared" si="11"/>
        <v>410.96253633897106</v>
      </c>
      <c r="J109" s="333">
        <f t="shared" si="11"/>
        <v>423.17720438039117</v>
      </c>
    </row>
    <row r="110" spans="1:13" s="39" customFormat="1" ht="13.15" x14ac:dyDescent="0.4">
      <c r="D110" s="333"/>
      <c r="E110" s="333"/>
      <c r="F110" s="333"/>
      <c r="G110" s="333"/>
      <c r="H110" s="333"/>
      <c r="I110" s="333"/>
      <c r="J110" s="333"/>
    </row>
    <row r="111" spans="1:13" s="39" customFormat="1" ht="13.15" x14ac:dyDescent="0.4">
      <c r="A111" s="39" t="s">
        <v>106</v>
      </c>
      <c r="D111" s="333">
        <f>D13</f>
        <v>190.16627843820572</v>
      </c>
      <c r="E111" s="333">
        <f>D115</f>
        <v>187.30955501256705</v>
      </c>
      <c r="F111" s="333">
        <f>E115</f>
        <v>208.69790179538504</v>
      </c>
      <c r="G111" s="333">
        <f t="shared" ref="G111:J111" si="12">F115</f>
        <v>206.74086711151031</v>
      </c>
      <c r="H111" s="333">
        <f t="shared" si="12"/>
        <v>205.61616065827312</v>
      </c>
      <c r="I111" s="333">
        <f t="shared" si="12"/>
        <v>206.18822144356514</v>
      </c>
      <c r="J111" s="333">
        <f t="shared" si="12"/>
        <v>207.24024095613314</v>
      </c>
    </row>
    <row r="112" spans="1:13" s="39" customFormat="1" ht="13.15" x14ac:dyDescent="0.4">
      <c r="A112" s="39" t="s">
        <v>59</v>
      </c>
      <c r="D112" s="333">
        <f>D14</f>
        <v>18.556909540829658</v>
      </c>
      <c r="E112" s="390">
        <f>E106</f>
        <v>40.019690774724886</v>
      </c>
      <c r="F112" s="390">
        <v>0</v>
      </c>
      <c r="G112" s="390">
        <v>0</v>
      </c>
      <c r="H112" s="390">
        <v>0</v>
      </c>
      <c r="I112" s="390">
        <v>0</v>
      </c>
      <c r="J112" s="390">
        <v>0</v>
      </c>
      <c r="M112" s="26" t="s">
        <v>378</v>
      </c>
    </row>
    <row r="113" spans="1:13" s="39" customFormat="1" ht="13.15" x14ac:dyDescent="0.4">
      <c r="A113" s="39" t="s">
        <v>61</v>
      </c>
      <c r="D113" s="333">
        <f>D15</f>
        <v>3.7178972839951516</v>
      </c>
      <c r="E113" s="333">
        <f>E111*E103</f>
        <v>2.0741644665606151</v>
      </c>
      <c r="F113" s="333">
        <f>F111*F103</f>
        <v>2.8511271586398186</v>
      </c>
      <c r="G113" s="333">
        <f t="shared" ref="G113:J113" si="13">G111*G103</f>
        <v>3.7711610911731266</v>
      </c>
      <c r="H113" s="333">
        <f t="shared" si="13"/>
        <v>5.601299263100513</v>
      </c>
      <c r="I113" s="333">
        <f t="shared" si="13"/>
        <v>6.2332974182348551</v>
      </c>
      <c r="J113" s="333">
        <f t="shared" si="13"/>
        <v>6.1596143790955082</v>
      </c>
    </row>
    <row r="114" spans="1:13" s="39" customFormat="1" ht="13.15" x14ac:dyDescent="0.4">
      <c r="A114" s="39" t="s">
        <v>60</v>
      </c>
      <c r="D114" s="333">
        <f>D16</f>
        <v>-25.131530250463484</v>
      </c>
      <c r="E114" s="390">
        <f>E16*(1+E103)-0.5*(E112+E107)/E102</f>
        <v>-20.705508458467506</v>
      </c>
      <c r="F114" s="333">
        <f>F16*(1+E103)*(1+F103)-E112*(1+F103)/F102</f>
        <v>-4.8081618425145543</v>
      </c>
      <c r="G114" s="333">
        <f>F114*(1+G103)</f>
        <v>-4.8958675444103195</v>
      </c>
      <c r="H114" s="333">
        <f>G114*(1+H103)</f>
        <v>-5.0292384778084953</v>
      </c>
      <c r="I114" s="333">
        <f>H114*(1+I103)</f>
        <v>-5.1812779056668488</v>
      </c>
      <c r="J114" s="333">
        <f>I114*(1+J103)</f>
        <v>-5.3352763460401684</v>
      </c>
    </row>
    <row r="115" spans="1:13" s="39" customFormat="1" ht="13.15" x14ac:dyDescent="0.4">
      <c r="A115" s="39" t="s">
        <v>66</v>
      </c>
      <c r="D115" s="333">
        <f>SUM(D111:D114)</f>
        <v>187.30955501256705</v>
      </c>
      <c r="E115" s="333">
        <f>SUM(E111:E114)</f>
        <v>208.69790179538504</v>
      </c>
      <c r="F115" s="333">
        <f>SUM(F111:F114)</f>
        <v>206.74086711151031</v>
      </c>
      <c r="G115" s="333">
        <f t="shared" ref="G115:J115" si="14">SUM(G111:G114)</f>
        <v>205.61616065827312</v>
      </c>
      <c r="H115" s="333">
        <f t="shared" si="14"/>
        <v>206.18822144356514</v>
      </c>
      <c r="I115" s="333">
        <f t="shared" si="14"/>
        <v>207.24024095613314</v>
      </c>
      <c r="J115" s="333">
        <f t="shared" si="14"/>
        <v>208.06457898918848</v>
      </c>
    </row>
    <row r="116" spans="1:13" s="39" customFormat="1" ht="13.15" x14ac:dyDescent="0.4">
      <c r="B116" s="97"/>
      <c r="D116" s="96"/>
      <c r="E116" s="96"/>
      <c r="F116" s="96"/>
      <c r="G116" s="96"/>
      <c r="H116" s="96"/>
      <c r="I116" s="96"/>
      <c r="J116" s="96"/>
    </row>
    <row r="117" spans="1:13" s="39" customFormat="1" x14ac:dyDescent="0.45">
      <c r="A117" s="39" t="str">
        <f>A105</f>
        <v>Opening GRC</v>
      </c>
      <c r="B117" s="123" t="str">
        <f>_xlfn.CONCAT(A101," Assets post 2021/22")</f>
        <v>LDC Assets post 2021/22</v>
      </c>
      <c r="C117" s="391"/>
      <c r="D117" s="224">
        <v>0</v>
      </c>
      <c r="E117" s="333">
        <f t="shared" ref="E117:J117" si="15">D121</f>
        <v>0</v>
      </c>
      <c r="F117" s="333">
        <f t="shared" si="15"/>
        <v>0</v>
      </c>
      <c r="G117" s="333">
        <f>F121</f>
        <v>43.933678959899261</v>
      </c>
      <c r="H117" s="333">
        <f t="shared" si="15"/>
        <v>92.538558958973695</v>
      </c>
      <c r="I117" s="333">
        <f t="shared" si="15"/>
        <v>134.28997330583576</v>
      </c>
      <c r="J117" s="333">
        <f t="shared" si="15"/>
        <v>171.58650535011557</v>
      </c>
    </row>
    <row r="118" spans="1:13" s="39" customFormat="1" ht="13.15" x14ac:dyDescent="0.4">
      <c r="A118" s="39" t="str">
        <f>A106</f>
        <v>New Assets</v>
      </c>
      <c r="D118" s="224">
        <v>0</v>
      </c>
      <c r="E118" s="224">
        <v>0</v>
      </c>
      <c r="F118" s="333">
        <f>F91</f>
        <v>43.933678959899261</v>
      </c>
      <c r="G118" s="333">
        <f>G91</f>
        <v>47.803485562645463</v>
      </c>
      <c r="H118" s="333">
        <f>H91</f>
        <v>39.23052221247999</v>
      </c>
      <c r="I118" s="333">
        <f>I91</f>
        <v>33.2367979913761</v>
      </c>
      <c r="J118" s="333">
        <f>J91</f>
        <v>31.076513813810475</v>
      </c>
    </row>
    <row r="119" spans="1:13" s="39" customFormat="1" ht="13.15" x14ac:dyDescent="0.4">
      <c r="A119" s="39" t="str">
        <f>A107</f>
        <v>Price movement</v>
      </c>
      <c r="D119" s="333">
        <f t="shared" ref="D119:J119" si="16">D117*D$76</f>
        <v>0</v>
      </c>
      <c r="E119" s="333">
        <f t="shared" si="16"/>
        <v>0</v>
      </c>
      <c r="F119" s="333">
        <f t="shared" si="16"/>
        <v>0</v>
      </c>
      <c r="G119" s="333">
        <f t="shared" si="16"/>
        <v>0.80139443642896102</v>
      </c>
      <c r="H119" s="333">
        <f t="shared" si="16"/>
        <v>2.5208921343820796</v>
      </c>
      <c r="I119" s="333">
        <f t="shared" si="16"/>
        <v>4.0597340529037158</v>
      </c>
      <c r="J119" s="333">
        <f t="shared" si="16"/>
        <v>5.099910619371637</v>
      </c>
    </row>
    <row r="120" spans="1:13" s="39" customFormat="1" ht="13.15" x14ac:dyDescent="0.4">
      <c r="A120" s="39" t="str">
        <f>A108</f>
        <v>Write outs and Other adjs</v>
      </c>
      <c r="D120" s="390"/>
      <c r="E120" s="390"/>
      <c r="F120" s="390"/>
      <c r="G120" s="390"/>
      <c r="H120" s="390"/>
      <c r="I120" s="390"/>
      <c r="J120" s="390"/>
      <c r="K120" s="368"/>
      <c r="M120" s="26" t="s">
        <v>278</v>
      </c>
    </row>
    <row r="121" spans="1:13" s="39" customFormat="1" ht="13.15" x14ac:dyDescent="0.4">
      <c r="A121" s="39" t="str">
        <f>A109</f>
        <v>Closing GRC</v>
      </c>
      <c r="D121" s="333">
        <f>SUM(D117:D120)</f>
        <v>0</v>
      </c>
      <c r="E121" s="333">
        <f t="shared" ref="E121:I121" si="17">SUM(E117:E120)</f>
        <v>0</v>
      </c>
      <c r="F121" s="333">
        <f t="shared" si="17"/>
        <v>43.933678959899261</v>
      </c>
      <c r="G121" s="333">
        <f t="shared" si="17"/>
        <v>92.538558958973695</v>
      </c>
      <c r="H121" s="333">
        <f t="shared" si="17"/>
        <v>134.28997330583576</v>
      </c>
      <c r="I121" s="333">
        <f t="shared" si="17"/>
        <v>171.58650535011557</v>
      </c>
      <c r="J121" s="333">
        <f>SUM(J117:J120)</f>
        <v>207.76292978329766</v>
      </c>
    </row>
    <row r="122" spans="1:13" s="39" customFormat="1" ht="13.15" x14ac:dyDescent="0.4">
      <c r="D122" s="333"/>
      <c r="E122" s="333"/>
      <c r="F122" s="333"/>
      <c r="G122" s="333"/>
      <c r="H122" s="333"/>
      <c r="I122" s="333"/>
      <c r="J122" s="333"/>
    </row>
    <row r="123" spans="1:13" s="39" customFormat="1" ht="13.15" x14ac:dyDescent="0.4">
      <c r="A123" s="39" t="str">
        <f>A111</f>
        <v>Opening NRC</v>
      </c>
      <c r="D123" s="333">
        <f>D117</f>
        <v>0</v>
      </c>
      <c r="E123" s="333">
        <f>D127</f>
        <v>0</v>
      </c>
      <c r="F123" s="333">
        <f t="shared" ref="F123:J123" si="18">E127</f>
        <v>0</v>
      </c>
      <c r="G123" s="333">
        <f>F127</f>
        <v>43.384507972900522</v>
      </c>
      <c r="H123" s="333">
        <f t="shared" si="18"/>
        <v>90.273467567533672</v>
      </c>
      <c r="I123" s="333">
        <f t="shared" si="18"/>
        <v>129.12782070099115</v>
      </c>
      <c r="J123" s="333">
        <f t="shared" si="18"/>
        <v>162.44483919351103</v>
      </c>
    </row>
    <row r="124" spans="1:13" s="39" customFormat="1" ht="13.15" x14ac:dyDescent="0.4">
      <c r="A124" s="39" t="str">
        <f>A112</f>
        <v>Net Asset registrations</v>
      </c>
      <c r="D124" s="333">
        <f>D118</f>
        <v>0</v>
      </c>
      <c r="E124" s="333">
        <f>E118</f>
        <v>0</v>
      </c>
      <c r="F124" s="333">
        <f>F118</f>
        <v>43.933678959899261</v>
      </c>
      <c r="G124" s="333">
        <f>G118</f>
        <v>47.803485562645463</v>
      </c>
      <c r="H124" s="333">
        <f t="shared" ref="H124:J124" si="19">H118</f>
        <v>39.23052221247999</v>
      </c>
      <c r="I124" s="333">
        <f t="shared" si="19"/>
        <v>33.2367979913761</v>
      </c>
      <c r="J124" s="333">
        <f t="shared" si="19"/>
        <v>31.076513813810475</v>
      </c>
    </row>
    <row r="125" spans="1:13" s="39" customFormat="1" ht="13.15" x14ac:dyDescent="0.4">
      <c r="A125" s="39" t="str">
        <f>A113</f>
        <v>Price movement</v>
      </c>
      <c r="D125" s="333">
        <f t="shared" ref="D125:J125" si="20">D123*D$76</f>
        <v>0</v>
      </c>
      <c r="E125" s="333">
        <f t="shared" si="20"/>
        <v>0</v>
      </c>
      <c r="F125" s="333">
        <f t="shared" si="20"/>
        <v>0</v>
      </c>
      <c r="G125" s="333">
        <f t="shared" si="20"/>
        <v>0.79137700597359906</v>
      </c>
      <c r="H125" s="333">
        <f t="shared" si="20"/>
        <v>2.4591875742876308</v>
      </c>
      <c r="I125" s="333">
        <f t="shared" si="20"/>
        <v>3.9036764843431411</v>
      </c>
      <c r="J125" s="333">
        <f t="shared" si="20"/>
        <v>4.828201138397664</v>
      </c>
    </row>
    <row r="126" spans="1:13" s="39" customFormat="1" ht="13.15" x14ac:dyDescent="0.4">
      <c r="A126" s="39" t="str">
        <f>A114</f>
        <v>OCM depreciation</v>
      </c>
      <c r="D126" s="390">
        <f t="shared" ref="D126:E126" si="21">-AVERAGE(D117,D121)/D102</f>
        <v>0</v>
      </c>
      <c r="E126" s="390">
        <f t="shared" si="21"/>
        <v>0</v>
      </c>
      <c r="F126" s="390">
        <f>-AVERAGE(F117,F121)/F102</f>
        <v>-0.54917098699874078</v>
      </c>
      <c r="G126" s="390">
        <f t="shared" ref="G126:J126" si="22">-AVERAGE(G117,G121)/G102</f>
        <v>-1.705902973985912</v>
      </c>
      <c r="H126" s="390">
        <f t="shared" si="22"/>
        <v>-2.835356653310118</v>
      </c>
      <c r="I126" s="390">
        <f t="shared" si="22"/>
        <v>-3.8234559831993922</v>
      </c>
      <c r="J126" s="390">
        <f t="shared" si="22"/>
        <v>-4.7418679391676655</v>
      </c>
    </row>
    <row r="127" spans="1:13" s="39" customFormat="1" ht="13.15" x14ac:dyDescent="0.4">
      <c r="A127" s="39" t="str">
        <f>A115</f>
        <v>Closing NRC</v>
      </c>
      <c r="D127" s="390">
        <f t="shared" ref="D127:J127" si="23">SUM(D123:D126)</f>
        <v>0</v>
      </c>
      <c r="E127" s="390">
        <f t="shared" si="23"/>
        <v>0</v>
      </c>
      <c r="F127" s="390">
        <f t="shared" si="23"/>
        <v>43.384507972900522</v>
      </c>
      <c r="G127" s="390">
        <f>SUM(G123:G126)</f>
        <v>90.273467567533672</v>
      </c>
      <c r="H127" s="390">
        <f t="shared" si="23"/>
        <v>129.12782070099115</v>
      </c>
      <c r="I127" s="390">
        <f t="shared" si="23"/>
        <v>162.44483919351103</v>
      </c>
      <c r="J127" s="390">
        <f t="shared" si="23"/>
        <v>193.60768620655151</v>
      </c>
    </row>
    <row r="128" spans="1:13" s="39" customFormat="1" ht="13.15" x14ac:dyDescent="0.4">
      <c r="B128" s="97"/>
      <c r="D128" s="96"/>
      <c r="E128" s="96"/>
      <c r="F128" s="96"/>
      <c r="G128" s="96"/>
      <c r="H128" s="96"/>
      <c r="I128" s="96"/>
      <c r="J128" s="96"/>
    </row>
    <row r="129" spans="1:10" s="39" customFormat="1" x14ac:dyDescent="0.45">
      <c r="A129" s="39" t="str">
        <f>A117</f>
        <v>Opening GRC</v>
      </c>
      <c r="B129" s="123" t="str">
        <f>CONCATENATE("All ", A101," assets")</f>
        <v>All LDC assets</v>
      </c>
      <c r="C129" s="391"/>
      <c r="D129" s="161">
        <f>D105+D117</f>
        <v>378.61089423445702</v>
      </c>
      <c r="E129" s="351">
        <f t="shared" ref="D129:J133" si="24">E105+E117</f>
        <v>375.48682347965718</v>
      </c>
      <c r="F129" s="351">
        <f t="shared" si="24"/>
        <v>376.22830873303849</v>
      </c>
      <c r="G129" s="351">
        <f t="shared" si="24"/>
        <v>425.30183212668572</v>
      </c>
      <c r="H129" s="351">
        <f t="shared" si="24"/>
        <v>480.8632503309492</v>
      </c>
      <c r="I129" s="351">
        <f t="shared" si="24"/>
        <v>533.19322426506358</v>
      </c>
      <c r="J129" s="351">
        <f t="shared" si="24"/>
        <v>582.54904168908661</v>
      </c>
    </row>
    <row r="130" spans="1:10" s="39" customFormat="1" ht="13.15" x14ac:dyDescent="0.4">
      <c r="A130" s="39" t="str">
        <f>A118</f>
        <v>New Assets</v>
      </c>
      <c r="D130" s="351">
        <f t="shared" si="24"/>
        <v>19.750520888650417</v>
      </c>
      <c r="E130" s="351">
        <f t="shared" si="24"/>
        <v>40.019690774724886</v>
      </c>
      <c r="F130" s="351">
        <f t="shared" si="24"/>
        <v>43.933678959899261</v>
      </c>
      <c r="G130" s="351">
        <f t="shared" si="24"/>
        <v>47.803485562645463</v>
      </c>
      <c r="H130" s="351">
        <f t="shared" si="24"/>
        <v>39.23052221247999</v>
      </c>
      <c r="I130" s="351">
        <f t="shared" si="24"/>
        <v>33.2367979913761</v>
      </c>
      <c r="J130" s="351">
        <f t="shared" si="24"/>
        <v>31.076513813810475</v>
      </c>
    </row>
    <row r="131" spans="1:10" s="39" customFormat="1" ht="13.15" x14ac:dyDescent="0.4">
      <c r="A131" s="39" t="str">
        <f>A119</f>
        <v>Price movement</v>
      </c>
      <c r="D131" s="351">
        <f t="shared" si="24"/>
        <v>10.323325299253463</v>
      </c>
      <c r="E131" s="351">
        <f t="shared" si="24"/>
        <v>4.1579375215053496</v>
      </c>
      <c r="F131" s="351">
        <f t="shared" si="24"/>
        <v>5.1398444337479807</v>
      </c>
      <c r="G131" s="351">
        <f t="shared" si="24"/>
        <v>7.7579326416180328</v>
      </c>
      <c r="H131" s="351">
        <f t="shared" si="24"/>
        <v>13.099451721634363</v>
      </c>
      <c r="I131" s="351">
        <f t="shared" si="24"/>
        <v>16.119019432646951</v>
      </c>
      <c r="J131" s="351">
        <f t="shared" si="24"/>
        <v>17.314578660791767</v>
      </c>
    </row>
    <row r="132" spans="1:10" s="39" customFormat="1" ht="13.15" x14ac:dyDescent="0.4">
      <c r="A132" s="39" t="str">
        <f>A120</f>
        <v>Write outs and Other adjs</v>
      </c>
      <c r="D132" s="351">
        <f t="shared" si="24"/>
        <v>-33.197916942703721</v>
      </c>
      <c r="E132" s="351">
        <f t="shared" si="24"/>
        <v>-43.436143042848904</v>
      </c>
      <c r="F132" s="351">
        <f t="shared" si="24"/>
        <v>0</v>
      </c>
      <c r="G132" s="351">
        <f t="shared" si="24"/>
        <v>0</v>
      </c>
      <c r="H132" s="351">
        <f t="shared" si="24"/>
        <v>0</v>
      </c>
      <c r="I132" s="351">
        <f t="shared" si="24"/>
        <v>0</v>
      </c>
      <c r="J132" s="351">
        <f t="shared" si="24"/>
        <v>0</v>
      </c>
    </row>
    <row r="133" spans="1:10" s="39" customFormat="1" ht="13.15" x14ac:dyDescent="0.4">
      <c r="A133" s="39" t="str">
        <f>A121</f>
        <v>Closing GRC</v>
      </c>
      <c r="D133" s="351">
        <f>D109+D121</f>
        <v>375.48682347965718</v>
      </c>
      <c r="E133" s="351">
        <f t="shared" si="24"/>
        <v>376.22830873303849</v>
      </c>
      <c r="F133" s="351">
        <f t="shared" si="24"/>
        <v>425.30183212668572</v>
      </c>
      <c r="G133" s="351">
        <f t="shared" si="24"/>
        <v>480.8632503309492</v>
      </c>
      <c r="H133" s="351">
        <f t="shared" si="24"/>
        <v>533.19322426506358</v>
      </c>
      <c r="I133" s="351">
        <f t="shared" si="24"/>
        <v>582.54904168908661</v>
      </c>
      <c r="J133" s="351">
        <f t="shared" si="24"/>
        <v>630.94013416368887</v>
      </c>
    </row>
    <row r="134" spans="1:10" s="39" customFormat="1" ht="13.15" x14ac:dyDescent="0.4">
      <c r="A134" s="70" t="s">
        <v>48</v>
      </c>
      <c r="D134" s="226" t="b">
        <f>IF(ABS(D133-SUM(D129:D132))&lt;0.000001,TRUE,FALSE)</f>
        <v>1</v>
      </c>
      <c r="E134" s="226" t="b">
        <f t="shared" ref="E134:J134" si="25">IF(ABS(E133-SUM(E129:E132))&lt;0.000001,TRUE,FALSE)</f>
        <v>1</v>
      </c>
      <c r="F134" s="226" t="b">
        <f t="shared" si="25"/>
        <v>1</v>
      </c>
      <c r="G134" s="226" t="b">
        <f t="shared" si="25"/>
        <v>1</v>
      </c>
      <c r="H134" s="226" t="b">
        <f t="shared" si="25"/>
        <v>1</v>
      </c>
      <c r="I134" s="226" t="b">
        <f t="shared" si="25"/>
        <v>1</v>
      </c>
      <c r="J134" s="226" t="b">
        <f t="shared" si="25"/>
        <v>1</v>
      </c>
    </row>
    <row r="135" spans="1:10" s="39" customFormat="1" ht="13.15" x14ac:dyDescent="0.4">
      <c r="D135" s="161"/>
      <c r="E135" s="161"/>
      <c r="F135" s="161"/>
      <c r="G135" s="161"/>
      <c r="H135" s="161"/>
      <c r="I135" s="161"/>
      <c r="J135" s="161"/>
    </row>
    <row r="136" spans="1:10" s="39" customFormat="1" ht="13.15" x14ac:dyDescent="0.4">
      <c r="A136" s="39" t="str">
        <f>A123</f>
        <v>Opening NRC</v>
      </c>
      <c r="D136" s="161">
        <f>D111+D123</f>
        <v>190.16627843820572</v>
      </c>
      <c r="E136" s="351">
        <f t="shared" ref="E136:G136" si="26">E111+E123</f>
        <v>187.30955501256705</v>
      </c>
      <c r="F136" s="351">
        <f t="shared" si="26"/>
        <v>208.69790179538504</v>
      </c>
      <c r="G136" s="351">
        <f t="shared" si="26"/>
        <v>250.12537508441085</v>
      </c>
      <c r="H136" s="351">
        <f t="shared" ref="H136:J136" si="27">H111+H123</f>
        <v>295.8896282258068</v>
      </c>
      <c r="I136" s="351">
        <f t="shared" si="27"/>
        <v>335.31604214455626</v>
      </c>
      <c r="J136" s="351">
        <f t="shared" si="27"/>
        <v>369.68508014964414</v>
      </c>
    </row>
    <row r="137" spans="1:10" s="39" customFormat="1" ht="13.15" x14ac:dyDescent="0.4">
      <c r="A137" s="39" t="str">
        <f>A124</f>
        <v>Net Asset registrations</v>
      </c>
      <c r="D137" s="351">
        <f t="shared" ref="D137:J140" si="28">D112+D124</f>
        <v>18.556909540829658</v>
      </c>
      <c r="E137" s="351">
        <f t="shared" ref="E137:G137" si="29">E112+E124</f>
        <v>40.019690774724886</v>
      </c>
      <c r="F137" s="351">
        <f t="shared" si="29"/>
        <v>43.933678959899261</v>
      </c>
      <c r="G137" s="351">
        <f t="shared" si="29"/>
        <v>47.803485562645463</v>
      </c>
      <c r="H137" s="351">
        <f t="shared" ref="H137:J137" si="30">H112+H124</f>
        <v>39.23052221247999</v>
      </c>
      <c r="I137" s="351">
        <f t="shared" si="30"/>
        <v>33.2367979913761</v>
      </c>
      <c r="J137" s="351">
        <f t="shared" si="30"/>
        <v>31.076513813810475</v>
      </c>
    </row>
    <row r="138" spans="1:10" s="39" customFormat="1" ht="13.15" x14ac:dyDescent="0.4">
      <c r="A138" s="39" t="str">
        <f>A125</f>
        <v>Price movement</v>
      </c>
      <c r="D138" s="351">
        <f t="shared" si="28"/>
        <v>3.7178972839951516</v>
      </c>
      <c r="E138" s="351">
        <f t="shared" ref="E138:G138" si="31">E113+E125</f>
        <v>2.0741644665606151</v>
      </c>
      <c r="F138" s="351">
        <f t="shared" si="31"/>
        <v>2.8511271586398186</v>
      </c>
      <c r="G138" s="351">
        <f t="shared" si="31"/>
        <v>4.5625380971467253</v>
      </c>
      <c r="H138" s="351">
        <f t="shared" ref="H138:J138" si="32">H113+H125</f>
        <v>8.0604868373881438</v>
      </c>
      <c r="I138" s="351">
        <f t="shared" si="32"/>
        <v>10.136973902577996</v>
      </c>
      <c r="J138" s="351">
        <f t="shared" si="32"/>
        <v>10.987815517493171</v>
      </c>
    </row>
    <row r="139" spans="1:10" s="39" customFormat="1" ht="13.15" x14ac:dyDescent="0.4">
      <c r="A139" s="39" t="str">
        <f>A126</f>
        <v>OCM depreciation</v>
      </c>
      <c r="D139" s="351">
        <f t="shared" si="28"/>
        <v>-25.131530250463484</v>
      </c>
      <c r="E139" s="351">
        <f t="shared" ref="E139:G139" si="33">E114+E126</f>
        <v>-20.705508458467506</v>
      </c>
      <c r="F139" s="351">
        <f t="shared" si="33"/>
        <v>-5.3573328295132949</v>
      </c>
      <c r="G139" s="351">
        <f t="shared" si="33"/>
        <v>-6.601770518396231</v>
      </c>
      <c r="H139" s="351">
        <f t="shared" ref="H139:J139" si="34">H114+H126</f>
        <v>-7.8645951311186133</v>
      </c>
      <c r="I139" s="351">
        <f t="shared" si="34"/>
        <v>-9.0047338888662409</v>
      </c>
      <c r="J139" s="351">
        <f t="shared" si="34"/>
        <v>-10.077144285207833</v>
      </c>
    </row>
    <row r="140" spans="1:10" s="39" customFormat="1" ht="13.15" x14ac:dyDescent="0.4">
      <c r="A140" s="39" t="str">
        <f>A127</f>
        <v>Closing NRC</v>
      </c>
      <c r="D140" s="351">
        <f t="shared" si="28"/>
        <v>187.30955501256705</v>
      </c>
      <c r="E140" s="351">
        <f t="shared" si="28"/>
        <v>208.69790179538504</v>
      </c>
      <c r="F140" s="351">
        <f t="shared" si="28"/>
        <v>250.12537508441085</v>
      </c>
      <c r="G140" s="351">
        <f t="shared" si="28"/>
        <v>295.8896282258068</v>
      </c>
      <c r="H140" s="351">
        <f t="shared" si="28"/>
        <v>335.31604214455626</v>
      </c>
      <c r="I140" s="351">
        <f t="shared" si="28"/>
        <v>369.68508014964414</v>
      </c>
      <c r="J140" s="351">
        <f t="shared" si="28"/>
        <v>401.67226519574001</v>
      </c>
    </row>
    <row r="141" spans="1:10" s="39" customFormat="1" ht="13.15" x14ac:dyDescent="0.4">
      <c r="A141" s="70" t="s">
        <v>48</v>
      </c>
      <c r="D141" s="82" t="b">
        <f>IF(ABS(D140-SUM(D136:D139))&lt;0.000001,TRUE,FALSE)</f>
        <v>1</v>
      </c>
      <c r="E141" s="82" t="b">
        <f t="shared" ref="E141:J141" si="35">IF(ABS(E140-SUM(E136:E139))&lt;0.000001,TRUE,FALSE)</f>
        <v>1</v>
      </c>
      <c r="F141" s="82" t="b">
        <f t="shared" si="35"/>
        <v>1</v>
      </c>
      <c r="G141" s="82" t="b">
        <f t="shared" si="35"/>
        <v>1</v>
      </c>
      <c r="H141" s="82" t="b">
        <f t="shared" si="35"/>
        <v>1</v>
      </c>
      <c r="I141" s="82" t="b">
        <f t="shared" si="35"/>
        <v>1</v>
      </c>
      <c r="J141" s="82" t="b">
        <f t="shared" si="35"/>
        <v>1</v>
      </c>
    </row>
    <row r="142" spans="1:10" s="39" customFormat="1" ht="10.15" customHeight="1" x14ac:dyDescent="0.4"/>
    <row r="143" spans="1:10" s="311" customFormat="1" x14ac:dyDescent="0.45">
      <c r="A143" s="392" t="str">
        <f>A19</f>
        <v>LFDC</v>
      </c>
      <c r="B143" s="394"/>
      <c r="C143" s="394"/>
      <c r="D143" s="98" t="str">
        <f t="shared" ref="D143:J143" si="36">D101</f>
        <v>2019/20</v>
      </c>
      <c r="E143" s="98" t="str">
        <f t="shared" si="36"/>
        <v>2020/21</v>
      </c>
      <c r="F143" s="98" t="str">
        <f t="shared" si="36"/>
        <v>2021/22</v>
      </c>
      <c r="G143" s="98" t="str">
        <f t="shared" si="36"/>
        <v>2022/23</v>
      </c>
      <c r="H143" s="98" t="str">
        <f t="shared" si="36"/>
        <v>2023/24</v>
      </c>
      <c r="I143" s="98" t="str">
        <f t="shared" si="36"/>
        <v>2024/25</v>
      </c>
      <c r="J143" s="98" t="str">
        <f t="shared" si="36"/>
        <v>2025/26</v>
      </c>
    </row>
    <row r="144" spans="1:10" s="311" customFormat="1" x14ac:dyDescent="0.45">
      <c r="A144" s="393" t="s">
        <v>318</v>
      </c>
      <c r="D144" s="311">
        <f>H20</f>
        <v>20</v>
      </c>
      <c r="E144" s="311">
        <f>I20</f>
        <v>20</v>
      </c>
      <c r="F144" s="311">
        <f>pole_asset_life</f>
        <v>40</v>
      </c>
      <c r="G144" s="311">
        <f>pole_asset_life</f>
        <v>40</v>
      </c>
      <c r="H144" s="311">
        <f>pole_asset_life</f>
        <v>40</v>
      </c>
      <c r="I144" s="311">
        <f>pole_asset_life</f>
        <v>40</v>
      </c>
      <c r="J144" s="311">
        <f>pole_asset_life</f>
        <v>40</v>
      </c>
    </row>
    <row r="145" spans="1:13" s="311" customFormat="1" x14ac:dyDescent="0.45">
      <c r="A145" s="312" t="s">
        <v>319</v>
      </c>
      <c r="C145" s="312"/>
      <c r="D145" s="312"/>
      <c r="E145" s="368">
        <v>0</v>
      </c>
      <c r="F145" s="324">
        <f>F$76</f>
        <v>1.3661503705174605E-2</v>
      </c>
      <c r="G145" s="324">
        <f t="shared" ref="G145:J145" si="37">G$76</f>
        <v>1.8241004518661841E-2</v>
      </c>
      <c r="H145" s="324">
        <f t="shared" si="37"/>
        <v>2.7241532208208463E-2</v>
      </c>
      <c r="I145" s="324">
        <f t="shared" si="37"/>
        <v>3.0231103283176353E-2</v>
      </c>
      <c r="J145" s="324">
        <f t="shared" si="37"/>
        <v>2.9722096204275905E-2</v>
      </c>
      <c r="M145" s="26" t="s">
        <v>379</v>
      </c>
    </row>
    <row r="146" spans="1:13" s="39" customFormat="1" ht="13.15" x14ac:dyDescent="0.4">
      <c r="A146" s="312"/>
      <c r="B146" s="312"/>
      <c r="C146" s="312"/>
    </row>
    <row r="147" spans="1:13" s="39" customFormat="1" x14ac:dyDescent="0.45">
      <c r="A147" s="39" t="str">
        <f>A129</f>
        <v>Opening GRC</v>
      </c>
      <c r="B147" s="123" t="str">
        <f>_xlfn.CONCAT(A143," Assets pre 2021/22")</f>
        <v>LFDC Assets pre 2021/22</v>
      </c>
      <c r="C147" s="391"/>
      <c r="D147" s="333">
        <f>D20</f>
        <v>19.790395083832742</v>
      </c>
      <c r="E147" s="333">
        <f>D151</f>
        <v>26.404631612644195</v>
      </c>
      <c r="F147" s="333">
        <f t="shared" ref="F147" si="38">E151</f>
        <v>35.436704187806974</v>
      </c>
      <c r="G147" s="333">
        <f t="shared" ref="G147" si="39">F151</f>
        <v>35.920822853367874</v>
      </c>
      <c r="H147" s="333">
        <f t="shared" ref="H147" si="40">G151</f>
        <v>36.576054745350206</v>
      </c>
      <c r="I147" s="333">
        <f t="shared" ref="I147" si="41">H151</f>
        <v>37.572442518744857</v>
      </c>
      <c r="J147" s="333">
        <f t="shared" ref="J147" si="42">I151</f>
        <v>38.708298909130242</v>
      </c>
    </row>
    <row r="148" spans="1:13" s="39" customFormat="1" ht="13.15" x14ac:dyDescent="0.4">
      <c r="A148" s="39" t="str">
        <f>A130</f>
        <v>New Assets</v>
      </c>
      <c r="D148" s="333">
        <f>D21</f>
        <v>6.9638791993713385</v>
      </c>
      <c r="E148" s="390">
        <f>E92</f>
        <v>9.3418826939452995</v>
      </c>
      <c r="F148" s="390">
        <v>0</v>
      </c>
      <c r="G148" s="390">
        <v>0</v>
      </c>
      <c r="H148" s="390">
        <v>0</v>
      </c>
      <c r="I148" s="390">
        <v>0</v>
      </c>
      <c r="J148" s="390">
        <v>0</v>
      </c>
    </row>
    <row r="149" spans="1:13" s="39" customFormat="1" ht="13.15" x14ac:dyDescent="0.4">
      <c r="A149" s="39" t="str">
        <f>A131</f>
        <v>Price movement</v>
      </c>
      <c r="D149" s="333">
        <f>D22</f>
        <v>0</v>
      </c>
      <c r="E149" s="333">
        <f>E147*E145</f>
        <v>0</v>
      </c>
      <c r="F149" s="333">
        <f t="shared" ref="F149:J149" si="43">F147*F145</f>
        <v>0.48411866556090138</v>
      </c>
      <c r="G149" s="333">
        <f t="shared" si="43"/>
        <v>0.65523189198233489</v>
      </c>
      <c r="H149" s="333">
        <f t="shared" si="43"/>
        <v>0.99638777339465368</v>
      </c>
      <c r="I149" s="333">
        <f t="shared" si="43"/>
        <v>1.1358563903853824</v>
      </c>
      <c r="J149" s="333">
        <f t="shared" si="43"/>
        <v>1.1504917840810371</v>
      </c>
      <c r="M149" s="26" t="s">
        <v>378</v>
      </c>
    </row>
    <row r="150" spans="1:13" s="39" customFormat="1" ht="13.15" x14ac:dyDescent="0.4">
      <c r="A150" s="39" t="str">
        <f>A132</f>
        <v>Write outs and Other adjs</v>
      </c>
      <c r="D150" s="333">
        <f>D23</f>
        <v>-0.34964267055988313</v>
      </c>
      <c r="E150" s="333">
        <f>E23*(1+E145)</f>
        <v>-0.30981011878252029</v>
      </c>
      <c r="F150" s="333">
        <v>0</v>
      </c>
      <c r="G150" s="333">
        <v>0</v>
      </c>
      <c r="H150" s="333">
        <v>0</v>
      </c>
      <c r="I150" s="333">
        <v>0</v>
      </c>
      <c r="J150" s="333">
        <v>0</v>
      </c>
    </row>
    <row r="151" spans="1:13" s="39" customFormat="1" ht="13.15" x14ac:dyDescent="0.4">
      <c r="A151" s="39" t="str">
        <f>A133</f>
        <v>Closing GRC</v>
      </c>
      <c r="D151" s="333">
        <f>SUM(D147:D150)</f>
        <v>26.404631612644195</v>
      </c>
      <c r="E151" s="333">
        <f>SUM(E147:E150)</f>
        <v>35.436704187806974</v>
      </c>
      <c r="F151" s="333">
        <f t="shared" ref="F151:J151" si="44">SUM(F147:F150)</f>
        <v>35.920822853367874</v>
      </c>
      <c r="G151" s="333">
        <f t="shared" si="44"/>
        <v>36.576054745350206</v>
      </c>
      <c r="H151" s="333">
        <f t="shared" si="44"/>
        <v>37.572442518744857</v>
      </c>
      <c r="I151" s="333">
        <f t="shared" si="44"/>
        <v>38.708298909130242</v>
      </c>
      <c r="J151" s="333">
        <f t="shared" si="44"/>
        <v>39.858790693211276</v>
      </c>
    </row>
    <row r="152" spans="1:13" s="39" customFormat="1" ht="13.15" x14ac:dyDescent="0.4">
      <c r="D152" s="333"/>
      <c r="E152" s="333"/>
      <c r="F152" s="333"/>
      <c r="G152" s="333"/>
      <c r="H152" s="333"/>
      <c r="I152" s="333"/>
      <c r="J152" s="333"/>
    </row>
    <row r="153" spans="1:13" s="39" customFormat="1" ht="13.15" x14ac:dyDescent="0.4">
      <c r="A153" s="39" t="str">
        <f>A136</f>
        <v>Opening NRC</v>
      </c>
      <c r="D153" s="333">
        <f>D26</f>
        <v>19.210383661651612</v>
      </c>
      <c r="E153" s="333">
        <f>D157</f>
        <v>24.827108057699206</v>
      </c>
      <c r="F153" s="333">
        <f>E157</f>
        <v>32.389883965496281</v>
      </c>
      <c r="G153" s="333">
        <f t="shared" ref="G153" si="45">F157</f>
        <v>32.006727109854516</v>
      </c>
      <c r="H153" s="333">
        <f t="shared" ref="H153" si="46">G157</f>
        <v>31.749849877776022</v>
      </c>
      <c r="I153" s="333">
        <f t="shared" ref="I153" si="47">H157</f>
        <v>31.751150064543978</v>
      </c>
      <c r="J153" s="333">
        <f t="shared" ref="J153" si="48">I157</f>
        <v>31.821299974966475</v>
      </c>
    </row>
    <row r="154" spans="1:13" s="39" customFormat="1" ht="13.15" x14ac:dyDescent="0.4">
      <c r="A154" s="39" t="str">
        <f>A137</f>
        <v>Net Asset registrations</v>
      </c>
      <c r="D154" s="333">
        <f>D27</f>
        <v>6.759657219939232</v>
      </c>
      <c r="E154" s="390">
        <f>E148</f>
        <v>9.3418826939452995</v>
      </c>
      <c r="F154" s="390">
        <v>0</v>
      </c>
      <c r="G154" s="390">
        <v>0</v>
      </c>
      <c r="H154" s="390">
        <v>0</v>
      </c>
      <c r="I154" s="390">
        <v>0</v>
      </c>
      <c r="J154" s="390">
        <v>0</v>
      </c>
      <c r="M154" s="26" t="s">
        <v>378</v>
      </c>
    </row>
    <row r="155" spans="1:13" s="39" customFormat="1" ht="13.15" x14ac:dyDescent="0.4">
      <c r="A155" s="39" t="str">
        <f>A138</f>
        <v>Price movement</v>
      </c>
      <c r="D155" s="333">
        <f>D28</f>
        <v>-8.8943049669265757E-3</v>
      </c>
      <c r="E155" s="333">
        <f>E153*E145</f>
        <v>0</v>
      </c>
      <c r="F155" s="333">
        <f>F153*F145</f>
        <v>0.44249451980480298</v>
      </c>
      <c r="G155" s="333">
        <f t="shared" ref="G155:J155" si="49">G153*G145</f>
        <v>0.5838348538384327</v>
      </c>
      <c r="H155" s="333">
        <f t="shared" si="49"/>
        <v>0.86491455805121908</v>
      </c>
      <c r="I155" s="333">
        <f t="shared" si="49"/>
        <v>0.95987229696086052</v>
      </c>
      <c r="J155" s="333">
        <f t="shared" si="49"/>
        <v>0.94579573920107607</v>
      </c>
    </row>
    <row r="156" spans="1:13" s="39" customFormat="1" ht="13.15" x14ac:dyDescent="0.4">
      <c r="A156" s="39" t="str">
        <f>A139</f>
        <v>OCM depreciation</v>
      </c>
      <c r="D156" s="333">
        <f>D29</f>
        <v>-1.1340385189247133</v>
      </c>
      <c r="E156" s="390">
        <f>E29*(1+E145)-0.5*(E154+E149)/E144</f>
        <v>-1.7791067861482235</v>
      </c>
      <c r="F156" s="333">
        <f>F29*(1+E145)*(1+F145)-E154*(1+F145)/F144</f>
        <v>-0.82565137544656542</v>
      </c>
      <c r="G156" s="333">
        <f>F156*(1+G145)</f>
        <v>-0.84071208591692559</v>
      </c>
      <c r="H156" s="333">
        <f>G156*(1+H145)</f>
        <v>-0.86361437128326168</v>
      </c>
      <c r="I156" s="333">
        <f>H156*(1+I145)</f>
        <v>-0.88972238653836133</v>
      </c>
      <c r="J156" s="333">
        <f>I156*(1+J145)</f>
        <v>-0.91616680090615243</v>
      </c>
    </row>
    <row r="157" spans="1:13" s="39" customFormat="1" ht="13.15" x14ac:dyDescent="0.4">
      <c r="A157" s="39" t="str">
        <f>A140</f>
        <v>Closing NRC</v>
      </c>
      <c r="D157" s="333">
        <f>SUM(D153:D156)</f>
        <v>24.827108057699206</v>
      </c>
      <c r="E157" s="333">
        <f>SUM(E153:E156)</f>
        <v>32.389883965496281</v>
      </c>
      <c r="F157" s="333">
        <f>SUM(F153:F156)</f>
        <v>32.006727109854516</v>
      </c>
      <c r="G157" s="333">
        <f t="shared" ref="G157:J157" si="50">SUM(G153:G156)</f>
        <v>31.749849877776022</v>
      </c>
      <c r="H157" s="333">
        <f t="shared" si="50"/>
        <v>31.751150064543978</v>
      </c>
      <c r="I157" s="333">
        <f t="shared" si="50"/>
        <v>31.821299974966475</v>
      </c>
      <c r="J157" s="333">
        <f t="shared" si="50"/>
        <v>31.850928913261402</v>
      </c>
    </row>
    <row r="158" spans="1:13" s="39" customFormat="1" ht="13.15" x14ac:dyDescent="0.4">
      <c r="B158" s="97"/>
      <c r="D158" s="396"/>
      <c r="E158" s="396"/>
      <c r="F158" s="396"/>
      <c r="G158" s="396"/>
      <c r="H158" s="396"/>
      <c r="I158" s="396"/>
      <c r="J158" s="396"/>
    </row>
    <row r="159" spans="1:13" s="39" customFormat="1" x14ac:dyDescent="0.45">
      <c r="A159" s="39" t="str">
        <f>A147</f>
        <v>Opening GRC</v>
      </c>
      <c r="B159" s="123" t="str">
        <f>_xlfn.CONCAT(A143," Assets post 2021/22")</f>
        <v>LFDC Assets post 2021/22</v>
      </c>
      <c r="C159" s="391"/>
      <c r="D159" s="224">
        <v>0</v>
      </c>
      <c r="E159" s="333">
        <f t="shared" ref="E159" si="51">D163</f>
        <v>0</v>
      </c>
      <c r="F159" s="333">
        <f t="shared" ref="F159" si="52">E163</f>
        <v>0</v>
      </c>
      <c r="G159" s="333">
        <f t="shared" ref="G159" si="53">F163</f>
        <v>10.197076883847975</v>
      </c>
      <c r="H159" s="333">
        <f t="shared" ref="H159" si="54">G163</f>
        <v>24.774194007579851</v>
      </c>
      <c r="I159" s="333">
        <f t="shared" ref="I159" si="55">H163</f>
        <v>39.134622985022759</v>
      </c>
      <c r="J159" s="333">
        <f t="shared" ref="J159" si="56">I163</f>
        <v>53.286027351538351</v>
      </c>
      <c r="L159" s="199"/>
    </row>
    <row r="160" spans="1:13" s="39" customFormat="1" ht="13.15" x14ac:dyDescent="0.4">
      <c r="A160" s="39" t="str">
        <f>A148</f>
        <v>New Assets</v>
      </c>
      <c r="D160" s="224">
        <v>0</v>
      </c>
      <c r="E160" s="224">
        <v>0</v>
      </c>
      <c r="F160" s="333">
        <f>F92</f>
        <v>10.197076883847975</v>
      </c>
      <c r="G160" s="333">
        <f t="shared" ref="G160:J160" si="57">G92</f>
        <v>14.391112198216465</v>
      </c>
      <c r="H160" s="333">
        <f t="shared" si="57"/>
        <v>13.685541973453017</v>
      </c>
      <c r="I160" s="333">
        <f t="shared" si="57"/>
        <v>12.968321537107197</v>
      </c>
      <c r="J160" s="333">
        <f t="shared" si="57"/>
        <v>12.670831778888632</v>
      </c>
    </row>
    <row r="161" spans="1:13" s="39" customFormat="1" ht="13.15" x14ac:dyDescent="0.4">
      <c r="A161" s="39" t="str">
        <f>A149</f>
        <v>Price movement</v>
      </c>
      <c r="D161" s="333">
        <f>D159*D$145</f>
        <v>0</v>
      </c>
      <c r="E161" s="333">
        <f t="shared" ref="E161:J161" si="58">E159*E$145</f>
        <v>0</v>
      </c>
      <c r="F161" s="333">
        <f t="shared" si="58"/>
        <v>0</v>
      </c>
      <c r="G161" s="333">
        <f>G159*G$145</f>
        <v>0.18600492551541312</v>
      </c>
      <c r="H161" s="333">
        <f t="shared" si="58"/>
        <v>0.67488700398989165</v>
      </c>
      <c r="I161" s="333">
        <f t="shared" si="58"/>
        <v>1.1830828294083904</v>
      </c>
      <c r="J161" s="333">
        <f t="shared" si="58"/>
        <v>1.5837724312861001</v>
      </c>
      <c r="M161" s="26"/>
    </row>
    <row r="162" spans="1:13" s="39" customFormat="1" ht="13.15" x14ac:dyDescent="0.4">
      <c r="A162" s="39" t="str">
        <f>A150</f>
        <v>Write outs and Other adjs</v>
      </c>
      <c r="D162" s="390"/>
      <c r="E162" s="390"/>
      <c r="F162" s="390"/>
      <c r="G162" s="390"/>
      <c r="H162" s="390"/>
      <c r="I162" s="390"/>
      <c r="J162" s="390"/>
      <c r="M162" s="26" t="s">
        <v>278</v>
      </c>
    </row>
    <row r="163" spans="1:13" s="39" customFormat="1" ht="13.15" x14ac:dyDescent="0.4">
      <c r="A163" s="39" t="str">
        <f>A151</f>
        <v>Closing GRC</v>
      </c>
      <c r="D163" s="333">
        <f t="shared" ref="D163:J163" si="59">SUM(D159:D161)</f>
        <v>0</v>
      </c>
      <c r="E163" s="333">
        <f t="shared" si="59"/>
        <v>0</v>
      </c>
      <c r="F163" s="333">
        <f t="shared" si="59"/>
        <v>10.197076883847975</v>
      </c>
      <c r="G163" s="333">
        <f t="shared" si="59"/>
        <v>24.774194007579851</v>
      </c>
      <c r="H163" s="333">
        <f t="shared" si="59"/>
        <v>39.134622985022759</v>
      </c>
      <c r="I163" s="333">
        <f t="shared" si="59"/>
        <v>53.286027351538351</v>
      </c>
      <c r="J163" s="333">
        <f t="shared" si="59"/>
        <v>67.540631561713084</v>
      </c>
    </row>
    <row r="164" spans="1:13" s="39" customFormat="1" ht="13.15" x14ac:dyDescent="0.4">
      <c r="D164" s="333"/>
      <c r="E164" s="333"/>
      <c r="F164" s="333"/>
      <c r="G164" s="333"/>
      <c r="H164" s="333"/>
      <c r="I164" s="333"/>
      <c r="J164" s="333"/>
    </row>
    <row r="165" spans="1:13" s="39" customFormat="1" ht="13.15" x14ac:dyDescent="0.4">
      <c r="A165" s="39" t="str">
        <f>A153</f>
        <v>Opening NRC</v>
      </c>
      <c r="D165" s="333">
        <f>D159</f>
        <v>0</v>
      </c>
      <c r="E165" s="333">
        <f>D169</f>
        <v>0</v>
      </c>
      <c r="F165" s="333">
        <f>E169</f>
        <v>0</v>
      </c>
      <c r="G165" s="333">
        <f t="shared" ref="G165" si="60">F169</f>
        <v>10.069613422799875</v>
      </c>
      <c r="H165" s="333">
        <f t="shared" ref="H165" si="61">G169</f>
        <v>24.207264598819961</v>
      </c>
      <c r="I165" s="333">
        <f t="shared" ref="I165" si="62">H169</f>
        <v>37.753389338106821</v>
      </c>
      <c r="J165" s="333">
        <f t="shared" ref="J165" si="63">I169</f>
        <v>50.70777935837728</v>
      </c>
    </row>
    <row r="166" spans="1:13" s="39" customFormat="1" ht="13.15" x14ac:dyDescent="0.4">
      <c r="A166" s="39" t="str">
        <f>A154</f>
        <v>Net Asset registrations</v>
      </c>
      <c r="D166" s="333">
        <f>D160</f>
        <v>0</v>
      </c>
      <c r="E166" s="333">
        <f>E160</f>
        <v>0</v>
      </c>
      <c r="F166" s="333">
        <f>F160</f>
        <v>10.197076883847975</v>
      </c>
      <c r="G166" s="333">
        <f t="shared" ref="G166:J166" si="64">G160</f>
        <v>14.391112198216465</v>
      </c>
      <c r="H166" s="333">
        <f t="shared" si="64"/>
        <v>13.685541973453017</v>
      </c>
      <c r="I166" s="333">
        <f t="shared" si="64"/>
        <v>12.968321537107197</v>
      </c>
      <c r="J166" s="333">
        <f t="shared" si="64"/>
        <v>12.670831778888632</v>
      </c>
    </row>
    <row r="167" spans="1:13" s="39" customFormat="1" ht="13.15" x14ac:dyDescent="0.4">
      <c r="A167" s="39" t="str">
        <f>A155</f>
        <v>Price movement</v>
      </c>
      <c r="D167" s="333">
        <f>D165*D$145</f>
        <v>0</v>
      </c>
      <c r="E167" s="333">
        <f t="shared" ref="E167:J167" si="65">E165*E$145</f>
        <v>0</v>
      </c>
      <c r="F167" s="333">
        <f>F165*F$145</f>
        <v>0</v>
      </c>
      <c r="G167" s="333">
        <f t="shared" si="65"/>
        <v>0.18367986394647046</v>
      </c>
      <c r="H167" s="333">
        <f t="shared" si="65"/>
        <v>0.65944297824137854</v>
      </c>
      <c r="I167" s="333">
        <f t="shared" si="65"/>
        <v>1.1413266123702763</v>
      </c>
      <c r="J167" s="333">
        <f t="shared" si="65"/>
        <v>1.5071414963948855</v>
      </c>
      <c r="M167" s="26"/>
    </row>
    <row r="168" spans="1:13" s="39" customFormat="1" ht="13.15" x14ac:dyDescent="0.4">
      <c r="A168" s="39" t="str">
        <f>A156</f>
        <v>OCM depreciation</v>
      </c>
      <c r="D168" s="390">
        <f t="shared" ref="D168:E168" si="66">-AVERAGE(D159,D163)/D144</f>
        <v>0</v>
      </c>
      <c r="E168" s="390">
        <f t="shared" si="66"/>
        <v>0</v>
      </c>
      <c r="F168" s="390">
        <f>-AVERAGE(F159,F163)/F144</f>
        <v>-0.12746346104809969</v>
      </c>
      <c r="G168" s="390">
        <f t="shared" ref="G168:J168" si="67">-AVERAGE(G159,G163)/G144</f>
        <v>-0.43714088614284785</v>
      </c>
      <c r="H168" s="390">
        <f t="shared" si="67"/>
        <v>-0.79886021240753258</v>
      </c>
      <c r="I168" s="390">
        <f t="shared" si="67"/>
        <v>-1.1552581292070139</v>
      </c>
      <c r="J168" s="390">
        <f t="shared" si="67"/>
        <v>-1.510333236415643</v>
      </c>
      <c r="K168" s="199"/>
    </row>
    <row r="169" spans="1:13" s="39" customFormat="1" ht="13.15" x14ac:dyDescent="0.4">
      <c r="A169" s="39" t="str">
        <f>A157</f>
        <v>Closing NRC</v>
      </c>
      <c r="D169" s="333">
        <f>SUM(D165:D168)</f>
        <v>0</v>
      </c>
      <c r="E169" s="333">
        <f>SUM(E165:E168)</f>
        <v>0</v>
      </c>
      <c r="F169" s="333">
        <f>SUM(F165:F168)</f>
        <v>10.069613422799875</v>
      </c>
      <c r="G169" s="333">
        <f t="shared" ref="G169:J169" si="68">SUM(G165:G168)</f>
        <v>24.207264598819961</v>
      </c>
      <c r="H169" s="333">
        <f t="shared" si="68"/>
        <v>37.753389338106821</v>
      </c>
      <c r="I169" s="333">
        <f t="shared" si="68"/>
        <v>50.70777935837728</v>
      </c>
      <c r="J169" s="333">
        <f t="shared" si="68"/>
        <v>63.37541939724516</v>
      </c>
    </row>
    <row r="170" spans="1:13" s="39" customFormat="1" ht="13.15" x14ac:dyDescent="0.4">
      <c r="B170" s="97"/>
      <c r="D170" s="96"/>
      <c r="E170" s="96"/>
      <c r="F170" s="96"/>
      <c r="G170" s="96"/>
      <c r="H170" s="96"/>
      <c r="I170" s="96"/>
      <c r="J170" s="96"/>
    </row>
    <row r="171" spans="1:13" s="39" customFormat="1" x14ac:dyDescent="0.45">
      <c r="A171" s="39" t="str">
        <f>A159</f>
        <v>Opening GRC</v>
      </c>
      <c r="B171" s="123" t="str">
        <f>CONCATENATE("All ", A143," assets")</f>
        <v>All LFDC assets</v>
      </c>
      <c r="C171" s="391"/>
      <c r="D171" s="161">
        <f>D147+D159</f>
        <v>19.790395083832742</v>
      </c>
      <c r="E171" s="161">
        <f t="shared" ref="D171:J175" si="69">E147+E159</f>
        <v>26.404631612644195</v>
      </c>
      <c r="F171" s="161">
        <f t="shared" si="69"/>
        <v>35.436704187806974</v>
      </c>
      <c r="G171" s="161">
        <f t="shared" si="69"/>
        <v>46.117899737215851</v>
      </c>
      <c r="H171" s="161">
        <f t="shared" si="69"/>
        <v>61.350248752930057</v>
      </c>
      <c r="I171" s="161">
        <f t="shared" si="69"/>
        <v>76.707065503767609</v>
      </c>
      <c r="J171" s="161">
        <f t="shared" si="69"/>
        <v>91.994326260668601</v>
      </c>
    </row>
    <row r="172" spans="1:13" s="39" customFormat="1" ht="13.15" x14ac:dyDescent="0.4">
      <c r="A172" s="39" t="str">
        <f>A160</f>
        <v>New Assets</v>
      </c>
      <c r="D172" s="161">
        <f>D148+D160</f>
        <v>6.9638791993713385</v>
      </c>
      <c r="E172" s="161">
        <f t="shared" si="69"/>
        <v>9.3418826939452995</v>
      </c>
      <c r="F172" s="161">
        <f t="shared" si="69"/>
        <v>10.197076883847975</v>
      </c>
      <c r="G172" s="161">
        <f t="shared" si="69"/>
        <v>14.391112198216465</v>
      </c>
      <c r="H172" s="161">
        <f t="shared" si="69"/>
        <v>13.685541973453017</v>
      </c>
      <c r="I172" s="161">
        <f t="shared" si="69"/>
        <v>12.968321537107197</v>
      </c>
      <c r="J172" s="161">
        <f t="shared" si="69"/>
        <v>12.670831778888632</v>
      </c>
    </row>
    <row r="173" spans="1:13" s="39" customFormat="1" ht="13.15" x14ac:dyDescent="0.4">
      <c r="A173" s="39" t="str">
        <f>A161</f>
        <v>Price movement</v>
      </c>
      <c r="D173" s="161">
        <f>D149+D161</f>
        <v>0</v>
      </c>
      <c r="E173" s="161">
        <f t="shared" si="69"/>
        <v>0</v>
      </c>
      <c r="F173" s="161">
        <f t="shared" si="69"/>
        <v>0.48411866556090138</v>
      </c>
      <c r="G173" s="161">
        <f t="shared" si="69"/>
        <v>0.84123681749774804</v>
      </c>
      <c r="H173" s="161">
        <f t="shared" si="69"/>
        <v>1.6712747773845453</v>
      </c>
      <c r="I173" s="161">
        <f t="shared" si="69"/>
        <v>2.3189392197937728</v>
      </c>
      <c r="J173" s="161">
        <f t="shared" si="69"/>
        <v>2.734264215367137</v>
      </c>
    </row>
    <row r="174" spans="1:13" s="39" customFormat="1" ht="13.15" x14ac:dyDescent="0.4">
      <c r="A174" s="39" t="str">
        <f>A162</f>
        <v>Write outs and Other adjs</v>
      </c>
      <c r="D174" s="161">
        <f t="shared" si="69"/>
        <v>-0.34964267055988313</v>
      </c>
      <c r="E174" s="161">
        <f t="shared" si="69"/>
        <v>-0.30981011878252029</v>
      </c>
      <c r="F174" s="161">
        <f t="shared" si="69"/>
        <v>0</v>
      </c>
      <c r="G174" s="161">
        <f t="shared" si="69"/>
        <v>0</v>
      </c>
      <c r="H174" s="161">
        <f t="shared" si="69"/>
        <v>0</v>
      </c>
      <c r="I174" s="161">
        <f t="shared" si="69"/>
        <v>0</v>
      </c>
      <c r="J174" s="161">
        <f t="shared" si="69"/>
        <v>0</v>
      </c>
    </row>
    <row r="175" spans="1:13" s="39" customFormat="1" ht="13.15" x14ac:dyDescent="0.4">
      <c r="A175" s="39" t="str">
        <f>A163</f>
        <v>Closing GRC</v>
      </c>
      <c r="D175" s="161">
        <f>D151+D163</f>
        <v>26.404631612644195</v>
      </c>
      <c r="E175" s="161">
        <f t="shared" si="69"/>
        <v>35.436704187806974</v>
      </c>
      <c r="F175" s="161">
        <f t="shared" si="69"/>
        <v>46.117899737215851</v>
      </c>
      <c r="G175" s="161">
        <f t="shared" si="69"/>
        <v>61.350248752930057</v>
      </c>
      <c r="H175" s="161">
        <f t="shared" si="69"/>
        <v>76.707065503767609</v>
      </c>
      <c r="I175" s="161">
        <f t="shared" si="69"/>
        <v>91.994326260668601</v>
      </c>
      <c r="J175" s="161">
        <f t="shared" si="69"/>
        <v>107.39942225492436</v>
      </c>
    </row>
    <row r="176" spans="1:13" s="39" customFormat="1" ht="13.15" x14ac:dyDescent="0.4">
      <c r="A176" s="70" t="s">
        <v>48</v>
      </c>
      <c r="D176" s="226" t="b">
        <f>IF(ABS(D175-SUM(D171:D174))&lt;0.0000001,TRUE,FALSE)</f>
        <v>1</v>
      </c>
      <c r="E176" s="226" t="b">
        <f t="shared" ref="E176:J176" si="70">IF(ABS(E175-SUM(E171:E174))&lt;0.0000001,TRUE,FALSE)</f>
        <v>1</v>
      </c>
      <c r="F176" s="226" t="b">
        <f t="shared" si="70"/>
        <v>1</v>
      </c>
      <c r="G176" s="226" t="b">
        <f t="shared" si="70"/>
        <v>1</v>
      </c>
      <c r="H176" s="226" t="b">
        <f t="shared" si="70"/>
        <v>1</v>
      </c>
      <c r="I176" s="226" t="b">
        <f t="shared" si="70"/>
        <v>1</v>
      </c>
      <c r="J176" s="226" t="b">
        <f t="shared" si="70"/>
        <v>1</v>
      </c>
    </row>
    <row r="177" spans="1:13" s="39" customFormat="1" ht="13.15" x14ac:dyDescent="0.4">
      <c r="D177" s="161"/>
      <c r="E177" s="161"/>
      <c r="F177" s="161"/>
      <c r="G177" s="161"/>
      <c r="H177" s="161"/>
      <c r="I177" s="161"/>
      <c r="J177" s="161"/>
    </row>
    <row r="178" spans="1:13" s="39" customFormat="1" ht="13.15" x14ac:dyDescent="0.4">
      <c r="A178" s="39" t="str">
        <f>A165</f>
        <v>Opening NRC</v>
      </c>
      <c r="B178" s="312"/>
      <c r="C178" s="312"/>
      <c r="D178" s="333">
        <f>D153+D165</f>
        <v>19.210383661651612</v>
      </c>
      <c r="E178" s="333">
        <f t="shared" ref="D178:J182" si="71">E153+E165</f>
        <v>24.827108057699206</v>
      </c>
      <c r="F178" s="333">
        <f t="shared" si="71"/>
        <v>32.389883965496281</v>
      </c>
      <c r="G178" s="333">
        <f t="shared" si="71"/>
        <v>42.076340532654392</v>
      </c>
      <c r="H178" s="333">
        <f t="shared" si="71"/>
        <v>55.957114476595983</v>
      </c>
      <c r="I178" s="333">
        <f t="shared" si="71"/>
        <v>69.504539402650806</v>
      </c>
      <c r="J178" s="333">
        <f t="shared" si="71"/>
        <v>82.529079333343759</v>
      </c>
    </row>
    <row r="179" spans="1:13" s="39" customFormat="1" ht="13.15" x14ac:dyDescent="0.4">
      <c r="A179" s="39" t="str">
        <f>A166</f>
        <v>Net Asset registrations</v>
      </c>
      <c r="B179" s="312"/>
      <c r="C179" s="312"/>
      <c r="D179" s="333">
        <f t="shared" si="71"/>
        <v>6.759657219939232</v>
      </c>
      <c r="E179" s="333">
        <f t="shared" si="71"/>
        <v>9.3418826939452995</v>
      </c>
      <c r="F179" s="333">
        <f t="shared" si="71"/>
        <v>10.197076883847975</v>
      </c>
      <c r="G179" s="333">
        <f t="shared" si="71"/>
        <v>14.391112198216465</v>
      </c>
      <c r="H179" s="333">
        <f t="shared" si="71"/>
        <v>13.685541973453017</v>
      </c>
      <c r="I179" s="333">
        <f t="shared" si="71"/>
        <v>12.968321537107197</v>
      </c>
      <c r="J179" s="333">
        <f t="shared" si="71"/>
        <v>12.670831778888632</v>
      </c>
    </row>
    <row r="180" spans="1:13" s="39" customFormat="1" ht="13.15" x14ac:dyDescent="0.4">
      <c r="A180" s="39" t="str">
        <f>A167</f>
        <v>Price movement</v>
      </c>
      <c r="D180" s="333">
        <f t="shared" si="71"/>
        <v>-8.8943049669265757E-3</v>
      </c>
      <c r="E180" s="333">
        <f t="shared" si="71"/>
        <v>0</v>
      </c>
      <c r="F180" s="333">
        <f t="shared" si="71"/>
        <v>0.44249451980480298</v>
      </c>
      <c r="G180" s="333">
        <f t="shared" si="71"/>
        <v>0.7675147177849031</v>
      </c>
      <c r="H180" s="333">
        <f t="shared" si="71"/>
        <v>1.5243575362925976</v>
      </c>
      <c r="I180" s="333">
        <f t="shared" si="71"/>
        <v>2.1011989093311367</v>
      </c>
      <c r="J180" s="333">
        <f t="shared" si="71"/>
        <v>2.4529372355959618</v>
      </c>
    </row>
    <row r="181" spans="1:13" s="39" customFormat="1" ht="13.15" x14ac:dyDescent="0.4">
      <c r="A181" s="39" t="str">
        <f>A168</f>
        <v>OCM depreciation</v>
      </c>
      <c r="D181" s="333">
        <f t="shared" si="71"/>
        <v>-1.1340385189247133</v>
      </c>
      <c r="E181" s="333">
        <f t="shared" si="71"/>
        <v>-1.7791067861482235</v>
      </c>
      <c r="F181" s="333">
        <f t="shared" si="71"/>
        <v>-0.95311483649466511</v>
      </c>
      <c r="G181" s="333">
        <f t="shared" si="71"/>
        <v>-1.2778529720597733</v>
      </c>
      <c r="H181" s="333">
        <f t="shared" si="71"/>
        <v>-1.6624745836907944</v>
      </c>
      <c r="I181" s="333">
        <f t="shared" si="71"/>
        <v>-2.0449805157453751</v>
      </c>
      <c r="J181" s="333">
        <f t="shared" si="71"/>
        <v>-2.4265000373217953</v>
      </c>
    </row>
    <row r="182" spans="1:13" s="39" customFormat="1" ht="13.15" x14ac:dyDescent="0.4">
      <c r="A182" s="39" t="str">
        <f>A169</f>
        <v>Closing NRC</v>
      </c>
      <c r="D182" s="333">
        <f t="shared" si="71"/>
        <v>24.827108057699206</v>
      </c>
      <c r="E182" s="333">
        <f t="shared" si="71"/>
        <v>32.389883965496281</v>
      </c>
      <c r="F182" s="333">
        <f t="shared" si="71"/>
        <v>42.076340532654392</v>
      </c>
      <c r="G182" s="333">
        <f t="shared" si="71"/>
        <v>55.957114476595983</v>
      </c>
      <c r="H182" s="333">
        <f t="shared" si="71"/>
        <v>69.504539402650806</v>
      </c>
      <c r="I182" s="333">
        <f t="shared" si="71"/>
        <v>82.529079333343759</v>
      </c>
      <c r="J182" s="333">
        <f t="shared" si="71"/>
        <v>95.226348310506566</v>
      </c>
    </row>
    <row r="183" spans="1:13" s="39" customFormat="1" ht="13.15" x14ac:dyDescent="0.4">
      <c r="A183" s="70" t="s">
        <v>48</v>
      </c>
      <c r="D183" s="82" t="b">
        <f>IF(ABS(D182-SUM(D178:D181))&lt;0.000001,TRUE,FALSE)</f>
        <v>1</v>
      </c>
      <c r="E183" s="82" t="b">
        <f t="shared" ref="E183:J183" si="72">IF(ABS(E182-SUM(E178:E181))&lt;0.000001,TRUE,FALSE)</f>
        <v>1</v>
      </c>
      <c r="F183" s="82" t="b">
        <f t="shared" si="72"/>
        <v>1</v>
      </c>
      <c r="G183" s="82" t="b">
        <f t="shared" si="72"/>
        <v>1</v>
      </c>
      <c r="H183" s="82" t="b">
        <f t="shared" si="72"/>
        <v>1</v>
      </c>
      <c r="I183" s="82" t="b">
        <f t="shared" si="72"/>
        <v>1</v>
      </c>
      <c r="J183" s="82" t="b">
        <f t="shared" si="72"/>
        <v>1</v>
      </c>
    </row>
    <row r="184" spans="1:13" s="39" customFormat="1" ht="10.15" customHeight="1" x14ac:dyDescent="0.4"/>
    <row r="185" spans="1:13" s="311" customFormat="1" x14ac:dyDescent="0.45">
      <c r="A185" s="392" t="str">
        <f>A32</f>
        <v>LFSC</v>
      </c>
      <c r="B185" s="394"/>
      <c r="C185" s="394"/>
      <c r="D185" s="98" t="str">
        <f>D143</f>
        <v>2019/20</v>
      </c>
      <c r="E185" s="98" t="str">
        <f t="shared" ref="E185:J185" si="73">E143</f>
        <v>2020/21</v>
      </c>
      <c r="F185" s="98" t="str">
        <f t="shared" si="73"/>
        <v>2021/22</v>
      </c>
      <c r="G185" s="98" t="str">
        <f t="shared" si="73"/>
        <v>2022/23</v>
      </c>
      <c r="H185" s="98" t="str">
        <f t="shared" si="73"/>
        <v>2023/24</v>
      </c>
      <c r="I185" s="98" t="str">
        <f t="shared" si="73"/>
        <v>2024/25</v>
      </c>
      <c r="J185" s="98" t="str">
        <f t="shared" si="73"/>
        <v>2025/26</v>
      </c>
    </row>
    <row r="186" spans="1:13" s="311" customFormat="1" x14ac:dyDescent="0.45">
      <c r="A186" s="393" t="s">
        <v>318</v>
      </c>
      <c r="D186" s="311">
        <f>H33</f>
        <v>20</v>
      </c>
      <c r="E186" s="311">
        <f>I33</f>
        <v>20</v>
      </c>
      <c r="F186" s="311">
        <f>pole_asset_life</f>
        <v>40</v>
      </c>
      <c r="G186" s="311">
        <f>pole_asset_life</f>
        <v>40</v>
      </c>
      <c r="H186" s="311">
        <f>pole_asset_life</f>
        <v>40</v>
      </c>
      <c r="I186" s="311">
        <f>pole_asset_life</f>
        <v>40</v>
      </c>
      <c r="J186" s="311">
        <f>pole_asset_life</f>
        <v>40</v>
      </c>
    </row>
    <row r="187" spans="1:13" s="311" customFormat="1" x14ac:dyDescent="0.45">
      <c r="A187" s="312" t="s">
        <v>319</v>
      </c>
      <c r="C187" s="312"/>
      <c r="D187" s="312"/>
      <c r="E187" s="368">
        <v>0</v>
      </c>
      <c r="F187" s="324">
        <f t="shared" ref="F187:J187" si="74">F$76</f>
        <v>1.3661503705174605E-2</v>
      </c>
      <c r="G187" s="324">
        <f t="shared" si="74"/>
        <v>1.8241004518661841E-2</v>
      </c>
      <c r="H187" s="324">
        <f t="shared" si="74"/>
        <v>2.7241532208208463E-2</v>
      </c>
      <c r="I187" s="324">
        <f t="shared" si="74"/>
        <v>3.0231103283176353E-2</v>
      </c>
      <c r="J187" s="324">
        <f t="shared" si="74"/>
        <v>2.9722096204275905E-2</v>
      </c>
      <c r="M187" s="26" t="s">
        <v>379</v>
      </c>
    </row>
    <row r="188" spans="1:13" s="39" customFormat="1" ht="13.15" x14ac:dyDescent="0.4">
      <c r="A188" s="312"/>
      <c r="B188" s="312"/>
      <c r="C188" s="312"/>
      <c r="D188" s="312"/>
      <c r="E188" s="199"/>
      <c r="F188" s="312"/>
      <c r="G188" s="312"/>
      <c r="H188" s="312"/>
      <c r="I188" s="312"/>
      <c r="J188" s="312"/>
    </row>
    <row r="189" spans="1:13" s="39" customFormat="1" x14ac:dyDescent="0.45">
      <c r="A189" s="39" t="str">
        <f>A171</f>
        <v>Opening GRC</v>
      </c>
      <c r="B189" s="123" t="str">
        <f>_xlfn.CONCAT(A185," Assets pre 2021/22")</f>
        <v>LFSC Assets pre 2021/22</v>
      </c>
      <c r="C189" s="391"/>
      <c r="D189" s="333">
        <f>D33</f>
        <v>2.4283231840181352</v>
      </c>
      <c r="E189" s="390">
        <f>D193</f>
        <v>3.0439725101137163</v>
      </c>
      <c r="F189" s="333">
        <f t="shared" ref="F189" si="75">E193</f>
        <v>4.4439304820993879</v>
      </c>
      <c r="G189" s="333">
        <f t="shared" ref="G189" si="76">F193</f>
        <v>4.5046412548461268</v>
      </c>
      <c r="H189" s="333">
        <f t="shared" ref="H189" si="77">G193</f>
        <v>4.5868104363307252</v>
      </c>
      <c r="I189" s="333">
        <f t="shared" ref="I189" si="78">H193</f>
        <v>4.7117621805649756</v>
      </c>
      <c r="J189" s="333">
        <f t="shared" ref="J189" si="79">I193</f>
        <v>4.8542039496913993</v>
      </c>
    </row>
    <row r="190" spans="1:13" s="39" customFormat="1" ht="13.15" x14ac:dyDescent="0.4">
      <c r="A190" s="39" t="str">
        <f>A172</f>
        <v>New Assets</v>
      </c>
      <c r="D190" s="333">
        <f>D34</f>
        <v>0.62127086162567136</v>
      </c>
      <c r="E190" s="390">
        <f>E93</f>
        <v>1.4040605617264255</v>
      </c>
      <c r="F190" s="390">
        <v>0</v>
      </c>
      <c r="G190" s="390">
        <v>0</v>
      </c>
      <c r="H190" s="390">
        <v>0</v>
      </c>
      <c r="I190" s="390">
        <v>0</v>
      </c>
      <c r="J190" s="390">
        <v>0</v>
      </c>
      <c r="M190" s="26" t="s">
        <v>378</v>
      </c>
    </row>
    <row r="191" spans="1:13" s="39" customFormat="1" ht="13.15" x14ac:dyDescent="0.4">
      <c r="A191" s="39" t="str">
        <f>A173</f>
        <v>Price movement</v>
      </c>
      <c r="D191" s="333">
        <f>D35</f>
        <v>0</v>
      </c>
      <c r="E191" s="390">
        <f>E189*E187</f>
        <v>0</v>
      </c>
      <c r="F191" s="333">
        <f t="shared" ref="F191:J191" si="80">F189*F187</f>
        <v>6.0710772746739153E-2</v>
      </c>
      <c r="G191" s="333">
        <f t="shared" si="80"/>
        <v>8.2169181484598744E-2</v>
      </c>
      <c r="H191" s="333">
        <f t="shared" si="80"/>
        <v>0.12495174423425016</v>
      </c>
      <c r="I191" s="333">
        <f t="shared" si="80"/>
        <v>0.14244176912642401</v>
      </c>
      <c r="J191" s="333">
        <f t="shared" si="80"/>
        <v>0.14427711678790384</v>
      </c>
    </row>
    <row r="192" spans="1:13" s="39" customFormat="1" ht="13.15" x14ac:dyDescent="0.4">
      <c r="A192" s="39" t="str">
        <f>A174</f>
        <v>Write outs and Other adjs</v>
      </c>
      <c r="D192" s="333">
        <f>D36</f>
        <v>-5.6215355300903323E-3</v>
      </c>
      <c r="E192" s="390">
        <f>E36*(1+E187)</f>
        <v>-4.1025897407531734E-3</v>
      </c>
      <c r="F192" s="333"/>
      <c r="G192" s="333"/>
      <c r="H192" s="333"/>
      <c r="I192" s="333"/>
      <c r="J192" s="333"/>
    </row>
    <row r="193" spans="1:13" s="39" customFormat="1" ht="13.15" x14ac:dyDescent="0.4">
      <c r="A193" s="39" t="str">
        <f>A175</f>
        <v>Closing GRC</v>
      </c>
      <c r="D193" s="333">
        <f>SUM(D189:D192)</f>
        <v>3.0439725101137163</v>
      </c>
      <c r="E193" s="390">
        <f>SUM(E189:E192)</f>
        <v>4.4439304820993879</v>
      </c>
      <c r="F193" s="333">
        <f t="shared" ref="F193:J193" si="81">SUM(F189:F192)</f>
        <v>4.5046412548461268</v>
      </c>
      <c r="G193" s="333">
        <f t="shared" si="81"/>
        <v>4.5868104363307252</v>
      </c>
      <c r="H193" s="333">
        <f t="shared" si="81"/>
        <v>4.7117621805649756</v>
      </c>
      <c r="I193" s="333">
        <f t="shared" si="81"/>
        <v>4.8542039496913993</v>
      </c>
      <c r="J193" s="333">
        <f t="shared" si="81"/>
        <v>4.9984810664793029</v>
      </c>
    </row>
    <row r="194" spans="1:13" s="39" customFormat="1" ht="13.15" x14ac:dyDescent="0.4">
      <c r="D194" s="161"/>
      <c r="E194" s="368"/>
      <c r="F194" s="161"/>
      <c r="G194" s="161"/>
      <c r="H194" s="161"/>
      <c r="I194" s="161"/>
      <c r="J194" s="161"/>
    </row>
    <row r="195" spans="1:13" s="39" customFormat="1" ht="13.15" x14ac:dyDescent="0.4">
      <c r="A195" s="39" t="str">
        <f>A178</f>
        <v>Opening NRC</v>
      </c>
      <c r="D195" s="333">
        <f>D39</f>
        <v>1.9750515347504616</v>
      </c>
      <c r="E195" s="390">
        <f>D199</f>
        <v>2.3579555098342895</v>
      </c>
      <c r="F195" s="333">
        <f>E199</f>
        <v>3.5664596410045881</v>
      </c>
      <c r="G195" s="333">
        <f t="shared" ref="G195" si="82">F199</f>
        <v>3.5266999069562202</v>
      </c>
      <c r="H195" s="333">
        <f t="shared" ref="H195" si="83">G199</f>
        <v>3.5009335026176798</v>
      </c>
      <c r="I195" s="333">
        <f t="shared" ref="I195" si="84">H199</f>
        <v>3.5037529630561774</v>
      </c>
      <c r="J195" s="333">
        <f t="shared" ref="J195" si="85">I199</f>
        <v>3.5143260195424864</v>
      </c>
    </row>
    <row r="196" spans="1:13" s="39" customFormat="1" ht="13.15" x14ac:dyDescent="0.4">
      <c r="A196" s="39" t="str">
        <f>A179</f>
        <v>Net Asset registrations</v>
      </c>
      <c r="D196" s="333">
        <f>D40</f>
        <v>0.49936592102050781</v>
      </c>
      <c r="E196" s="390">
        <f>E190</f>
        <v>1.4040605617264255</v>
      </c>
      <c r="F196" s="390">
        <v>0</v>
      </c>
      <c r="G196" s="390">
        <v>0</v>
      </c>
      <c r="H196" s="390">
        <v>0</v>
      </c>
      <c r="I196" s="390">
        <v>0</v>
      </c>
      <c r="J196" s="390">
        <v>0</v>
      </c>
      <c r="M196" s="26" t="s">
        <v>378</v>
      </c>
    </row>
    <row r="197" spans="1:13" s="39" customFormat="1" ht="13.15" x14ac:dyDescent="0.4">
      <c r="A197" s="39" t="str">
        <f>A180</f>
        <v>Price movement</v>
      </c>
      <c r="D197" s="333">
        <f>D41</f>
        <v>-1.0537487745285035E-4</v>
      </c>
      <c r="E197" s="390">
        <f>E195*E187</f>
        <v>0</v>
      </c>
      <c r="F197" s="333">
        <f>F195*F187</f>
        <v>4.8723201599939869E-2</v>
      </c>
      <c r="G197" s="333">
        <f t="shared" ref="G197:J197" si="86">G195*G187</f>
        <v>6.4330548938752702E-2</v>
      </c>
      <c r="H197" s="333">
        <f t="shared" si="86"/>
        <v>9.5370792770355595E-2</v>
      </c>
      <c r="I197" s="333">
        <f t="shared" si="86"/>
        <v>0.10592231770488648</v>
      </c>
      <c r="J197" s="333">
        <f t="shared" si="86"/>
        <v>0.10445313604603178</v>
      </c>
    </row>
    <row r="198" spans="1:13" s="39" customFormat="1" ht="13.15" x14ac:dyDescent="0.4">
      <c r="A198" s="39" t="str">
        <f>A181</f>
        <v>OCM depreciation</v>
      </c>
      <c r="D198" s="333">
        <f>D42</f>
        <v>-0.11635657105922699</v>
      </c>
      <c r="E198" s="390">
        <f>E42*(1+E187)-0.5*(E196+E191)/E186</f>
        <v>-0.19555643055612679</v>
      </c>
      <c r="F198" s="333">
        <f>F42*(1+E187)*(1+F187)-E196*(1+F187)/F186</f>
        <v>-8.8482935648307642E-2</v>
      </c>
      <c r="G198" s="333">
        <f>F198*(1+G187)</f>
        <v>-9.009695327729289E-2</v>
      </c>
      <c r="H198" s="333">
        <f>G198*(1+H187)</f>
        <v>-9.2551332331857722E-2</v>
      </c>
      <c r="I198" s="333">
        <f>H198*(1+I187)</f>
        <v>-9.5349261218577688E-2</v>
      </c>
      <c r="J198" s="333">
        <f>I198*(1+J187)</f>
        <v>-9.8183241133522892E-2</v>
      </c>
    </row>
    <row r="199" spans="1:13" s="39" customFormat="1" ht="13.15" x14ac:dyDescent="0.4">
      <c r="A199" s="39" t="str">
        <f>A182</f>
        <v>Closing NRC</v>
      </c>
      <c r="D199" s="333">
        <f>SUM(D195:D198)</f>
        <v>2.3579555098342895</v>
      </c>
      <c r="E199" s="390">
        <f>SUM(E195:E198)</f>
        <v>3.5664596410045881</v>
      </c>
      <c r="F199" s="333">
        <f>SUM(F195:F198)</f>
        <v>3.5266999069562202</v>
      </c>
      <c r="G199" s="333">
        <f t="shared" ref="G199:J199" si="87">SUM(G195:G198)</f>
        <v>3.5009335026176798</v>
      </c>
      <c r="H199" s="333">
        <f t="shared" si="87"/>
        <v>3.5037529630561774</v>
      </c>
      <c r="I199" s="333">
        <f t="shared" si="87"/>
        <v>3.5143260195424864</v>
      </c>
      <c r="J199" s="333">
        <f t="shared" si="87"/>
        <v>3.520595914454995</v>
      </c>
    </row>
    <row r="200" spans="1:13" s="39" customFormat="1" ht="13.15" x14ac:dyDescent="0.4">
      <c r="B200" s="97"/>
      <c r="D200" s="96"/>
      <c r="E200" s="96"/>
      <c r="F200" s="96"/>
      <c r="G200" s="96"/>
      <c r="H200" s="96"/>
      <c r="I200" s="96"/>
      <c r="J200" s="96"/>
    </row>
    <row r="201" spans="1:13" s="39" customFormat="1" x14ac:dyDescent="0.45">
      <c r="A201" s="39" t="s">
        <v>63</v>
      </c>
      <c r="B201" s="123" t="str">
        <f>_xlfn.CONCAT(A185," Assets post 2021/22")</f>
        <v>LFSC Assets post 2021/22</v>
      </c>
      <c r="C201" s="391"/>
      <c r="D201" s="224">
        <v>0</v>
      </c>
      <c r="E201" s="333">
        <f>D205</f>
        <v>0</v>
      </c>
      <c r="F201" s="333">
        <f>E205</f>
        <v>0</v>
      </c>
      <c r="G201" s="333">
        <f t="shared" ref="G201" si="88">F205</f>
        <v>2.1090843042662293</v>
      </c>
      <c r="H201" s="333">
        <f t="shared" ref="H201" si="89">G205</f>
        <v>4.9676294047728362</v>
      </c>
      <c r="I201" s="333">
        <f t="shared" ref="I201" si="90">H205</f>
        <v>8.1298804736337189</v>
      </c>
      <c r="J201" s="333">
        <f t="shared" ref="J201" si="91">I205</f>
        <v>11.985404009006187</v>
      </c>
    </row>
    <row r="202" spans="1:13" s="39" customFormat="1" ht="13.15" x14ac:dyDescent="0.4">
      <c r="A202" s="39" t="s">
        <v>104</v>
      </c>
      <c r="D202" s="224">
        <v>0</v>
      </c>
      <c r="E202" s="224">
        <v>0</v>
      </c>
      <c r="F202" s="333">
        <f>F93</f>
        <v>2.1090843042662293</v>
      </c>
      <c r="G202" s="333">
        <f t="shared" ref="G202:J202" si="92">G93</f>
        <v>2.8200732841822487</v>
      </c>
      <c r="H202" s="333">
        <f t="shared" si="92"/>
        <v>3.0269252324323204</v>
      </c>
      <c r="I202" s="333">
        <f t="shared" si="92"/>
        <v>3.6097482790941675</v>
      </c>
      <c r="J202" s="333">
        <f t="shared" si="92"/>
        <v>2.6339484279455228</v>
      </c>
    </row>
    <row r="203" spans="1:13" s="39" customFormat="1" ht="13.15" x14ac:dyDescent="0.4">
      <c r="A203" s="39" t="s">
        <v>61</v>
      </c>
      <c r="D203" s="333">
        <f>D201*D$187</f>
        <v>0</v>
      </c>
      <c r="E203" s="333">
        <f>E201*E$187</f>
        <v>0</v>
      </c>
      <c r="F203" s="333">
        <f>F201*F$187</f>
        <v>0</v>
      </c>
      <c r="G203" s="333">
        <f t="shared" ref="G203:J203" si="93">G201*G$187</f>
        <v>3.8471816324359052E-2</v>
      </c>
      <c r="H203" s="333">
        <f t="shared" si="93"/>
        <v>0.13532583642856266</v>
      </c>
      <c r="I203" s="333">
        <f t="shared" si="93"/>
        <v>0.24577525627829963</v>
      </c>
      <c r="J203" s="333">
        <f t="shared" si="93"/>
        <v>0.35623133100279603</v>
      </c>
      <c r="M203" s="26"/>
    </row>
    <row r="204" spans="1:13" s="39" customFormat="1" ht="13.15" x14ac:dyDescent="0.4">
      <c r="A204" s="39" t="str">
        <f>A192</f>
        <v>Write outs and Other adjs</v>
      </c>
      <c r="D204" s="390"/>
      <c r="E204" s="390"/>
      <c r="F204" s="390"/>
      <c r="G204" s="390"/>
      <c r="H204" s="390"/>
      <c r="I204" s="390"/>
      <c r="J204" s="390"/>
      <c r="M204" s="26" t="s">
        <v>278</v>
      </c>
    </row>
    <row r="205" spans="1:13" s="39" customFormat="1" ht="13.15" x14ac:dyDescent="0.4">
      <c r="A205" s="39" t="s">
        <v>65</v>
      </c>
      <c r="D205" s="333">
        <f t="shared" ref="D205:J205" si="94">SUM(D201:D203)</f>
        <v>0</v>
      </c>
      <c r="E205" s="333">
        <f>SUM(E201:E203)</f>
        <v>0</v>
      </c>
      <c r="F205" s="333">
        <f>SUM(F201:F203)</f>
        <v>2.1090843042662293</v>
      </c>
      <c r="G205" s="333">
        <f t="shared" si="94"/>
        <v>4.9676294047728362</v>
      </c>
      <c r="H205" s="333">
        <f t="shared" si="94"/>
        <v>8.1298804736337189</v>
      </c>
      <c r="I205" s="333">
        <f t="shared" si="94"/>
        <v>11.985404009006187</v>
      </c>
      <c r="J205" s="333">
        <f t="shared" si="94"/>
        <v>14.975583767954506</v>
      </c>
    </row>
    <row r="206" spans="1:13" s="39" customFormat="1" ht="13.15" x14ac:dyDescent="0.4">
      <c r="D206" s="333"/>
      <c r="E206" s="333"/>
      <c r="F206" s="333"/>
      <c r="G206" s="333"/>
      <c r="H206" s="333"/>
      <c r="I206" s="333"/>
      <c r="J206" s="333"/>
    </row>
    <row r="207" spans="1:13" s="39" customFormat="1" ht="13.15" x14ac:dyDescent="0.4">
      <c r="A207" s="39" t="str">
        <f>A195</f>
        <v>Opening NRC</v>
      </c>
      <c r="D207" s="333">
        <f>D201</f>
        <v>0</v>
      </c>
      <c r="E207" s="333">
        <f>D211</f>
        <v>0</v>
      </c>
      <c r="F207" s="333">
        <f t="shared" ref="F207" si="95">E211</f>
        <v>0</v>
      </c>
      <c r="G207" s="333">
        <f t="shared" ref="G207" si="96">F211</f>
        <v>2.0827207504629013</v>
      </c>
      <c r="H207" s="333">
        <f t="shared" ref="H207" si="97">G211</f>
        <v>4.8523260319024661</v>
      </c>
      <c r="I207" s="333">
        <f t="shared" ref="I207" si="98">H211</f>
        <v>7.8477171867375048</v>
      </c>
      <c r="J207" s="333">
        <f t="shared" ref="J207" si="99">I211</f>
        <v>11.443269558608094</v>
      </c>
    </row>
    <row r="208" spans="1:13" s="39" customFormat="1" ht="13.15" x14ac:dyDescent="0.4">
      <c r="A208" s="39" t="str">
        <f>A196</f>
        <v>Net Asset registrations</v>
      </c>
      <c r="D208" s="333">
        <f>D202</f>
        <v>0</v>
      </c>
      <c r="E208" s="333">
        <f>E202</f>
        <v>0</v>
      </c>
      <c r="F208" s="333">
        <f t="shared" ref="F208:J208" si="100">F202</f>
        <v>2.1090843042662293</v>
      </c>
      <c r="G208" s="333">
        <f t="shared" si="100"/>
        <v>2.8200732841822487</v>
      </c>
      <c r="H208" s="333">
        <f t="shared" si="100"/>
        <v>3.0269252324323204</v>
      </c>
      <c r="I208" s="333">
        <f t="shared" si="100"/>
        <v>3.6097482790941675</v>
      </c>
      <c r="J208" s="333">
        <f t="shared" si="100"/>
        <v>2.6339484279455228</v>
      </c>
    </row>
    <row r="209" spans="1:13" s="39" customFormat="1" ht="13.15" x14ac:dyDescent="0.4">
      <c r="A209" s="39" t="str">
        <f>A197</f>
        <v>Price movement</v>
      </c>
      <c r="D209" s="333">
        <f>D207*D$187</f>
        <v>0</v>
      </c>
      <c r="E209" s="333">
        <f>E207*E$187</f>
        <v>0</v>
      </c>
      <c r="F209" s="333">
        <f t="shared" ref="F209:J209" si="101">F207*F$187</f>
        <v>0</v>
      </c>
      <c r="G209" s="333">
        <f t="shared" si="101"/>
        <v>3.7990918620304563E-2</v>
      </c>
      <c r="H209" s="333">
        <f t="shared" si="101"/>
        <v>0.13218479588279941</v>
      </c>
      <c r="I209" s="333">
        <f t="shared" si="101"/>
        <v>0.23724514880941966</v>
      </c>
      <c r="J209" s="333">
        <f t="shared" si="101"/>
        <v>0.34011795871241163</v>
      </c>
      <c r="M209" s="26" t="s">
        <v>300</v>
      </c>
    </row>
    <row r="210" spans="1:13" s="39" customFormat="1" ht="13.15" x14ac:dyDescent="0.4">
      <c r="A210" s="39" t="str">
        <f>A198</f>
        <v>OCM depreciation</v>
      </c>
      <c r="D210" s="390">
        <f t="shared" ref="D210:E210" si="102">-AVERAGE(D201,D205)/D186</f>
        <v>0</v>
      </c>
      <c r="E210" s="390">
        <f t="shared" si="102"/>
        <v>0</v>
      </c>
      <c r="F210" s="390">
        <f>-AVERAGE(F201,F205)/F186</f>
        <v>-2.6363553803327867E-2</v>
      </c>
      <c r="G210" s="390">
        <f t="shared" ref="G210:J210" si="103">-AVERAGE(G201,G205)/G186</f>
        <v>-8.8458921362988316E-2</v>
      </c>
      <c r="H210" s="390">
        <f t="shared" si="103"/>
        <v>-0.16371887348008193</v>
      </c>
      <c r="I210" s="390">
        <f t="shared" si="103"/>
        <v>-0.25144105603299882</v>
      </c>
      <c r="J210" s="390">
        <f t="shared" si="103"/>
        <v>-0.33701234721200868</v>
      </c>
    </row>
    <row r="211" spans="1:13" s="39" customFormat="1" ht="13.15" x14ac:dyDescent="0.4">
      <c r="A211" s="39" t="str">
        <f>A199</f>
        <v>Closing NRC</v>
      </c>
      <c r="D211" s="333">
        <f>SUM(D207:D210)</f>
        <v>0</v>
      </c>
      <c r="E211" s="333">
        <f>SUM(E207:E210)</f>
        <v>0</v>
      </c>
      <c r="F211" s="333">
        <f t="shared" ref="F211:J211" si="104">SUM(F207:F210)</f>
        <v>2.0827207504629013</v>
      </c>
      <c r="G211" s="333">
        <f t="shared" si="104"/>
        <v>4.8523260319024661</v>
      </c>
      <c r="H211" s="333">
        <f t="shared" si="104"/>
        <v>7.8477171867375048</v>
      </c>
      <c r="I211" s="333">
        <f t="shared" si="104"/>
        <v>11.443269558608094</v>
      </c>
      <c r="J211" s="333">
        <f t="shared" si="104"/>
        <v>14.08032359805402</v>
      </c>
    </row>
    <row r="212" spans="1:13" s="39" customFormat="1" ht="13.15" x14ac:dyDescent="0.4">
      <c r="B212" s="97"/>
      <c r="D212" s="225"/>
      <c r="E212" s="225"/>
      <c r="F212" s="225"/>
      <c r="G212" s="225"/>
      <c r="H212" s="225"/>
      <c r="I212" s="225"/>
      <c r="J212" s="225"/>
    </row>
    <row r="213" spans="1:13" s="39" customFormat="1" x14ac:dyDescent="0.45">
      <c r="A213" s="39" t="str">
        <f>A189</f>
        <v>Opening GRC</v>
      </c>
      <c r="B213" s="123" t="str">
        <f>CONCATENATE("All ", A185," assets")</f>
        <v>All LFSC assets</v>
      </c>
      <c r="C213" s="391"/>
      <c r="D213" s="333">
        <f>D189+D201</f>
        <v>2.4283231840181352</v>
      </c>
      <c r="E213" s="333">
        <f t="shared" ref="D213:J217" si="105">E189+E201</f>
        <v>3.0439725101137163</v>
      </c>
      <c r="F213" s="333">
        <f t="shared" si="105"/>
        <v>4.4439304820993879</v>
      </c>
      <c r="G213" s="333">
        <f t="shared" si="105"/>
        <v>6.613725559112356</v>
      </c>
      <c r="H213" s="333">
        <f t="shared" si="105"/>
        <v>9.5544398411035623</v>
      </c>
      <c r="I213" s="333">
        <f t="shared" si="105"/>
        <v>12.841642654198694</v>
      </c>
      <c r="J213" s="333">
        <f t="shared" si="105"/>
        <v>16.839607958697584</v>
      </c>
    </row>
    <row r="214" spans="1:13" s="39" customFormat="1" ht="13.15" x14ac:dyDescent="0.4">
      <c r="A214" s="39" t="str">
        <f>A190</f>
        <v>New Assets</v>
      </c>
      <c r="D214" s="333">
        <f t="shared" si="105"/>
        <v>0.62127086162567136</v>
      </c>
      <c r="E214" s="333">
        <f t="shared" si="105"/>
        <v>1.4040605617264255</v>
      </c>
      <c r="F214" s="333">
        <f t="shared" si="105"/>
        <v>2.1090843042662293</v>
      </c>
      <c r="G214" s="333">
        <f t="shared" si="105"/>
        <v>2.8200732841822487</v>
      </c>
      <c r="H214" s="333">
        <f t="shared" si="105"/>
        <v>3.0269252324323204</v>
      </c>
      <c r="I214" s="333">
        <f t="shared" si="105"/>
        <v>3.6097482790941675</v>
      </c>
      <c r="J214" s="333">
        <f t="shared" si="105"/>
        <v>2.6339484279455228</v>
      </c>
    </row>
    <row r="215" spans="1:13" s="39" customFormat="1" ht="13.15" x14ac:dyDescent="0.4">
      <c r="A215" s="39" t="str">
        <f>A191</f>
        <v>Price movement</v>
      </c>
      <c r="D215" s="333">
        <f t="shared" si="105"/>
        <v>0</v>
      </c>
      <c r="E215" s="333">
        <f t="shared" si="105"/>
        <v>0</v>
      </c>
      <c r="F215" s="333">
        <f t="shared" si="105"/>
        <v>6.0710772746739153E-2</v>
      </c>
      <c r="G215" s="333">
        <f t="shared" si="105"/>
        <v>0.12064099780895779</v>
      </c>
      <c r="H215" s="333">
        <f t="shared" si="105"/>
        <v>0.26027758066281281</v>
      </c>
      <c r="I215" s="333">
        <f t="shared" si="105"/>
        <v>0.38821702540472364</v>
      </c>
      <c r="J215" s="333">
        <f t="shared" si="105"/>
        <v>0.50050844779069981</v>
      </c>
    </row>
    <row r="216" spans="1:13" s="39" customFormat="1" ht="13.15" x14ac:dyDescent="0.4">
      <c r="A216" s="39" t="str">
        <f>A192</f>
        <v>Write outs and Other adjs</v>
      </c>
      <c r="D216" s="333">
        <f t="shared" si="105"/>
        <v>-5.6215355300903323E-3</v>
      </c>
      <c r="E216" s="333">
        <f t="shared" si="105"/>
        <v>-4.1025897407531734E-3</v>
      </c>
      <c r="F216" s="333">
        <f t="shared" si="105"/>
        <v>0</v>
      </c>
      <c r="G216" s="333">
        <f t="shared" si="105"/>
        <v>0</v>
      </c>
      <c r="H216" s="333">
        <f t="shared" si="105"/>
        <v>0</v>
      </c>
      <c r="I216" s="333">
        <f t="shared" si="105"/>
        <v>0</v>
      </c>
      <c r="J216" s="333">
        <f t="shared" si="105"/>
        <v>0</v>
      </c>
    </row>
    <row r="217" spans="1:13" s="39" customFormat="1" ht="13.15" x14ac:dyDescent="0.4">
      <c r="A217" s="39" t="str">
        <f>A193</f>
        <v>Closing GRC</v>
      </c>
      <c r="D217" s="333">
        <f t="shared" si="105"/>
        <v>3.0439725101137163</v>
      </c>
      <c r="E217" s="333">
        <f t="shared" si="105"/>
        <v>4.4439304820993879</v>
      </c>
      <c r="F217" s="333">
        <f t="shared" si="105"/>
        <v>6.613725559112356</v>
      </c>
      <c r="G217" s="333">
        <f t="shared" si="105"/>
        <v>9.5544398411035623</v>
      </c>
      <c r="H217" s="333">
        <f t="shared" si="105"/>
        <v>12.841642654198694</v>
      </c>
      <c r="I217" s="333">
        <f t="shared" si="105"/>
        <v>16.839607958697584</v>
      </c>
      <c r="J217" s="333">
        <f t="shared" si="105"/>
        <v>19.974064834433808</v>
      </c>
    </row>
    <row r="218" spans="1:13" s="39" customFormat="1" ht="13.15" x14ac:dyDescent="0.4">
      <c r="A218" s="70" t="s">
        <v>48</v>
      </c>
      <c r="D218" s="397" t="b">
        <f>IF(ABS(D217-SUM(D213:D216))&lt;0.0000001,TRUE,FALSE)</f>
        <v>1</v>
      </c>
      <c r="E218" s="397" t="b">
        <f t="shared" ref="E218:J218" si="106">IF(ABS(E217-SUM(E213:E216))&lt;0.0000001,TRUE,FALSE)</f>
        <v>1</v>
      </c>
      <c r="F218" s="397" t="b">
        <f t="shared" si="106"/>
        <v>1</v>
      </c>
      <c r="G218" s="397" t="b">
        <f t="shared" si="106"/>
        <v>1</v>
      </c>
      <c r="H218" s="397" t="b">
        <f t="shared" si="106"/>
        <v>1</v>
      </c>
      <c r="I218" s="397" t="b">
        <f t="shared" si="106"/>
        <v>1</v>
      </c>
      <c r="J218" s="397" t="b">
        <f t="shared" si="106"/>
        <v>1</v>
      </c>
    </row>
    <row r="219" spans="1:13" s="39" customFormat="1" ht="13.15" x14ac:dyDescent="0.4">
      <c r="D219" s="333"/>
      <c r="E219" s="333"/>
      <c r="F219" s="333"/>
      <c r="G219" s="333"/>
      <c r="H219" s="333"/>
      <c r="I219" s="333"/>
      <c r="J219" s="333"/>
    </row>
    <row r="220" spans="1:13" s="39" customFormat="1" ht="13.15" x14ac:dyDescent="0.4">
      <c r="A220" s="39" t="str">
        <f>A207</f>
        <v>Opening NRC</v>
      </c>
      <c r="D220" s="333">
        <f>D195+D207</f>
        <v>1.9750515347504616</v>
      </c>
      <c r="E220" s="333">
        <f t="shared" ref="D220:J224" si="107">E195+E207</f>
        <v>2.3579555098342895</v>
      </c>
      <c r="F220" s="333">
        <f t="shared" si="107"/>
        <v>3.5664596410045881</v>
      </c>
      <c r="G220" s="333">
        <f t="shared" si="107"/>
        <v>5.6094206574191219</v>
      </c>
      <c r="H220" s="333">
        <f t="shared" si="107"/>
        <v>8.353259534520145</v>
      </c>
      <c r="I220" s="333">
        <f t="shared" si="107"/>
        <v>11.351470149793682</v>
      </c>
      <c r="J220" s="333">
        <f t="shared" si="107"/>
        <v>14.957595578150581</v>
      </c>
    </row>
    <row r="221" spans="1:13" s="39" customFormat="1" ht="13.15" x14ac:dyDescent="0.4">
      <c r="A221" s="39" t="str">
        <f>A208</f>
        <v>Net Asset registrations</v>
      </c>
      <c r="D221" s="333">
        <f t="shared" si="107"/>
        <v>0.49936592102050781</v>
      </c>
      <c r="E221" s="333">
        <f t="shared" si="107"/>
        <v>1.4040605617264255</v>
      </c>
      <c r="F221" s="333">
        <f t="shared" si="107"/>
        <v>2.1090843042662293</v>
      </c>
      <c r="G221" s="333">
        <f t="shared" si="107"/>
        <v>2.8200732841822487</v>
      </c>
      <c r="H221" s="333">
        <f t="shared" si="107"/>
        <v>3.0269252324323204</v>
      </c>
      <c r="I221" s="333">
        <f t="shared" si="107"/>
        <v>3.6097482790941675</v>
      </c>
      <c r="J221" s="333">
        <f t="shared" si="107"/>
        <v>2.6339484279455228</v>
      </c>
    </row>
    <row r="222" spans="1:13" s="39" customFormat="1" ht="13.15" x14ac:dyDescent="0.4">
      <c r="A222" s="39" t="str">
        <f>A209</f>
        <v>Price movement</v>
      </c>
      <c r="D222" s="333">
        <f t="shared" si="107"/>
        <v>-1.0537487745285035E-4</v>
      </c>
      <c r="E222" s="333">
        <f t="shared" si="107"/>
        <v>0</v>
      </c>
      <c r="F222" s="333">
        <f t="shared" si="107"/>
        <v>4.8723201599939869E-2</v>
      </c>
      <c r="G222" s="333">
        <f t="shared" si="107"/>
        <v>0.10232146755905727</v>
      </c>
      <c r="H222" s="333">
        <f t="shared" si="107"/>
        <v>0.22755558865315501</v>
      </c>
      <c r="I222" s="333">
        <f t="shared" si="107"/>
        <v>0.34316746651430613</v>
      </c>
      <c r="J222" s="333">
        <f t="shared" si="107"/>
        <v>0.44457109475844342</v>
      </c>
    </row>
    <row r="223" spans="1:13" s="39" customFormat="1" ht="13.15" x14ac:dyDescent="0.4">
      <c r="A223" s="39" t="str">
        <f>A210</f>
        <v>OCM depreciation</v>
      </c>
      <c r="D223" s="333">
        <f t="shared" si="107"/>
        <v>-0.11635657105922699</v>
      </c>
      <c r="E223" s="333">
        <f t="shared" si="107"/>
        <v>-0.19555643055612679</v>
      </c>
      <c r="F223" s="333">
        <f t="shared" si="107"/>
        <v>-0.1148464894516355</v>
      </c>
      <c r="G223" s="333">
        <f t="shared" si="107"/>
        <v>-0.17855587464028122</v>
      </c>
      <c r="H223" s="333">
        <f t="shared" si="107"/>
        <v>-0.25627020581193966</v>
      </c>
      <c r="I223" s="333">
        <f t="shared" si="107"/>
        <v>-0.3467903172515765</v>
      </c>
      <c r="J223" s="333">
        <f t="shared" si="107"/>
        <v>-0.43519558834553157</v>
      </c>
    </row>
    <row r="224" spans="1:13" s="39" customFormat="1" ht="13.15" x14ac:dyDescent="0.4">
      <c r="A224" s="39" t="str">
        <f>A211</f>
        <v>Closing NRC</v>
      </c>
      <c r="D224" s="333">
        <f t="shared" si="107"/>
        <v>2.3579555098342895</v>
      </c>
      <c r="E224" s="333">
        <f t="shared" si="107"/>
        <v>3.5664596410045881</v>
      </c>
      <c r="F224" s="333">
        <f t="shared" si="107"/>
        <v>5.6094206574191219</v>
      </c>
      <c r="G224" s="333">
        <f t="shared" si="107"/>
        <v>8.353259534520145</v>
      </c>
      <c r="H224" s="333">
        <f t="shared" si="107"/>
        <v>11.351470149793682</v>
      </c>
      <c r="I224" s="333">
        <f t="shared" si="107"/>
        <v>14.957595578150581</v>
      </c>
      <c r="J224" s="333">
        <f t="shared" si="107"/>
        <v>17.600919512509016</v>
      </c>
    </row>
    <row r="225" spans="1:13" s="39" customFormat="1" ht="13.15" x14ac:dyDescent="0.4">
      <c r="A225" s="70" t="s">
        <v>48</v>
      </c>
      <c r="D225" s="82" t="b">
        <f>IF(ABS(D224-SUM(D220:D223))&lt;0.000001,TRUE,FALSE)</f>
        <v>1</v>
      </c>
      <c r="E225" s="82" t="b">
        <f t="shared" ref="E225:J225" si="108">IF(ABS(E224-SUM(E220:E223))&lt;0.000001,TRUE,FALSE)</f>
        <v>1</v>
      </c>
      <c r="F225" s="82" t="b">
        <f t="shared" si="108"/>
        <v>1</v>
      </c>
      <c r="G225" s="82" t="b">
        <f t="shared" si="108"/>
        <v>1</v>
      </c>
      <c r="H225" s="82" t="b">
        <f t="shared" si="108"/>
        <v>1</v>
      </c>
      <c r="I225" s="82" t="b">
        <f t="shared" si="108"/>
        <v>1</v>
      </c>
      <c r="J225" s="82" t="b">
        <f t="shared" si="108"/>
        <v>1</v>
      </c>
    </row>
    <row r="226" spans="1:13" s="312" customFormat="1" ht="13.15" x14ac:dyDescent="0.4">
      <c r="A226" s="57"/>
      <c r="B226" s="57"/>
      <c r="C226" s="57"/>
      <c r="D226" s="57"/>
      <c r="E226" s="57"/>
      <c r="F226" s="57"/>
      <c r="G226" s="57"/>
      <c r="H226" s="57"/>
      <c r="I226" s="57"/>
      <c r="J226" s="57"/>
      <c r="K226" s="57"/>
      <c r="L226" s="57"/>
      <c r="M226" s="57"/>
    </row>
    <row r="227" spans="1:13" s="311" customFormat="1" x14ac:dyDescent="0.45">
      <c r="A227" s="392" t="str">
        <f>A45</f>
        <v>NWR</v>
      </c>
      <c r="B227" s="394"/>
      <c r="C227" s="394"/>
      <c r="D227" s="98" t="str">
        <f>D185</f>
        <v>2019/20</v>
      </c>
      <c r="E227" s="98" t="str">
        <f t="shared" ref="E227:J227" si="109">E185</f>
        <v>2020/21</v>
      </c>
      <c r="F227" s="98" t="str">
        <f t="shared" si="109"/>
        <v>2021/22</v>
      </c>
      <c r="G227" s="98" t="str">
        <f t="shared" si="109"/>
        <v>2022/23</v>
      </c>
      <c r="H227" s="98" t="str">
        <f t="shared" si="109"/>
        <v>2023/24</v>
      </c>
      <c r="I227" s="98" t="str">
        <f t="shared" si="109"/>
        <v>2024/25</v>
      </c>
      <c r="J227" s="98" t="str">
        <f t="shared" si="109"/>
        <v>2025/26</v>
      </c>
    </row>
    <row r="228" spans="1:13" s="311" customFormat="1" x14ac:dyDescent="0.45">
      <c r="A228" s="393" t="s">
        <v>318</v>
      </c>
      <c r="D228" s="311">
        <f>H46</f>
        <v>10</v>
      </c>
      <c r="E228" s="311">
        <f t="shared" ref="E228" si="110">I46</f>
        <v>10</v>
      </c>
      <c r="F228" s="311">
        <f>pole_asset_life</f>
        <v>40</v>
      </c>
      <c r="G228" s="311">
        <f>pole_asset_life</f>
        <v>40</v>
      </c>
      <c r="H228" s="311">
        <f>pole_asset_life</f>
        <v>40</v>
      </c>
      <c r="I228" s="311">
        <f>pole_asset_life</f>
        <v>40</v>
      </c>
      <c r="J228" s="311">
        <f>pole_asset_life</f>
        <v>40</v>
      </c>
    </row>
    <row r="229" spans="1:13" s="311" customFormat="1" x14ac:dyDescent="0.45">
      <c r="A229" s="312" t="s">
        <v>319</v>
      </c>
      <c r="C229" s="312"/>
      <c r="D229" s="312"/>
      <c r="E229" s="324">
        <f t="shared" ref="E229:J229" si="111">E$76</f>
        <v>1.1073457872565307E-2</v>
      </c>
      <c r="F229" s="324">
        <f t="shared" si="111"/>
        <v>1.3661503705174605E-2</v>
      </c>
      <c r="G229" s="324">
        <f t="shared" si="111"/>
        <v>1.8241004518661841E-2</v>
      </c>
      <c r="H229" s="324">
        <f t="shared" si="111"/>
        <v>2.7241532208208463E-2</v>
      </c>
      <c r="I229" s="324">
        <f t="shared" si="111"/>
        <v>3.0231103283176353E-2</v>
      </c>
      <c r="J229" s="324">
        <f t="shared" si="111"/>
        <v>2.9722096204275905E-2</v>
      </c>
    </row>
    <row r="230" spans="1:13" s="312" customFormat="1" ht="16.5" customHeight="1" x14ac:dyDescent="0.4">
      <c r="A230" s="57"/>
      <c r="B230" s="57"/>
      <c r="C230" s="57"/>
      <c r="D230" s="57"/>
      <c r="E230" s="57"/>
      <c r="F230" s="57"/>
      <c r="G230" s="57"/>
      <c r="H230" s="57"/>
      <c r="I230" s="57"/>
      <c r="J230" s="57"/>
      <c r="K230" s="57"/>
      <c r="L230" s="57"/>
      <c r="M230" s="57"/>
    </row>
    <row r="231" spans="1:13" s="39" customFormat="1" x14ac:dyDescent="0.45">
      <c r="A231" s="39" t="str">
        <f>A213</f>
        <v>Opening GRC</v>
      </c>
      <c r="B231" s="123" t="str">
        <f>_xlfn.CONCAT(A227," Assets pre 2021/22")</f>
        <v>NWR Assets pre 2021/22</v>
      </c>
      <c r="C231" s="391"/>
      <c r="D231" s="333">
        <f>D46</f>
        <v>21.631506279451845</v>
      </c>
      <c r="E231" s="333">
        <f>D235</f>
        <v>20.921571422944069</v>
      </c>
      <c r="F231" s="333">
        <f>E235</f>
        <v>19.629240046027697</v>
      </c>
      <c r="G231" s="333">
        <f t="shared" ref="G231:J231" si="112">F235</f>
        <v>19.897404981646265</v>
      </c>
      <c r="H231" s="333">
        <f t="shared" si="112"/>
        <v>20.260353635826117</v>
      </c>
      <c r="I231" s="333">
        <f t="shared" si="112"/>
        <v>20.812276711946168</v>
      </c>
      <c r="J231" s="333">
        <f t="shared" si="112"/>
        <v>21.441454798783059</v>
      </c>
    </row>
    <row r="232" spans="1:13" s="39" customFormat="1" ht="13.15" x14ac:dyDescent="0.4">
      <c r="A232" s="39" t="str">
        <f>A214</f>
        <v>New Assets</v>
      </c>
      <c r="D232" s="333">
        <f>D47</f>
        <v>1.0194711413240434</v>
      </c>
      <c r="E232" s="390">
        <f>E94</f>
        <v>1.0624691965536752</v>
      </c>
      <c r="F232" s="390">
        <v>0</v>
      </c>
      <c r="G232" s="390">
        <v>0</v>
      </c>
      <c r="H232" s="390">
        <v>0</v>
      </c>
      <c r="I232" s="390">
        <v>0</v>
      </c>
      <c r="J232" s="390">
        <v>0</v>
      </c>
      <c r="M232" s="26" t="s">
        <v>378</v>
      </c>
    </row>
    <row r="233" spans="1:13" s="39" customFormat="1" ht="13.15" x14ac:dyDescent="0.4">
      <c r="A233" s="39" t="str">
        <f>A215</f>
        <v>Price movement</v>
      </c>
      <c r="D233" s="333">
        <f>D48</f>
        <v>0.45818228513479231</v>
      </c>
      <c r="E233" s="333">
        <f>E231*E229</f>
        <v>0.23167413977983733</v>
      </c>
      <c r="F233" s="333">
        <f>F231*F229</f>
        <v>0.26816493561856908</v>
      </c>
      <c r="G233" s="333">
        <f t="shared" ref="G233:J233" si="113">G231*G229</f>
        <v>0.36294865417985411</v>
      </c>
      <c r="H233" s="333">
        <f t="shared" si="113"/>
        <v>0.55192307612005065</v>
      </c>
      <c r="I233" s="333">
        <f t="shared" si="113"/>
        <v>0.62917808683689058</v>
      </c>
      <c r="J233" s="333">
        <f t="shared" si="113"/>
        <v>0.63728498228906338</v>
      </c>
    </row>
    <row r="234" spans="1:13" s="39" customFormat="1" ht="13.15" x14ac:dyDescent="0.4">
      <c r="A234" s="39" t="str">
        <f>A216</f>
        <v>Write outs and Other adjs</v>
      </c>
      <c r="D234" s="333">
        <f>D49</f>
        <v>-2.1875882829666136</v>
      </c>
      <c r="E234" s="333">
        <f>E49*(1+E229)</f>
        <v>-2.5864747132498831</v>
      </c>
      <c r="F234" s="333"/>
      <c r="G234" s="333"/>
      <c r="H234" s="333"/>
      <c r="I234" s="333"/>
      <c r="J234" s="333"/>
    </row>
    <row r="235" spans="1:13" s="39" customFormat="1" ht="13.15" x14ac:dyDescent="0.4">
      <c r="A235" s="39" t="str">
        <f>A217</f>
        <v>Closing GRC</v>
      </c>
      <c r="D235" s="333">
        <f>D50</f>
        <v>20.921571422944069</v>
      </c>
      <c r="E235" s="333">
        <f>SUM(E231:E234)</f>
        <v>19.629240046027697</v>
      </c>
      <c r="F235" s="333">
        <f>SUM(F231:F234)</f>
        <v>19.897404981646265</v>
      </c>
      <c r="G235" s="333">
        <f t="shared" ref="G235:J235" si="114">SUM(G231:G234)</f>
        <v>20.260353635826117</v>
      </c>
      <c r="H235" s="333">
        <f t="shared" si="114"/>
        <v>20.812276711946168</v>
      </c>
      <c r="I235" s="333">
        <f t="shared" si="114"/>
        <v>21.441454798783059</v>
      </c>
      <c r="J235" s="333">
        <f t="shared" si="114"/>
        <v>22.078739781072123</v>
      </c>
    </row>
    <row r="236" spans="1:13" s="39" customFormat="1" ht="13.15" x14ac:dyDescent="0.4">
      <c r="D236" s="96" t="b">
        <f>D235=SUM(D231:D234)</f>
        <v>1</v>
      </c>
      <c r="E236" s="333"/>
      <c r="F236" s="333"/>
      <c r="G236" s="333"/>
      <c r="H236" s="333"/>
      <c r="I236" s="333"/>
      <c r="J236" s="333"/>
    </row>
    <row r="237" spans="1:13" s="39" customFormat="1" ht="13.15" x14ac:dyDescent="0.4">
      <c r="A237" s="39" t="str">
        <f>A220</f>
        <v>Opening NRC</v>
      </c>
      <c r="D237" s="333">
        <f>D52</f>
        <v>7.1953243286609654</v>
      </c>
      <c r="E237" s="333">
        <f>D241</f>
        <v>7.0858594133162507</v>
      </c>
      <c r="F237" s="333">
        <f>E241</f>
        <v>6.7548246155946758</v>
      </c>
      <c r="G237" s="333">
        <f>F241</f>
        <v>6.6472237699970282</v>
      </c>
      <c r="H237" s="333">
        <f t="shared" ref="H237:J237" si="115">G241</f>
        <v>6.5649478549398834</v>
      </c>
      <c r="I237" s="333">
        <f t="shared" si="115"/>
        <v>6.5347147261822673</v>
      </c>
      <c r="J237" s="333">
        <f t="shared" si="115"/>
        <v>6.5168735064761316</v>
      </c>
    </row>
    <row r="238" spans="1:13" s="39" customFormat="1" ht="13.15" x14ac:dyDescent="0.4">
      <c r="A238" s="39" t="str">
        <f>A221</f>
        <v>Net Asset registrations</v>
      </c>
      <c r="D238" s="333">
        <f>D53</f>
        <v>1.1648009819483758</v>
      </c>
      <c r="E238" s="390">
        <f>E232</f>
        <v>1.0624691965536752</v>
      </c>
      <c r="F238" s="390">
        <f t="shared" ref="F238:J238" si="116">F232</f>
        <v>0</v>
      </c>
      <c r="G238" s="390">
        <f t="shared" si="116"/>
        <v>0</v>
      </c>
      <c r="H238" s="390">
        <f t="shared" si="116"/>
        <v>0</v>
      </c>
      <c r="I238" s="390">
        <f t="shared" si="116"/>
        <v>0</v>
      </c>
      <c r="J238" s="390">
        <f t="shared" si="116"/>
        <v>0</v>
      </c>
      <c r="M238" s="26" t="s">
        <v>378</v>
      </c>
    </row>
    <row r="239" spans="1:13" s="39" customFormat="1" ht="13.15" x14ac:dyDescent="0.4">
      <c r="A239" s="39" t="str">
        <f>A222</f>
        <v>Price movement</v>
      </c>
      <c r="D239" s="333">
        <f>D54</f>
        <v>9.9533243255615231E-2</v>
      </c>
      <c r="E239" s="333">
        <f>E237*E229</f>
        <v>7.8464965704277814E-2</v>
      </c>
      <c r="F239" s="333">
        <f>F237*F229</f>
        <v>9.2281061513751289E-2</v>
      </c>
      <c r="G239" s="333">
        <f t="shared" ref="G239:J239" si="117">G237*G229</f>
        <v>0.12125203882507218</v>
      </c>
      <c r="H239" s="333">
        <f t="shared" si="117"/>
        <v>0.17883923843555391</v>
      </c>
      <c r="I239" s="333">
        <f t="shared" si="117"/>
        <v>0.19755163581330959</v>
      </c>
      <c r="J239" s="333">
        <f t="shared" si="117"/>
        <v>0.19369514131058044</v>
      </c>
    </row>
    <row r="240" spans="1:13" s="39" customFormat="1" ht="13.15" x14ac:dyDescent="0.4">
      <c r="A240" s="39" t="str">
        <f>A223</f>
        <v>OCM depreciation</v>
      </c>
      <c r="D240" s="333">
        <f>D55</f>
        <v>-1.373799140548706</v>
      </c>
      <c r="E240" s="390">
        <f>E55*(1+E229)-0.5*(E238+E233)/E228</f>
        <v>-1.471968959979528</v>
      </c>
      <c r="F240" s="333">
        <f>F55*(1+E229)*(1+F229)-E238*(1+F229)/F228</f>
        <v>-0.19988190711139897</v>
      </c>
      <c r="G240" s="333">
        <f>F240*(1+G229)</f>
        <v>-0.20352795388221676</v>
      </c>
      <c r="H240" s="333">
        <f>G240*(1+H229)</f>
        <v>-0.20907236719316993</v>
      </c>
      <c r="I240" s="333">
        <f>H240*(1+I229)</f>
        <v>-0.21539285551944481</v>
      </c>
      <c r="J240" s="333">
        <f>I240*(1+J229)</f>
        <v>-0.22179478269290745</v>
      </c>
    </row>
    <row r="241" spans="1:13" s="39" customFormat="1" ht="13.15" x14ac:dyDescent="0.4">
      <c r="A241" s="39" t="str">
        <f>A224</f>
        <v>Closing NRC</v>
      </c>
      <c r="D241" s="333">
        <f>D56</f>
        <v>7.0858594133162507</v>
      </c>
      <c r="E241" s="333">
        <f>SUM(E237:E240)</f>
        <v>6.7548246155946758</v>
      </c>
      <c r="F241" s="333">
        <f>SUM(F237:F240)</f>
        <v>6.6472237699970282</v>
      </c>
      <c r="G241" s="333">
        <f t="shared" ref="G241:J241" si="118">SUM(G237:G240)</f>
        <v>6.5649478549398834</v>
      </c>
      <c r="H241" s="333">
        <f t="shared" si="118"/>
        <v>6.5347147261822673</v>
      </c>
      <c r="I241" s="333">
        <f t="shared" si="118"/>
        <v>6.5168735064761316</v>
      </c>
      <c r="J241" s="333">
        <f t="shared" si="118"/>
        <v>6.4887738650938038</v>
      </c>
    </row>
    <row r="242" spans="1:13" s="39" customFormat="1" ht="13.15" x14ac:dyDescent="0.4">
      <c r="B242" s="97"/>
      <c r="D242" s="96" t="b">
        <f>D241=SUM(D237:D240)</f>
        <v>1</v>
      </c>
      <c r="E242" s="96"/>
      <c r="F242" s="96"/>
      <c r="G242" s="96"/>
      <c r="H242" s="96"/>
      <c r="I242" s="96"/>
      <c r="J242" s="96"/>
    </row>
    <row r="243" spans="1:13" s="39" customFormat="1" x14ac:dyDescent="0.45">
      <c r="A243" s="39" t="s">
        <v>63</v>
      </c>
      <c r="B243" s="123" t="str">
        <f>_xlfn.CONCAT(A227," Assets post 2021/22")</f>
        <v>NWR Assets post 2021/22</v>
      </c>
      <c r="C243" s="391"/>
      <c r="D243" s="224">
        <v>0</v>
      </c>
      <c r="E243" s="333">
        <f>D247</f>
        <v>0</v>
      </c>
      <c r="F243" s="333">
        <f t="shared" ref="F243:J243" si="119">E247</f>
        <v>0</v>
      </c>
      <c r="G243" s="333">
        <f>F247</f>
        <v>1.0618655353644668</v>
      </c>
      <c r="H243" s="333">
        <f t="shared" si="119"/>
        <v>2.1657147785249777</v>
      </c>
      <c r="I243" s="333">
        <f t="shared" si="119"/>
        <v>3.1243370920594784</v>
      </c>
      <c r="J243" s="333">
        <f t="shared" si="119"/>
        <v>3.9895938074057629</v>
      </c>
    </row>
    <row r="244" spans="1:13" s="39" customFormat="1" ht="13.15" x14ac:dyDescent="0.4">
      <c r="A244" s="39" t="s">
        <v>104</v>
      </c>
      <c r="D244" s="224">
        <v>0</v>
      </c>
      <c r="E244" s="224">
        <v>0</v>
      </c>
      <c r="F244" s="333">
        <f>F94</f>
        <v>1.0618655353644668</v>
      </c>
      <c r="G244" s="333">
        <f>G94</f>
        <v>1.0844797491317162</v>
      </c>
      <c r="H244" s="333">
        <f>H94</f>
        <v>0.89962492464151977</v>
      </c>
      <c r="I244" s="333">
        <f>I94</f>
        <v>0.77080455802477521</v>
      </c>
      <c r="J244" s="333">
        <f>J94</f>
        <v>0.97699832580938684</v>
      </c>
    </row>
    <row r="245" spans="1:13" s="39" customFormat="1" ht="13.15" x14ac:dyDescent="0.4">
      <c r="A245" s="39" t="s">
        <v>61</v>
      </c>
      <c r="D245" s="333">
        <f>D243*D$229</f>
        <v>0</v>
      </c>
      <c r="E245" s="333">
        <f t="shared" ref="E245:J245" si="120">E243*E$229</f>
        <v>0</v>
      </c>
      <c r="F245" s="333">
        <f>F243*F$229</f>
        <v>0</v>
      </c>
      <c r="G245" s="333">
        <f>G243*G$229</f>
        <v>1.9369494028794513E-2</v>
      </c>
      <c r="H245" s="333">
        <f t="shared" si="120"/>
        <v>5.8997388892981242E-2</v>
      </c>
      <c r="I245" s="333">
        <f t="shared" si="120"/>
        <v>9.4452157321508953E-2</v>
      </c>
      <c r="J245" s="333">
        <f t="shared" si="120"/>
        <v>0.11857909095969749</v>
      </c>
    </row>
    <row r="246" spans="1:13" s="39" customFormat="1" ht="13.15" x14ac:dyDescent="0.4">
      <c r="A246" s="39" t="str">
        <f>A234</f>
        <v>Write outs and Other adjs</v>
      </c>
      <c r="D246" s="390"/>
      <c r="E246" s="390"/>
      <c r="F246" s="390"/>
      <c r="G246" s="390"/>
      <c r="H246" s="390"/>
      <c r="I246" s="390"/>
      <c r="J246" s="390"/>
      <c r="M246" s="26" t="s">
        <v>278</v>
      </c>
    </row>
    <row r="247" spans="1:13" s="39" customFormat="1" ht="13.15" x14ac:dyDescent="0.4">
      <c r="A247" s="39" t="s">
        <v>65</v>
      </c>
      <c r="D247" s="333">
        <f>SUM(D243:D245)</f>
        <v>0</v>
      </c>
      <c r="E247" s="333">
        <f t="shared" ref="E247" si="121">SUM(E243:E245)</f>
        <v>0</v>
      </c>
      <c r="F247" s="333">
        <f>SUM(F243:F245)</f>
        <v>1.0618655353644668</v>
      </c>
      <c r="G247" s="333">
        <f t="shared" ref="G247:J247" si="122">SUM(G243:G245)</f>
        <v>2.1657147785249777</v>
      </c>
      <c r="H247" s="333">
        <f t="shared" si="122"/>
        <v>3.1243370920594784</v>
      </c>
      <c r="I247" s="333">
        <f t="shared" si="122"/>
        <v>3.9895938074057629</v>
      </c>
      <c r="J247" s="333">
        <f t="shared" si="122"/>
        <v>5.0851712241748466</v>
      </c>
    </row>
    <row r="248" spans="1:13" s="39" customFormat="1" ht="13.15" x14ac:dyDescent="0.4">
      <c r="D248" s="161"/>
      <c r="E248" s="161"/>
      <c r="F248" s="161"/>
      <c r="G248" s="161"/>
      <c r="H248" s="161"/>
      <c r="I248" s="161"/>
      <c r="J248" s="161"/>
    </row>
    <row r="249" spans="1:13" s="39" customFormat="1" ht="13.15" x14ac:dyDescent="0.4">
      <c r="A249" s="39" t="str">
        <f>A237</f>
        <v>Opening NRC</v>
      </c>
      <c r="D249" s="333">
        <f>D243</f>
        <v>0</v>
      </c>
      <c r="E249" s="333">
        <f>D253</f>
        <v>0</v>
      </c>
      <c r="F249" s="333">
        <f>E253</f>
        <v>0</v>
      </c>
      <c r="G249" s="333">
        <f t="shared" ref="G249" si="123">F253</f>
        <v>1.0485922161724111</v>
      </c>
      <c r="H249" s="333">
        <f t="shared" ref="H249" si="124">G253</f>
        <v>2.1118545867339442</v>
      </c>
      <c r="I249" s="333">
        <f t="shared" ref="I249" si="125">H253</f>
        <v>3.002884017736724</v>
      </c>
      <c r="J249" s="333">
        <f t="shared" ref="J249" si="126">I253</f>
        <v>3.7755449364057823</v>
      </c>
    </row>
    <row r="250" spans="1:13" s="39" customFormat="1" ht="13.15" x14ac:dyDescent="0.4">
      <c r="A250" s="39" t="str">
        <f>A238</f>
        <v>Net Asset registrations</v>
      </c>
      <c r="D250" s="333">
        <f>D244</f>
        <v>0</v>
      </c>
      <c r="E250" s="333">
        <f>E244</f>
        <v>0</v>
      </c>
      <c r="F250" s="333">
        <f>F244</f>
        <v>1.0618655353644668</v>
      </c>
      <c r="G250" s="333">
        <f t="shared" ref="G250:J250" si="127">G244</f>
        <v>1.0844797491317162</v>
      </c>
      <c r="H250" s="333">
        <f t="shared" si="127"/>
        <v>0.89962492464151977</v>
      </c>
      <c r="I250" s="333">
        <f t="shared" si="127"/>
        <v>0.77080455802477521</v>
      </c>
      <c r="J250" s="333">
        <f t="shared" si="127"/>
        <v>0.97699832580938684</v>
      </c>
    </row>
    <row r="251" spans="1:13" s="39" customFormat="1" ht="13.15" x14ac:dyDescent="0.4">
      <c r="A251" s="39" t="str">
        <f>A239</f>
        <v>Price movement</v>
      </c>
      <c r="D251" s="333">
        <f>D249*D$76</f>
        <v>0</v>
      </c>
      <c r="E251" s="333">
        <f t="shared" ref="E251:J251" si="128">E249*E$76</f>
        <v>0</v>
      </c>
      <c r="F251" s="333">
        <f t="shared" si="128"/>
        <v>0</v>
      </c>
      <c r="G251" s="333">
        <f t="shared" si="128"/>
        <v>1.9127375353434582E-2</v>
      </c>
      <c r="H251" s="333">
        <f t="shared" si="128"/>
        <v>5.7530154743565515E-2</v>
      </c>
      <c r="I251" s="333">
        <f t="shared" si="128"/>
        <v>9.0780496887598469E-2</v>
      </c>
      <c r="J251" s="333">
        <f t="shared" si="128"/>
        <v>0.11221710982341941</v>
      </c>
    </row>
    <row r="252" spans="1:13" s="39" customFormat="1" ht="13.15" x14ac:dyDescent="0.4">
      <c r="A252" s="39" t="str">
        <f>A240</f>
        <v>OCM depreciation</v>
      </c>
      <c r="D252" s="390">
        <f t="shared" ref="D252:J252" si="129">-AVERAGE(D243,D247)/D228</f>
        <v>0</v>
      </c>
      <c r="E252" s="390">
        <f t="shared" si="129"/>
        <v>0</v>
      </c>
      <c r="F252" s="390">
        <f>-AVERAGE(F243,F247)/F228</f>
        <v>-1.3273319192055835E-2</v>
      </c>
      <c r="G252" s="390">
        <f t="shared" si="129"/>
        <v>-4.0344753923618061E-2</v>
      </c>
      <c r="H252" s="390">
        <f t="shared" si="129"/>
        <v>-6.6125648382305696E-2</v>
      </c>
      <c r="I252" s="390">
        <f t="shared" si="129"/>
        <v>-8.8924136243315521E-2</v>
      </c>
      <c r="J252" s="390">
        <f t="shared" si="129"/>
        <v>-0.11343456289475762</v>
      </c>
      <c r="K252" s="199"/>
    </row>
    <row r="253" spans="1:13" s="39" customFormat="1" ht="13.15" x14ac:dyDescent="0.4">
      <c r="A253" s="39" t="str">
        <f>A241</f>
        <v>Closing NRC</v>
      </c>
      <c r="D253" s="333">
        <f t="shared" ref="D253:J253" si="130">SUM(D249:D252)</f>
        <v>0</v>
      </c>
      <c r="E253" s="333">
        <f t="shared" si="130"/>
        <v>0</v>
      </c>
      <c r="F253" s="333">
        <f>SUM(F249:F252)</f>
        <v>1.0485922161724111</v>
      </c>
      <c r="G253" s="333">
        <f t="shared" si="130"/>
        <v>2.1118545867339442</v>
      </c>
      <c r="H253" s="333">
        <f t="shared" si="130"/>
        <v>3.002884017736724</v>
      </c>
      <c r="I253" s="333">
        <f t="shared" si="130"/>
        <v>3.7755449364057823</v>
      </c>
      <c r="J253" s="333">
        <f t="shared" si="130"/>
        <v>4.7513258091438306</v>
      </c>
    </row>
    <row r="254" spans="1:13" s="39" customFormat="1" ht="13.15" x14ac:dyDescent="0.4">
      <c r="B254" s="97"/>
      <c r="D254" s="96"/>
      <c r="E254" s="96"/>
      <c r="F254" s="96"/>
      <c r="G254" s="96"/>
      <c r="H254" s="96"/>
      <c r="I254" s="96"/>
      <c r="J254" s="96"/>
    </row>
    <row r="255" spans="1:13" s="39" customFormat="1" x14ac:dyDescent="0.45">
      <c r="A255" s="39" t="str">
        <f>A231</f>
        <v>Opening GRC</v>
      </c>
      <c r="B255" s="123" t="str">
        <f>CONCATENATE("All ", A227," assets")</f>
        <v>All NWR assets</v>
      </c>
      <c r="C255" s="391"/>
      <c r="D255" s="333">
        <f>D231+D243</f>
        <v>21.631506279451845</v>
      </c>
      <c r="E255" s="333">
        <f t="shared" ref="D255:J259" si="131">E231+E243</f>
        <v>20.921571422944069</v>
      </c>
      <c r="F255" s="333">
        <f t="shared" si="131"/>
        <v>19.629240046027697</v>
      </c>
      <c r="G255" s="333">
        <f t="shared" si="131"/>
        <v>20.959270517010733</v>
      </c>
      <c r="H255" s="333">
        <f t="shared" si="131"/>
        <v>22.426068414351096</v>
      </c>
      <c r="I255" s="333">
        <f t="shared" si="131"/>
        <v>23.936613804005646</v>
      </c>
      <c r="J255" s="333">
        <f t="shared" si="131"/>
        <v>25.431048606188824</v>
      </c>
    </row>
    <row r="256" spans="1:13" s="39" customFormat="1" ht="13.15" x14ac:dyDescent="0.4">
      <c r="A256" s="39" t="str">
        <f>A232</f>
        <v>New Assets</v>
      </c>
      <c r="D256" s="333">
        <f t="shared" si="131"/>
        <v>1.0194711413240434</v>
      </c>
      <c r="E256" s="333">
        <f t="shared" si="131"/>
        <v>1.0624691965536752</v>
      </c>
      <c r="F256" s="333">
        <f t="shared" si="131"/>
        <v>1.0618655353644668</v>
      </c>
      <c r="G256" s="333">
        <f t="shared" si="131"/>
        <v>1.0844797491317162</v>
      </c>
      <c r="H256" s="333">
        <f t="shared" si="131"/>
        <v>0.89962492464151977</v>
      </c>
      <c r="I256" s="333">
        <f t="shared" si="131"/>
        <v>0.77080455802477521</v>
      </c>
      <c r="J256" s="333">
        <f t="shared" si="131"/>
        <v>0.97699832580938684</v>
      </c>
    </row>
    <row r="257" spans="1:13" s="39" customFormat="1" ht="13.15" x14ac:dyDescent="0.4">
      <c r="A257" s="39" t="str">
        <f>A233</f>
        <v>Price movement</v>
      </c>
      <c r="D257" s="333">
        <f t="shared" si="131"/>
        <v>0.45818228513479231</v>
      </c>
      <c r="E257" s="333">
        <f t="shared" si="131"/>
        <v>0.23167413977983733</v>
      </c>
      <c r="F257" s="333">
        <f t="shared" si="131"/>
        <v>0.26816493561856908</v>
      </c>
      <c r="G257" s="333">
        <f t="shared" si="131"/>
        <v>0.38231814820864862</v>
      </c>
      <c r="H257" s="333">
        <f t="shared" si="131"/>
        <v>0.61092046501303188</v>
      </c>
      <c r="I257" s="333">
        <f t="shared" si="131"/>
        <v>0.72363024415839949</v>
      </c>
      <c r="J257" s="333">
        <f t="shared" si="131"/>
        <v>0.75586407324876093</v>
      </c>
    </row>
    <row r="258" spans="1:13" s="39" customFormat="1" ht="13.15" x14ac:dyDescent="0.4">
      <c r="A258" s="39" t="str">
        <f>A234</f>
        <v>Write outs and Other adjs</v>
      </c>
      <c r="D258" s="333">
        <f t="shared" si="131"/>
        <v>-2.1875882829666136</v>
      </c>
      <c r="E258" s="333">
        <f t="shared" si="131"/>
        <v>-2.5864747132498831</v>
      </c>
      <c r="F258" s="333">
        <f t="shared" si="131"/>
        <v>0</v>
      </c>
      <c r="G258" s="333">
        <f t="shared" si="131"/>
        <v>0</v>
      </c>
      <c r="H258" s="333">
        <f t="shared" si="131"/>
        <v>0</v>
      </c>
      <c r="I258" s="333">
        <f t="shared" si="131"/>
        <v>0</v>
      </c>
      <c r="J258" s="333">
        <f t="shared" si="131"/>
        <v>0</v>
      </c>
    </row>
    <row r="259" spans="1:13" s="39" customFormat="1" ht="13.15" x14ac:dyDescent="0.4">
      <c r="A259" s="39" t="str">
        <f>A235</f>
        <v>Closing GRC</v>
      </c>
      <c r="D259" s="333">
        <f t="shared" si="131"/>
        <v>20.921571422944069</v>
      </c>
      <c r="E259" s="333">
        <f t="shared" si="131"/>
        <v>19.629240046027697</v>
      </c>
      <c r="F259" s="333">
        <f t="shared" si="131"/>
        <v>20.959270517010733</v>
      </c>
      <c r="G259" s="333">
        <f t="shared" si="131"/>
        <v>22.426068414351096</v>
      </c>
      <c r="H259" s="333">
        <f t="shared" si="131"/>
        <v>23.936613804005646</v>
      </c>
      <c r="I259" s="333">
        <f t="shared" si="131"/>
        <v>25.431048606188824</v>
      </c>
      <c r="J259" s="333">
        <f t="shared" si="131"/>
        <v>27.16391100524697</v>
      </c>
    </row>
    <row r="260" spans="1:13" s="39" customFormat="1" ht="13.15" x14ac:dyDescent="0.4">
      <c r="A260" s="70" t="s">
        <v>48</v>
      </c>
      <c r="D260" s="397" t="b">
        <f>IF(ABS(D259-SUM(D255:D258))&lt;0.0000001,TRUE,FALSE)</f>
        <v>1</v>
      </c>
      <c r="E260" s="397" t="b">
        <f t="shared" ref="E260:J260" si="132">IF(ABS(E259-SUM(E255:E258))&lt;0.0000001,TRUE,FALSE)</f>
        <v>1</v>
      </c>
      <c r="F260" s="397" t="b">
        <f t="shared" si="132"/>
        <v>1</v>
      </c>
      <c r="G260" s="397" t="b">
        <f t="shared" si="132"/>
        <v>1</v>
      </c>
      <c r="H260" s="397" t="b">
        <f t="shared" si="132"/>
        <v>1</v>
      </c>
      <c r="I260" s="397" t="b">
        <f t="shared" si="132"/>
        <v>1</v>
      </c>
      <c r="J260" s="397" t="b">
        <f t="shared" si="132"/>
        <v>1</v>
      </c>
    </row>
    <row r="261" spans="1:13" s="39" customFormat="1" ht="13.15" x14ac:dyDescent="0.4">
      <c r="D261" s="333"/>
      <c r="E261" s="333"/>
      <c r="F261" s="333"/>
      <c r="G261" s="333"/>
      <c r="H261" s="333"/>
      <c r="I261" s="333"/>
      <c r="J261" s="333"/>
    </row>
    <row r="262" spans="1:13" s="39" customFormat="1" ht="13.15" x14ac:dyDescent="0.4">
      <c r="A262" s="39" t="str">
        <f>A249</f>
        <v>Opening NRC</v>
      </c>
      <c r="D262" s="333">
        <f>D237+D249</f>
        <v>7.1953243286609654</v>
      </c>
      <c r="E262" s="333">
        <f t="shared" ref="D262:J266" si="133">E237+E249</f>
        <v>7.0858594133162507</v>
      </c>
      <c r="F262" s="333">
        <f t="shared" si="133"/>
        <v>6.7548246155946758</v>
      </c>
      <c r="G262" s="333">
        <f t="shared" si="133"/>
        <v>7.6958159861694391</v>
      </c>
      <c r="H262" s="333">
        <f t="shared" si="133"/>
        <v>8.6768024416738285</v>
      </c>
      <c r="I262" s="333">
        <f t="shared" si="133"/>
        <v>9.5375987439189913</v>
      </c>
      <c r="J262" s="333">
        <f t="shared" si="133"/>
        <v>10.292418442881914</v>
      </c>
    </row>
    <row r="263" spans="1:13" s="39" customFormat="1" ht="13.15" x14ac:dyDescent="0.4">
      <c r="A263" s="39" t="str">
        <f>A250</f>
        <v>Net Asset registrations</v>
      </c>
      <c r="D263" s="333">
        <f t="shared" si="133"/>
        <v>1.1648009819483758</v>
      </c>
      <c r="E263" s="333">
        <f t="shared" si="133"/>
        <v>1.0624691965536752</v>
      </c>
      <c r="F263" s="333">
        <f t="shared" si="133"/>
        <v>1.0618655353644668</v>
      </c>
      <c r="G263" s="333">
        <f t="shared" si="133"/>
        <v>1.0844797491317162</v>
      </c>
      <c r="H263" s="333">
        <f t="shared" si="133"/>
        <v>0.89962492464151977</v>
      </c>
      <c r="I263" s="333">
        <f t="shared" si="133"/>
        <v>0.77080455802477521</v>
      </c>
      <c r="J263" s="333">
        <f t="shared" si="133"/>
        <v>0.97699832580938684</v>
      </c>
    </row>
    <row r="264" spans="1:13" s="39" customFormat="1" ht="13.15" x14ac:dyDescent="0.4">
      <c r="A264" s="39" t="str">
        <f>A251</f>
        <v>Price movement</v>
      </c>
      <c r="D264" s="333">
        <f t="shared" si="133"/>
        <v>9.9533243255615231E-2</v>
      </c>
      <c r="E264" s="333">
        <f t="shared" si="133"/>
        <v>7.8464965704277814E-2</v>
      </c>
      <c r="F264" s="333">
        <f t="shared" si="133"/>
        <v>9.2281061513751289E-2</v>
      </c>
      <c r="G264" s="333">
        <f t="shared" si="133"/>
        <v>0.14037941417850677</v>
      </c>
      <c r="H264" s="333">
        <f t="shared" si="133"/>
        <v>0.23636939317911942</v>
      </c>
      <c r="I264" s="333">
        <f t="shared" si="133"/>
        <v>0.28833213270090807</v>
      </c>
      <c r="J264" s="333">
        <f t="shared" si="133"/>
        <v>0.30591225113399984</v>
      </c>
    </row>
    <row r="265" spans="1:13" s="39" customFormat="1" ht="13.15" x14ac:dyDescent="0.4">
      <c r="A265" s="39" t="str">
        <f>A252</f>
        <v>OCM depreciation</v>
      </c>
      <c r="D265" s="333">
        <f t="shared" si="133"/>
        <v>-1.373799140548706</v>
      </c>
      <c r="E265" s="333">
        <f t="shared" si="133"/>
        <v>-1.471968959979528</v>
      </c>
      <c r="F265" s="333">
        <f t="shared" si="133"/>
        <v>-0.21315522630345479</v>
      </c>
      <c r="G265" s="333">
        <f t="shared" si="133"/>
        <v>-0.24387270780583481</v>
      </c>
      <c r="H265" s="333">
        <f t="shared" si="133"/>
        <v>-0.27519801557547563</v>
      </c>
      <c r="I265" s="333">
        <f t="shared" si="133"/>
        <v>-0.30431699176276034</v>
      </c>
      <c r="J265" s="333">
        <f t="shared" si="133"/>
        <v>-0.33522934558766504</v>
      </c>
    </row>
    <row r="266" spans="1:13" s="39" customFormat="1" ht="13.15" x14ac:dyDescent="0.4">
      <c r="A266" s="39" t="str">
        <f>A253</f>
        <v>Closing NRC</v>
      </c>
      <c r="D266" s="333">
        <f>D241+D253</f>
        <v>7.0858594133162507</v>
      </c>
      <c r="E266" s="333">
        <f t="shared" si="133"/>
        <v>6.7548246155946758</v>
      </c>
      <c r="F266" s="333">
        <f t="shared" si="133"/>
        <v>7.6958159861694391</v>
      </c>
      <c r="G266" s="333">
        <f t="shared" si="133"/>
        <v>8.6768024416738285</v>
      </c>
      <c r="H266" s="333">
        <f t="shared" si="133"/>
        <v>9.5375987439189913</v>
      </c>
      <c r="I266" s="333">
        <f t="shared" si="133"/>
        <v>10.292418442881914</v>
      </c>
      <c r="J266" s="333">
        <f t="shared" si="133"/>
        <v>11.240099674237634</v>
      </c>
    </row>
    <row r="267" spans="1:13" s="39" customFormat="1" ht="13.15" x14ac:dyDescent="0.4">
      <c r="A267" s="70" t="s">
        <v>48</v>
      </c>
      <c r="D267" s="82" t="b">
        <f>IF(ABS(D266-SUM(D262:D265))&lt;0.000001,TRUE,FALSE)</f>
        <v>1</v>
      </c>
      <c r="E267" s="82" t="b">
        <f t="shared" ref="E267:J267" si="134">IF(ABS(E266-SUM(E262:E265))&lt;0.000001,TRUE,FALSE)</f>
        <v>1</v>
      </c>
      <c r="F267" s="82" t="b">
        <f t="shared" si="134"/>
        <v>1</v>
      </c>
      <c r="G267" s="82" t="b">
        <f t="shared" si="134"/>
        <v>1</v>
      </c>
      <c r="H267" s="82" t="b">
        <f t="shared" si="134"/>
        <v>1</v>
      </c>
      <c r="I267" s="82" t="b">
        <f t="shared" si="134"/>
        <v>1</v>
      </c>
      <c r="J267" s="82" t="b">
        <f t="shared" si="134"/>
        <v>1</v>
      </c>
    </row>
    <row r="268" spans="1:13" s="39" customFormat="1" ht="10.15" customHeight="1" thickBot="1" x14ac:dyDescent="0.45">
      <c r="A268" s="23"/>
      <c r="B268" s="125"/>
      <c r="C268" s="125"/>
      <c r="D268" s="125"/>
      <c r="E268" s="125"/>
      <c r="F268" s="125"/>
      <c r="G268" s="125"/>
      <c r="H268" s="125"/>
      <c r="I268" s="125"/>
      <c r="J268" s="125"/>
      <c r="K268" s="125"/>
      <c r="L268" s="125"/>
      <c r="M268" s="125"/>
    </row>
    <row r="269" spans="1:13" s="39" customFormat="1" ht="10.15" customHeight="1" x14ac:dyDescent="0.4"/>
    <row r="270" spans="1:13" s="311" customFormat="1" x14ac:dyDescent="0.45">
      <c r="A270" s="392" t="s">
        <v>320</v>
      </c>
      <c r="B270" s="394"/>
      <c r="C270" s="394"/>
      <c r="D270" s="98" t="str">
        <f>D227</f>
        <v>2019/20</v>
      </c>
      <c r="E270" s="98" t="str">
        <f t="shared" ref="E270:J270" si="135">E227</f>
        <v>2020/21</v>
      </c>
      <c r="F270" s="98" t="str">
        <f t="shared" si="135"/>
        <v>2021/22</v>
      </c>
      <c r="G270" s="98" t="str">
        <f t="shared" si="135"/>
        <v>2022/23</v>
      </c>
      <c r="H270" s="98" t="str">
        <f t="shared" si="135"/>
        <v>2023/24</v>
      </c>
      <c r="I270" s="98" t="str">
        <f t="shared" si="135"/>
        <v>2024/25</v>
      </c>
      <c r="J270" s="98" t="str">
        <f t="shared" si="135"/>
        <v>2025/26</v>
      </c>
    </row>
    <row r="271" spans="1:13" s="312" customFormat="1" ht="10.15" customHeight="1" x14ac:dyDescent="0.4"/>
    <row r="272" spans="1:13" s="39" customFormat="1" x14ac:dyDescent="0.45">
      <c r="A272" s="39" t="str">
        <f t="shared" ref="A272:A277" si="136">A255</f>
        <v>Opening GRC</v>
      </c>
      <c r="B272" s="123" t="str">
        <f>_xlfn.CONCAT(A270," Assets pre 2021/22")</f>
        <v>All COWs Assets pre 2021/22</v>
      </c>
      <c r="C272" s="391"/>
      <c r="D272" s="333">
        <f>SUM(D105,D147,D189,D231)</f>
        <v>422.46111878175975</v>
      </c>
      <c r="E272" s="333">
        <f t="shared" ref="D272:J276" si="137">SUM(E105,E147,E189,E231)</f>
        <v>425.85699902535913</v>
      </c>
      <c r="F272" s="333">
        <f t="shared" si="137"/>
        <v>435.73818344897256</v>
      </c>
      <c r="G272" s="333">
        <f t="shared" si="137"/>
        <v>441.69102225664676</v>
      </c>
      <c r="H272" s="333">
        <f t="shared" si="137"/>
        <v>449.74791018948258</v>
      </c>
      <c r="I272" s="333">
        <f t="shared" si="137"/>
        <v>461.9997323704838</v>
      </c>
      <c r="J272" s="333">
        <f t="shared" si="137"/>
        <v>475.96649399657576</v>
      </c>
    </row>
    <row r="273" spans="1:10" s="39" customFormat="1" ht="13.15" x14ac:dyDescent="0.4">
      <c r="A273" s="39" t="str">
        <f t="shared" si="136"/>
        <v>New Assets</v>
      </c>
      <c r="D273" s="333">
        <f t="shared" si="137"/>
        <v>28.355142090971469</v>
      </c>
      <c r="E273" s="333">
        <f t="shared" si="137"/>
        <v>51.82810322695029</v>
      </c>
      <c r="F273" s="333">
        <f t="shared" si="137"/>
        <v>0</v>
      </c>
      <c r="G273" s="333">
        <f t="shared" si="137"/>
        <v>0</v>
      </c>
      <c r="H273" s="333">
        <f t="shared" si="137"/>
        <v>0</v>
      </c>
      <c r="I273" s="333">
        <f t="shared" si="137"/>
        <v>0</v>
      </c>
      <c r="J273" s="333">
        <f t="shared" si="137"/>
        <v>0</v>
      </c>
    </row>
    <row r="274" spans="1:10" s="39" customFormat="1" ht="13.15" x14ac:dyDescent="0.4">
      <c r="A274" s="39" t="str">
        <f t="shared" si="136"/>
        <v>Price movement</v>
      </c>
      <c r="D274" s="333">
        <f t="shared" si="137"/>
        <v>10.781507584388256</v>
      </c>
      <c r="E274" s="333">
        <f t="shared" si="137"/>
        <v>4.389611661285187</v>
      </c>
      <c r="F274" s="333">
        <f t="shared" si="137"/>
        <v>5.9528388076741896</v>
      </c>
      <c r="G274" s="333">
        <f t="shared" si="137"/>
        <v>8.0568879328358598</v>
      </c>
      <c r="H274" s="333">
        <f t="shared" si="137"/>
        <v>12.251822181001238</v>
      </c>
      <c r="I274" s="333">
        <f t="shared" si="137"/>
        <v>13.966761626091932</v>
      </c>
      <c r="J274" s="333">
        <f t="shared" si="137"/>
        <v>14.146721924578136</v>
      </c>
    </row>
    <row r="275" spans="1:10" s="39" customFormat="1" ht="13.15" x14ac:dyDescent="0.4">
      <c r="A275" s="39" t="str">
        <f t="shared" si="136"/>
        <v>Write outs and Other adjs</v>
      </c>
      <c r="D275" s="333">
        <f t="shared" si="137"/>
        <v>-35.740769431760306</v>
      </c>
      <c r="E275" s="333">
        <f t="shared" si="137"/>
        <v>-46.336530464622065</v>
      </c>
      <c r="F275" s="333">
        <f t="shared" si="137"/>
        <v>0</v>
      </c>
      <c r="G275" s="333">
        <f t="shared" si="137"/>
        <v>0</v>
      </c>
      <c r="H275" s="333">
        <f t="shared" si="137"/>
        <v>0</v>
      </c>
      <c r="I275" s="333">
        <f t="shared" si="137"/>
        <v>0</v>
      </c>
      <c r="J275" s="333">
        <f t="shared" si="137"/>
        <v>0</v>
      </c>
    </row>
    <row r="276" spans="1:10" s="39" customFormat="1" ht="13.15" x14ac:dyDescent="0.4">
      <c r="A276" s="39" t="str">
        <f t="shared" si="136"/>
        <v>Closing GRC</v>
      </c>
      <c r="D276" s="333">
        <f t="shared" si="137"/>
        <v>425.85699902535913</v>
      </c>
      <c r="E276" s="333">
        <f t="shared" si="137"/>
        <v>435.73818344897256</v>
      </c>
      <c r="F276" s="333">
        <f t="shared" si="137"/>
        <v>441.69102225664676</v>
      </c>
      <c r="G276" s="333">
        <f t="shared" si="137"/>
        <v>449.74791018948258</v>
      </c>
      <c r="H276" s="333">
        <f t="shared" si="137"/>
        <v>461.9997323704838</v>
      </c>
      <c r="I276" s="333">
        <f t="shared" si="137"/>
        <v>475.96649399657576</v>
      </c>
      <c r="J276" s="333">
        <f t="shared" si="137"/>
        <v>490.11321592115388</v>
      </c>
    </row>
    <row r="277" spans="1:10" s="39" customFormat="1" ht="13.15" x14ac:dyDescent="0.4">
      <c r="A277" s="70" t="str">
        <f t="shared" si="136"/>
        <v>Check</v>
      </c>
      <c r="D277" s="397" t="b">
        <f>IF(ABS(D276-SUM(D272:D275))&lt;0.00001,TRUE,FALSE)</f>
        <v>1</v>
      </c>
      <c r="E277" s="397" t="b">
        <f t="shared" ref="E277:J277" si="138">IF(ABS(E276-SUM(E272:E275))&lt;0.00001,TRUE,FALSE)</f>
        <v>1</v>
      </c>
      <c r="F277" s="397" t="b">
        <f t="shared" si="138"/>
        <v>1</v>
      </c>
      <c r="G277" s="397" t="b">
        <f t="shared" si="138"/>
        <v>1</v>
      </c>
      <c r="H277" s="397" t="b">
        <f t="shared" si="138"/>
        <v>1</v>
      </c>
      <c r="I277" s="397" t="b">
        <f t="shared" si="138"/>
        <v>1</v>
      </c>
      <c r="J277" s="397" t="b">
        <f t="shared" si="138"/>
        <v>1</v>
      </c>
    </row>
    <row r="278" spans="1:10" s="39" customFormat="1" ht="13.15" x14ac:dyDescent="0.4">
      <c r="D278" s="397"/>
      <c r="E278" s="397"/>
      <c r="F278" s="397"/>
      <c r="G278" s="397"/>
      <c r="H278" s="397"/>
      <c r="I278" s="397"/>
      <c r="J278" s="397"/>
    </row>
    <row r="279" spans="1:10" s="39" customFormat="1" ht="13.15" x14ac:dyDescent="0.4">
      <c r="A279" s="39" t="str">
        <f t="shared" ref="A279:A284" si="139">A262</f>
        <v>Opening NRC</v>
      </c>
      <c r="D279" s="333">
        <f>SUM(D111,D153,D195,D237)</f>
        <v>218.54703796326876</v>
      </c>
      <c r="E279" s="333">
        <f t="shared" ref="D279:J283" si="140">SUM(E111,E153,E195,E237)</f>
        <v>221.58047799341679</v>
      </c>
      <c r="F279" s="333">
        <f t="shared" si="140"/>
        <v>251.40907001748062</v>
      </c>
      <c r="G279" s="333">
        <f t="shared" si="140"/>
        <v>248.92151789831809</v>
      </c>
      <c r="H279" s="333">
        <f t="shared" si="140"/>
        <v>247.43189189360669</v>
      </c>
      <c r="I279" s="333">
        <f t="shared" si="140"/>
        <v>247.97783919734755</v>
      </c>
      <c r="J279" s="333">
        <f t="shared" si="140"/>
        <v>249.09274045711825</v>
      </c>
    </row>
    <row r="280" spans="1:10" s="39" customFormat="1" ht="13.15" x14ac:dyDescent="0.4">
      <c r="A280" s="39" t="str">
        <f t="shared" si="139"/>
        <v>Net Asset registrations</v>
      </c>
      <c r="D280" s="333">
        <f t="shared" si="140"/>
        <v>26.980733663737773</v>
      </c>
      <c r="E280" s="333">
        <f t="shared" si="140"/>
        <v>51.82810322695029</v>
      </c>
      <c r="F280" s="333">
        <f t="shared" si="140"/>
        <v>0</v>
      </c>
      <c r="G280" s="333">
        <f t="shared" si="140"/>
        <v>0</v>
      </c>
      <c r="H280" s="333">
        <f t="shared" si="140"/>
        <v>0</v>
      </c>
      <c r="I280" s="333">
        <f t="shared" si="140"/>
        <v>0</v>
      </c>
      <c r="J280" s="333">
        <f t="shared" si="140"/>
        <v>0</v>
      </c>
    </row>
    <row r="281" spans="1:10" s="39" customFormat="1" ht="13.15" x14ac:dyDescent="0.4">
      <c r="A281" s="39" t="str">
        <f t="shared" si="139"/>
        <v>Price movement</v>
      </c>
      <c r="D281" s="333">
        <f t="shared" si="140"/>
        <v>3.8084308474063877</v>
      </c>
      <c r="E281" s="333">
        <f t="shared" si="140"/>
        <v>2.1526294322648929</v>
      </c>
      <c r="F281" s="333">
        <f t="shared" si="140"/>
        <v>3.4346259415583127</v>
      </c>
      <c r="G281" s="333">
        <f t="shared" si="140"/>
        <v>4.5405785327753847</v>
      </c>
      <c r="H281" s="333">
        <f t="shared" si="140"/>
        <v>6.7404238523576421</v>
      </c>
      <c r="I281" s="333">
        <f t="shared" si="140"/>
        <v>7.4966436687139115</v>
      </c>
      <c r="J281" s="333">
        <f t="shared" si="140"/>
        <v>7.4035583956531958</v>
      </c>
    </row>
    <row r="282" spans="1:10" s="39" customFormat="1" ht="13.15" x14ac:dyDescent="0.4">
      <c r="A282" s="39" t="str">
        <f t="shared" si="139"/>
        <v>OCM depreciation</v>
      </c>
      <c r="D282" s="333">
        <f t="shared" si="140"/>
        <v>-27.755724480996129</v>
      </c>
      <c r="E282" s="333">
        <f t="shared" si="140"/>
        <v>-24.152140635151383</v>
      </c>
      <c r="F282" s="333">
        <f t="shared" si="140"/>
        <v>-5.9221780607208254</v>
      </c>
      <c r="G282" s="333">
        <f t="shared" si="140"/>
        <v>-6.030204537486755</v>
      </c>
      <c r="H282" s="333">
        <f t="shared" si="140"/>
        <v>-6.1944765486167848</v>
      </c>
      <c r="I282" s="333">
        <f t="shared" si="140"/>
        <v>-6.3817424089432331</v>
      </c>
      <c r="J282" s="333">
        <f t="shared" si="140"/>
        <v>-6.5714211707727515</v>
      </c>
    </row>
    <row r="283" spans="1:10" s="39" customFormat="1" ht="13.15" x14ac:dyDescent="0.4">
      <c r="A283" s="39" t="str">
        <f t="shared" si="139"/>
        <v>Closing NRC</v>
      </c>
      <c r="D283" s="333">
        <f t="shared" si="140"/>
        <v>221.58047799341679</v>
      </c>
      <c r="E283" s="333">
        <f t="shared" si="140"/>
        <v>251.40907001748062</v>
      </c>
      <c r="F283" s="333">
        <f t="shared" si="140"/>
        <v>248.92151789831809</v>
      </c>
      <c r="G283" s="333">
        <f t="shared" si="140"/>
        <v>247.43189189360669</v>
      </c>
      <c r="H283" s="333">
        <f t="shared" si="140"/>
        <v>247.97783919734755</v>
      </c>
      <c r="I283" s="333">
        <f t="shared" si="140"/>
        <v>249.09274045711825</v>
      </c>
      <c r="J283" s="333">
        <f t="shared" si="140"/>
        <v>249.92487768199868</v>
      </c>
    </row>
    <row r="284" spans="1:10" s="39" customFormat="1" ht="13.15" x14ac:dyDescent="0.4">
      <c r="A284" s="70" t="str">
        <f t="shared" si="139"/>
        <v>Check</v>
      </c>
      <c r="D284" s="397" t="b">
        <f>IF(ABS(D283-SUM(D279:D282))&lt;0.00001,TRUE,FALSE)</f>
        <v>1</v>
      </c>
      <c r="E284" s="397" t="b">
        <f t="shared" ref="E284:J284" si="141">IF(ABS(E283-SUM(E279:E282))&lt;0.00001,TRUE,FALSE)</f>
        <v>1</v>
      </c>
      <c r="F284" s="397" t="b">
        <f t="shared" si="141"/>
        <v>1</v>
      </c>
      <c r="G284" s="397" t="b">
        <f t="shared" si="141"/>
        <v>1</v>
      </c>
      <c r="H284" s="397" t="b">
        <f t="shared" si="141"/>
        <v>1</v>
      </c>
      <c r="I284" s="397" t="b">
        <f t="shared" si="141"/>
        <v>1</v>
      </c>
      <c r="J284" s="397" t="b">
        <f t="shared" si="141"/>
        <v>1</v>
      </c>
    </row>
    <row r="285" spans="1:10" s="39" customFormat="1" ht="13.15" x14ac:dyDescent="0.4">
      <c r="D285" s="333"/>
      <c r="E285" s="333"/>
      <c r="F285" s="333"/>
      <c r="G285" s="333"/>
      <c r="H285" s="333"/>
      <c r="I285" s="333"/>
      <c r="J285" s="333"/>
    </row>
    <row r="286" spans="1:10" s="39" customFormat="1" x14ac:dyDescent="0.45">
      <c r="A286" s="39" t="str">
        <f>A243</f>
        <v>Opening GRC</v>
      </c>
      <c r="B286" s="123" t="str">
        <f>_xlfn.CONCAT(A270," Assets post 2021/22")</f>
        <v>All COWs Assets post 2021/22</v>
      </c>
      <c r="C286" s="391"/>
      <c r="D286" s="333">
        <f>SUM(D117,D159,D201,D243)</f>
        <v>0</v>
      </c>
      <c r="E286" s="333">
        <f t="shared" ref="D286:J290" si="142">SUM(E117,E159,E201,E243)</f>
        <v>0</v>
      </c>
      <c r="F286" s="333">
        <f t="shared" si="142"/>
        <v>0</v>
      </c>
      <c r="G286" s="333">
        <f t="shared" si="142"/>
        <v>57.301705683377939</v>
      </c>
      <c r="H286" s="333">
        <f t="shared" si="142"/>
        <v>124.44609714985135</v>
      </c>
      <c r="I286" s="333">
        <f t="shared" si="142"/>
        <v>184.6788138565517</v>
      </c>
      <c r="J286" s="333">
        <f t="shared" si="142"/>
        <v>240.84753051806587</v>
      </c>
    </row>
    <row r="287" spans="1:10" s="39" customFormat="1" ht="13.15" x14ac:dyDescent="0.4">
      <c r="A287" s="39" t="str">
        <f>A244</f>
        <v>New Assets</v>
      </c>
      <c r="D287" s="333">
        <f t="shared" si="142"/>
        <v>0</v>
      </c>
      <c r="E287" s="333">
        <f t="shared" si="142"/>
        <v>0</v>
      </c>
      <c r="F287" s="333">
        <f t="shared" si="142"/>
        <v>57.301705683377939</v>
      </c>
      <c r="G287" s="333">
        <f t="shared" si="142"/>
        <v>66.099150794175884</v>
      </c>
      <c r="H287" s="333">
        <f t="shared" si="142"/>
        <v>56.842614343006851</v>
      </c>
      <c r="I287" s="333">
        <f t="shared" si="142"/>
        <v>50.585672365602242</v>
      </c>
      <c r="J287" s="333">
        <f t="shared" si="142"/>
        <v>47.358292346454022</v>
      </c>
    </row>
    <row r="288" spans="1:10" s="39" customFormat="1" ht="13.15" x14ac:dyDescent="0.4">
      <c r="A288" s="39" t="str">
        <f>A245</f>
        <v>Price movement</v>
      </c>
      <c r="D288" s="333">
        <f t="shared" si="142"/>
        <v>0</v>
      </c>
      <c r="E288" s="333">
        <f t="shared" si="142"/>
        <v>0</v>
      </c>
      <c r="F288" s="333">
        <f t="shared" si="142"/>
        <v>0</v>
      </c>
      <c r="G288" s="333">
        <f t="shared" si="142"/>
        <v>1.0452406722975278</v>
      </c>
      <c r="H288" s="333">
        <f t="shared" si="142"/>
        <v>3.390102363693515</v>
      </c>
      <c r="I288" s="333">
        <f t="shared" si="142"/>
        <v>5.5830442959119155</v>
      </c>
      <c r="J288" s="333">
        <f t="shared" si="142"/>
        <v>7.1584934726202301</v>
      </c>
    </row>
    <row r="289" spans="1:10" s="39" customFormat="1" ht="13.15" x14ac:dyDescent="0.4">
      <c r="A289" s="39" t="str">
        <f>A246</f>
        <v>Write outs and Other adjs</v>
      </c>
      <c r="D289" s="333">
        <f t="shared" si="142"/>
        <v>0</v>
      </c>
      <c r="E289" s="333">
        <f t="shared" si="142"/>
        <v>0</v>
      </c>
      <c r="F289" s="333">
        <f t="shared" si="142"/>
        <v>0</v>
      </c>
      <c r="G289" s="333">
        <f t="shared" si="142"/>
        <v>0</v>
      </c>
      <c r="H289" s="333">
        <f t="shared" si="142"/>
        <v>0</v>
      </c>
      <c r="I289" s="333">
        <f t="shared" si="142"/>
        <v>0</v>
      </c>
      <c r="J289" s="333">
        <f t="shared" si="142"/>
        <v>0</v>
      </c>
    </row>
    <row r="290" spans="1:10" s="39" customFormat="1" ht="13.15" x14ac:dyDescent="0.4">
      <c r="A290" s="39" t="str">
        <f>A247</f>
        <v>Closing GRC</v>
      </c>
      <c r="D290" s="333">
        <f t="shared" si="142"/>
        <v>0</v>
      </c>
      <c r="E290" s="333">
        <f t="shared" si="142"/>
        <v>0</v>
      </c>
      <c r="F290" s="333">
        <f t="shared" si="142"/>
        <v>57.301705683377939</v>
      </c>
      <c r="G290" s="333">
        <f t="shared" si="142"/>
        <v>124.44609714985135</v>
      </c>
      <c r="H290" s="333">
        <f t="shared" si="142"/>
        <v>184.6788138565517</v>
      </c>
      <c r="I290" s="333">
        <f t="shared" si="142"/>
        <v>240.84753051806587</v>
      </c>
      <c r="J290" s="333">
        <f t="shared" si="142"/>
        <v>295.36431633714011</v>
      </c>
    </row>
    <row r="291" spans="1:10" s="39" customFormat="1" ht="13.15" x14ac:dyDescent="0.4">
      <c r="A291" s="70" t="str">
        <f>A284</f>
        <v>Check</v>
      </c>
      <c r="D291" s="397" t="b">
        <f>IF(ABS(D290-SUM(D286:D289))&lt;0.00001,TRUE,FALSE)</f>
        <v>1</v>
      </c>
      <c r="E291" s="397" t="b">
        <f t="shared" ref="E291:J291" si="143">IF(ABS(E290-SUM(E286:E289))&lt;0.00001,TRUE,FALSE)</f>
        <v>1</v>
      </c>
      <c r="F291" s="397" t="b">
        <f t="shared" si="143"/>
        <v>1</v>
      </c>
      <c r="G291" s="397" t="b">
        <f t="shared" si="143"/>
        <v>1</v>
      </c>
      <c r="H291" s="397" t="b">
        <f t="shared" si="143"/>
        <v>1</v>
      </c>
      <c r="I291" s="397" t="b">
        <f t="shared" si="143"/>
        <v>1</v>
      </c>
      <c r="J291" s="397" t="b">
        <f t="shared" si="143"/>
        <v>1</v>
      </c>
    </row>
    <row r="292" spans="1:10" s="39" customFormat="1" ht="13.15" x14ac:dyDescent="0.4">
      <c r="D292" s="397"/>
      <c r="E292" s="397"/>
      <c r="F292" s="397"/>
      <c r="G292" s="397"/>
      <c r="H292" s="397"/>
      <c r="I292" s="397"/>
      <c r="J292" s="397"/>
    </row>
    <row r="293" spans="1:10" s="39" customFormat="1" ht="13.15" x14ac:dyDescent="0.4">
      <c r="A293" s="39" t="str">
        <f>A249</f>
        <v>Opening NRC</v>
      </c>
      <c r="D293" s="333">
        <f>SUM(D123,D165,D207,D249)</f>
        <v>0</v>
      </c>
      <c r="E293" s="333">
        <f t="shared" ref="D293:J297" si="144">SUM(E123,E165,E207,E249)</f>
        <v>0</v>
      </c>
      <c r="F293" s="333">
        <f t="shared" si="144"/>
        <v>0</v>
      </c>
      <c r="G293" s="333">
        <f t="shared" si="144"/>
        <v>56.585434362335711</v>
      </c>
      <c r="H293" s="333">
        <f t="shared" si="144"/>
        <v>121.44491278499004</v>
      </c>
      <c r="I293" s="333">
        <f t="shared" si="144"/>
        <v>177.7318112435722</v>
      </c>
      <c r="J293" s="333">
        <f t="shared" si="144"/>
        <v>228.37143304690218</v>
      </c>
    </row>
    <row r="294" spans="1:10" s="39" customFormat="1" ht="13.15" x14ac:dyDescent="0.4">
      <c r="A294" s="39" t="str">
        <f>A250</f>
        <v>Net Asset registrations</v>
      </c>
      <c r="D294" s="333">
        <f t="shared" si="144"/>
        <v>0</v>
      </c>
      <c r="E294" s="333">
        <f t="shared" si="144"/>
        <v>0</v>
      </c>
      <c r="F294" s="333">
        <f t="shared" si="144"/>
        <v>57.301705683377939</v>
      </c>
      <c r="G294" s="333">
        <f t="shared" si="144"/>
        <v>66.099150794175884</v>
      </c>
      <c r="H294" s="333">
        <f t="shared" si="144"/>
        <v>56.842614343006851</v>
      </c>
      <c r="I294" s="333">
        <f t="shared" si="144"/>
        <v>50.585672365602242</v>
      </c>
      <c r="J294" s="333">
        <f t="shared" si="144"/>
        <v>47.358292346454022</v>
      </c>
    </row>
    <row r="295" spans="1:10" s="39" customFormat="1" ht="13.15" x14ac:dyDescent="0.4">
      <c r="A295" s="39" t="str">
        <f>A251</f>
        <v>Price movement</v>
      </c>
      <c r="D295" s="333">
        <f t="shared" si="144"/>
        <v>0</v>
      </c>
      <c r="E295" s="333">
        <f t="shared" si="144"/>
        <v>0</v>
      </c>
      <c r="F295" s="333">
        <f t="shared" si="144"/>
        <v>0</v>
      </c>
      <c r="G295" s="333">
        <f t="shared" si="144"/>
        <v>1.0321751638938086</v>
      </c>
      <c r="H295" s="333">
        <f t="shared" si="144"/>
        <v>3.3083455031553739</v>
      </c>
      <c r="I295" s="333">
        <f t="shared" si="144"/>
        <v>5.373028742410435</v>
      </c>
      <c r="J295" s="333">
        <f t="shared" si="144"/>
        <v>6.7876777033283808</v>
      </c>
    </row>
    <row r="296" spans="1:10" s="39" customFormat="1" ht="13.15" x14ac:dyDescent="0.4">
      <c r="A296" s="39" t="str">
        <f>A252</f>
        <v>OCM depreciation</v>
      </c>
      <c r="D296" s="333">
        <f t="shared" si="144"/>
        <v>0</v>
      </c>
      <c r="E296" s="333">
        <f t="shared" si="144"/>
        <v>0</v>
      </c>
      <c r="F296" s="333">
        <f t="shared" si="144"/>
        <v>-0.71627132104222424</v>
      </c>
      <c r="G296" s="333">
        <f t="shared" si="144"/>
        <v>-2.271847535415366</v>
      </c>
      <c r="H296" s="333">
        <f t="shared" si="144"/>
        <v>-3.8640613875800383</v>
      </c>
      <c r="I296" s="333">
        <f t="shared" si="144"/>
        <v>-5.3190793046827203</v>
      </c>
      <c r="J296" s="333">
        <f t="shared" si="144"/>
        <v>-6.7026480856900745</v>
      </c>
    </row>
    <row r="297" spans="1:10" s="39" customFormat="1" ht="13.15" x14ac:dyDescent="0.4">
      <c r="A297" s="39" t="str">
        <f>A253</f>
        <v>Closing NRC</v>
      </c>
      <c r="D297" s="333">
        <f t="shared" si="144"/>
        <v>0</v>
      </c>
      <c r="E297" s="333">
        <f t="shared" si="144"/>
        <v>0</v>
      </c>
      <c r="F297" s="333">
        <f t="shared" si="144"/>
        <v>56.585434362335711</v>
      </c>
      <c r="G297" s="333">
        <f t="shared" si="144"/>
        <v>121.44491278499004</v>
      </c>
      <c r="H297" s="333">
        <f t="shared" si="144"/>
        <v>177.7318112435722</v>
      </c>
      <c r="I297" s="333">
        <f t="shared" si="144"/>
        <v>228.37143304690218</v>
      </c>
      <c r="J297" s="333">
        <f t="shared" si="144"/>
        <v>275.81475501099453</v>
      </c>
    </row>
    <row r="298" spans="1:10" s="39" customFormat="1" ht="13.15" x14ac:dyDescent="0.4">
      <c r="A298" s="70" t="str">
        <f>A267</f>
        <v>Check</v>
      </c>
      <c r="D298" s="397" t="b">
        <f>IF(ABS(D297-SUM(D293:D296))&lt;0.00001,TRUE,FALSE)</f>
        <v>1</v>
      </c>
      <c r="E298" s="397" t="b">
        <f t="shared" ref="E298:J298" si="145">IF(ABS(E297-SUM(E293:E296))&lt;0.00001,TRUE,FALSE)</f>
        <v>1</v>
      </c>
      <c r="F298" s="397" t="b">
        <f t="shared" si="145"/>
        <v>1</v>
      </c>
      <c r="G298" s="397" t="b">
        <f t="shared" si="145"/>
        <v>1</v>
      </c>
      <c r="H298" s="397" t="b">
        <f t="shared" si="145"/>
        <v>1</v>
      </c>
      <c r="I298" s="397" t="b">
        <f t="shared" si="145"/>
        <v>1</v>
      </c>
      <c r="J298" s="397" t="b">
        <f t="shared" si="145"/>
        <v>1</v>
      </c>
    </row>
    <row r="299" spans="1:10" s="39" customFormat="1" ht="13.15" x14ac:dyDescent="0.4">
      <c r="B299" s="97"/>
      <c r="D299" s="396"/>
      <c r="E299" s="396"/>
      <c r="F299" s="396"/>
      <c r="G299" s="396"/>
      <c r="H299" s="396"/>
      <c r="I299" s="396"/>
      <c r="J299" s="396"/>
    </row>
    <row r="300" spans="1:10" s="39" customFormat="1" x14ac:dyDescent="0.45">
      <c r="A300" s="39" t="str">
        <f t="shared" ref="A300:A305" si="146">A286</f>
        <v>Opening GRC</v>
      </c>
      <c r="B300" s="123" t="str">
        <f>CONCATENATE(A270," - all assets")</f>
        <v>All COWs - all assets</v>
      </c>
      <c r="C300" s="391"/>
      <c r="D300" s="333">
        <f>D272+D286</f>
        <v>422.46111878175975</v>
      </c>
      <c r="E300" s="333">
        <f t="shared" ref="D300:J304" si="147">E272+E286</f>
        <v>425.85699902535913</v>
      </c>
      <c r="F300" s="333">
        <f t="shared" si="147"/>
        <v>435.73818344897256</v>
      </c>
      <c r="G300" s="333">
        <f t="shared" si="147"/>
        <v>498.99272794002468</v>
      </c>
      <c r="H300" s="333">
        <f t="shared" si="147"/>
        <v>574.19400733933389</v>
      </c>
      <c r="I300" s="333">
        <f t="shared" si="147"/>
        <v>646.67854622703544</v>
      </c>
      <c r="J300" s="333">
        <f t="shared" si="147"/>
        <v>716.81402451464169</v>
      </c>
    </row>
    <row r="301" spans="1:10" s="39" customFormat="1" ht="13.15" x14ac:dyDescent="0.4">
      <c r="A301" s="39" t="str">
        <f t="shared" si="146"/>
        <v>New Assets</v>
      </c>
      <c r="B301" s="97"/>
      <c r="D301" s="333">
        <f t="shared" si="147"/>
        <v>28.355142090971469</v>
      </c>
      <c r="E301" s="333">
        <f t="shared" si="147"/>
        <v>51.82810322695029</v>
      </c>
      <c r="F301" s="333">
        <f t="shared" si="147"/>
        <v>57.301705683377939</v>
      </c>
      <c r="G301" s="333">
        <f t="shared" si="147"/>
        <v>66.099150794175884</v>
      </c>
      <c r="H301" s="333">
        <f t="shared" si="147"/>
        <v>56.842614343006851</v>
      </c>
      <c r="I301" s="333">
        <f t="shared" si="147"/>
        <v>50.585672365602242</v>
      </c>
      <c r="J301" s="333">
        <f t="shared" si="147"/>
        <v>47.358292346454022</v>
      </c>
    </row>
    <row r="302" spans="1:10" s="39" customFormat="1" ht="13.15" x14ac:dyDescent="0.4">
      <c r="A302" s="39" t="str">
        <f t="shared" si="146"/>
        <v>Price movement</v>
      </c>
      <c r="B302" s="97"/>
      <c r="D302" s="333">
        <f t="shared" si="147"/>
        <v>10.781507584388256</v>
      </c>
      <c r="E302" s="333">
        <f t="shared" si="147"/>
        <v>4.389611661285187</v>
      </c>
      <c r="F302" s="333">
        <f t="shared" si="147"/>
        <v>5.9528388076741896</v>
      </c>
      <c r="G302" s="333">
        <f t="shared" si="147"/>
        <v>9.1021286051333874</v>
      </c>
      <c r="H302" s="333">
        <f t="shared" si="147"/>
        <v>15.641924544694753</v>
      </c>
      <c r="I302" s="333">
        <f t="shared" si="147"/>
        <v>19.549805922003848</v>
      </c>
      <c r="J302" s="333">
        <f t="shared" si="147"/>
        <v>21.305215397198367</v>
      </c>
    </row>
    <row r="303" spans="1:10" s="39" customFormat="1" ht="13.15" x14ac:dyDescent="0.4">
      <c r="A303" s="39" t="str">
        <f t="shared" si="146"/>
        <v>Write outs and Other adjs</v>
      </c>
      <c r="B303" s="97"/>
      <c r="D303" s="333">
        <f t="shared" si="147"/>
        <v>-35.740769431760306</v>
      </c>
      <c r="E303" s="333">
        <f t="shared" si="147"/>
        <v>-46.336530464622065</v>
      </c>
      <c r="F303" s="333">
        <f t="shared" si="147"/>
        <v>0</v>
      </c>
      <c r="G303" s="333">
        <f t="shared" si="147"/>
        <v>0</v>
      </c>
      <c r="H303" s="333">
        <f t="shared" si="147"/>
        <v>0</v>
      </c>
      <c r="I303" s="333">
        <f t="shared" si="147"/>
        <v>0</v>
      </c>
      <c r="J303" s="333">
        <f t="shared" si="147"/>
        <v>0</v>
      </c>
    </row>
    <row r="304" spans="1:10" s="39" customFormat="1" ht="13.15" x14ac:dyDescent="0.4">
      <c r="A304" s="39" t="str">
        <f t="shared" si="146"/>
        <v>Closing GRC</v>
      </c>
      <c r="B304" s="97"/>
      <c r="D304" s="333">
        <f t="shared" si="147"/>
        <v>425.85699902535913</v>
      </c>
      <c r="E304" s="333">
        <f t="shared" si="147"/>
        <v>435.73818344897256</v>
      </c>
      <c r="F304" s="333">
        <f t="shared" si="147"/>
        <v>498.99272794002468</v>
      </c>
      <c r="G304" s="333">
        <f t="shared" si="147"/>
        <v>574.19400733933389</v>
      </c>
      <c r="H304" s="333">
        <f t="shared" si="147"/>
        <v>646.67854622703544</v>
      </c>
      <c r="I304" s="333">
        <f t="shared" si="147"/>
        <v>716.81402451464169</v>
      </c>
      <c r="J304" s="333">
        <f t="shared" si="147"/>
        <v>785.47753225829399</v>
      </c>
    </row>
    <row r="305" spans="1:13" s="39" customFormat="1" ht="13.15" x14ac:dyDescent="0.4">
      <c r="A305" s="70" t="str">
        <f t="shared" si="146"/>
        <v>Check</v>
      </c>
      <c r="D305" s="397" t="b">
        <f>IF(ABS(D304-SUM(D300:D303))&lt;0.00001,TRUE,FALSE)</f>
        <v>1</v>
      </c>
      <c r="E305" s="397" t="b">
        <f t="shared" ref="E305:J305" si="148">IF(ABS(E304-SUM(E300:E303))&lt;0.00001,TRUE,FALSE)</f>
        <v>1</v>
      </c>
      <c r="F305" s="397" t="b">
        <f t="shared" si="148"/>
        <v>1</v>
      </c>
      <c r="G305" s="397" t="b">
        <f t="shared" si="148"/>
        <v>1</v>
      </c>
      <c r="H305" s="397" t="b">
        <f t="shared" si="148"/>
        <v>1</v>
      </c>
      <c r="I305" s="397" t="b">
        <f t="shared" si="148"/>
        <v>1</v>
      </c>
      <c r="J305" s="397" t="b">
        <f t="shared" si="148"/>
        <v>1</v>
      </c>
    </row>
    <row r="306" spans="1:13" s="39" customFormat="1" ht="13.15" x14ac:dyDescent="0.4">
      <c r="B306" s="97"/>
      <c r="D306" s="396"/>
      <c r="E306" s="396"/>
      <c r="F306" s="396"/>
      <c r="G306" s="396"/>
      <c r="H306" s="396"/>
      <c r="I306" s="396"/>
      <c r="J306" s="396"/>
    </row>
    <row r="307" spans="1:13" s="39" customFormat="1" ht="13.15" x14ac:dyDescent="0.4">
      <c r="A307" s="39" t="str">
        <f t="shared" ref="A307:A312" si="149">A293</f>
        <v>Opening NRC</v>
      </c>
      <c r="B307" s="97"/>
      <c r="D307" s="333">
        <f>D279+D293</f>
        <v>218.54703796326876</v>
      </c>
      <c r="E307" s="333">
        <f t="shared" ref="D307:J311" si="150">E279+E293</f>
        <v>221.58047799341679</v>
      </c>
      <c r="F307" s="333">
        <f t="shared" si="150"/>
        <v>251.40907001748062</v>
      </c>
      <c r="G307" s="333">
        <f t="shared" si="150"/>
        <v>305.5069522606538</v>
      </c>
      <c r="H307" s="333">
        <f t="shared" si="150"/>
        <v>368.87680467859673</v>
      </c>
      <c r="I307" s="333">
        <f t="shared" si="150"/>
        <v>425.70965044091975</v>
      </c>
      <c r="J307" s="333">
        <f t="shared" si="150"/>
        <v>477.46417350402044</v>
      </c>
    </row>
    <row r="308" spans="1:13" s="39" customFormat="1" ht="13.15" x14ac:dyDescent="0.4">
      <c r="A308" s="39" t="str">
        <f t="shared" si="149"/>
        <v>Net Asset registrations</v>
      </c>
      <c r="B308" s="97"/>
      <c r="D308" s="333">
        <f t="shared" si="150"/>
        <v>26.980733663737773</v>
      </c>
      <c r="E308" s="333">
        <f t="shared" si="150"/>
        <v>51.82810322695029</v>
      </c>
      <c r="F308" s="333">
        <f t="shared" si="150"/>
        <v>57.301705683377939</v>
      </c>
      <c r="G308" s="333">
        <f t="shared" si="150"/>
        <v>66.099150794175884</v>
      </c>
      <c r="H308" s="333">
        <f t="shared" si="150"/>
        <v>56.842614343006851</v>
      </c>
      <c r="I308" s="333">
        <f t="shared" si="150"/>
        <v>50.585672365602242</v>
      </c>
      <c r="J308" s="333">
        <f t="shared" si="150"/>
        <v>47.358292346454022</v>
      </c>
    </row>
    <row r="309" spans="1:13" s="39" customFormat="1" ht="13.15" x14ac:dyDescent="0.4">
      <c r="A309" s="39" t="str">
        <f t="shared" si="149"/>
        <v>Price movement</v>
      </c>
      <c r="B309" s="97"/>
      <c r="D309" s="333">
        <f t="shared" si="150"/>
        <v>3.8084308474063877</v>
      </c>
      <c r="E309" s="333">
        <f t="shared" si="150"/>
        <v>2.1526294322648929</v>
      </c>
      <c r="F309" s="333">
        <f t="shared" si="150"/>
        <v>3.4346259415583127</v>
      </c>
      <c r="G309" s="333">
        <f t="shared" si="150"/>
        <v>5.5727536966691931</v>
      </c>
      <c r="H309" s="333">
        <f t="shared" si="150"/>
        <v>10.048769355513016</v>
      </c>
      <c r="I309" s="333">
        <f t="shared" si="150"/>
        <v>12.869672411124347</v>
      </c>
      <c r="J309" s="333">
        <f t="shared" si="150"/>
        <v>14.191236098981577</v>
      </c>
    </row>
    <row r="310" spans="1:13" s="39" customFormat="1" ht="13.15" x14ac:dyDescent="0.4">
      <c r="A310" s="39" t="str">
        <f t="shared" si="149"/>
        <v>OCM depreciation</v>
      </c>
      <c r="B310" s="97"/>
      <c r="D310" s="333">
        <f t="shared" si="150"/>
        <v>-27.755724480996129</v>
      </c>
      <c r="E310" s="333">
        <f t="shared" si="150"/>
        <v>-24.152140635151383</v>
      </c>
      <c r="F310" s="333">
        <f t="shared" si="150"/>
        <v>-6.6384493817630492</v>
      </c>
      <c r="G310" s="333">
        <f t="shared" si="150"/>
        <v>-8.3020520729021214</v>
      </c>
      <c r="H310" s="333">
        <f t="shared" si="150"/>
        <v>-10.058537936196823</v>
      </c>
      <c r="I310" s="333">
        <f t="shared" si="150"/>
        <v>-11.700821713625952</v>
      </c>
      <c r="J310" s="333">
        <f t="shared" si="150"/>
        <v>-13.274069256462827</v>
      </c>
    </row>
    <row r="311" spans="1:13" s="39" customFormat="1" ht="13.15" x14ac:dyDescent="0.4">
      <c r="A311" s="39" t="str">
        <f t="shared" si="149"/>
        <v>Closing NRC</v>
      </c>
      <c r="B311" s="97"/>
      <c r="D311" s="333">
        <f t="shared" si="150"/>
        <v>221.58047799341679</v>
      </c>
      <c r="E311" s="333">
        <f t="shared" si="150"/>
        <v>251.40907001748062</v>
      </c>
      <c r="F311" s="333">
        <f t="shared" si="150"/>
        <v>305.5069522606538</v>
      </c>
      <c r="G311" s="333">
        <f t="shared" si="150"/>
        <v>368.87680467859673</v>
      </c>
      <c r="H311" s="333">
        <f t="shared" si="150"/>
        <v>425.70965044091975</v>
      </c>
      <c r="I311" s="333">
        <f t="shared" si="150"/>
        <v>477.46417350402044</v>
      </c>
      <c r="J311" s="333">
        <f t="shared" si="150"/>
        <v>525.73963269299315</v>
      </c>
    </row>
    <row r="312" spans="1:13" s="39" customFormat="1" ht="13.15" x14ac:dyDescent="0.4">
      <c r="A312" s="70" t="str">
        <f t="shared" si="149"/>
        <v>Check</v>
      </c>
      <c r="D312" s="82" t="b">
        <f>IF(ABS(D311-SUM(D307:D310))&lt;0.00001,TRUE,FALSE)</f>
        <v>1</v>
      </c>
      <c r="E312" s="82" t="b">
        <f t="shared" ref="E312:J312" si="151">IF(ABS(E311-SUM(E307:E310))&lt;0.00001,TRUE,FALSE)</f>
        <v>1</v>
      </c>
      <c r="F312" s="82" t="b">
        <f t="shared" si="151"/>
        <v>1</v>
      </c>
      <c r="G312" s="82" t="b">
        <f t="shared" si="151"/>
        <v>1</v>
      </c>
      <c r="H312" s="82" t="b">
        <f t="shared" si="151"/>
        <v>1</v>
      </c>
      <c r="I312" s="82" t="b">
        <f t="shared" si="151"/>
        <v>1</v>
      </c>
      <c r="J312" s="82" t="b">
        <f t="shared" si="151"/>
        <v>1</v>
      </c>
    </row>
    <row r="313" spans="1:13" s="39" customFormat="1" ht="10.15" customHeight="1" thickBot="1" x14ac:dyDescent="0.45">
      <c r="A313" s="125"/>
      <c r="B313" s="125"/>
      <c r="C313" s="125"/>
      <c r="D313" s="125"/>
      <c r="E313" s="125"/>
      <c r="F313" s="125"/>
      <c r="G313" s="125"/>
      <c r="H313" s="125"/>
      <c r="I313" s="125"/>
      <c r="J313" s="125"/>
      <c r="K313" s="125"/>
      <c r="L313" s="125"/>
      <c r="M313" s="125"/>
    </row>
    <row r="314" spans="1:13" s="39" customFormat="1" ht="10.15" customHeight="1" x14ac:dyDescent="0.4">
      <c r="A314" s="57"/>
      <c r="B314" s="57"/>
      <c r="C314" s="57"/>
      <c r="D314" s="57"/>
      <c r="E314" s="57"/>
      <c r="F314" s="57"/>
      <c r="G314" s="57"/>
      <c r="H314" s="57"/>
      <c r="I314" s="57"/>
      <c r="J314" s="57"/>
      <c r="K314" s="57"/>
    </row>
    <row r="315" spans="1:13" s="39" customFormat="1" ht="15.75" x14ac:dyDescent="0.5">
      <c r="A315" s="12" t="s">
        <v>242</v>
      </c>
    </row>
    <row r="316" spans="1:13" ht="9" customHeight="1" x14ac:dyDescent="0.45"/>
    <row r="317" spans="1:13" s="39" customFormat="1" ht="13.15" x14ac:dyDescent="0.4">
      <c r="A317" s="150" t="s">
        <v>133</v>
      </c>
      <c r="B317" s="150"/>
      <c r="C317" s="150"/>
      <c r="D317" s="98" t="str">
        <f t="shared" ref="D317:J317" si="152">D$79</f>
        <v>2019/20</v>
      </c>
      <c r="E317" s="98" t="str">
        <f t="shared" si="152"/>
        <v>2020/21</v>
      </c>
      <c r="F317" s="98" t="str">
        <f t="shared" si="152"/>
        <v>2021/22</v>
      </c>
      <c r="G317" s="98" t="str">
        <f t="shared" si="152"/>
        <v>2022/23</v>
      </c>
      <c r="H317" s="98" t="str">
        <f t="shared" si="152"/>
        <v>2023/24</v>
      </c>
      <c r="I317" s="98" t="str">
        <f t="shared" si="152"/>
        <v>2024/25</v>
      </c>
      <c r="J317" s="98" t="str">
        <f t="shared" si="152"/>
        <v>2025/26</v>
      </c>
    </row>
    <row r="318" spans="1:13" s="311" customFormat="1" x14ac:dyDescent="0.45">
      <c r="A318" s="312"/>
      <c r="B318" s="393" t="s">
        <v>318</v>
      </c>
      <c r="E318" s="311">
        <f t="shared" ref="E318:J318" si="153">pole_asset_life</f>
        <v>40</v>
      </c>
      <c r="F318" s="311">
        <f t="shared" si="153"/>
        <v>40</v>
      </c>
      <c r="G318" s="311">
        <f t="shared" si="153"/>
        <v>40</v>
      </c>
      <c r="H318" s="311">
        <f t="shared" si="153"/>
        <v>40</v>
      </c>
      <c r="I318" s="311">
        <f t="shared" si="153"/>
        <v>40</v>
      </c>
      <c r="J318" s="311">
        <f t="shared" si="153"/>
        <v>40</v>
      </c>
    </row>
    <row r="319" spans="1:13" s="311" customFormat="1" x14ac:dyDescent="0.45">
      <c r="A319" s="312"/>
      <c r="B319" s="312" t="s">
        <v>319</v>
      </c>
      <c r="C319" s="312"/>
      <c r="D319" s="312"/>
      <c r="E319" s="324">
        <f t="shared" ref="E319:J319" si="154">E$76</f>
        <v>1.1073457872565307E-2</v>
      </c>
      <c r="F319" s="324">
        <f t="shared" si="154"/>
        <v>1.3661503705174605E-2</v>
      </c>
      <c r="G319" s="324">
        <f t="shared" si="154"/>
        <v>1.8241004518661841E-2</v>
      </c>
      <c r="H319" s="324">
        <f t="shared" si="154"/>
        <v>2.7241532208208463E-2</v>
      </c>
      <c r="I319" s="324">
        <f t="shared" si="154"/>
        <v>3.0231103283176353E-2</v>
      </c>
      <c r="J319" s="324">
        <f t="shared" si="154"/>
        <v>2.9722096204275905E-2</v>
      </c>
    </row>
    <row r="320" spans="1:13" s="39" customFormat="1" ht="9" customHeight="1" x14ac:dyDescent="0.4">
      <c r="D320" s="312"/>
    </row>
    <row r="321" spans="1:13" s="39" customFormat="1" ht="13.15" x14ac:dyDescent="0.4">
      <c r="A321" s="39" t="str">
        <f>A286</f>
        <v>Opening GRC</v>
      </c>
      <c r="B321" s="100" t="s">
        <v>105</v>
      </c>
      <c r="C321" s="99">
        <f>pole_asset_life</f>
        <v>40</v>
      </c>
      <c r="D321" s="404">
        <v>0</v>
      </c>
      <c r="E321" s="333">
        <f>D325</f>
        <v>0</v>
      </c>
      <c r="F321" s="333">
        <f t="shared" ref="F321:J321" si="155">E325</f>
        <v>5.0313543663684506</v>
      </c>
      <c r="G321" s="333">
        <f t="shared" si="155"/>
        <v>15.610530356540773</v>
      </c>
      <c r="H321" s="333">
        <f t="shared" si="155"/>
        <v>31.159754913207745</v>
      </c>
      <c r="I321" s="333">
        <f t="shared" si="155"/>
        <v>38.448971776178325</v>
      </c>
      <c r="J321" s="333">
        <f t="shared" si="155"/>
        <v>47.233069589748489</v>
      </c>
    </row>
    <row r="322" spans="1:13" s="39" customFormat="1" ht="13.15" x14ac:dyDescent="0.4">
      <c r="A322" s="39" t="str">
        <f>A287</f>
        <v>New Assets</v>
      </c>
      <c r="D322" s="224">
        <v>0</v>
      </c>
      <c r="E322" s="333">
        <f>'Network Adjs'!F23/Million</f>
        <v>5.0313543663684506</v>
      </c>
      <c r="F322" s="333">
        <f>'Network Adjs'!G23/Million</f>
        <v>10.510440123854133</v>
      </c>
      <c r="G322" s="333">
        <f>'Network Adjs'!H23/Million</f>
        <v>15.264472801894604</v>
      </c>
      <c r="H322" s="333">
        <f>'Network Adjs'!I23/Million</f>
        <v>6.4403773959025488</v>
      </c>
      <c r="I322" s="333">
        <f>'Network Adjs'!J23/Million</f>
        <v>7.621742976672583</v>
      </c>
      <c r="J322" s="333">
        <f>'Network Adjs'!K23/Million</f>
        <v>6.2951735759176586</v>
      </c>
    </row>
    <row r="323" spans="1:13" s="39" customFormat="1" ht="13.15" x14ac:dyDescent="0.4">
      <c r="A323" s="39" t="str">
        <f>A288</f>
        <v>Price movement</v>
      </c>
      <c r="D323" s="333">
        <f>D321*D$76</f>
        <v>0</v>
      </c>
      <c r="E323" s="333">
        <f>E321*E$319</f>
        <v>0</v>
      </c>
      <c r="F323" s="333">
        <f t="shared" ref="F323:J323" si="156">F321*F$319</f>
        <v>6.8735866318189009E-2</v>
      </c>
      <c r="G323" s="333">
        <f t="shared" si="156"/>
        <v>0.28475175477236808</v>
      </c>
      <c r="H323" s="333">
        <f t="shared" si="156"/>
        <v>0.84883946706803071</v>
      </c>
      <c r="I323" s="333">
        <f t="shared" si="156"/>
        <v>1.1623548368975796</v>
      </c>
      <c r="J323" s="333">
        <f t="shared" si="156"/>
        <v>1.4038658383697633</v>
      </c>
    </row>
    <row r="324" spans="1:13" s="39" customFormat="1" ht="13.15" x14ac:dyDescent="0.4">
      <c r="A324" s="39" t="str">
        <f>A289</f>
        <v>Write outs and Other adjs</v>
      </c>
      <c r="D324" s="224">
        <v>0</v>
      </c>
      <c r="E324" s="224">
        <v>0</v>
      </c>
      <c r="F324" s="224">
        <v>0</v>
      </c>
      <c r="G324" s="224">
        <v>0</v>
      </c>
      <c r="H324" s="224">
        <v>0</v>
      </c>
      <c r="I324" s="224">
        <v>0</v>
      </c>
      <c r="J324" s="224">
        <v>0</v>
      </c>
      <c r="M324" s="26" t="s">
        <v>278</v>
      </c>
    </row>
    <row r="325" spans="1:13" s="39" customFormat="1" ht="13.15" x14ac:dyDescent="0.4">
      <c r="A325" s="39" t="str">
        <f>A290</f>
        <v>Closing GRC</v>
      </c>
      <c r="D325" s="333">
        <f>SUM(D321:D324)</f>
        <v>0</v>
      </c>
      <c r="E325" s="333">
        <f>SUM(E321:E324)</f>
        <v>5.0313543663684506</v>
      </c>
      <c r="F325" s="333">
        <f t="shared" ref="F325:J325" si="157">SUM(F321:F324)</f>
        <v>15.610530356540773</v>
      </c>
      <c r="G325" s="333">
        <f t="shared" si="157"/>
        <v>31.159754913207745</v>
      </c>
      <c r="H325" s="333">
        <f t="shared" si="157"/>
        <v>38.448971776178325</v>
      </c>
      <c r="I325" s="333">
        <f t="shared" si="157"/>
        <v>47.233069589748489</v>
      </c>
      <c r="J325" s="333">
        <f t="shared" si="157"/>
        <v>54.932109004035908</v>
      </c>
    </row>
    <row r="326" spans="1:13" s="39" customFormat="1" ht="13.15" x14ac:dyDescent="0.4">
      <c r="A326" s="70"/>
      <c r="D326" s="312"/>
      <c r="E326" s="161"/>
      <c r="F326" s="161"/>
      <c r="G326" s="161"/>
      <c r="H326" s="161"/>
      <c r="I326" s="161"/>
      <c r="J326" s="161"/>
    </row>
    <row r="327" spans="1:13" s="39" customFormat="1" ht="13.15" x14ac:dyDescent="0.4">
      <c r="A327" s="39" t="str">
        <f>A293</f>
        <v>Opening NRC</v>
      </c>
      <c r="D327" s="351">
        <f>D321</f>
        <v>0</v>
      </c>
      <c r="E327" s="161">
        <f t="shared" ref="E327:J327" si="158">D331</f>
        <v>0</v>
      </c>
      <c r="F327" s="161">
        <f t="shared" si="158"/>
        <v>4.9684624367888448</v>
      </c>
      <c r="G327" s="161">
        <f t="shared" si="158"/>
        <v>15.288755669595826</v>
      </c>
      <c r="H327" s="161">
        <f t="shared" si="158"/>
        <v>30.247482166872384</v>
      </c>
      <c r="I327" s="161">
        <f t="shared" si="158"/>
        <v>36.64173823882367</v>
      </c>
      <c r="J327" s="161">
        <f t="shared" si="158"/>
        <v>44.300175871595165</v>
      </c>
    </row>
    <row r="328" spans="1:13" s="39" customFormat="1" ht="13.15" x14ac:dyDescent="0.4">
      <c r="A328" s="39" t="str">
        <f>A294</f>
        <v>Net Asset registrations</v>
      </c>
      <c r="D328" s="333">
        <f>D322</f>
        <v>0</v>
      </c>
      <c r="E328" s="333">
        <f t="shared" ref="E328:J328" si="159">E322</f>
        <v>5.0313543663684506</v>
      </c>
      <c r="F328" s="333">
        <f t="shared" si="159"/>
        <v>10.510440123854133</v>
      </c>
      <c r="G328" s="333">
        <f t="shared" si="159"/>
        <v>15.264472801894604</v>
      </c>
      <c r="H328" s="333">
        <f t="shared" si="159"/>
        <v>6.4403773959025488</v>
      </c>
      <c r="I328" s="333">
        <f t="shared" si="159"/>
        <v>7.621742976672583</v>
      </c>
      <c r="J328" s="333">
        <f t="shared" si="159"/>
        <v>6.2951735759176586</v>
      </c>
    </row>
    <row r="329" spans="1:13" s="39" customFormat="1" ht="13.15" x14ac:dyDescent="0.4">
      <c r="A329" s="39" t="str">
        <f>A295</f>
        <v>Price movement</v>
      </c>
      <c r="D329" s="333">
        <f>D327*D$319</f>
        <v>0</v>
      </c>
      <c r="E329" s="333">
        <f t="shared" ref="E329:J329" si="160">E327*E$319</f>
        <v>0</v>
      </c>
      <c r="F329" s="333">
        <f t="shared" si="160"/>
        <v>6.7876667989211645E-2</v>
      </c>
      <c r="G329" s="333">
        <f t="shared" si="160"/>
        <v>0.27888226125381432</v>
      </c>
      <c r="H329" s="333">
        <f t="shared" si="160"/>
        <v>0.82398775966606519</v>
      </c>
      <c r="I329" s="333">
        <f t="shared" si="160"/>
        <v>1.1077201731729909</v>
      </c>
      <c r="J329" s="333">
        <f t="shared" si="160"/>
        <v>1.3166940891218937</v>
      </c>
    </row>
    <row r="330" spans="1:13" s="39" customFormat="1" ht="13.15" x14ac:dyDescent="0.4">
      <c r="A330" s="39" t="str">
        <f>A296</f>
        <v>OCM depreciation</v>
      </c>
      <c r="D330" s="390">
        <f>-AVERAGE(D321,D325)/$C$321</f>
        <v>0</v>
      </c>
      <c r="E330" s="390">
        <f>-AVERAGE(E321,E325)/$C$321</f>
        <v>-6.2891929579605627E-2</v>
      </c>
      <c r="F330" s="390">
        <f t="shared" ref="F330:J330" si="161">-AVERAGE(F321,F325)/$C$321</f>
        <v>-0.25802355903636531</v>
      </c>
      <c r="G330" s="390">
        <f t="shared" si="161"/>
        <v>-0.58462856587185652</v>
      </c>
      <c r="H330" s="390">
        <f t="shared" si="161"/>
        <v>-0.87010908361732597</v>
      </c>
      <c r="I330" s="390">
        <f t="shared" si="161"/>
        <v>-1.071025517074085</v>
      </c>
      <c r="J330" s="390">
        <f t="shared" si="161"/>
        <v>-1.2770647324223048</v>
      </c>
      <c r="K330" s="199"/>
    </row>
    <row r="331" spans="1:13" s="39" customFormat="1" ht="13.15" x14ac:dyDescent="0.4">
      <c r="A331" s="39" t="str">
        <f>A297</f>
        <v>Closing NRC</v>
      </c>
      <c r="D331" s="333">
        <f>SUM(D327:D330)</f>
        <v>0</v>
      </c>
      <c r="E331" s="333">
        <f t="shared" ref="E331:J331" si="162">SUM(E327:E330)</f>
        <v>4.9684624367888448</v>
      </c>
      <c r="F331" s="333">
        <f t="shared" si="162"/>
        <v>15.288755669595826</v>
      </c>
      <c r="G331" s="333">
        <f t="shared" si="162"/>
        <v>30.247482166872384</v>
      </c>
      <c r="H331" s="333">
        <f t="shared" si="162"/>
        <v>36.64173823882367</v>
      </c>
      <c r="I331" s="333">
        <f t="shared" si="162"/>
        <v>44.300175871595165</v>
      </c>
      <c r="J331" s="333">
        <f t="shared" si="162"/>
        <v>50.634978804212416</v>
      </c>
    </row>
    <row r="332" spans="1:13" s="39" customFormat="1" ht="10.15" customHeight="1" thickBot="1" x14ac:dyDescent="0.45">
      <c r="A332" s="125"/>
      <c r="B332" s="125"/>
      <c r="C332" s="125"/>
      <c r="D332" s="125"/>
      <c r="E332" s="125"/>
      <c r="F332" s="125"/>
      <c r="G332" s="125"/>
      <c r="H332" s="125"/>
      <c r="I332" s="125"/>
      <c r="J332" s="125"/>
      <c r="K332" s="125"/>
      <c r="L332" s="125"/>
      <c r="M332" s="125"/>
    </row>
    <row r="333" spans="1:13" s="39" customFormat="1" ht="10.15" customHeight="1" x14ac:dyDescent="0.4"/>
    <row r="334" spans="1:13" s="39" customFormat="1" ht="15.75" x14ac:dyDescent="0.5">
      <c r="A334" s="12" t="s">
        <v>243</v>
      </c>
    </row>
    <row r="335" spans="1:13" s="39" customFormat="1" ht="10.15" customHeight="1" x14ac:dyDescent="0.4"/>
    <row r="336" spans="1:13" s="39" customFormat="1" ht="13.15" x14ac:dyDescent="0.4">
      <c r="A336" s="150" t="s">
        <v>112</v>
      </c>
      <c r="B336" s="150"/>
      <c r="C336" s="150"/>
      <c r="D336" s="98" t="str">
        <f t="shared" ref="D336:J336" si="163">D$79</f>
        <v>2019/20</v>
      </c>
      <c r="E336" s="98" t="str">
        <f t="shared" si="163"/>
        <v>2020/21</v>
      </c>
      <c r="F336" s="98" t="str">
        <f t="shared" si="163"/>
        <v>2021/22</v>
      </c>
      <c r="G336" s="98" t="str">
        <f t="shared" si="163"/>
        <v>2022/23</v>
      </c>
      <c r="H336" s="98" t="str">
        <f t="shared" si="163"/>
        <v>2023/24</v>
      </c>
      <c r="I336" s="98" t="str">
        <f t="shared" si="163"/>
        <v>2024/25</v>
      </c>
      <c r="J336" s="98" t="str">
        <f t="shared" si="163"/>
        <v>2025/26</v>
      </c>
    </row>
    <row r="337" spans="1:10" s="39" customFormat="1" ht="13.15" x14ac:dyDescent="0.4">
      <c r="A337" s="39" t="str">
        <f t="shared" ref="A337:A342" si="164">A255</f>
        <v>Opening GRC</v>
      </c>
      <c r="D337" s="333">
        <f>SUM(D300,D321)</f>
        <v>422.46111878175975</v>
      </c>
      <c r="E337" s="333">
        <f>SUM(E300,E321)</f>
        <v>425.85699902535913</v>
      </c>
      <c r="F337" s="333">
        <f>SUM(F300,F321)</f>
        <v>440.76953781534104</v>
      </c>
      <c r="G337" s="333">
        <f t="shared" ref="G337:J337" si="165">SUM(G300,G321)</f>
        <v>514.6032582965654</v>
      </c>
      <c r="H337" s="333">
        <f t="shared" si="165"/>
        <v>605.35376225254163</v>
      </c>
      <c r="I337" s="333">
        <f t="shared" si="165"/>
        <v>685.12751800321371</v>
      </c>
      <c r="J337" s="333">
        <f t="shared" si="165"/>
        <v>764.04709410439023</v>
      </c>
    </row>
    <row r="338" spans="1:10" s="39" customFormat="1" ht="13.15" x14ac:dyDescent="0.4">
      <c r="A338" s="39" t="str">
        <f t="shared" si="164"/>
        <v>New Assets</v>
      </c>
      <c r="D338" s="333">
        <f>SUM(D301,D322)</f>
        <v>28.355142090971469</v>
      </c>
      <c r="E338" s="333">
        <f t="shared" ref="E338:J338" si="166">SUM(E301,E322)</f>
        <v>56.859457593318737</v>
      </c>
      <c r="F338" s="333">
        <f t="shared" si="166"/>
        <v>67.812145807232071</v>
      </c>
      <c r="G338" s="333">
        <f t="shared" si="166"/>
        <v>81.363623596070482</v>
      </c>
      <c r="H338" s="333">
        <f t="shared" si="166"/>
        <v>63.282991738909402</v>
      </c>
      <c r="I338" s="333">
        <f t="shared" si="166"/>
        <v>58.207415342274828</v>
      </c>
      <c r="J338" s="333">
        <f t="shared" si="166"/>
        <v>53.65346592237168</v>
      </c>
    </row>
    <row r="339" spans="1:10" s="39" customFormat="1" ht="13.15" x14ac:dyDescent="0.4">
      <c r="A339" s="39" t="str">
        <f t="shared" si="164"/>
        <v>Price movement</v>
      </c>
      <c r="D339" s="333">
        <f>SUM(D302,D323)</f>
        <v>10.781507584388256</v>
      </c>
      <c r="E339" s="333">
        <f>SUM(E302,E323)</f>
        <v>4.389611661285187</v>
      </c>
      <c r="F339" s="333">
        <f t="shared" ref="F339:J339" si="167">SUM(F302,F323)</f>
        <v>6.0215746739923786</v>
      </c>
      <c r="G339" s="333">
        <f t="shared" si="167"/>
        <v>9.3868803599057546</v>
      </c>
      <c r="H339" s="333">
        <f t="shared" si="167"/>
        <v>16.490764011762785</v>
      </c>
      <c r="I339" s="333">
        <f t="shared" si="167"/>
        <v>20.71216075890143</v>
      </c>
      <c r="J339" s="333">
        <f t="shared" si="167"/>
        <v>22.709081235568132</v>
      </c>
    </row>
    <row r="340" spans="1:10" s="39" customFormat="1" ht="13.15" x14ac:dyDescent="0.4">
      <c r="A340" s="39" t="str">
        <f t="shared" si="164"/>
        <v>Write outs and Other adjs</v>
      </c>
      <c r="D340" s="333">
        <f>SUM(D303,D324)</f>
        <v>-35.740769431760306</v>
      </c>
      <c r="E340" s="333">
        <f>SUM(E303,E324)</f>
        <v>-46.336530464622065</v>
      </c>
      <c r="F340" s="333">
        <f t="shared" ref="F340:J341" si="168">SUM(F303,F324)</f>
        <v>0</v>
      </c>
      <c r="G340" s="333">
        <f t="shared" si="168"/>
        <v>0</v>
      </c>
      <c r="H340" s="333">
        <f t="shared" si="168"/>
        <v>0</v>
      </c>
      <c r="I340" s="333">
        <f t="shared" si="168"/>
        <v>0</v>
      </c>
      <c r="J340" s="333">
        <f t="shared" si="168"/>
        <v>0</v>
      </c>
    </row>
    <row r="341" spans="1:10" s="39" customFormat="1" ht="13.15" x14ac:dyDescent="0.4">
      <c r="A341" s="39" t="str">
        <f t="shared" si="164"/>
        <v>Closing GRC</v>
      </c>
      <c r="D341" s="333">
        <f>SUM(D304,D325)</f>
        <v>425.85699902535913</v>
      </c>
      <c r="E341" s="333">
        <f>SUM(E304,E325)</f>
        <v>440.76953781534104</v>
      </c>
      <c r="F341" s="333">
        <f t="shared" si="168"/>
        <v>514.6032582965654</v>
      </c>
      <c r="G341" s="333">
        <f t="shared" si="168"/>
        <v>605.35376225254163</v>
      </c>
      <c r="H341" s="333">
        <f t="shared" si="168"/>
        <v>685.12751800321371</v>
      </c>
      <c r="I341" s="333">
        <f t="shared" si="168"/>
        <v>764.04709410439023</v>
      </c>
      <c r="J341" s="333">
        <f t="shared" si="168"/>
        <v>840.40964126232984</v>
      </c>
    </row>
    <row r="342" spans="1:10" s="39" customFormat="1" ht="13.15" x14ac:dyDescent="0.4">
      <c r="A342" s="70" t="str">
        <f t="shared" si="164"/>
        <v>Check</v>
      </c>
      <c r="D342" s="226" t="b">
        <f>IF(ABS(D341-SUM(D337:D340))&lt;0.00001,TRUE,FALSE)</f>
        <v>1</v>
      </c>
      <c r="E342" s="226" t="b">
        <f t="shared" ref="E342:J342" si="169">IF(ABS(E341-SUM(E337:E340))&lt;0.00001,TRUE,FALSE)</f>
        <v>1</v>
      </c>
      <c r="F342" s="226" t="b">
        <f t="shared" si="169"/>
        <v>1</v>
      </c>
      <c r="G342" s="226" t="b">
        <f t="shared" si="169"/>
        <v>1</v>
      </c>
      <c r="H342" s="226" t="b">
        <f t="shared" si="169"/>
        <v>1</v>
      </c>
      <c r="I342" s="226" t="b">
        <f t="shared" si="169"/>
        <v>1</v>
      </c>
      <c r="J342" s="226" t="b">
        <f t="shared" si="169"/>
        <v>1</v>
      </c>
    </row>
    <row r="343" spans="1:10" s="39" customFormat="1" ht="13.15" x14ac:dyDescent="0.4">
      <c r="D343" s="161"/>
      <c r="E343" s="161"/>
      <c r="F343" s="161"/>
      <c r="G343" s="161"/>
      <c r="H343" s="161"/>
      <c r="I343" s="161"/>
      <c r="J343" s="161"/>
    </row>
    <row r="344" spans="1:10" s="39" customFormat="1" ht="13.15" x14ac:dyDescent="0.4">
      <c r="A344" s="39" t="str">
        <f t="shared" ref="A344:A349" si="170">A262</f>
        <v>Opening NRC</v>
      </c>
      <c r="D344" s="333">
        <f>SUM(D307,D327)</f>
        <v>218.54703796326876</v>
      </c>
      <c r="E344" s="333">
        <f t="shared" ref="E344:J344" si="171">SUM(E307,E327)</f>
        <v>221.58047799341679</v>
      </c>
      <c r="F344" s="333">
        <f t="shared" si="171"/>
        <v>256.37753245426944</v>
      </c>
      <c r="G344" s="333">
        <f t="shared" si="171"/>
        <v>320.79570793024965</v>
      </c>
      <c r="H344" s="333">
        <f t="shared" si="171"/>
        <v>399.1242868454691</v>
      </c>
      <c r="I344" s="333">
        <f t="shared" si="171"/>
        <v>462.35138867974342</v>
      </c>
      <c r="J344" s="333">
        <f t="shared" si="171"/>
        <v>521.76434937561555</v>
      </c>
    </row>
    <row r="345" spans="1:10" s="39" customFormat="1" ht="13.15" x14ac:dyDescent="0.4">
      <c r="A345" s="39" t="str">
        <f t="shared" si="170"/>
        <v>Net Asset registrations</v>
      </c>
      <c r="D345" s="333">
        <f t="shared" ref="D345:J345" si="172">SUM(D308,D328)</f>
        <v>26.980733663737773</v>
      </c>
      <c r="E345" s="333">
        <f t="shared" si="172"/>
        <v>56.859457593318737</v>
      </c>
      <c r="F345" s="333">
        <f t="shared" si="172"/>
        <v>67.812145807232071</v>
      </c>
      <c r="G345" s="333">
        <f t="shared" si="172"/>
        <v>81.363623596070482</v>
      </c>
      <c r="H345" s="333">
        <f t="shared" si="172"/>
        <v>63.282991738909402</v>
      </c>
      <c r="I345" s="333">
        <f t="shared" si="172"/>
        <v>58.207415342274828</v>
      </c>
      <c r="J345" s="333">
        <f t="shared" si="172"/>
        <v>53.65346592237168</v>
      </c>
    </row>
    <row r="346" spans="1:10" s="39" customFormat="1" ht="13.15" x14ac:dyDescent="0.4">
      <c r="A346" s="39" t="str">
        <f t="shared" si="170"/>
        <v>Price movement</v>
      </c>
      <c r="D346" s="333">
        <f t="shared" ref="D346:J346" si="173">SUM(D309,D329)</f>
        <v>3.8084308474063877</v>
      </c>
      <c r="E346" s="333">
        <f t="shared" si="173"/>
        <v>2.1526294322648929</v>
      </c>
      <c r="F346" s="333">
        <f t="shared" si="173"/>
        <v>3.5025026095475242</v>
      </c>
      <c r="G346" s="333">
        <f t="shared" si="173"/>
        <v>5.8516359579230075</v>
      </c>
      <c r="H346" s="333">
        <f t="shared" si="173"/>
        <v>10.872757115179082</v>
      </c>
      <c r="I346" s="333">
        <f t="shared" si="173"/>
        <v>13.977392584297338</v>
      </c>
      <c r="J346" s="333">
        <f t="shared" si="173"/>
        <v>15.507930188103471</v>
      </c>
    </row>
    <row r="347" spans="1:10" s="39" customFormat="1" ht="13.15" x14ac:dyDescent="0.4">
      <c r="A347" s="39" t="str">
        <f t="shared" si="170"/>
        <v>OCM depreciation</v>
      </c>
      <c r="D347" s="333">
        <f t="shared" ref="D347:J347" si="174">SUM(D310,D330)</f>
        <v>-27.755724480996129</v>
      </c>
      <c r="E347" s="333">
        <f t="shared" si="174"/>
        <v>-24.21503256473099</v>
      </c>
      <c r="F347" s="333">
        <f t="shared" si="174"/>
        <v>-6.8964729407994145</v>
      </c>
      <c r="G347" s="333">
        <f t="shared" si="174"/>
        <v>-8.8866806387739778</v>
      </c>
      <c r="H347" s="333">
        <f t="shared" si="174"/>
        <v>-10.928647019814148</v>
      </c>
      <c r="I347" s="333">
        <f t="shared" si="174"/>
        <v>-12.771847230700038</v>
      </c>
      <c r="J347" s="333">
        <f t="shared" si="174"/>
        <v>-14.551133988885132</v>
      </c>
    </row>
    <row r="348" spans="1:10" s="39" customFormat="1" ht="13.15" x14ac:dyDescent="0.4">
      <c r="A348" s="39" t="str">
        <f t="shared" si="170"/>
        <v>Closing NRC</v>
      </c>
      <c r="D348" s="333">
        <f>SUM(D311,D331)</f>
        <v>221.58047799341679</v>
      </c>
      <c r="E348" s="333">
        <f t="shared" ref="E348:J348" si="175">SUM(E311,E331)</f>
        <v>256.37753245426944</v>
      </c>
      <c r="F348" s="333">
        <f t="shared" si="175"/>
        <v>320.79570793024965</v>
      </c>
      <c r="G348" s="333">
        <f t="shared" si="175"/>
        <v>399.1242868454691</v>
      </c>
      <c r="H348" s="333">
        <f t="shared" si="175"/>
        <v>462.35138867974342</v>
      </c>
      <c r="I348" s="333">
        <f t="shared" si="175"/>
        <v>521.76434937561555</v>
      </c>
      <c r="J348" s="333">
        <f t="shared" si="175"/>
        <v>576.37461149720559</v>
      </c>
    </row>
    <row r="349" spans="1:10" s="39" customFormat="1" ht="13.15" x14ac:dyDescent="0.4">
      <c r="A349" s="70" t="str">
        <f t="shared" si="170"/>
        <v>Check</v>
      </c>
      <c r="D349" s="227" t="b">
        <f>IF(ABS(D348-SUM(D344:D347))&lt;0.00001,TRUE,FALSE)</f>
        <v>1</v>
      </c>
      <c r="E349" s="227" t="b">
        <f t="shared" ref="E349:J349" si="176">IF(ABS(E348-SUM(E344:E347))&lt;0.00001,TRUE,FALSE)</f>
        <v>1</v>
      </c>
      <c r="F349" s="227" t="b">
        <f t="shared" si="176"/>
        <v>1</v>
      </c>
      <c r="G349" s="227" t="b">
        <f t="shared" si="176"/>
        <v>1</v>
      </c>
      <c r="H349" s="227" t="b">
        <f t="shared" si="176"/>
        <v>1</v>
      </c>
      <c r="I349" s="227" t="b">
        <f t="shared" si="176"/>
        <v>1</v>
      </c>
      <c r="J349" s="227" t="b">
        <f t="shared" si="176"/>
        <v>1</v>
      </c>
    </row>
    <row r="350" spans="1:10" s="39" customFormat="1" ht="13.15" x14ac:dyDescent="0.4">
      <c r="A350" s="70" t="s">
        <v>134</v>
      </c>
      <c r="D350" s="227" t="b">
        <f>IF(ABS(D341-(D325+D290+D276))&lt;0.000001,TRUE,FALSE)</f>
        <v>1</v>
      </c>
      <c r="E350" s="227" t="b">
        <f t="shared" ref="E350:J350" si="177">IF(ABS(E341-(E325+E290+E276))&lt;0.000001,TRUE,FALSE)</f>
        <v>1</v>
      </c>
      <c r="F350" s="227" t="b">
        <f t="shared" si="177"/>
        <v>1</v>
      </c>
      <c r="G350" s="227" t="b">
        <f t="shared" si="177"/>
        <v>1</v>
      </c>
      <c r="H350" s="227" t="b">
        <f t="shared" si="177"/>
        <v>1</v>
      </c>
      <c r="I350" s="227" t="b">
        <f t="shared" si="177"/>
        <v>1</v>
      </c>
      <c r="J350" s="227" t="b">
        <f t="shared" si="177"/>
        <v>1</v>
      </c>
    </row>
    <row r="351" spans="1:10" s="39" customFormat="1" ht="13.15" x14ac:dyDescent="0.4">
      <c r="A351" s="70" t="s">
        <v>135</v>
      </c>
      <c r="D351" s="82" t="b">
        <f>IF(ABS(D348-(D331+D297+D283))&lt;0.000001,TRUE,FALSE)</f>
        <v>1</v>
      </c>
      <c r="E351" s="82" t="b">
        <f t="shared" ref="E351:J351" si="178">IF(ABS(E348-(E331+E297+E283))&lt;0.000001,TRUE,FALSE)</f>
        <v>1</v>
      </c>
      <c r="F351" s="82" t="b">
        <f t="shared" si="178"/>
        <v>1</v>
      </c>
      <c r="G351" s="82" t="b">
        <f t="shared" si="178"/>
        <v>1</v>
      </c>
      <c r="H351" s="82" t="b">
        <f t="shared" si="178"/>
        <v>1</v>
      </c>
      <c r="I351" s="82" t="b">
        <f t="shared" si="178"/>
        <v>1</v>
      </c>
      <c r="J351" s="82" t="b">
        <f t="shared" si="178"/>
        <v>1</v>
      </c>
    </row>
    <row r="353" spans="1:11" s="44" customFormat="1" ht="15.75" x14ac:dyDescent="0.5">
      <c r="A353" s="562" t="s">
        <v>324</v>
      </c>
      <c r="B353" s="379"/>
      <c r="C353" s="379"/>
      <c r="D353" s="104" t="str">
        <f>D336</f>
        <v>2019/20</v>
      </c>
      <c r="E353" s="104" t="str">
        <f t="shared" ref="E353:J353" si="179">E336</f>
        <v>2020/21</v>
      </c>
      <c r="F353" s="104" t="str">
        <f t="shared" si="179"/>
        <v>2021/22</v>
      </c>
      <c r="G353" s="104" t="str">
        <f t="shared" si="179"/>
        <v>2022/23</v>
      </c>
      <c r="H353" s="104" t="str">
        <f t="shared" si="179"/>
        <v>2023/24</v>
      </c>
      <c r="I353" s="104" t="str">
        <f t="shared" si="179"/>
        <v>2024/25</v>
      </c>
      <c r="J353" s="104" t="str">
        <f t="shared" si="179"/>
        <v>2025/26</v>
      </c>
      <c r="K353" s="8"/>
    </row>
    <row r="354" spans="1:11" s="44" customFormat="1" x14ac:dyDescent="0.45">
      <c r="A354" s="379" t="s">
        <v>73</v>
      </c>
      <c r="B354" s="379"/>
      <c r="C354" s="379"/>
      <c r="D354" s="561">
        <f>(D337+D341)/2</f>
        <v>424.15905890355941</v>
      </c>
      <c r="E354" s="561">
        <f t="shared" ref="E354:J354" si="180">(E337+E341)/2</f>
        <v>433.31326842035008</v>
      </c>
      <c r="F354" s="561">
        <f t="shared" si="180"/>
        <v>477.68639805595319</v>
      </c>
      <c r="G354" s="561">
        <f t="shared" si="180"/>
        <v>559.97851027455351</v>
      </c>
      <c r="H354" s="561">
        <f t="shared" si="180"/>
        <v>645.24064012787767</v>
      </c>
      <c r="I354" s="561">
        <f t="shared" si="180"/>
        <v>724.58730605380197</v>
      </c>
      <c r="J354" s="561">
        <f t="shared" si="180"/>
        <v>802.22836768336003</v>
      </c>
      <c r="K354" s="8"/>
    </row>
    <row r="355" spans="1:11" s="44" customFormat="1" x14ac:dyDescent="0.45">
      <c r="A355" s="379" t="s">
        <v>54</v>
      </c>
      <c r="B355" s="379"/>
      <c r="C355" s="379"/>
      <c r="D355" s="561">
        <f>AVERAGE(D344,D348)</f>
        <v>220.06375797834278</v>
      </c>
      <c r="E355" s="561">
        <f t="shared" ref="E355:J355" si="181">AVERAGE(E344,E348)</f>
        <v>238.9790052238431</v>
      </c>
      <c r="F355" s="561">
        <f t="shared" si="181"/>
        <v>288.58662019225955</v>
      </c>
      <c r="G355" s="561">
        <f t="shared" si="181"/>
        <v>359.9599973878594</v>
      </c>
      <c r="H355" s="561">
        <f t="shared" si="181"/>
        <v>430.73783776260626</v>
      </c>
      <c r="I355" s="561">
        <f t="shared" si="181"/>
        <v>492.05786902767949</v>
      </c>
      <c r="J355" s="561">
        <f t="shared" si="181"/>
        <v>549.06948043641057</v>
      </c>
      <c r="K355" s="8"/>
    </row>
    <row r="356" spans="1:11" s="44" customFormat="1" x14ac:dyDescent="0.45">
      <c r="A356" s="379" t="s">
        <v>72</v>
      </c>
      <c r="B356" s="379"/>
      <c r="C356" s="379"/>
      <c r="D356" s="561">
        <f>-D347</f>
        <v>27.755724480996129</v>
      </c>
      <c r="E356" s="561">
        <f t="shared" ref="E356:J356" si="182">-E347</f>
        <v>24.21503256473099</v>
      </c>
      <c r="F356" s="561">
        <f t="shared" si="182"/>
        <v>6.8964729407994145</v>
      </c>
      <c r="G356" s="561">
        <f t="shared" si="182"/>
        <v>8.8866806387739778</v>
      </c>
      <c r="H356" s="561">
        <f t="shared" si="182"/>
        <v>10.928647019814148</v>
      </c>
      <c r="I356" s="561">
        <f t="shared" si="182"/>
        <v>12.771847230700038</v>
      </c>
      <c r="J356" s="561">
        <f t="shared" si="182"/>
        <v>14.551133988885132</v>
      </c>
      <c r="K356" s="8"/>
    </row>
    <row r="357" spans="1:11" x14ac:dyDescent="0.45">
      <c r="A357" s="379" t="s">
        <v>61</v>
      </c>
      <c r="B357" s="379"/>
      <c r="C357" s="379"/>
      <c r="D357" s="561">
        <f>-D346</f>
        <v>-3.8084308474063877</v>
      </c>
      <c r="E357" s="561">
        <f t="shared" ref="E357:J357" si="183">-E346</f>
        <v>-2.1526294322648929</v>
      </c>
      <c r="F357" s="561">
        <f t="shared" si="183"/>
        <v>-3.5025026095475242</v>
      </c>
      <c r="G357" s="561">
        <f t="shared" si="183"/>
        <v>-5.8516359579230075</v>
      </c>
      <c r="H357" s="561">
        <f t="shared" si="183"/>
        <v>-10.872757115179082</v>
      </c>
      <c r="I357" s="561">
        <f t="shared" si="183"/>
        <v>-13.977392584297338</v>
      </c>
      <c r="J357" s="561">
        <f t="shared" si="183"/>
        <v>-15.507930188103471</v>
      </c>
    </row>
  </sheetData>
  <mergeCells count="2">
    <mergeCell ref="H57:J57"/>
    <mergeCell ref="D5:F5"/>
  </mergeCells>
  <pageMargins left="0.19685039370078741" right="0.19685039370078741" top="0.39370078740157483" bottom="0.39370078740157483" header="0.19685039370078741" footer="0.19685039370078741"/>
  <pageSetup paperSize="9" scale="70" orientation="landscape" r:id="rId1"/>
  <headerFooter>
    <oddHeader>&amp;CPage &amp;P of &amp;N&amp;R&amp;D &amp;T&amp;L&amp;"Calibri"&amp;12&amp;K000000Classification: HIGHLY SENSITIVE&amp;1#_x000D_&amp;"Calibri"&amp;11&amp;K000000File: &amp;F Sheet: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0EA9-534D-4DAE-9CE6-B7A561733A2C}">
  <sheetPr codeName="Sheet18">
    <tabColor theme="0"/>
  </sheetPr>
  <dimension ref="A1:M62"/>
  <sheetViews>
    <sheetView zoomScaleNormal="100" workbookViewId="0">
      <selection activeCell="L60" sqref="L60"/>
    </sheetView>
  </sheetViews>
  <sheetFormatPr defaultColWidth="8.86328125" defaultRowHeight="14.25" x14ac:dyDescent="0.45"/>
  <cols>
    <col min="1" max="1" width="11.86328125" style="8" customWidth="1"/>
    <col min="2" max="2" width="19" style="8" customWidth="1"/>
    <col min="3" max="10" width="10.73046875" style="8" customWidth="1"/>
    <col min="11" max="11" width="2.1328125" style="8" customWidth="1"/>
    <col min="12" max="12" width="37.73046875" style="8" bestFit="1" customWidth="1"/>
    <col min="13" max="16384" width="8.86328125" style="8"/>
  </cols>
  <sheetData>
    <row r="1" spans="1:12" ht="18" x14ac:dyDescent="0.55000000000000004">
      <c r="A1" s="9" t="s">
        <v>136</v>
      </c>
      <c r="B1" s="9"/>
      <c r="F1" s="366"/>
    </row>
    <row r="2" spans="1:12" ht="7.5" customHeight="1" x14ac:dyDescent="0.45"/>
    <row r="3" spans="1:12" ht="15.75" x14ac:dyDescent="0.5">
      <c r="A3" s="12" t="s">
        <v>326</v>
      </c>
      <c r="B3" s="12"/>
      <c r="C3" s="39"/>
      <c r="D3" s="214" t="str">
        <f>'Input data'!E160</f>
        <v>2019/20</v>
      </c>
      <c r="E3" s="39"/>
      <c r="F3" s="39"/>
      <c r="G3" s="39"/>
      <c r="I3" s="39"/>
      <c r="J3" s="39"/>
      <c r="K3" s="39"/>
      <c r="L3" s="73"/>
    </row>
    <row r="4" spans="1:12" ht="7.5" customHeight="1" x14ac:dyDescent="0.45">
      <c r="A4" s="39"/>
      <c r="B4" s="39"/>
      <c r="C4" s="39"/>
      <c r="D4" s="39"/>
      <c r="E4" s="39"/>
      <c r="F4" s="39"/>
      <c r="G4" s="39"/>
      <c r="H4" s="39"/>
      <c r="I4" s="39"/>
      <c r="J4" s="39"/>
      <c r="K4" s="39"/>
    </row>
    <row r="5" spans="1:12" x14ac:dyDescent="0.45">
      <c r="A5" s="106" t="str">
        <f>'D&amp;C Cost Forecasts'!A6</f>
        <v>Opex</v>
      </c>
      <c r="B5" s="66" t="str">
        <f>'Input data'!A162</f>
        <v>Pay &amp; non-pay costs</v>
      </c>
      <c r="D5" s="143">
        <f>'Input data'!E162</f>
        <v>21.694489762830734</v>
      </c>
      <c r="F5" s="63"/>
      <c r="G5" s="63"/>
      <c r="H5" s="63"/>
      <c r="I5" s="63"/>
      <c r="J5" s="63"/>
      <c r="K5" s="63"/>
      <c r="L5" s="73"/>
    </row>
    <row r="6" spans="1:12" x14ac:dyDescent="0.45">
      <c r="A6" s="106"/>
      <c r="B6" s="66" t="str">
        <f>'Input data'!A163</f>
        <v>OCM Dep</v>
      </c>
      <c r="D6" s="143">
        <f>'Input data'!E163</f>
        <v>23.262108432340622</v>
      </c>
      <c r="F6" s="64"/>
      <c r="G6" s="59"/>
      <c r="H6" s="63"/>
      <c r="I6" s="63"/>
      <c r="J6" s="63"/>
      <c r="K6" s="63"/>
    </row>
    <row r="7" spans="1:12" x14ac:dyDescent="0.45">
      <c r="A7" s="106"/>
      <c r="B7" s="66" t="str">
        <f>'Input data'!A164</f>
        <v>HG/L</v>
      </c>
      <c r="D7" s="143">
        <f>'Input data'!E164</f>
        <v>-3.7785779251813887</v>
      </c>
      <c r="F7" s="63"/>
      <c r="G7" s="63"/>
      <c r="H7" s="63"/>
      <c r="I7" s="63"/>
      <c r="J7" s="63"/>
      <c r="K7" s="63"/>
      <c r="L7" s="73"/>
    </row>
    <row r="8" spans="1:12" x14ac:dyDescent="0.45">
      <c r="A8" s="106"/>
      <c r="B8" s="66" t="str">
        <f>'Input data'!A165</f>
        <v>Other CCA</v>
      </c>
      <c r="D8" s="143">
        <f>'Input data'!E165</f>
        <v>2.0965322099208832</v>
      </c>
      <c r="F8" s="63"/>
      <c r="G8" s="63"/>
      <c r="H8" s="63"/>
      <c r="I8" s="63"/>
      <c r="J8" s="63"/>
      <c r="K8" s="63"/>
    </row>
    <row r="9" spans="1:12" x14ac:dyDescent="0.45">
      <c r="A9" s="106"/>
      <c r="B9" s="144" t="str">
        <f>'Input data'!A166</f>
        <v>Other Dep</v>
      </c>
      <c r="C9" s="6"/>
      <c r="D9" s="145">
        <f>'Input data'!E166</f>
        <v>6.4512199371218681</v>
      </c>
      <c r="J9" s="63"/>
      <c r="K9" s="63"/>
      <c r="L9" s="76"/>
    </row>
    <row r="10" spans="1:12" x14ac:dyDescent="0.45">
      <c r="A10" s="106"/>
      <c r="B10" s="66" t="str">
        <f>'Input data'!A167</f>
        <v>Total CCA Costs</v>
      </c>
      <c r="D10" s="143">
        <f>'Input data'!E167</f>
        <v>49.725772417032715</v>
      </c>
      <c r="F10" s="63"/>
      <c r="G10" s="63"/>
      <c r="H10" s="63"/>
      <c r="I10" s="63"/>
      <c r="J10" s="63"/>
      <c r="K10" s="63"/>
      <c r="L10" s="76"/>
    </row>
    <row r="11" spans="1:12" x14ac:dyDescent="0.45">
      <c r="A11" s="106"/>
      <c r="B11" s="106"/>
      <c r="D11" s="142" t="b">
        <f>SUM(D5:D9)=D10</f>
        <v>1</v>
      </c>
      <c r="F11" s="63"/>
      <c r="G11" s="63"/>
      <c r="H11" s="63"/>
      <c r="I11" s="63"/>
      <c r="J11" s="63"/>
      <c r="K11" s="63"/>
      <c r="L11" s="76"/>
    </row>
    <row r="12" spans="1:12" x14ac:dyDescent="0.45">
      <c r="A12" s="106"/>
      <c r="B12" s="106"/>
      <c r="D12" s="39"/>
      <c r="F12" s="39"/>
      <c r="G12" s="39"/>
      <c r="H12" s="39"/>
      <c r="I12" s="39"/>
      <c r="J12" s="73"/>
      <c r="K12" s="39"/>
      <c r="L12" s="14"/>
    </row>
    <row r="13" spans="1:12" x14ac:dyDescent="0.45">
      <c r="A13" s="106" t="str">
        <f>'D&amp;C Cost Forecasts'!A14</f>
        <v>MCE</v>
      </c>
      <c r="B13" s="66" t="str">
        <f>'Input data'!A169</f>
        <v>NRC (main COW)</v>
      </c>
      <c r="D13" s="64">
        <f>'Input data'!E169</f>
        <v>151.03958996143342</v>
      </c>
      <c r="F13" s="64"/>
      <c r="G13" s="59"/>
      <c r="K13" s="39"/>
      <c r="L13" s="67"/>
    </row>
    <row r="14" spans="1:12" x14ac:dyDescent="0.45">
      <c r="B14" s="66" t="str">
        <f>'Input data'!A170</f>
        <v>Other COWs</v>
      </c>
      <c r="D14" s="64">
        <f>'Input data'!E170</f>
        <v>9.5500535436630241</v>
      </c>
      <c r="K14" s="39"/>
    </row>
    <row r="15" spans="1:12" x14ac:dyDescent="0.45">
      <c r="B15" s="66" t="str">
        <f>'Input data'!A171</f>
        <v>Other non-COW</v>
      </c>
      <c r="D15" s="64">
        <f>'Input data'!E171</f>
        <v>4.9567793567371368</v>
      </c>
      <c r="K15" s="39"/>
    </row>
    <row r="16" spans="1:12" x14ac:dyDescent="0.45">
      <c r="A16" s="39"/>
      <c r="B16" s="144" t="str">
        <f>'Input data'!A172</f>
        <v>NCA</v>
      </c>
      <c r="C16" s="6"/>
      <c r="D16" s="141">
        <f>'Input data'!E172</f>
        <v>-5.1709869879555708</v>
      </c>
      <c r="K16" s="39"/>
    </row>
    <row r="17" spans="1:13" s="311" customFormat="1" x14ac:dyDescent="0.45">
      <c r="A17" s="312"/>
      <c r="B17" s="66" t="str">
        <f>'Input data'!A173</f>
        <v>Total MCE</v>
      </c>
      <c r="D17" s="64">
        <f>'Input data'!E173</f>
        <v>160.37543587387802</v>
      </c>
      <c r="K17" s="312"/>
    </row>
    <row r="18" spans="1:13" x14ac:dyDescent="0.45">
      <c r="A18" s="39"/>
      <c r="B18" s="66"/>
      <c r="D18" s="142" t="b">
        <f>SUM(D13:D16)=D17</f>
        <v>1</v>
      </c>
      <c r="K18" s="39"/>
    </row>
    <row r="19" spans="1:13" s="311" customFormat="1" ht="9" customHeight="1" x14ac:dyDescent="0.45">
      <c r="A19" s="312"/>
      <c r="B19" s="66"/>
      <c r="D19" s="142"/>
      <c r="K19" s="312"/>
    </row>
    <row r="20" spans="1:13" ht="7.35" customHeight="1" x14ac:dyDescent="0.45">
      <c r="A20" s="6"/>
      <c r="B20" s="6"/>
      <c r="C20" s="220"/>
      <c r="D20" s="6"/>
      <c r="E20" s="6"/>
      <c r="F20" s="6"/>
      <c r="G20" s="6"/>
      <c r="H20" s="220"/>
      <c r="I20" s="6"/>
      <c r="J20" s="6"/>
      <c r="K20" s="6"/>
      <c r="L20" s="221"/>
    </row>
    <row r="21" spans="1:13" ht="7.35" customHeight="1" x14ac:dyDescent="0.45"/>
    <row r="22" spans="1:13" ht="15.75" x14ac:dyDescent="0.5">
      <c r="A22" s="12" t="s">
        <v>229</v>
      </c>
      <c r="B22" s="12"/>
    </row>
    <row r="23" spans="1:13" ht="7.35" customHeight="1" x14ac:dyDescent="0.45">
      <c r="C23" s="311"/>
      <c r="D23" s="311"/>
    </row>
    <row r="24" spans="1:13" s="44" customFormat="1" x14ac:dyDescent="0.45">
      <c r="A24" s="213"/>
      <c r="B24" s="213"/>
      <c r="C24" s="311"/>
      <c r="D24" s="311"/>
      <c r="E24" s="214" t="str">
        <f>'Parameters and Assumptions'!E45</f>
        <v>2020/21</v>
      </c>
      <c r="F24" s="214" t="str">
        <f>'Parameters and Assumptions'!F45</f>
        <v>2021/22</v>
      </c>
      <c r="G24" s="214" t="str">
        <f>'Parameters and Assumptions'!G45</f>
        <v>2022/23</v>
      </c>
      <c r="H24" s="214" t="str">
        <f>'Parameters and Assumptions'!H45</f>
        <v>2023/24</v>
      </c>
      <c r="I24" s="214" t="str">
        <f>'Parameters and Assumptions'!I45</f>
        <v>2024/25</v>
      </c>
      <c r="J24" s="214" t="str">
        <f>'Parameters and Assumptions'!J45</f>
        <v>2025/26</v>
      </c>
      <c r="K24" s="8"/>
    </row>
    <row r="25" spans="1:13" s="44" customFormat="1" x14ac:dyDescent="0.45">
      <c r="A25" s="31" t="str">
        <f>'Parameters and Assumptions'!A46</f>
        <v>PIA Asset Inflation  - measure</v>
      </c>
      <c r="B25" s="31"/>
      <c r="C25" s="311"/>
      <c r="D25" s="311"/>
      <c r="E25" s="283" t="str">
        <f>INDEX('Parameters and Assumptions'!$A$45:$J$49,MATCH($A25,'Parameters and Assumptions'!$A$45:$A$49,0),MATCH(E$24,'Parameters and Assumptions'!$A$45:$J$45,0))</f>
        <v>RPI</v>
      </c>
      <c r="F25" s="283" t="str">
        <f>INDEX('Parameters and Assumptions'!$A$45:$J$49,MATCH($A25,'Parameters and Assumptions'!$A$45:$A$49,0),MATCH(F$24,'Parameters and Assumptions'!$A$45:$J$45,0))</f>
        <v>RPI</v>
      </c>
      <c r="G25" s="283" t="str">
        <f>INDEX('Parameters and Assumptions'!$A$45:$J$49,MATCH($A25,'Parameters and Assumptions'!$A$45:$A$49,0),MATCH(G$24,'Parameters and Assumptions'!$A$45:$J$45,0))</f>
        <v>RPI</v>
      </c>
      <c r="H25" s="283" t="str">
        <f>INDEX('Parameters and Assumptions'!$A$45:$J$49,MATCH($A25,'Parameters and Assumptions'!$A$45:$A$49,0),MATCH(H$24,'Parameters and Assumptions'!$A$45:$J$45,0))</f>
        <v>RPI</v>
      </c>
      <c r="I25" s="283" t="str">
        <f>INDEX('Parameters and Assumptions'!$A$45:$J$49,MATCH($A25,'Parameters and Assumptions'!$A$45:$A$49,0),MATCH(I$24,'Parameters and Assumptions'!$A$45:$J$45,0))</f>
        <v>RPI</v>
      </c>
      <c r="J25" s="283" t="str">
        <f>INDEX('Parameters and Assumptions'!$A$45:$J$49,MATCH($A25,'Parameters and Assumptions'!$A$45:$A$49,0),MATCH(J$24,'Parameters and Assumptions'!$A$45:$J$45,0))</f>
        <v>RPI</v>
      </c>
      <c r="K25" s="8"/>
    </row>
    <row r="26" spans="1:13" s="44" customFormat="1" x14ac:dyDescent="0.45">
      <c r="A26" s="31" t="str">
        <f>'Parameters and Assumptions'!A47</f>
        <v>PIA Asset Inflation value</v>
      </c>
      <c r="B26" s="31"/>
      <c r="C26" s="32"/>
      <c r="D26" s="376"/>
      <c r="E26" s="376">
        <f>INDEX('Parameters and Assumptions'!$A$45:$J$49,MATCH($A26,'Parameters and Assumptions'!$A$45:$A$49,0),MATCH(E$24,'Parameters and Assumptions'!$A$45:$J$45,0))</f>
        <v>1.1073457872565307E-2</v>
      </c>
      <c r="F26" s="376">
        <f>INDEX('Parameters and Assumptions'!$A$45:$J$49,MATCH($A26,'Parameters and Assumptions'!$A$45:$A$49,0),MATCH(F$24,'Parameters and Assumptions'!$A$45:$J$45,0))</f>
        <v>1.3661503705174605E-2</v>
      </c>
      <c r="G26" s="376">
        <f>INDEX('Parameters and Assumptions'!$A$45:$J$49,MATCH($A26,'Parameters and Assumptions'!$A$45:$A$49,0),MATCH(G$24,'Parameters and Assumptions'!$A$45:$J$45,0))</f>
        <v>1.8241004518661841E-2</v>
      </c>
      <c r="H26" s="376">
        <f>INDEX('Parameters and Assumptions'!$A$45:$J$49,MATCH($A26,'Parameters and Assumptions'!$A$45:$A$49,0),MATCH(H$24,'Parameters and Assumptions'!$A$45:$J$45,0))</f>
        <v>2.7241532208208463E-2</v>
      </c>
      <c r="I26" s="376">
        <f>INDEX('Parameters and Assumptions'!$A$45:$J$49,MATCH($A26,'Parameters and Assumptions'!$A$45:$A$49,0),MATCH(I$24,'Parameters and Assumptions'!$A$45:$J$45,0))</f>
        <v>3.0231103283176353E-2</v>
      </c>
      <c r="J26" s="376">
        <f>INDEX('Parameters and Assumptions'!$A$45:$J$49,MATCH($A26,'Parameters and Assumptions'!$A$45:$A$49,0),MATCH(J$24,'Parameters and Assumptions'!$A$45:$J$45,0))</f>
        <v>2.9722096204275905E-2</v>
      </c>
      <c r="K26" s="8"/>
      <c r="L26" s="26"/>
    </row>
    <row r="27" spans="1:13" s="44" customFormat="1" x14ac:dyDescent="0.45">
      <c r="A27" s="31" t="str">
        <f>'Parameters and Assumptions'!A48</f>
        <v>Opex Inflation - measure</v>
      </c>
      <c r="B27" s="31"/>
      <c r="C27" s="283"/>
      <c r="D27" s="283"/>
      <c r="E27" s="283" t="str">
        <f>INDEX('Parameters and Assumptions'!$A$45:$J$49,MATCH($A27,'Parameters and Assumptions'!$A$45:$A$49,0),MATCH(E$24,'Parameters and Assumptions'!$A$45:$J$45,0))</f>
        <v>CPI</v>
      </c>
      <c r="F27" s="283" t="str">
        <f>INDEX('Parameters and Assumptions'!$A$45:$J$49,MATCH($A27,'Parameters and Assumptions'!$A$45:$A$49,0),MATCH(F$24,'Parameters and Assumptions'!$A$45:$J$45,0))</f>
        <v>CPI</v>
      </c>
      <c r="G27" s="283" t="str">
        <f>INDEX('Parameters and Assumptions'!$A$45:$J$49,MATCH($A27,'Parameters and Assumptions'!$A$45:$A$49,0),MATCH(G$24,'Parameters and Assumptions'!$A$45:$J$45,0))</f>
        <v>CPI</v>
      </c>
      <c r="H27" s="283" t="str">
        <f>INDEX('Parameters and Assumptions'!$A$45:$J$49,MATCH($A27,'Parameters and Assumptions'!$A$45:$A$49,0),MATCH(H$24,'Parameters and Assumptions'!$A$45:$J$45,0))</f>
        <v>CPI</v>
      </c>
      <c r="I27" s="283" t="str">
        <f>INDEX('Parameters and Assumptions'!$A$45:$J$49,MATCH($A27,'Parameters and Assumptions'!$A$45:$A$49,0),MATCH(I$24,'Parameters and Assumptions'!$A$45:$J$45,0))</f>
        <v>CPI</v>
      </c>
      <c r="J27" s="283" t="str">
        <f>INDEX('Parameters and Assumptions'!$A$45:$J$49,MATCH($A27,'Parameters and Assumptions'!$A$45:$A$49,0),MATCH(J$24,'Parameters and Assumptions'!$A$45:$J$45,0))</f>
        <v>CPI</v>
      </c>
      <c r="K27" s="8"/>
      <c r="L27" s="26"/>
    </row>
    <row r="28" spans="1:13" s="44" customFormat="1" x14ac:dyDescent="0.45">
      <c r="A28" s="31" t="str">
        <f>'Parameters and Assumptions'!A49</f>
        <v>Opex Inflation value</v>
      </c>
      <c r="B28" s="31"/>
      <c r="C28" s="32"/>
      <c r="D28" s="376"/>
      <c r="E28" s="376">
        <f>INDEX('Parameters and Assumptions'!$A$45:$J$49,MATCH($A28,'Parameters and Assumptions'!$A$45:$A$49,0),MATCH(E$24,'Parameters and Assumptions'!$A$45:$J$45,0))</f>
        <v>5.8444858245327858E-3</v>
      </c>
      <c r="F28" s="376">
        <f>INDEX('Parameters and Assumptions'!$A$45:$J$49,MATCH($A28,'Parameters and Assumptions'!$A$45:$A$49,0),MATCH(F$24,'Parameters and Assumptions'!$A$45:$J$45,0))</f>
        <v>1.3816272579449063E-2</v>
      </c>
      <c r="G28" s="376">
        <f>INDEX('Parameters and Assumptions'!$A$45:$J$49,MATCH($A28,'Parameters and Assumptions'!$A$45:$A$49,0),MATCH(G$24,'Parameters and Assumptions'!$A$45:$J$45,0))</f>
        <v>1.5942729226603669E-2</v>
      </c>
      <c r="H28" s="376">
        <f>INDEX('Parameters and Assumptions'!$A$45:$J$49,MATCH($A28,'Parameters and Assumptions'!$A$45:$A$49,0),MATCH(H$24,'Parameters and Assumptions'!$A$45:$J$45,0))</f>
        <v>1.7723776612699194E-2</v>
      </c>
      <c r="I28" s="376">
        <f>INDEX('Parameters and Assumptions'!$A$45:$J$49,MATCH($A28,'Parameters and Assumptions'!$A$45:$A$49,0),MATCH(I$24,'Parameters and Assumptions'!$A$45:$J$45,0))</f>
        <v>1.9481889923258722E-2</v>
      </c>
      <c r="J28" s="376">
        <f>INDEX('Parameters and Assumptions'!$A$45:$J$49,MATCH($A28,'Parameters and Assumptions'!$A$45:$A$49,0),MATCH(J$24,'Parameters and Assumptions'!$A$45:$J$45,0))</f>
        <v>2.0000000000000018E-2</v>
      </c>
      <c r="K28" s="8"/>
    </row>
    <row r="29" spans="1:13" s="44" customFormat="1" ht="7.35" customHeight="1" x14ac:dyDescent="0.45">
      <c r="A29" s="198"/>
      <c r="B29" s="198"/>
      <c r="C29" s="198"/>
      <c r="D29" s="198"/>
      <c r="E29" s="198"/>
      <c r="F29" s="198"/>
      <c r="G29" s="198"/>
      <c r="H29" s="198"/>
      <c r="I29" s="198"/>
      <c r="J29" s="57"/>
      <c r="K29" s="8"/>
      <c r="L29" s="8"/>
      <c r="M29" s="8"/>
    </row>
    <row r="30" spans="1:13" s="44" customFormat="1" ht="13.15" x14ac:dyDescent="0.4">
      <c r="A30" s="213" t="s">
        <v>321</v>
      </c>
      <c r="B30" s="213"/>
      <c r="C30" s="32"/>
      <c r="D30" s="228"/>
      <c r="E30" s="32">
        <f>'Pole volume forecasts'!E21</f>
        <v>5.2752773798960817E-3</v>
      </c>
      <c r="F30" s="32">
        <f>'Pole volume forecasts'!F21</f>
        <v>7.3502713452318069E-3</v>
      </c>
      <c r="G30" s="32">
        <f>'Pole volume forecasts'!G21</f>
        <v>7.1162281936276717E-3</v>
      </c>
      <c r="H30" s="32">
        <f>'Pole volume forecasts'!H21</f>
        <v>8.0643150326777935E-3</v>
      </c>
      <c r="I30" s="32">
        <f>'Pole volume forecasts'!I21</f>
        <v>7.2529009077337836E-3</v>
      </c>
      <c r="J30" s="32">
        <f>'Pole volume forecasts'!J21</f>
        <v>5.3527566553168704E-3</v>
      </c>
      <c r="K30" s="32"/>
    </row>
    <row r="31" spans="1:13" s="44" customFormat="1" ht="13.15" x14ac:dyDescent="0.4">
      <c r="A31" s="213"/>
      <c r="B31" s="213"/>
      <c r="C31" s="32"/>
      <c r="D31" s="228"/>
      <c r="E31" s="32"/>
      <c r="F31" s="32"/>
      <c r="G31" s="32"/>
      <c r="H31" s="32"/>
      <c r="I31" s="32"/>
      <c r="J31" s="32"/>
      <c r="K31" s="32"/>
    </row>
    <row r="32" spans="1:13" s="311" customFormat="1" ht="15.95" customHeight="1" x14ac:dyDescent="0.45">
      <c r="A32" s="312"/>
      <c r="B32" s="66"/>
      <c r="D32" s="214" t="str">
        <f>'Parameters and Assumptions'!D81</f>
        <v>2019/20</v>
      </c>
      <c r="E32" s="214" t="str">
        <f>'Parameters and Assumptions'!E81</f>
        <v>2020/21</v>
      </c>
      <c r="F32" s="214" t="str">
        <f>'Parameters and Assumptions'!F81</f>
        <v>2021/22</v>
      </c>
      <c r="G32" s="214" t="str">
        <f>'Parameters and Assumptions'!G81</f>
        <v>2022/23</v>
      </c>
      <c r="H32" s="214" t="str">
        <f>'Parameters and Assumptions'!H81</f>
        <v>2023/24</v>
      </c>
      <c r="I32" s="214" t="str">
        <f>'Parameters and Assumptions'!I81</f>
        <v>2024/25</v>
      </c>
      <c r="K32" s="312"/>
    </row>
    <row r="33" spans="1:13" s="44" customFormat="1" ht="13.15" x14ac:dyDescent="0.4">
      <c r="A33" s="213" t="s">
        <v>315</v>
      </c>
      <c r="B33" s="213"/>
      <c r="C33" s="32"/>
      <c r="D33" s="71">
        <f>SUM('Parameters and Assumptions'!D82:D83)</f>
        <v>19.420634457702633</v>
      </c>
      <c r="E33" s="71">
        <f>SUM('Parameters and Assumptions'!E82:E83)</f>
        <v>24.728129457383154</v>
      </c>
      <c r="F33" s="71">
        <f>SUM('Parameters and Assumptions'!F82:F83)</f>
        <v>21.052244438600543</v>
      </c>
      <c r="G33" s="71">
        <f>SUM('Parameters and Assumptions'!G82:G83)</f>
        <v>18.629881780428885</v>
      </c>
      <c r="H33" s="71">
        <f>SUM('Parameters and Assumptions'!H82:H83)</f>
        <v>23.457330985121729</v>
      </c>
      <c r="I33" s="71">
        <f>SUM('Parameters and Assumptions'!I82:I83)</f>
        <v>21.262438310053344</v>
      </c>
      <c r="K33" s="74"/>
    </row>
    <row r="34" spans="1:13" ht="7.35" customHeight="1" x14ac:dyDescent="0.45">
      <c r="A34" s="6"/>
      <c r="B34" s="6"/>
      <c r="C34" s="220"/>
      <c r="D34" s="6"/>
      <c r="E34" s="6"/>
      <c r="F34" s="6"/>
      <c r="G34" s="6"/>
      <c r="H34" s="220"/>
      <c r="I34" s="6"/>
      <c r="J34" s="6"/>
      <c r="K34" s="6"/>
      <c r="L34" s="221"/>
    </row>
    <row r="35" spans="1:13" ht="7.35" customHeight="1" x14ac:dyDescent="0.45"/>
    <row r="36" spans="1:13" ht="15.75" x14ac:dyDescent="0.5">
      <c r="A36" s="12" t="s">
        <v>246</v>
      </c>
    </row>
    <row r="37" spans="1:13" ht="8.1" customHeight="1" x14ac:dyDescent="0.45">
      <c r="C37" s="311"/>
    </row>
    <row r="38" spans="1:13" x14ac:dyDescent="0.45">
      <c r="A38" s="95" t="s">
        <v>231</v>
      </c>
      <c r="B38" s="39"/>
      <c r="C38" s="311"/>
      <c r="D38" s="42" t="s">
        <v>37</v>
      </c>
      <c r="E38" s="42" t="str">
        <f t="shared" ref="E38:J38" si="0">E24</f>
        <v>2020/21</v>
      </c>
      <c r="F38" s="42" t="str">
        <f t="shared" si="0"/>
        <v>2021/22</v>
      </c>
      <c r="G38" s="42" t="str">
        <f t="shared" si="0"/>
        <v>2022/23</v>
      </c>
      <c r="H38" s="42" t="str">
        <f t="shared" si="0"/>
        <v>2023/24</v>
      </c>
      <c r="I38" s="42" t="str">
        <f t="shared" si="0"/>
        <v>2024/25</v>
      </c>
      <c r="J38" s="42" t="str">
        <f t="shared" si="0"/>
        <v>2025/26</v>
      </c>
    </row>
    <row r="39" spans="1:13" s="39" customFormat="1" x14ac:dyDescent="0.45">
      <c r="A39" s="39" t="str">
        <f>B5</f>
        <v>Pay &amp; non-pay costs</v>
      </c>
      <c r="C39" s="311"/>
      <c r="D39" s="71">
        <f>D5</f>
        <v>21.694489762830734</v>
      </c>
      <c r="E39" s="71">
        <f>D39*(1+E$28)*(1-Opex_eff)*(1+Opex_CVE*E$30)</f>
        <v>21.139740421068623</v>
      </c>
      <c r="F39" s="71">
        <f t="shared" ref="F39:J39" si="1">E39*(1+F$28)*(1-Opex_eff)*(1+Opex_CVE*F$30)</f>
        <v>20.794191303451662</v>
      </c>
      <c r="G39" s="71">
        <f t="shared" si="1"/>
        <v>20.493662180674576</v>
      </c>
      <c r="H39" s="71">
        <f t="shared" si="1"/>
        <v>20.247005344124641</v>
      </c>
      <c r="I39" s="71">
        <f t="shared" si="1"/>
        <v>20.025912556783286</v>
      </c>
      <c r="J39" s="71">
        <f t="shared" si="1"/>
        <v>19.789583790817474</v>
      </c>
    </row>
    <row r="40" spans="1:13" s="312" customFormat="1" x14ac:dyDescent="0.45">
      <c r="A40" s="312" t="s">
        <v>316</v>
      </c>
      <c r="C40" s="311"/>
      <c r="D40" s="71">
        <f>D33</f>
        <v>19.420634457702633</v>
      </c>
      <c r="E40" s="71">
        <f t="shared" ref="E40:I40" si="2">E33</f>
        <v>24.728129457383154</v>
      </c>
      <c r="F40" s="71">
        <f t="shared" si="2"/>
        <v>21.052244438600543</v>
      </c>
      <c r="G40" s="71">
        <f t="shared" si="2"/>
        <v>18.629881780428885</v>
      </c>
      <c r="H40" s="71">
        <f t="shared" si="2"/>
        <v>23.457330985121729</v>
      </c>
      <c r="I40" s="71">
        <f t="shared" si="2"/>
        <v>21.262438310053344</v>
      </c>
      <c r="J40" s="71">
        <f>I40*(1+J$28)*(1-Opex_eff)*(1+Opex_CVE*J$30)</f>
        <v>21.011517120170438</v>
      </c>
      <c r="L40" s="329" t="s">
        <v>353</v>
      </c>
    </row>
    <row r="41" spans="1:13" s="39" customFormat="1" ht="13.15" x14ac:dyDescent="0.4">
      <c r="A41" s="39" t="str">
        <f>B6</f>
        <v>OCM Dep</v>
      </c>
      <c r="D41" s="71">
        <f>D6</f>
        <v>23.262108432340622</v>
      </c>
      <c r="E41" s="71">
        <f>'Poles main COW Forecasts'!E356</f>
        <v>24.21503256473099</v>
      </c>
      <c r="F41" s="71">
        <f>'Poles main COW Forecasts'!F356</f>
        <v>6.8964729407994145</v>
      </c>
      <c r="G41" s="71">
        <f>'Poles main COW Forecasts'!G356</f>
        <v>8.8866806387739778</v>
      </c>
      <c r="H41" s="71">
        <f>'Poles main COW Forecasts'!H356</f>
        <v>10.928647019814148</v>
      </c>
      <c r="I41" s="71">
        <f>'Poles main COW Forecasts'!I356</f>
        <v>12.771847230700038</v>
      </c>
      <c r="J41" s="71">
        <f>'Poles main COW Forecasts'!J356</f>
        <v>14.551133988885132</v>
      </c>
    </row>
    <row r="42" spans="1:13" s="39" customFormat="1" ht="13.15" x14ac:dyDescent="0.4">
      <c r="A42" s="39" t="str">
        <f>B7</f>
        <v>HG/L</v>
      </c>
      <c r="D42" s="74">
        <f>D7</f>
        <v>-3.7785779251813887</v>
      </c>
      <c r="E42" s="74">
        <f>'Poles main COW Forecasts'!E357</f>
        <v>-2.1526294322648929</v>
      </c>
      <c r="F42" s="74">
        <f>'Poles main COW Forecasts'!F357</f>
        <v>-3.5025026095475242</v>
      </c>
      <c r="G42" s="74">
        <f>'Poles main COW Forecasts'!G357</f>
        <v>-5.8516359579230075</v>
      </c>
      <c r="H42" s="74">
        <f>'Poles main COW Forecasts'!H357</f>
        <v>-10.872757115179082</v>
      </c>
      <c r="I42" s="74">
        <f>'Poles main COW Forecasts'!I357</f>
        <v>-13.977392584297338</v>
      </c>
      <c r="J42" s="74">
        <f>'Poles main COW Forecasts'!J357</f>
        <v>-15.507930188103471</v>
      </c>
    </row>
    <row r="43" spans="1:13" s="39" customFormat="1" ht="13.15" x14ac:dyDescent="0.4">
      <c r="A43" s="39" t="str">
        <f>B8</f>
        <v>Other CCA</v>
      </c>
      <c r="D43" s="71">
        <f>D8</f>
        <v>2.0965322099208832</v>
      </c>
      <c r="E43" s="216">
        <v>0</v>
      </c>
      <c r="F43" s="216">
        <v>0</v>
      </c>
      <c r="G43" s="216">
        <v>0</v>
      </c>
      <c r="H43" s="216">
        <v>0</v>
      </c>
      <c r="I43" s="216">
        <v>0</v>
      </c>
      <c r="J43" s="216">
        <v>0</v>
      </c>
      <c r="L43" s="70" t="s">
        <v>91</v>
      </c>
    </row>
    <row r="44" spans="1:13" s="39" customFormat="1" ht="13.15" x14ac:dyDescent="0.4">
      <c r="A44" s="39" t="str">
        <f>B9</f>
        <v>Other Dep</v>
      </c>
      <c r="D44" s="69">
        <f>D9</f>
        <v>6.4512199371218681</v>
      </c>
      <c r="E44" s="69">
        <f>$D44</f>
        <v>6.4512199371218681</v>
      </c>
      <c r="F44" s="69">
        <f t="shared" ref="F44:J44" si="3">$D44</f>
        <v>6.4512199371218681</v>
      </c>
      <c r="G44" s="69">
        <f t="shared" si="3"/>
        <v>6.4512199371218681</v>
      </c>
      <c r="H44" s="69">
        <f t="shared" si="3"/>
        <v>6.4512199371218681</v>
      </c>
      <c r="I44" s="69">
        <f t="shared" si="3"/>
        <v>6.4512199371218681</v>
      </c>
      <c r="J44" s="69">
        <f t="shared" si="3"/>
        <v>6.4512199371218681</v>
      </c>
      <c r="L44" s="70" t="s">
        <v>367</v>
      </c>
      <c r="M44" s="312"/>
    </row>
    <row r="45" spans="1:13" s="39" customFormat="1" ht="13.15" x14ac:dyDescent="0.4">
      <c r="D45" s="68"/>
      <c r="E45" s="68"/>
      <c r="F45" s="68"/>
      <c r="G45" s="68"/>
      <c r="H45" s="68"/>
      <c r="I45" s="68"/>
      <c r="J45" s="68"/>
      <c r="M45" s="312"/>
    </row>
    <row r="46" spans="1:13" s="39" customFormat="1" ht="13.15" x14ac:dyDescent="0.4">
      <c r="A46" s="39" t="str">
        <f>B10</f>
        <v>Total CCA Costs</v>
      </c>
      <c r="D46" s="69">
        <f>SUM(D39:D44)</f>
        <v>69.146406874735348</v>
      </c>
      <c r="E46" s="69">
        <f t="shared" ref="E46:J46" si="4">SUM(E39:E44)</f>
        <v>74.38149294803975</v>
      </c>
      <c r="F46" s="69">
        <f t="shared" si="4"/>
        <v>51.691626010425963</v>
      </c>
      <c r="G46" s="69">
        <f t="shared" si="4"/>
        <v>48.609808579076308</v>
      </c>
      <c r="H46" s="69">
        <f t="shared" si="4"/>
        <v>50.21144617100331</v>
      </c>
      <c r="I46" s="69">
        <f t="shared" si="4"/>
        <v>46.534025450361206</v>
      </c>
      <c r="J46" s="69">
        <f t="shared" si="4"/>
        <v>46.295524648891444</v>
      </c>
      <c r="M46" s="312"/>
    </row>
    <row r="47" spans="1:13" x14ac:dyDescent="0.45">
      <c r="C47" s="69"/>
      <c r="D47" s="405" t="b">
        <f>D46=D10+D40</f>
        <v>1</v>
      </c>
      <c r="E47" s="69"/>
      <c r="F47" s="69"/>
      <c r="G47" s="69"/>
      <c r="H47" s="69"/>
      <c r="I47" s="69"/>
      <c r="J47" s="69"/>
      <c r="M47" s="312"/>
    </row>
    <row r="48" spans="1:13" x14ac:dyDescent="0.45">
      <c r="C48" s="69"/>
      <c r="D48" s="69"/>
      <c r="E48" s="69"/>
      <c r="F48" s="69"/>
      <c r="G48" s="69"/>
      <c r="H48" s="69"/>
      <c r="I48" s="69"/>
      <c r="J48" s="69"/>
      <c r="M48" s="312"/>
    </row>
    <row r="49" spans="1:13" x14ac:dyDescent="0.45">
      <c r="A49" s="95" t="s">
        <v>232</v>
      </c>
      <c r="B49" s="39"/>
      <c r="C49" s="69"/>
      <c r="D49" s="42" t="str">
        <f t="shared" ref="D49:J49" si="5">D38</f>
        <v>2019/20</v>
      </c>
      <c r="E49" s="42" t="str">
        <f t="shared" si="5"/>
        <v>2020/21</v>
      </c>
      <c r="F49" s="42" t="str">
        <f t="shared" si="5"/>
        <v>2021/22</v>
      </c>
      <c r="G49" s="42" t="str">
        <f t="shared" si="5"/>
        <v>2022/23</v>
      </c>
      <c r="H49" s="42" t="str">
        <f t="shared" si="5"/>
        <v>2023/24</v>
      </c>
      <c r="I49" s="42" t="str">
        <f t="shared" si="5"/>
        <v>2024/25</v>
      </c>
      <c r="J49" s="42" t="str">
        <f t="shared" si="5"/>
        <v>2025/26</v>
      </c>
      <c r="M49" s="312"/>
    </row>
    <row r="50" spans="1:13" x14ac:dyDescent="0.45">
      <c r="A50" s="39"/>
      <c r="B50" s="39"/>
      <c r="C50" s="69"/>
      <c r="D50" s="69"/>
      <c r="E50" s="69"/>
      <c r="F50" s="69"/>
      <c r="G50" s="69"/>
      <c r="H50" s="69"/>
      <c r="I50" s="69"/>
      <c r="J50" s="69"/>
      <c r="M50" s="312"/>
    </row>
    <row r="51" spans="1:13" x14ac:dyDescent="0.45">
      <c r="A51" s="39" t="str">
        <f>B13</f>
        <v>NRC (main COW)</v>
      </c>
      <c r="B51" s="39"/>
      <c r="D51" s="69">
        <f>D13</f>
        <v>151.03958996143342</v>
      </c>
      <c r="E51" s="69">
        <f>'Poles main COW Forecasts'!E355</f>
        <v>238.9790052238431</v>
      </c>
      <c r="F51" s="69">
        <f>'Poles main COW Forecasts'!F355</f>
        <v>288.58662019225955</v>
      </c>
      <c r="G51" s="69">
        <f>'Poles main COW Forecasts'!G355</f>
        <v>359.9599973878594</v>
      </c>
      <c r="H51" s="69">
        <f>'Poles main COW Forecasts'!H355</f>
        <v>430.73783776260626</v>
      </c>
      <c r="I51" s="69">
        <f>'Poles main COW Forecasts'!I355</f>
        <v>492.05786902767949</v>
      </c>
      <c r="J51" s="69">
        <f>'Poles main COW Forecasts'!J355</f>
        <v>549.06948043641057</v>
      </c>
      <c r="M51" s="312"/>
    </row>
    <row r="52" spans="1:13" s="39" customFormat="1" ht="13.15" x14ac:dyDescent="0.4">
      <c r="A52" s="39" t="str">
        <f>B14</f>
        <v>Other COWs</v>
      </c>
      <c r="D52" s="69">
        <f>D14</f>
        <v>9.5500535436630241</v>
      </c>
      <c r="E52" s="69">
        <f>$D52</f>
        <v>9.5500535436630241</v>
      </c>
      <c r="F52" s="69">
        <f t="shared" ref="F52:J53" si="6">$D52</f>
        <v>9.5500535436630241</v>
      </c>
      <c r="G52" s="69">
        <f t="shared" si="6"/>
        <v>9.5500535436630241</v>
      </c>
      <c r="H52" s="69">
        <f t="shared" si="6"/>
        <v>9.5500535436630241</v>
      </c>
      <c r="I52" s="69">
        <f t="shared" si="6"/>
        <v>9.5500535436630241</v>
      </c>
      <c r="J52" s="69">
        <f t="shared" si="6"/>
        <v>9.5500535436630241</v>
      </c>
      <c r="K52" s="69"/>
      <c r="L52" s="70" t="s">
        <v>365</v>
      </c>
      <c r="M52" s="312"/>
    </row>
    <row r="53" spans="1:13" s="39" customFormat="1" ht="13.15" x14ac:dyDescent="0.4">
      <c r="A53" s="39" t="str">
        <f>B15</f>
        <v>Other non-COW</v>
      </c>
      <c r="D53" s="69">
        <f>D15</f>
        <v>4.9567793567371368</v>
      </c>
      <c r="E53" s="69">
        <f>$D53</f>
        <v>4.9567793567371368</v>
      </c>
      <c r="F53" s="69">
        <f t="shared" si="6"/>
        <v>4.9567793567371368</v>
      </c>
      <c r="G53" s="69">
        <f t="shared" si="6"/>
        <v>4.9567793567371368</v>
      </c>
      <c r="H53" s="69">
        <f t="shared" si="6"/>
        <v>4.9567793567371368</v>
      </c>
      <c r="I53" s="69">
        <f t="shared" si="6"/>
        <v>4.9567793567371368</v>
      </c>
      <c r="J53" s="69">
        <f t="shared" si="6"/>
        <v>4.9567793567371368</v>
      </c>
      <c r="K53" s="69"/>
      <c r="L53" s="329" t="s">
        <v>366</v>
      </c>
      <c r="M53" s="312"/>
    </row>
    <row r="54" spans="1:13" s="39" customFormat="1" ht="13.15" x14ac:dyDescent="0.4">
      <c r="A54" s="312" t="str">
        <f>B16</f>
        <v>NCA</v>
      </c>
      <c r="D54" s="69">
        <f>D16</f>
        <v>-5.1709869879555708</v>
      </c>
      <c r="E54" s="69">
        <f>D54*(1+E30)*(1+E28)</f>
        <v>-5.2286465669625191</v>
      </c>
      <c r="F54" s="69">
        <f t="shared" ref="F54:J54" si="7">E54*(1+F30)*(1+F28)</f>
        <v>-5.3398499307763547</v>
      </c>
      <c r="G54" s="69">
        <f t="shared" si="7"/>
        <v>-5.4635871201446422</v>
      </c>
      <c r="H54" s="69">
        <f t="shared" si="7"/>
        <v>-5.6052635166641682</v>
      </c>
      <c r="I54" s="69">
        <f t="shared" si="7"/>
        <v>-5.7559110892866343</v>
      </c>
      <c r="J54" s="69">
        <f t="shared" si="7"/>
        <v>-5.9024555022907705</v>
      </c>
      <c r="L54" s="534"/>
      <c r="M54" s="312"/>
    </row>
    <row r="55" spans="1:13" s="312" customFormat="1" ht="13.15" x14ac:dyDescent="0.4">
      <c r="D55" s="74"/>
      <c r="E55" s="74"/>
      <c r="F55" s="74"/>
      <c r="G55" s="74"/>
      <c r="H55" s="74"/>
      <c r="I55" s="74"/>
      <c r="J55" s="74"/>
    </row>
    <row r="56" spans="1:13" s="39" customFormat="1" ht="13.15" x14ac:dyDescent="0.4">
      <c r="A56" s="39" t="str">
        <f>B17</f>
        <v>Total MCE</v>
      </c>
      <c r="D56" s="71">
        <f>SUM(D51:D54)</f>
        <v>160.37543587387802</v>
      </c>
      <c r="E56" s="71">
        <f>SUM(E51:E54)</f>
        <v>248.25719155728075</v>
      </c>
      <c r="F56" s="71">
        <f t="shared" ref="F56:I56" si="8">SUM(F51:F54)</f>
        <v>297.75360316188329</v>
      </c>
      <c r="G56" s="71">
        <f t="shared" si="8"/>
        <v>369.00324316811486</v>
      </c>
      <c r="H56" s="71">
        <f t="shared" si="8"/>
        <v>439.63940714634219</v>
      </c>
      <c r="I56" s="71">
        <f t="shared" si="8"/>
        <v>500.80879083879296</v>
      </c>
      <c r="J56" s="71">
        <f>SUM(J51:J54)</f>
        <v>557.67385783451994</v>
      </c>
      <c r="K56" s="64"/>
    </row>
    <row r="57" spans="1:13" s="312" customFormat="1" ht="13.15" x14ac:dyDescent="0.4">
      <c r="D57" s="406" t="b">
        <f>D56=D17</f>
        <v>1</v>
      </c>
      <c r="E57" s="74"/>
      <c r="F57" s="74"/>
      <c r="G57" s="74"/>
      <c r="H57" s="74"/>
      <c r="I57" s="74"/>
      <c r="J57" s="74"/>
      <c r="K57" s="64"/>
    </row>
    <row r="58" spans="1:13" ht="8.65" customHeight="1" thickBot="1" x14ac:dyDescent="0.5">
      <c r="A58" s="2"/>
      <c r="B58" s="2"/>
      <c r="C58" s="2"/>
      <c r="D58" s="2"/>
      <c r="E58" s="2"/>
      <c r="F58" s="2"/>
      <c r="G58" s="2"/>
      <c r="H58" s="2"/>
      <c r="I58" s="2"/>
      <c r="J58" s="2"/>
      <c r="K58" s="2"/>
      <c r="L58" s="2"/>
    </row>
    <row r="59" spans="1:13" ht="8.65" customHeight="1" x14ac:dyDescent="0.45"/>
    <row r="60" spans="1:13" ht="15.75" x14ac:dyDescent="0.5">
      <c r="A60" s="546" t="s">
        <v>234</v>
      </c>
      <c r="B60" s="366"/>
      <c r="C60" s="366"/>
      <c r="D60" s="42" t="str">
        <f t="shared" ref="D60:J60" si="9">D49</f>
        <v>2019/20</v>
      </c>
      <c r="E60" s="42" t="str">
        <f t="shared" si="9"/>
        <v>2020/21</v>
      </c>
      <c r="F60" s="42" t="str">
        <f t="shared" si="9"/>
        <v>2021/22</v>
      </c>
      <c r="G60" s="42" t="str">
        <f t="shared" si="9"/>
        <v>2022/23</v>
      </c>
      <c r="H60" s="42" t="str">
        <f t="shared" si="9"/>
        <v>2023/24</v>
      </c>
      <c r="I60" s="42" t="str">
        <f t="shared" si="9"/>
        <v>2024/25</v>
      </c>
      <c r="J60" s="42" t="str">
        <f t="shared" si="9"/>
        <v>2025/26</v>
      </c>
    </row>
    <row r="61" spans="1:13" x14ac:dyDescent="0.45">
      <c r="A61" s="199" t="s">
        <v>93</v>
      </c>
      <c r="B61" s="199" t="str">
        <f>A46</f>
        <v>Total CCA Costs</v>
      </c>
      <c r="C61" s="366"/>
      <c r="D61" s="564">
        <f>D46</f>
        <v>69.146406874735348</v>
      </c>
      <c r="E61" s="564">
        <f>E46</f>
        <v>74.38149294803975</v>
      </c>
      <c r="F61" s="564">
        <f t="shared" ref="F61:J61" si="10">F46</f>
        <v>51.691626010425963</v>
      </c>
      <c r="G61" s="564">
        <f t="shared" si="10"/>
        <v>48.609808579076308</v>
      </c>
      <c r="H61" s="564">
        <f t="shared" si="10"/>
        <v>50.21144617100331</v>
      </c>
      <c r="I61" s="564">
        <f t="shared" si="10"/>
        <v>46.534025450361206</v>
      </c>
      <c r="J61" s="564">
        <f t="shared" si="10"/>
        <v>46.295524648891444</v>
      </c>
    </row>
    <row r="62" spans="1:13" x14ac:dyDescent="0.45">
      <c r="A62" s="199"/>
      <c r="B62" s="199" t="str">
        <f>A56</f>
        <v>Total MCE</v>
      </c>
      <c r="C62" s="366"/>
      <c r="D62" s="564">
        <f>D56</f>
        <v>160.37543587387802</v>
      </c>
      <c r="E62" s="564">
        <f t="shared" ref="E62:J62" si="11">E56</f>
        <v>248.25719155728075</v>
      </c>
      <c r="F62" s="564">
        <f t="shared" si="11"/>
        <v>297.75360316188329</v>
      </c>
      <c r="G62" s="564">
        <f t="shared" si="11"/>
        <v>369.00324316811486</v>
      </c>
      <c r="H62" s="564">
        <f t="shared" si="11"/>
        <v>439.63940714634219</v>
      </c>
      <c r="I62" s="564">
        <f t="shared" si="11"/>
        <v>500.80879083879296</v>
      </c>
      <c r="J62" s="564">
        <f t="shared" si="11"/>
        <v>557.67385783451994</v>
      </c>
    </row>
  </sheetData>
  <printOptions horizontalCentered="1" verticalCentered="1"/>
  <pageMargins left="0.19685039370078741" right="0.19685039370078741" top="0.39370078740157483" bottom="0.31496062992125984" header="0.19685039370078741" footer="0.19685039370078741"/>
  <pageSetup paperSize="9" scale="70" orientation="landscape" r:id="rId1"/>
  <headerFooter>
    <oddHeader>&amp;CPage &amp;P of &amp;N&amp;R&amp;D &amp;T&amp;L&amp;"Calibri"&amp;12&amp;K000000Classification: HIGHLY SENSITIVE&amp;1#_x000D_&amp;"Calibri"&amp;11&amp;K000000File: &amp;F Sheet: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D0D8-5C13-462C-957B-7E48C12377EF}">
  <sheetPr codeName="Sheet19">
    <tabColor theme="0"/>
  </sheetPr>
  <dimension ref="A1:R125"/>
  <sheetViews>
    <sheetView showGridLines="0" zoomScaleNormal="100" workbookViewId="0">
      <selection activeCell="O118" sqref="O118"/>
    </sheetView>
  </sheetViews>
  <sheetFormatPr defaultColWidth="8.86328125" defaultRowHeight="14.25" x14ac:dyDescent="0.45"/>
  <cols>
    <col min="1" max="1" width="3.1328125" style="8" customWidth="1"/>
    <col min="2" max="2" width="13" style="8" customWidth="1"/>
    <col min="3" max="3" width="43.265625" style="8" bestFit="1" customWidth="1"/>
    <col min="4" max="5" width="17.73046875" style="8" bestFit="1" customWidth="1"/>
    <col min="6" max="9" width="12" style="8" customWidth="1"/>
    <col min="10" max="10" width="13.265625" style="8" customWidth="1"/>
    <col min="11" max="11" width="13.73046875" style="8" customWidth="1"/>
    <col min="12" max="12" width="2.3984375" style="8" customWidth="1"/>
    <col min="13" max="13" width="11.265625" style="8" customWidth="1"/>
    <col min="14" max="14" width="7" style="8" customWidth="1"/>
    <col min="15" max="15" width="36.265625" style="8" bestFit="1" customWidth="1"/>
    <col min="16" max="16384" width="8.86328125" style="8"/>
  </cols>
  <sheetData>
    <row r="1" spans="1:15" ht="21" x14ac:dyDescent="0.65">
      <c r="A1" s="127" t="s">
        <v>310</v>
      </c>
    </row>
    <row r="2" spans="1:15" ht="9" customHeight="1" x14ac:dyDescent="0.45"/>
    <row r="3" spans="1:15" s="39" customFormat="1" ht="15.75" x14ac:dyDescent="0.5">
      <c r="A3" s="12" t="s">
        <v>266</v>
      </c>
      <c r="D3" s="45" t="s">
        <v>37</v>
      </c>
      <c r="E3" s="45" t="s">
        <v>38</v>
      </c>
      <c r="F3" s="45" t="s">
        <v>45</v>
      </c>
      <c r="G3" s="45" t="s">
        <v>46</v>
      </c>
      <c r="H3" s="45" t="s">
        <v>47</v>
      </c>
      <c r="I3" s="45" t="s">
        <v>52</v>
      </c>
      <c r="J3" s="45" t="s">
        <v>51</v>
      </c>
      <c r="M3" s="268"/>
      <c r="O3" s="40" t="s">
        <v>53</v>
      </c>
    </row>
    <row r="4" spans="1:15" s="39" customFormat="1" ht="9" customHeight="1" x14ac:dyDescent="0.4">
      <c r="M4" s="199"/>
    </row>
    <row r="5" spans="1:15" s="39" customFormat="1" ht="13.15" x14ac:dyDescent="0.4">
      <c r="B5" s="39" t="str">
        <f>'Poles costs forecasts'!B61</f>
        <v>Total CCA Costs</v>
      </c>
      <c r="C5" s="80"/>
      <c r="D5" s="71">
        <f>'Poles costs forecasts'!D61</f>
        <v>69.146406874735348</v>
      </c>
      <c r="E5" s="71">
        <f>'Poles costs forecasts'!E61</f>
        <v>74.38149294803975</v>
      </c>
      <c r="F5" s="71">
        <f>'Poles costs forecasts'!F61</f>
        <v>51.691626010425963</v>
      </c>
      <c r="G5" s="71">
        <f>'Poles costs forecasts'!G61</f>
        <v>48.609808579076308</v>
      </c>
      <c r="H5" s="71">
        <f>'Poles costs forecasts'!H61</f>
        <v>50.21144617100331</v>
      </c>
      <c r="I5" s="71">
        <f>'Poles costs forecasts'!I61</f>
        <v>46.534025450361206</v>
      </c>
      <c r="J5" s="71">
        <f>'Poles costs forecasts'!J61</f>
        <v>46.295524648891444</v>
      </c>
      <c r="M5" s="199"/>
    </row>
    <row r="6" spans="1:15" s="39" customFormat="1" ht="13.15" x14ac:dyDescent="0.4">
      <c r="B6" s="312" t="str">
        <f>'Poles costs forecasts'!B62</f>
        <v>Total MCE</v>
      </c>
      <c r="C6" s="80"/>
      <c r="D6" s="71">
        <f>'Poles costs forecasts'!D62</f>
        <v>160.37543587387802</v>
      </c>
      <c r="E6" s="71">
        <f>'Poles costs forecasts'!E62</f>
        <v>248.25719155728075</v>
      </c>
      <c r="F6" s="71">
        <f>'Poles costs forecasts'!F62</f>
        <v>297.75360316188329</v>
      </c>
      <c r="G6" s="71">
        <f>'Poles costs forecasts'!G62</f>
        <v>369.00324316811486</v>
      </c>
      <c r="H6" s="71">
        <f>'Poles costs forecasts'!H62</f>
        <v>439.63940714634219</v>
      </c>
      <c r="I6" s="71">
        <f>'Poles costs forecasts'!I62</f>
        <v>500.80879083879296</v>
      </c>
      <c r="J6" s="71">
        <f>'Poles costs forecasts'!J62</f>
        <v>557.67385783451994</v>
      </c>
      <c r="M6" s="199"/>
    </row>
    <row r="7" spans="1:15" s="39" customFormat="1" ht="13.15" x14ac:dyDescent="0.4">
      <c r="C7" s="80"/>
      <c r="D7" s="131"/>
      <c r="E7" s="131"/>
      <c r="F7" s="131"/>
      <c r="G7" s="131"/>
      <c r="H7" s="131"/>
      <c r="I7" s="131"/>
      <c r="J7" s="131"/>
      <c r="M7" s="199"/>
    </row>
    <row r="8" spans="1:15" s="39" customFormat="1" ht="13.15" x14ac:dyDescent="0.4">
      <c r="B8" s="39" t="s">
        <v>29</v>
      </c>
      <c r="C8" s="80"/>
      <c r="D8" s="56">
        <f>'Pole volume forecasts'!D20</f>
        <v>4638645.2420343878</v>
      </c>
      <c r="E8" s="56">
        <f>'Pole volume forecasts'!E20</f>
        <v>4663115.3823530544</v>
      </c>
      <c r="F8" s="56">
        <f>'Pole volume forecasts'!F20</f>
        <v>4697390.5457274737</v>
      </c>
      <c r="G8" s="56">
        <f>'Pole volume forecasts'!G20</f>
        <v>4730818.2487654593</v>
      </c>
      <c r="H8" s="56">
        <f>'Pole volume forecasts'!H20</f>
        <v>4768969.0574858449</v>
      </c>
      <c r="I8" s="56">
        <f>'Pole volume forecasts'!I20</f>
        <v>4803557.9174918383</v>
      </c>
      <c r="J8" s="56">
        <f>'Pole volume forecasts'!J20</f>
        <v>4829270.1941038929</v>
      </c>
      <c r="L8" s="56"/>
      <c r="M8" s="517"/>
    </row>
    <row r="9" spans="1:15" s="39" customFormat="1" ht="13.15" x14ac:dyDescent="0.4">
      <c r="C9" s="80"/>
      <c r="M9" s="199"/>
    </row>
    <row r="10" spans="1:15" s="39" customFormat="1" ht="13.15" x14ac:dyDescent="0.4">
      <c r="B10" s="39" t="s">
        <v>2</v>
      </c>
      <c r="C10" s="80"/>
      <c r="D10" s="78">
        <f>'Parameters and Assumptions'!D4</f>
        <v>8.1000000000000003E-2</v>
      </c>
      <c r="E10" s="78">
        <f>'Parameters and Assumptions'!E4</f>
        <v>7.0000000000000007E-2</v>
      </c>
      <c r="F10" s="78">
        <f>'Parameters and Assumptions'!F4</f>
        <v>7.0000000000000007E-2</v>
      </c>
      <c r="G10" s="78">
        <f>'Parameters and Assumptions'!G4</f>
        <v>7.0000000000000007E-2</v>
      </c>
      <c r="H10" s="78">
        <f>'Parameters and Assumptions'!H4</f>
        <v>7.0000000000000007E-2</v>
      </c>
      <c r="I10" s="78">
        <f>'Parameters and Assumptions'!I4</f>
        <v>7.0000000000000007E-2</v>
      </c>
      <c r="J10" s="78">
        <f>'Parameters and Assumptions'!J4</f>
        <v>7.0000000000000007E-2</v>
      </c>
      <c r="M10" s="199"/>
    </row>
    <row r="11" spans="1:15" s="39" customFormat="1" ht="13.15" x14ac:dyDescent="0.4">
      <c r="C11" s="80"/>
      <c r="D11" s="78"/>
      <c r="E11" s="78"/>
      <c r="F11" s="78"/>
      <c r="G11" s="78"/>
      <c r="H11" s="78"/>
      <c r="I11" s="78"/>
      <c r="J11" s="78"/>
      <c r="M11" s="199"/>
    </row>
    <row r="12" spans="1:15" s="39" customFormat="1" ht="13.15" x14ac:dyDescent="0.4">
      <c r="B12" s="39" t="str">
        <f>'Parameters and Assumptions'!C33</f>
        <v>Attachment costs</v>
      </c>
      <c r="D12" s="135">
        <f>'Parameters and Assumptions'!D33</f>
        <v>0.9</v>
      </c>
      <c r="E12" s="78">
        <f>$D12</f>
        <v>0.9</v>
      </c>
      <c r="F12" s="78">
        <f t="shared" ref="F12:J12" si="0">$D12</f>
        <v>0.9</v>
      </c>
      <c r="G12" s="78">
        <f t="shared" si="0"/>
        <v>0.9</v>
      </c>
      <c r="H12" s="78">
        <f t="shared" si="0"/>
        <v>0.9</v>
      </c>
      <c r="I12" s="78">
        <f t="shared" si="0"/>
        <v>0.9</v>
      </c>
      <c r="J12" s="78">
        <f t="shared" si="0"/>
        <v>0.9</v>
      </c>
      <c r="M12" s="189"/>
      <c r="O12" s="70" t="s">
        <v>299</v>
      </c>
    </row>
    <row r="13" spans="1:15" s="39" customFormat="1" ht="13.15" x14ac:dyDescent="0.4">
      <c r="B13" s="312" t="str">
        <f>'Parameters and Assumptions'!C34</f>
        <v>Manifold costs</v>
      </c>
      <c r="D13" s="135">
        <f>'Parameters and Assumptions'!D34</f>
        <v>7.0000000000000007E-2</v>
      </c>
      <c r="E13" s="78">
        <f t="shared" ref="E13:E14" si="1">$D13</f>
        <v>7.0000000000000007E-2</v>
      </c>
      <c r="F13" s="78">
        <f t="shared" ref="F13:J14" si="2">$D13</f>
        <v>7.0000000000000007E-2</v>
      </c>
      <c r="G13" s="78">
        <f t="shared" si="2"/>
        <v>7.0000000000000007E-2</v>
      </c>
      <c r="H13" s="78">
        <f t="shared" si="2"/>
        <v>7.0000000000000007E-2</v>
      </c>
      <c r="I13" s="78">
        <f t="shared" si="2"/>
        <v>7.0000000000000007E-2</v>
      </c>
      <c r="J13" s="78">
        <f t="shared" si="2"/>
        <v>7.0000000000000007E-2</v>
      </c>
      <c r="M13" s="189"/>
      <c r="O13" s="70" t="s">
        <v>299</v>
      </c>
    </row>
    <row r="14" spans="1:15" s="39" customFormat="1" ht="13.15" x14ac:dyDescent="0.4">
      <c r="B14" s="312" t="str">
        <f>'Parameters and Assumptions'!C35</f>
        <v>Cables up poles costs</v>
      </c>
      <c r="D14" s="135">
        <f>'Parameters and Assumptions'!D35</f>
        <v>0.03</v>
      </c>
      <c r="E14" s="78">
        <f t="shared" si="1"/>
        <v>0.03</v>
      </c>
      <c r="F14" s="78">
        <f t="shared" si="2"/>
        <v>0.03</v>
      </c>
      <c r="G14" s="78">
        <f t="shared" si="2"/>
        <v>0.03</v>
      </c>
      <c r="H14" s="78">
        <f t="shared" si="2"/>
        <v>0.03</v>
      </c>
      <c r="I14" s="78">
        <f t="shared" si="2"/>
        <v>0.03</v>
      </c>
      <c r="J14" s="78">
        <f t="shared" si="2"/>
        <v>0.03</v>
      </c>
      <c r="M14" s="189"/>
      <c r="O14" s="70" t="s">
        <v>299</v>
      </c>
    </row>
    <row r="15" spans="1:15" s="39" customFormat="1" ht="13.15" x14ac:dyDescent="0.4">
      <c r="D15" s="78"/>
      <c r="M15" s="199"/>
    </row>
    <row r="16" spans="1:15" s="3" customFormat="1" ht="26.25" x14ac:dyDescent="0.45">
      <c r="B16" s="137" t="s">
        <v>95</v>
      </c>
      <c r="C16" s="257"/>
      <c r="D16" s="274" t="str">
        <f>'Input data'!D4</f>
        <v>Published 01/04/2017</v>
      </c>
      <c r="E16" s="274" t="str">
        <f>'Input data'!E4</f>
        <v>Published 01/05/2018</v>
      </c>
      <c r="F16" s="274" t="str">
        <f>'Input data'!F4</f>
        <v>Published 01/04/2019</v>
      </c>
      <c r="G16" s="274" t="str">
        <f>'Input data'!G4</f>
        <v>Published 01/04/2020</v>
      </c>
      <c r="H16" s="86"/>
      <c r="I16" s="4"/>
      <c r="J16" s="4"/>
      <c r="K16" s="4"/>
      <c r="M16" s="258"/>
    </row>
    <row r="17" spans="1:15" x14ac:dyDescent="0.45">
      <c r="B17" s="107" t="str">
        <f>'Input data'!A13</f>
        <v>Facility on pole for Multi-end-user attachment</v>
      </c>
      <c r="C17" s="65"/>
      <c r="D17" s="108">
        <f>'Input data'!D13</f>
        <v>15.48</v>
      </c>
      <c r="E17" s="108">
        <f>'Input data'!E13</f>
        <v>11.13</v>
      </c>
      <c r="F17" s="108">
        <f>'Input data'!F13</f>
        <v>11.39</v>
      </c>
      <c r="G17" s="108">
        <f>'Input data'!G13</f>
        <v>11.56</v>
      </c>
      <c r="H17" s="39"/>
      <c r="I17" s="7"/>
      <c r="J17" s="7"/>
      <c r="K17" s="7"/>
      <c r="M17" s="259"/>
    </row>
    <row r="18" spans="1:15" x14ac:dyDescent="0.45">
      <c r="B18" s="107" t="str">
        <f>'Input data'!A14</f>
        <v>Facility on pole for Single-end-user attachment</v>
      </c>
      <c r="C18" s="65"/>
      <c r="D18" s="108">
        <f>'Input data'!D14</f>
        <v>8.85</v>
      </c>
      <c r="E18" s="108">
        <f>'Input data'!E14</f>
        <v>4.76</v>
      </c>
      <c r="F18" s="108">
        <f>'Input data'!F14</f>
        <v>4.87</v>
      </c>
      <c r="G18" s="108">
        <f>'Input data'!G14</f>
        <v>4.9400000000000004</v>
      </c>
      <c r="H18" s="39"/>
      <c r="I18" s="7"/>
      <c r="J18" s="7"/>
      <c r="K18" s="7"/>
      <c r="M18" s="259"/>
    </row>
    <row r="19" spans="1:15" x14ac:dyDescent="0.45">
      <c r="B19" s="107" t="str">
        <f>'Input data'!A15</f>
        <v>Pole top equipment</v>
      </c>
      <c r="C19" s="65"/>
      <c r="D19" s="108">
        <f>'Input data'!D15</f>
        <v>3.72</v>
      </c>
      <c r="E19" s="108">
        <f>'Input data'!E15</f>
        <v>3.45</v>
      </c>
      <c r="F19" s="108">
        <f>'Input data'!F15</f>
        <v>3.53</v>
      </c>
      <c r="G19" s="108">
        <f>'Input data'!G15</f>
        <v>3.58</v>
      </c>
      <c r="H19" s="39"/>
      <c r="I19" s="7"/>
      <c r="J19" s="7"/>
      <c r="K19" s="7"/>
      <c r="M19" s="259"/>
    </row>
    <row r="20" spans="1:15" x14ac:dyDescent="0.45">
      <c r="B20" s="107" t="str">
        <f>'Input data'!A16</f>
        <v>Cable up a pole (per cable)</v>
      </c>
      <c r="C20" s="65"/>
      <c r="D20" s="108">
        <f>'Input data'!D16</f>
        <v>2.39</v>
      </c>
      <c r="E20" s="108">
        <f>'Input data'!E16</f>
        <v>2.25</v>
      </c>
      <c r="F20" s="108">
        <f>'Input data'!F16</f>
        <v>2.2999999999999998</v>
      </c>
      <c r="G20" s="108">
        <f>'Input data'!G16</f>
        <v>2.33</v>
      </c>
      <c r="H20" s="39"/>
      <c r="I20" s="7"/>
      <c r="J20" s="7"/>
      <c r="K20" s="7"/>
      <c r="M20" s="259"/>
    </row>
    <row r="21" spans="1:15" ht="9" customHeight="1" thickBot="1" x14ac:dyDescent="0.5">
      <c r="A21" s="2"/>
      <c r="B21" s="2"/>
      <c r="C21" s="253"/>
      <c r="D21" s="253"/>
      <c r="E21" s="253"/>
      <c r="F21" s="253"/>
      <c r="G21" s="253"/>
      <c r="H21" s="253"/>
      <c r="I21" s="253"/>
      <c r="J21" s="253"/>
      <c r="K21" s="253"/>
      <c r="L21" s="253"/>
      <c r="M21" s="523"/>
      <c r="N21" s="253"/>
      <c r="O21" s="253"/>
    </row>
    <row r="22" spans="1:15" ht="9" customHeight="1" x14ac:dyDescent="0.45">
      <c r="M22" s="366"/>
    </row>
    <row r="23" spans="1:15" ht="15.75" x14ac:dyDescent="0.5">
      <c r="A23" s="12" t="s">
        <v>249</v>
      </c>
      <c r="D23" s="45" t="str">
        <f t="shared" ref="D23:J23" si="3">D$3</f>
        <v>2019/20</v>
      </c>
      <c r="E23" s="45" t="str">
        <f t="shared" si="3"/>
        <v>2020/21</v>
      </c>
      <c r="F23" s="45" t="str">
        <f t="shared" si="3"/>
        <v>2021/22</v>
      </c>
      <c r="G23" s="45" t="str">
        <f t="shared" si="3"/>
        <v>2022/23</v>
      </c>
      <c r="H23" s="45" t="str">
        <f t="shared" si="3"/>
        <v>2023/24</v>
      </c>
      <c r="I23" s="45" t="str">
        <f t="shared" si="3"/>
        <v>2024/25</v>
      </c>
      <c r="J23" s="45" t="str">
        <f t="shared" si="3"/>
        <v>2025/26</v>
      </c>
      <c r="M23" s="268"/>
    </row>
    <row r="24" spans="1:15" s="39" customFormat="1" ht="9" customHeight="1" x14ac:dyDescent="0.4">
      <c r="M24" s="199"/>
    </row>
    <row r="25" spans="1:15" s="39" customFormat="1" ht="13.15" x14ac:dyDescent="0.4">
      <c r="B25" s="39" t="s">
        <v>3</v>
      </c>
      <c r="C25" s="80"/>
      <c r="D25" s="74">
        <f>D5+D6*D$10</f>
        <v>82.136817180519472</v>
      </c>
      <c r="E25" s="74">
        <f t="shared" ref="E25:J25" si="4">E5+E6*E$10</f>
        <v>91.7594963570494</v>
      </c>
      <c r="F25" s="74">
        <f t="shared" si="4"/>
        <v>72.534378231757799</v>
      </c>
      <c r="G25" s="74">
        <f t="shared" si="4"/>
        <v>74.440035600844354</v>
      </c>
      <c r="H25" s="74">
        <f t="shared" si="4"/>
        <v>80.986204671247265</v>
      </c>
      <c r="I25" s="74">
        <f t="shared" si="4"/>
        <v>81.590640809076717</v>
      </c>
      <c r="J25" s="74">
        <f t="shared" si="4"/>
        <v>85.332694697307844</v>
      </c>
      <c r="M25" s="208"/>
    </row>
    <row r="26" spans="1:15" s="39" customFormat="1" ht="9" customHeight="1" x14ac:dyDescent="0.4">
      <c r="C26" s="80"/>
      <c r="D26" s="74"/>
      <c r="E26" s="74"/>
      <c r="F26" s="74"/>
      <c r="G26" s="74"/>
      <c r="H26" s="74"/>
      <c r="I26" s="74"/>
      <c r="J26" s="74"/>
      <c r="M26" s="199"/>
    </row>
    <row r="27" spans="1:15" s="39" customFormat="1" ht="13.15" x14ac:dyDescent="0.4">
      <c r="B27" s="39" t="s">
        <v>113</v>
      </c>
      <c r="C27" s="80" t="str">
        <f>B12</f>
        <v>Attachment costs</v>
      </c>
      <c r="D27" s="74">
        <f>D$25*D12</f>
        <v>73.923135462467528</v>
      </c>
      <c r="E27" s="74">
        <f t="shared" ref="D27:J29" si="5">E$25*E12</f>
        <v>82.583546721344462</v>
      </c>
      <c r="F27" s="74">
        <f t="shared" si="5"/>
        <v>65.280940408582026</v>
      </c>
      <c r="G27" s="74">
        <f t="shared" si="5"/>
        <v>66.996032040759914</v>
      </c>
      <c r="H27" s="74">
        <f t="shared" si="5"/>
        <v>72.887584204122547</v>
      </c>
      <c r="I27" s="74">
        <f t="shared" si="5"/>
        <v>73.431576728169048</v>
      </c>
      <c r="J27" s="74">
        <f t="shared" si="5"/>
        <v>76.799425227577061</v>
      </c>
      <c r="M27" s="527"/>
    </row>
    <row r="28" spans="1:15" s="39" customFormat="1" ht="13.15" x14ac:dyDescent="0.4">
      <c r="C28" s="80" t="str">
        <f>B13</f>
        <v>Manifold costs</v>
      </c>
      <c r="D28" s="260">
        <f t="shared" si="5"/>
        <v>5.7495772026363632</v>
      </c>
      <c r="E28" s="260">
        <f t="shared" si="5"/>
        <v>6.4231647449934588</v>
      </c>
      <c r="F28" s="260">
        <f t="shared" si="5"/>
        <v>5.0774064762230466</v>
      </c>
      <c r="G28" s="260">
        <f t="shared" si="5"/>
        <v>5.2108024920591056</v>
      </c>
      <c r="H28" s="260">
        <f t="shared" si="5"/>
        <v>5.6690343269873091</v>
      </c>
      <c r="I28" s="260">
        <f t="shared" si="5"/>
        <v>5.7113448566353711</v>
      </c>
      <c r="J28" s="260">
        <f t="shared" si="5"/>
        <v>5.9732886288115496</v>
      </c>
      <c r="M28" s="527"/>
    </row>
    <row r="29" spans="1:15" s="39" customFormat="1" ht="13.15" x14ac:dyDescent="0.4">
      <c r="C29" s="81" t="str">
        <f>B14</f>
        <v>Cables up poles costs</v>
      </c>
      <c r="D29" s="77">
        <f t="shared" si="5"/>
        <v>2.4641045154155843</v>
      </c>
      <c r="E29" s="77">
        <f t="shared" si="5"/>
        <v>2.752784890711482</v>
      </c>
      <c r="F29" s="77">
        <f t="shared" si="5"/>
        <v>2.1760313469527337</v>
      </c>
      <c r="G29" s="77">
        <f t="shared" si="5"/>
        <v>2.2332010680253305</v>
      </c>
      <c r="H29" s="77">
        <f t="shared" si="5"/>
        <v>2.4295861401374177</v>
      </c>
      <c r="I29" s="77">
        <f t="shared" si="5"/>
        <v>2.4477192242723014</v>
      </c>
      <c r="J29" s="77">
        <f t="shared" si="5"/>
        <v>2.5599808409192351</v>
      </c>
      <c r="M29" s="527"/>
    </row>
    <row r="30" spans="1:15" s="39" customFormat="1" ht="13.15" x14ac:dyDescent="0.4">
      <c r="C30" s="80" t="s">
        <v>1</v>
      </c>
      <c r="D30" s="74">
        <f>SUM(D27:D29)</f>
        <v>82.136817180519472</v>
      </c>
      <c r="E30" s="74">
        <f t="shared" ref="E30:J30" si="6">SUM(E27:E29)</f>
        <v>91.7594963570494</v>
      </c>
      <c r="F30" s="74">
        <f t="shared" si="6"/>
        <v>72.534378231757813</v>
      </c>
      <c r="G30" s="74">
        <f t="shared" si="6"/>
        <v>74.44003560084434</v>
      </c>
      <c r="H30" s="74">
        <f t="shared" si="6"/>
        <v>80.986204671247279</v>
      </c>
      <c r="I30" s="74">
        <f t="shared" si="6"/>
        <v>81.590640809076717</v>
      </c>
      <c r="J30" s="74">
        <f t="shared" si="6"/>
        <v>85.332694697307844</v>
      </c>
      <c r="M30" s="527"/>
    </row>
    <row r="31" spans="1:15" s="39" customFormat="1" ht="13.15" x14ac:dyDescent="0.4">
      <c r="C31" s="80"/>
      <c r="D31" s="114" t="b">
        <f>IF(ABS(D30-D25)&lt;0.0000001,TRUE,FALSE)</f>
        <v>1</v>
      </c>
      <c r="E31" s="114" t="b">
        <f t="shared" ref="E31:J31" si="7">IF(ABS(E30-E25)&lt;0.0000001,TRUE,FALSE)</f>
        <v>1</v>
      </c>
      <c r="F31" s="114" t="b">
        <f t="shared" si="7"/>
        <v>1</v>
      </c>
      <c r="G31" s="114" t="b">
        <f t="shared" si="7"/>
        <v>1</v>
      </c>
      <c r="H31" s="114" t="b">
        <f t="shared" si="7"/>
        <v>1</v>
      </c>
      <c r="I31" s="114" t="b">
        <f t="shared" si="7"/>
        <v>1</v>
      </c>
      <c r="J31" s="114" t="b">
        <f t="shared" si="7"/>
        <v>1</v>
      </c>
      <c r="M31" s="529"/>
    </row>
    <row r="32" spans="1:15" s="39" customFormat="1" ht="13.15" x14ac:dyDescent="0.4">
      <c r="C32" s="80"/>
      <c r="D32" s="112"/>
      <c r="E32" s="112"/>
      <c r="F32" s="112"/>
      <c r="G32" s="112"/>
      <c r="H32" s="112"/>
      <c r="I32" s="112"/>
      <c r="J32" s="112"/>
      <c r="M32" s="65"/>
    </row>
    <row r="33" spans="2:18" s="39" customFormat="1" ht="13.15" x14ac:dyDescent="0.4">
      <c r="B33" s="39" t="s">
        <v>16</v>
      </c>
      <c r="C33" s="80" t="str">
        <f>CONCATENATE(C27,"/pole")</f>
        <v>Attachment costs/pole</v>
      </c>
      <c r="D33" s="112">
        <f>Million*D27/D$8</f>
        <v>15.936363227908064</v>
      </c>
      <c r="E33" s="112">
        <f t="shared" ref="D33:J36" si="8">Million*E27/E$8</f>
        <v>17.709951384405155</v>
      </c>
      <c r="F33" s="112">
        <f t="shared" si="8"/>
        <v>13.897277599785376</v>
      </c>
      <c r="G33" s="112">
        <f t="shared" si="8"/>
        <v>14.161616134427275</v>
      </c>
      <c r="H33" s="112">
        <f t="shared" si="8"/>
        <v>15.283719253684607</v>
      </c>
      <c r="I33" s="112">
        <f t="shared" si="8"/>
        <v>15.286913989477014</v>
      </c>
      <c r="J33" s="112">
        <f t="shared" si="8"/>
        <v>15.902905023070005</v>
      </c>
      <c r="M33" s="530"/>
      <c r="N33" s="78"/>
    </row>
    <row r="34" spans="2:18" s="39" customFormat="1" ht="13.15" x14ac:dyDescent="0.4">
      <c r="C34" s="80" t="str">
        <f t="shared" ref="C34:C35" si="9">CONCATENATE(C28,"/pole")</f>
        <v>Manifold costs/pole</v>
      </c>
      <c r="D34" s="112">
        <f t="shared" si="8"/>
        <v>1.2394949177261829</v>
      </c>
      <c r="E34" s="112">
        <f t="shared" si="8"/>
        <v>1.3774406632315124</v>
      </c>
      <c r="F34" s="112">
        <f t="shared" si="8"/>
        <v>1.080899368872196</v>
      </c>
      <c r="G34" s="112">
        <f t="shared" si="8"/>
        <v>1.1014590326776772</v>
      </c>
      <c r="H34" s="112">
        <f t="shared" si="8"/>
        <v>1.188733719731025</v>
      </c>
      <c r="I34" s="112">
        <f t="shared" si="8"/>
        <v>1.1889821991815457</v>
      </c>
      <c r="J34" s="112">
        <f t="shared" si="8"/>
        <v>1.2368926129054449</v>
      </c>
      <c r="M34" s="530"/>
      <c r="N34" s="78"/>
    </row>
    <row r="35" spans="2:18" s="39" customFormat="1" ht="13.15" x14ac:dyDescent="0.4">
      <c r="C35" s="81" t="str">
        <f t="shared" si="9"/>
        <v>Cables up poles costs/pole</v>
      </c>
      <c r="D35" s="113">
        <f t="shared" si="8"/>
        <v>0.53121210759693549</v>
      </c>
      <c r="E35" s="113">
        <f t="shared" si="8"/>
        <v>0.59033171281350527</v>
      </c>
      <c r="F35" s="113">
        <f t="shared" si="8"/>
        <v>0.4632425866595124</v>
      </c>
      <c r="G35" s="113">
        <f t="shared" si="8"/>
        <v>0.47205387114757585</v>
      </c>
      <c r="H35" s="113">
        <f t="shared" si="8"/>
        <v>0.50945730845615345</v>
      </c>
      <c r="I35" s="113">
        <f t="shared" si="8"/>
        <v>0.50956379964923371</v>
      </c>
      <c r="J35" s="113">
        <f>Million*J29/J$8</f>
        <v>0.53009683410233355</v>
      </c>
      <c r="M35" s="530"/>
      <c r="N35" s="78"/>
      <c r="R35" s="132"/>
    </row>
    <row r="36" spans="2:18" s="39" customFormat="1" ht="13.15" x14ac:dyDescent="0.4">
      <c r="C36" s="80" t="s">
        <v>1</v>
      </c>
      <c r="D36" s="112">
        <f>Million*D30/D$8</f>
        <v>17.707070253231183</v>
      </c>
      <c r="E36" s="112">
        <f t="shared" si="8"/>
        <v>19.677723760450178</v>
      </c>
      <c r="F36" s="112">
        <f t="shared" si="8"/>
        <v>15.441419555317088</v>
      </c>
      <c r="G36" s="112">
        <f t="shared" si="8"/>
        <v>15.735129038252525</v>
      </c>
      <c r="H36" s="112">
        <f t="shared" si="8"/>
        <v>16.981910281871787</v>
      </c>
      <c r="I36" s="112">
        <f t="shared" si="8"/>
        <v>16.985459988307788</v>
      </c>
      <c r="J36" s="112">
        <f t="shared" si="8"/>
        <v>17.669894470077782</v>
      </c>
      <c r="M36" s="530"/>
      <c r="N36" s="78"/>
    </row>
    <row r="37" spans="2:18" s="39" customFormat="1" ht="13.15" x14ac:dyDescent="0.4">
      <c r="C37" s="80"/>
      <c r="D37" s="114" t="b">
        <f>IF(ABS(D36-SUM(D33:D35))&lt;0.0000001,TRUE,FALSE)</f>
        <v>1</v>
      </c>
      <c r="E37" s="114" t="b">
        <f t="shared" ref="E37:J37" si="10">IF(ABS(E36-SUM(E33:E35))&lt;0.0000001,TRUE,FALSE)</f>
        <v>1</v>
      </c>
      <c r="F37" s="114" t="b">
        <f t="shared" si="10"/>
        <v>1</v>
      </c>
      <c r="G37" s="114" t="b">
        <f t="shared" si="10"/>
        <v>1</v>
      </c>
      <c r="H37" s="114" t="b">
        <f t="shared" si="10"/>
        <v>1</v>
      </c>
      <c r="I37" s="114" t="b">
        <f t="shared" si="10"/>
        <v>1</v>
      </c>
      <c r="J37" s="114" t="b">
        <f t="shared" si="10"/>
        <v>1</v>
      </c>
      <c r="L37" s="114"/>
      <c r="M37" s="529"/>
      <c r="N37" s="78"/>
    </row>
    <row r="38" spans="2:18" s="39" customFormat="1" ht="13.15" x14ac:dyDescent="0.4">
      <c r="C38" s="80"/>
      <c r="D38" s="262"/>
      <c r="E38" s="114"/>
      <c r="F38" s="114"/>
      <c r="G38" s="114"/>
      <c r="H38" s="114"/>
      <c r="I38" s="114"/>
      <c r="J38" s="114"/>
      <c r="M38" s="262"/>
      <c r="N38" s="78"/>
    </row>
    <row r="39" spans="2:18" s="39" customFormat="1" ht="15.75" x14ac:dyDescent="0.5">
      <c r="B39" s="263" t="str">
        <f>B20</f>
        <v>Cable up a pole (per cable)</v>
      </c>
      <c r="C39" s="80"/>
      <c r="D39" s="199"/>
      <c r="M39" s="199"/>
    </row>
    <row r="40" spans="2:18" s="39" customFormat="1" ht="13.15" x14ac:dyDescent="0.4">
      <c r="C40" s="80" t="str">
        <f>'Input data'!F155</f>
        <v>Average number of cables up a pole</v>
      </c>
      <c r="D40" s="369">
        <f>'Input data'!D155</f>
        <v>0.28999999999999998</v>
      </c>
      <c r="E40" s="235">
        <f>$D40</f>
        <v>0.28999999999999998</v>
      </c>
      <c r="F40" s="235">
        <f t="shared" ref="F40:J40" si="11">$D40</f>
        <v>0.28999999999999998</v>
      </c>
      <c r="G40" s="235">
        <f t="shared" si="11"/>
        <v>0.28999999999999998</v>
      </c>
      <c r="H40" s="235">
        <f t="shared" si="11"/>
        <v>0.28999999999999998</v>
      </c>
      <c r="I40" s="235">
        <f t="shared" si="11"/>
        <v>0.28999999999999998</v>
      </c>
      <c r="J40" s="235">
        <f t="shared" si="11"/>
        <v>0.28999999999999998</v>
      </c>
      <c r="L40" s="83"/>
      <c r="M40" s="518"/>
    </row>
    <row r="41" spans="2:18" s="39" customFormat="1" ht="13.15" x14ac:dyDescent="0.4">
      <c r="C41" s="80" t="str">
        <f>'Parameters and Assumptions'!A38</f>
        <v>Poles: Uplift ratio attachments</v>
      </c>
      <c r="D41" s="369">
        <f>'Parameters and Assumptions'!D38</f>
        <v>1.8</v>
      </c>
      <c r="E41" s="235">
        <f t="shared" ref="E41:J42" si="12">$D41</f>
        <v>1.8</v>
      </c>
      <c r="F41" s="235">
        <f t="shared" si="12"/>
        <v>1.8</v>
      </c>
      <c r="G41" s="235">
        <f t="shared" si="12"/>
        <v>1.8</v>
      </c>
      <c r="H41" s="235">
        <f t="shared" si="12"/>
        <v>1.8</v>
      </c>
      <c r="I41" s="235">
        <f t="shared" si="12"/>
        <v>1.8</v>
      </c>
      <c r="J41" s="235">
        <f t="shared" si="12"/>
        <v>1.8</v>
      </c>
      <c r="L41" s="83"/>
      <c r="M41" s="518"/>
    </row>
    <row r="42" spans="2:18" s="39" customFormat="1" ht="13.15" x14ac:dyDescent="0.4">
      <c r="C42" s="80" t="s">
        <v>34</v>
      </c>
      <c r="D42" s="369">
        <f>D40*D41</f>
        <v>0.52200000000000002</v>
      </c>
      <c r="E42" s="235">
        <f t="shared" si="12"/>
        <v>0.52200000000000002</v>
      </c>
      <c r="F42" s="235">
        <f t="shared" si="12"/>
        <v>0.52200000000000002</v>
      </c>
      <c r="G42" s="235">
        <f t="shared" si="12"/>
        <v>0.52200000000000002</v>
      </c>
      <c r="H42" s="235">
        <f t="shared" si="12"/>
        <v>0.52200000000000002</v>
      </c>
      <c r="I42" s="235">
        <f t="shared" si="12"/>
        <v>0.52200000000000002</v>
      </c>
      <c r="J42" s="235">
        <f t="shared" si="12"/>
        <v>0.52200000000000002</v>
      </c>
      <c r="L42" s="83"/>
      <c r="M42" s="369"/>
      <c r="R42" s="122"/>
    </row>
    <row r="43" spans="2:18" ht="9" customHeight="1" x14ac:dyDescent="0.45">
      <c r="C43" s="7"/>
      <c r="D43" s="264"/>
      <c r="E43" s="88"/>
      <c r="F43" s="88"/>
      <c r="G43" s="88"/>
      <c r="H43" s="88"/>
      <c r="I43" s="88"/>
      <c r="J43" s="88"/>
      <c r="L43" s="39"/>
      <c r="M43" s="366"/>
      <c r="P43" s="39"/>
    </row>
    <row r="44" spans="2:18" s="39" customFormat="1" ht="13.15" x14ac:dyDescent="0.4">
      <c r="C44" s="80" t="s">
        <v>269</v>
      </c>
      <c r="D44" s="261">
        <f>D35</f>
        <v>0.53121210759693549</v>
      </c>
      <c r="E44" s="112">
        <f t="shared" ref="E44:J44" si="13">E35</f>
        <v>0.59033171281350527</v>
      </c>
      <c r="F44" s="112">
        <f t="shared" si="13"/>
        <v>0.4632425866595124</v>
      </c>
      <c r="G44" s="112">
        <f t="shared" si="13"/>
        <v>0.47205387114757585</v>
      </c>
      <c r="H44" s="112">
        <f t="shared" si="13"/>
        <v>0.50945730845615345</v>
      </c>
      <c r="I44" s="112">
        <f t="shared" si="13"/>
        <v>0.50956379964923371</v>
      </c>
      <c r="J44" s="112">
        <f t="shared" si="13"/>
        <v>0.53009683410233355</v>
      </c>
      <c r="M44" s="261"/>
    </row>
    <row r="45" spans="2:18" s="39" customFormat="1" ht="13.15" x14ac:dyDescent="0.4">
      <c r="C45" s="80" t="s">
        <v>270</v>
      </c>
      <c r="D45" s="261">
        <f>D44/D42</f>
        <v>1.0176477157029415</v>
      </c>
      <c r="E45" s="112">
        <f t="shared" ref="E45:J45" si="14">E44/E42</f>
        <v>1.1309036643936883</v>
      </c>
      <c r="F45" s="112">
        <f t="shared" si="14"/>
        <v>0.88743790547799306</v>
      </c>
      <c r="G45" s="112">
        <f t="shared" si="14"/>
        <v>0.90431776081911075</v>
      </c>
      <c r="H45" s="112">
        <f t="shared" si="14"/>
        <v>0.97597185527998742</v>
      </c>
      <c r="I45" s="112">
        <f t="shared" si="14"/>
        <v>0.97617586139699941</v>
      </c>
      <c r="J45" s="112">
        <f t="shared" si="14"/>
        <v>1.0155111764412519</v>
      </c>
      <c r="M45" s="261"/>
      <c r="N45" s="266"/>
    </row>
    <row r="46" spans="2:18" s="39" customFormat="1" ht="13.15" x14ac:dyDescent="0.4">
      <c r="C46" s="200" t="s">
        <v>268</v>
      </c>
      <c r="D46" s="265">
        <f>ROUND(D45,2)</f>
        <v>1.02</v>
      </c>
      <c r="E46" s="265">
        <f t="shared" ref="E46:J46" si="15">ROUND(E45,2)</f>
        <v>1.1299999999999999</v>
      </c>
      <c r="F46" s="265">
        <f t="shared" si="15"/>
        <v>0.89</v>
      </c>
      <c r="G46" s="265">
        <f t="shared" si="15"/>
        <v>0.9</v>
      </c>
      <c r="H46" s="265">
        <f t="shared" si="15"/>
        <v>0.98</v>
      </c>
      <c r="I46" s="265">
        <f t="shared" si="15"/>
        <v>0.98</v>
      </c>
      <c r="J46" s="265">
        <f t="shared" si="15"/>
        <v>1.02</v>
      </c>
      <c r="L46" s="199"/>
      <c r="M46" s="265"/>
      <c r="P46" s="132"/>
    </row>
    <row r="47" spans="2:18" s="39" customFormat="1" ht="13.15" x14ac:dyDescent="0.4">
      <c r="C47" s="200" t="s">
        <v>273</v>
      </c>
      <c r="D47" s="267">
        <f>D45/(D44/D40)</f>
        <v>0.55555555555555547</v>
      </c>
      <c r="E47" s="267">
        <f t="shared" ref="E47:I47" si="16">E45/(E44/E40)</f>
        <v>0.55555555555555547</v>
      </c>
      <c r="F47" s="267">
        <f t="shared" si="16"/>
        <v>0.55555555555555547</v>
      </c>
      <c r="G47" s="267">
        <f t="shared" si="16"/>
        <v>0.55555555555555547</v>
      </c>
      <c r="H47" s="267">
        <f t="shared" si="16"/>
        <v>0.55555555555555547</v>
      </c>
      <c r="I47" s="267">
        <f t="shared" si="16"/>
        <v>0.55555555555555547</v>
      </c>
      <c r="J47" s="267">
        <f>J45/(J44/J40)</f>
        <v>0.55555555555555547</v>
      </c>
      <c r="M47" s="267"/>
      <c r="O47" s="132"/>
      <c r="P47" s="132"/>
    </row>
    <row r="48" spans="2:18" s="39" customFormat="1" ht="13.15" x14ac:dyDescent="0.4">
      <c r="C48" s="80"/>
      <c r="D48" s="236"/>
      <c r="E48" s="236"/>
      <c r="F48" s="236"/>
      <c r="G48" s="236"/>
      <c r="H48" s="236"/>
      <c r="I48" s="236"/>
      <c r="J48" s="261"/>
      <c r="M48" s="199"/>
    </row>
    <row r="49" spans="2:14" ht="15.75" x14ac:dyDescent="0.5">
      <c r="B49" s="263" t="str">
        <f>B19</f>
        <v>Pole top equipment</v>
      </c>
      <c r="C49" s="7"/>
      <c r="D49" s="264"/>
      <c r="E49" s="88"/>
      <c r="F49" s="88"/>
      <c r="G49" s="88"/>
      <c r="H49" s="88"/>
      <c r="I49" s="88"/>
      <c r="J49" s="88"/>
      <c r="L49" s="39"/>
      <c r="M49" s="366"/>
    </row>
    <row r="50" spans="2:14" s="39" customFormat="1" ht="13.15" x14ac:dyDescent="0.4">
      <c r="C50" s="80" t="s">
        <v>271</v>
      </c>
      <c r="D50" s="117">
        <f>'Pole volume forecasts'!D55</f>
        <v>2053737.8864159295</v>
      </c>
      <c r="E50" s="117">
        <f>'Pole volume forecasts'!E55</f>
        <v>2064571.9234323751</v>
      </c>
      <c r="F50" s="117">
        <f>'Pole volume forecasts'!F55</f>
        <v>2079747.08728135</v>
      </c>
      <c r="G50" s="117">
        <f>'Pole volume forecasts'!G55</f>
        <v>2094547.0421394766</v>
      </c>
      <c r="H50" s="117">
        <f>'Pole volume forecasts'!H55</f>
        <v>2111438.1293380526</v>
      </c>
      <c r="I50" s="117">
        <f>'Pole volume forecasts'!I55</f>
        <v>2126752.1808629525</v>
      </c>
      <c r="J50" s="117">
        <f>'Pole volume forecasts'!J55</f>
        <v>2138136.1677532764</v>
      </c>
      <c r="M50" s="528"/>
    </row>
    <row r="51" spans="2:14" s="39" customFormat="1" ht="13.15" x14ac:dyDescent="0.4">
      <c r="C51" s="39" t="str">
        <f>'Pole volume forecasts'!A48</f>
        <v>Total DP Poles</v>
      </c>
      <c r="D51" s="117">
        <f>'Pole volume forecasts'!D48</f>
        <v>1627248.7322605252</v>
      </c>
      <c r="E51" s="117">
        <f>'Pole volume forecasts'!E48</f>
        <v>1635832.9206892839</v>
      </c>
      <c r="F51" s="117">
        <f>'Pole volume forecasts'!F48</f>
        <v>1647856.7365318132</v>
      </c>
      <c r="G51" s="117">
        <f>'Pole volume forecasts'!G48</f>
        <v>1659583.26109938</v>
      </c>
      <c r="H51" s="117">
        <f>'Pole volume forecasts'!H48</f>
        <v>1672966.6633398442</v>
      </c>
      <c r="I51" s="117">
        <f>'Pole volume forecasts'!I48</f>
        <v>1685100.52477099</v>
      </c>
      <c r="J51" s="117">
        <f>'Pole volume forecasts'!J48</f>
        <v>1694120.4578198362</v>
      </c>
      <c r="M51" s="117"/>
    </row>
    <row r="52" spans="2:14" s="39" customFormat="1" ht="13.15" x14ac:dyDescent="0.4">
      <c r="C52" s="39" t="str">
        <f>'Parameters and Assumptions'!A39</f>
        <v xml:space="preserve">Poles: Uplift ratio of manifolds </v>
      </c>
      <c r="D52" s="384">
        <f>Manifold_uplift_ratio</f>
        <v>1</v>
      </c>
      <c r="E52" s="109">
        <f t="shared" ref="E52:J52" si="17">Manifold_uplift_ratio</f>
        <v>1</v>
      </c>
      <c r="F52" s="109">
        <f t="shared" si="17"/>
        <v>1</v>
      </c>
      <c r="G52" s="109">
        <f t="shared" si="17"/>
        <v>1</v>
      </c>
      <c r="H52" s="109">
        <f t="shared" si="17"/>
        <v>1</v>
      </c>
      <c r="I52" s="109">
        <f t="shared" si="17"/>
        <v>1</v>
      </c>
      <c r="J52" s="109">
        <f t="shared" si="17"/>
        <v>1</v>
      </c>
      <c r="M52" s="109"/>
    </row>
    <row r="53" spans="2:14" s="39" customFormat="1" ht="13.15" x14ac:dyDescent="0.4">
      <c r="C53" s="39" t="s">
        <v>34</v>
      </c>
      <c r="D53" s="117">
        <f>D50+D51*D52</f>
        <v>3680986.6186764548</v>
      </c>
      <c r="E53" s="117">
        <f t="shared" ref="E53:J53" si="18">E50+E51*E52</f>
        <v>3700404.8441216592</v>
      </c>
      <c r="F53" s="117">
        <f t="shared" si="18"/>
        <v>3727603.8238131632</v>
      </c>
      <c r="G53" s="117">
        <f t="shared" si="18"/>
        <v>3754130.3032388566</v>
      </c>
      <c r="H53" s="117">
        <f t="shared" si="18"/>
        <v>3784404.792677897</v>
      </c>
      <c r="I53" s="117">
        <f t="shared" si="18"/>
        <v>3811852.7056339425</v>
      </c>
      <c r="J53" s="117">
        <f t="shared" si="18"/>
        <v>3832256.6255731126</v>
      </c>
      <c r="M53" s="117"/>
    </row>
    <row r="54" spans="2:14" s="39" customFormat="1" ht="9" customHeight="1" x14ac:dyDescent="0.4">
      <c r="D54" s="199"/>
    </row>
    <row r="55" spans="2:14" s="39" customFormat="1" ht="13.15" x14ac:dyDescent="0.4">
      <c r="C55" s="39" t="s">
        <v>119</v>
      </c>
      <c r="D55" s="208">
        <f>D28</f>
        <v>5.7495772026363632</v>
      </c>
      <c r="E55" s="74">
        <f t="shared" ref="E55:J55" si="19">E28</f>
        <v>6.4231647449934588</v>
      </c>
      <c r="F55" s="74">
        <f t="shared" si="19"/>
        <v>5.0774064762230466</v>
      </c>
      <c r="G55" s="74">
        <f t="shared" si="19"/>
        <v>5.2108024920591056</v>
      </c>
      <c r="H55" s="74">
        <f t="shared" si="19"/>
        <v>5.6690343269873091</v>
      </c>
      <c r="I55" s="74">
        <f t="shared" si="19"/>
        <v>5.7113448566353711</v>
      </c>
      <c r="J55" s="74">
        <f t="shared" si="19"/>
        <v>5.9732886288115496</v>
      </c>
      <c r="M55" s="74"/>
    </row>
    <row r="56" spans="2:14" s="39" customFormat="1" ht="13.15" x14ac:dyDescent="0.4">
      <c r="C56" s="39" t="s">
        <v>272</v>
      </c>
      <c r="D56" s="112">
        <f>D55*Million/D53</f>
        <v>1.5619663417042511</v>
      </c>
      <c r="E56" s="112">
        <f t="shared" ref="E56:J56" si="20">E55*Million/E53</f>
        <v>1.7358005449585026</v>
      </c>
      <c r="F56" s="112">
        <f t="shared" si="20"/>
        <v>1.3621100085226061</v>
      </c>
      <c r="G56" s="112">
        <f t="shared" si="20"/>
        <v>1.3880185478813862</v>
      </c>
      <c r="H56" s="112">
        <f t="shared" si="20"/>
        <v>1.4979989291726434</v>
      </c>
      <c r="I56" s="112">
        <f t="shared" si="20"/>
        <v>1.4983120539243207</v>
      </c>
      <c r="J56" s="112">
        <f t="shared" si="20"/>
        <v>1.5586870119686325</v>
      </c>
      <c r="M56" s="112"/>
      <c r="N56" s="266"/>
    </row>
    <row r="57" spans="2:14" s="39" customFormat="1" ht="13.15" x14ac:dyDescent="0.4">
      <c r="C57" s="200" t="s">
        <v>268</v>
      </c>
      <c r="D57" s="265">
        <f>ROUND(D56,2)</f>
        <v>1.56</v>
      </c>
      <c r="E57" s="265">
        <f t="shared" ref="E57:J57" si="21">ROUND(E56,2)</f>
        <v>1.74</v>
      </c>
      <c r="F57" s="265">
        <f t="shared" si="21"/>
        <v>1.36</v>
      </c>
      <c r="G57" s="265">
        <f t="shared" si="21"/>
        <v>1.39</v>
      </c>
      <c r="H57" s="265">
        <f t="shared" si="21"/>
        <v>1.5</v>
      </c>
      <c r="I57" s="265">
        <f t="shared" si="21"/>
        <v>1.5</v>
      </c>
      <c r="J57" s="265">
        <f t="shared" si="21"/>
        <v>1.56</v>
      </c>
      <c r="L57" s="199"/>
      <c r="M57" s="265"/>
    </row>
    <row r="58" spans="2:14" s="39" customFormat="1" ht="13.15" x14ac:dyDescent="0.4">
      <c r="C58" s="200" t="s">
        <v>273</v>
      </c>
      <c r="D58" s="373">
        <f>D56/(D55*Million/D50)</f>
        <v>0.55793136437816693</v>
      </c>
      <c r="E58" s="373">
        <f>E56/(E55*Million/E50)</f>
        <v>0.55793136437816682</v>
      </c>
      <c r="F58" s="373">
        <f t="shared" ref="F58:I58" si="22">F56/(F55*Million/F50)</f>
        <v>0.55793136437816693</v>
      </c>
      <c r="G58" s="373">
        <f t="shared" si="22"/>
        <v>0.55793136437816693</v>
      </c>
      <c r="H58" s="373">
        <f t="shared" si="22"/>
        <v>0.55793136437816682</v>
      </c>
      <c r="I58" s="373">
        <f t="shared" si="22"/>
        <v>0.55793136437816682</v>
      </c>
      <c r="J58" s="373">
        <f>J56/(J55*Million/J50)</f>
        <v>0.55793136437816682</v>
      </c>
      <c r="L58" s="373"/>
      <c r="M58" s="373"/>
    </row>
    <row r="59" spans="2:14" x14ac:dyDescent="0.45">
      <c r="J59" s="479"/>
    </row>
    <row r="60" spans="2:14" ht="15.75" x14ac:dyDescent="0.5">
      <c r="B60" s="12" t="s">
        <v>157</v>
      </c>
    </row>
    <row r="61" spans="2:14" s="39" customFormat="1" ht="13.15" x14ac:dyDescent="0.4">
      <c r="C61" s="39" t="str">
        <f>CONCATENATE('Pole volume forecasts'!A102," - ",'Pole volume forecasts'!B102)</f>
        <v>Attachments/Pole - Single</v>
      </c>
      <c r="D61" s="122">
        <f>'Pole volume forecasts'!D102</f>
        <v>5.0499472048642531</v>
      </c>
      <c r="E61" s="122">
        <f>'Pole volume forecasts'!E102</f>
        <v>5.0499472048642531</v>
      </c>
      <c r="F61" s="122">
        <f>'Pole volume forecasts'!F102</f>
        <v>5.0499472048642531</v>
      </c>
      <c r="G61" s="122">
        <f>'Pole volume forecasts'!G102</f>
        <v>5.0499472048642531</v>
      </c>
      <c r="H61" s="122">
        <f>'Pole volume forecasts'!H102</f>
        <v>5.0499472048642531</v>
      </c>
      <c r="I61" s="122">
        <f>'Pole volume forecasts'!I102</f>
        <v>5.0499472048642522</v>
      </c>
      <c r="J61" s="122">
        <f>'Pole volume forecasts'!J102</f>
        <v>5.0499472048642522</v>
      </c>
      <c r="L61" s="122"/>
      <c r="M61" s="122"/>
    </row>
    <row r="62" spans="2:14" s="39" customFormat="1" ht="13.15" x14ac:dyDescent="0.4">
      <c r="C62" s="312" t="str">
        <f>CONCATENATE('Pole volume forecasts'!A107," - ",'Pole volume forecasts'!B107)</f>
        <v>Attachments/Pole - Multi</v>
      </c>
      <c r="D62" s="122">
        <f>'Pole volume forecasts'!D107</f>
        <v>1.1844091951179219</v>
      </c>
      <c r="E62" s="122">
        <f>'Pole volume forecasts'!E107</f>
        <v>1.1844091951179216</v>
      </c>
      <c r="F62" s="122">
        <f>'Pole volume forecasts'!F107</f>
        <v>1.1844091951179214</v>
      </c>
      <c r="G62" s="122">
        <f>'Pole volume forecasts'!G107</f>
        <v>1.1844091951179214</v>
      </c>
      <c r="H62" s="122">
        <f>'Pole volume forecasts'!H107</f>
        <v>1.1844091951179212</v>
      </c>
      <c r="I62" s="122">
        <f>'Pole volume forecasts'!I107</f>
        <v>1.1844091951179212</v>
      </c>
      <c r="J62" s="122">
        <f>'Pole volume forecasts'!J107</f>
        <v>1.1844091951179214</v>
      </c>
      <c r="L62" s="122"/>
      <c r="M62" s="122"/>
    </row>
    <row r="63" spans="2:14" s="39" customFormat="1" ht="9" customHeight="1" x14ac:dyDescent="0.4">
      <c r="D63" s="312"/>
    </row>
    <row r="64" spans="2:14" s="39" customFormat="1" ht="13.15" x14ac:dyDescent="0.4">
      <c r="C64" s="312" t="str">
        <f>CONCATENATE('Pole volume forecasts'!A112," - ",'Pole volume forecasts'!B112)</f>
        <v>Total Attachments/pole - Single</v>
      </c>
      <c r="D64" s="122">
        <f>'Pole volume forecasts'!D112</f>
        <v>5.0499472048642531</v>
      </c>
      <c r="E64" s="122">
        <f>'Pole volume forecasts'!E112</f>
        <v>5.0499472048642531</v>
      </c>
      <c r="F64" s="122">
        <f>'Pole volume forecasts'!F112</f>
        <v>5.0499472048642531</v>
      </c>
      <c r="G64" s="122">
        <f>'Pole volume forecasts'!G112</f>
        <v>5.0499472048642531</v>
      </c>
      <c r="H64" s="122">
        <f>'Pole volume forecasts'!H112</f>
        <v>5.0499472048642531</v>
      </c>
      <c r="I64" s="122">
        <f>'Pole volume forecasts'!I112</f>
        <v>5.0499472048642522</v>
      </c>
      <c r="J64" s="122">
        <f>'Pole volume forecasts'!J112</f>
        <v>5.0499472048642522</v>
      </c>
      <c r="L64" s="122"/>
      <c r="M64" s="122"/>
    </row>
    <row r="65" spans="3:14" s="39" customFormat="1" ht="13.15" x14ac:dyDescent="0.4">
      <c r="C65" s="312" t="str">
        <f>CONCATENATE('Pole volume forecasts'!A112," - ",'Pole volume forecasts'!B113)</f>
        <v>Total Attachments/pole - Multi</v>
      </c>
      <c r="D65" s="122">
        <f>'Pole volume forecasts'!D113</f>
        <v>2.1844091951179219</v>
      </c>
      <c r="E65" s="122">
        <f>'Pole volume forecasts'!E113</f>
        <v>2.1844091951179214</v>
      </c>
      <c r="F65" s="122">
        <f>'Pole volume forecasts'!F113</f>
        <v>2.1844091951179214</v>
      </c>
      <c r="G65" s="122">
        <f>'Pole volume forecasts'!G113</f>
        <v>2.1844091951179214</v>
      </c>
      <c r="H65" s="122">
        <f>'Pole volume forecasts'!H113</f>
        <v>2.1844091951179214</v>
      </c>
      <c r="I65" s="122">
        <f>'Pole volume forecasts'!I113</f>
        <v>2.1844091951179214</v>
      </c>
      <c r="J65" s="122">
        <f>'Pole volume forecasts'!J113</f>
        <v>2.1844091951179214</v>
      </c>
      <c r="L65" s="122"/>
      <c r="M65" s="122"/>
    </row>
    <row r="66" spans="3:14" s="39" customFormat="1" ht="9" customHeight="1" x14ac:dyDescent="0.4">
      <c r="D66" s="199"/>
    </row>
    <row r="67" spans="3:14" s="39" customFormat="1" ht="13.15" x14ac:dyDescent="0.4">
      <c r="C67" s="39" t="s">
        <v>377</v>
      </c>
      <c r="D67" s="208">
        <f>D27</f>
        <v>73.923135462467528</v>
      </c>
      <c r="E67" s="74">
        <f t="shared" ref="E67:J67" si="23">E27</f>
        <v>82.583546721344462</v>
      </c>
      <c r="F67" s="74">
        <f t="shared" si="23"/>
        <v>65.280940408582026</v>
      </c>
      <c r="G67" s="74">
        <f t="shared" si="23"/>
        <v>66.996032040759914</v>
      </c>
      <c r="H67" s="74">
        <f t="shared" si="23"/>
        <v>72.887584204122547</v>
      </c>
      <c r="I67" s="74">
        <f t="shared" si="23"/>
        <v>73.431576728169048</v>
      </c>
      <c r="J67" s="74">
        <f t="shared" si="23"/>
        <v>76.799425227577061</v>
      </c>
      <c r="M67" s="74"/>
    </row>
    <row r="68" spans="3:14" s="39" customFormat="1" ht="13.15" x14ac:dyDescent="0.4">
      <c r="C68" s="39" t="s">
        <v>274</v>
      </c>
      <c r="D68" s="261">
        <f>D33</f>
        <v>15.936363227908064</v>
      </c>
      <c r="E68" s="112">
        <f t="shared" ref="E68:J68" si="24">E33</f>
        <v>17.709951384405155</v>
      </c>
      <c r="F68" s="112">
        <f t="shared" si="24"/>
        <v>13.897277599785376</v>
      </c>
      <c r="G68" s="112">
        <f t="shared" si="24"/>
        <v>14.161616134427275</v>
      </c>
      <c r="H68" s="112">
        <f t="shared" si="24"/>
        <v>15.283719253684607</v>
      </c>
      <c r="I68" s="112">
        <f t="shared" si="24"/>
        <v>15.286913989477014</v>
      </c>
      <c r="J68" s="112">
        <f t="shared" si="24"/>
        <v>15.902905023070005</v>
      </c>
      <c r="M68" s="112"/>
    </row>
    <row r="69" spans="3:14" s="39" customFormat="1" ht="9" customHeight="1" x14ac:dyDescent="0.4">
      <c r="D69" s="199"/>
    </row>
    <row r="70" spans="3:14" s="39" customFormat="1" ht="13.15" x14ac:dyDescent="0.4">
      <c r="C70" s="39" t="s">
        <v>327</v>
      </c>
      <c r="D70" s="261">
        <f>D$68/D64</f>
        <v>3.1557484823915991</v>
      </c>
      <c r="E70" s="112">
        <f t="shared" ref="E70:J71" si="25">E$68/E64</f>
        <v>3.5069577296464458</v>
      </c>
      <c r="F70" s="112">
        <f t="shared" si="25"/>
        <v>2.7519649287420513</v>
      </c>
      <c r="G70" s="112">
        <f t="shared" si="25"/>
        <v>2.8043097402654831</v>
      </c>
      <c r="H70" s="112">
        <f t="shared" si="25"/>
        <v>3.0265107007381964</v>
      </c>
      <c r="I70" s="112">
        <f t="shared" si="25"/>
        <v>3.0271433283009821</v>
      </c>
      <c r="J70" s="112">
        <f t="shared" si="25"/>
        <v>3.1491230260292378</v>
      </c>
      <c r="M70" s="112"/>
    </row>
    <row r="71" spans="3:14" s="39" customFormat="1" ht="13.15" x14ac:dyDescent="0.4">
      <c r="C71" s="312" t="s">
        <v>328</v>
      </c>
      <c r="D71" s="261">
        <f>D$68/D65</f>
        <v>7.2955027215254713</v>
      </c>
      <c r="E71" s="112">
        <f t="shared" si="25"/>
        <v>8.1074330871643827</v>
      </c>
      <c r="F71" s="112">
        <f t="shared" si="25"/>
        <v>6.3620303516599854</v>
      </c>
      <c r="G71" s="112">
        <f t="shared" si="25"/>
        <v>6.4830418064884521</v>
      </c>
      <c r="H71" s="112">
        <f t="shared" si="25"/>
        <v>6.9967290413550671</v>
      </c>
      <c r="I71" s="112">
        <f t="shared" si="25"/>
        <v>6.9981915584510155</v>
      </c>
      <c r="J71" s="112">
        <f t="shared" si="25"/>
        <v>7.280185900431313</v>
      </c>
      <c r="M71" s="112"/>
    </row>
    <row r="72" spans="3:14" s="39" customFormat="1" ht="9" customHeight="1" x14ac:dyDescent="0.4">
      <c r="D72" s="199"/>
    </row>
    <row r="73" spans="3:14" s="39" customFormat="1" ht="13.15" x14ac:dyDescent="0.4">
      <c r="C73" s="312" t="str">
        <f>CONCATENATE('Pole volume forecasts'!A96," - ",'Pole volume forecasts'!B96)</f>
        <v>Total attachments - Single</v>
      </c>
      <c r="D73" s="117">
        <f>'Pole volume forecasts'!D96</f>
        <v>17027607.74141752</v>
      </c>
      <c r="E73" s="117">
        <f>'Pole volume forecasts'!E96</f>
        <v>17117433.095369563</v>
      </c>
      <c r="F73" s="117">
        <f>'Pole volume forecasts'!F96</f>
        <v>17243250.873354379</v>
      </c>
      <c r="G73" s="117">
        <f>'Pole volume forecasts'!G96</f>
        <v>17365957.781369135</v>
      </c>
      <c r="H73" s="117">
        <f>'Pole volume forecasts'!H96</f>
        <v>17506002.335762277</v>
      </c>
      <c r="I73" s="117">
        <f>'Pole volume forecasts'!I96</f>
        <v>17632971.635994118</v>
      </c>
      <c r="J73" s="117">
        <f>'Pole volume forecasts'!J96</f>
        <v>17727356.642271698</v>
      </c>
      <c r="L73" s="117"/>
      <c r="M73" s="117"/>
    </row>
    <row r="74" spans="3:14" s="39" customFormat="1" ht="13.15" x14ac:dyDescent="0.4">
      <c r="C74" s="312" t="str">
        <f>CONCATENATE('Pole volume forecasts'!A96," - ",'Pole volume forecasts'!B97)</f>
        <v>Total attachments - Multi</v>
      </c>
      <c r="D74" s="117">
        <f>'Pole volume forecasts'!D97</f>
        <v>2579252.7408305276</v>
      </c>
      <c r="E74" s="117">
        <f>'Pole volume forecasts'!E97</f>
        <v>2592859.014471266</v>
      </c>
      <c r="F74" s="117">
        <f>'Pole volume forecasts'!F97</f>
        <v>2611917.23178756</v>
      </c>
      <c r="G74" s="117">
        <f>'Pole volume forecasts'!G97</f>
        <v>2630504.2308318289</v>
      </c>
      <c r="H74" s="117">
        <f>'Pole volume forecasts'!H97</f>
        <v>2651717.445644048</v>
      </c>
      <c r="I74" s="117">
        <f>'Pole volume forecasts'!I97</f>
        <v>2670950.0895126131</v>
      </c>
      <c r="J74" s="117">
        <f>'Pole volume forecasts'!J97</f>
        <v>2685247.0353802713</v>
      </c>
      <c r="L74" s="117"/>
      <c r="M74" s="117"/>
    </row>
    <row r="75" spans="3:14" s="39" customFormat="1" ht="9" customHeight="1" x14ac:dyDescent="0.4">
      <c r="D75" s="312"/>
    </row>
    <row r="76" spans="3:14" s="39" customFormat="1" ht="13.15" x14ac:dyDescent="0.4">
      <c r="C76" s="39" t="s">
        <v>128</v>
      </c>
      <c r="D76" s="105" cm="1">
        <f t="array" ref="D76">D67*Million/SUMPRODUCT(D73:D74,D70:D71,D64:D65/D61:D62)</f>
        <v>0.83586587191310679</v>
      </c>
      <c r="E76" s="105">
        <f t="shared" ref="E76:J76" si="26">E67*Million/SUMPRODUCT(E73:E74,E70:E71,E64:E65/E61:E62)</f>
        <v>0.83586587191310657</v>
      </c>
      <c r="F76" s="105">
        <f t="shared" si="26"/>
        <v>0.83586587191310668</v>
      </c>
      <c r="G76" s="105">
        <f t="shared" si="26"/>
        <v>0.83586587191310657</v>
      </c>
      <c r="H76" s="105">
        <f t="shared" si="26"/>
        <v>0.83586587191310679</v>
      </c>
      <c r="I76" s="105">
        <f t="shared" si="26"/>
        <v>0.83586587191310646</v>
      </c>
      <c r="J76" s="105">
        <f t="shared" si="26"/>
        <v>0.83586587191310668</v>
      </c>
      <c r="M76" s="105"/>
    </row>
    <row r="77" spans="3:14" s="39" customFormat="1" ht="9" customHeight="1" x14ac:dyDescent="0.4">
      <c r="D77" s="312"/>
    </row>
    <row r="78" spans="3:14" s="39" customFormat="1" ht="13.15" x14ac:dyDescent="0.4">
      <c r="C78" s="39" t="s">
        <v>329</v>
      </c>
      <c r="D78" s="112">
        <f>D70*D76</f>
        <v>2.6377824567727175</v>
      </c>
      <c r="E78" s="112">
        <f t="shared" ref="E78:J78" si="27">E70*E76</f>
        <v>2.9313462804533352</v>
      </c>
      <c r="F78" s="112">
        <f t="shared" si="27"/>
        <v>2.3002735646372652</v>
      </c>
      <c r="G78" s="112">
        <f t="shared" si="27"/>
        <v>2.3440268061614256</v>
      </c>
      <c r="H78" s="112">
        <f t="shared" si="27"/>
        <v>2.5297570057268803</v>
      </c>
      <c r="I78" s="112">
        <f t="shared" si="27"/>
        <v>2.5302857975162434</v>
      </c>
      <c r="J78" s="112">
        <f t="shared" si="27"/>
        <v>2.6322444639135698</v>
      </c>
      <c r="M78" s="112"/>
      <c r="N78" s="266"/>
    </row>
    <row r="79" spans="3:14" s="39" customFormat="1" ht="13.15" x14ac:dyDescent="0.4">
      <c r="C79" s="312" t="s">
        <v>330</v>
      </c>
      <c r="D79" s="112">
        <f>D71*D76</f>
        <v>6.0980617433723312</v>
      </c>
      <c r="E79" s="112">
        <f t="shared" ref="E79:J79" si="28">E71*E76</f>
        <v>6.7767266263798263</v>
      </c>
      <c r="F79" s="112">
        <f t="shared" si="28"/>
        <v>5.3178040470279226</v>
      </c>
      <c r="G79" s="112">
        <f t="shared" si="28"/>
        <v>5.4189533922295912</v>
      </c>
      <c r="H79" s="112">
        <f t="shared" si="28"/>
        <v>5.8483270206920093</v>
      </c>
      <c r="I79" s="112">
        <f t="shared" si="28"/>
        <v>5.8495494888195996</v>
      </c>
      <c r="J79" s="112">
        <f t="shared" si="28"/>
        <v>6.0852589353535249</v>
      </c>
      <c r="M79" s="112"/>
      <c r="N79" s="266"/>
    </row>
    <row r="80" spans="3:14" s="39" customFormat="1" ht="9" customHeight="1" x14ac:dyDescent="0.4">
      <c r="D80" s="312"/>
    </row>
    <row r="81" spans="1:15" s="39" customFormat="1" ht="13.15" x14ac:dyDescent="0.4">
      <c r="C81" s="39" t="str">
        <f>'Parameters and Assumptions'!A21</f>
        <v>Discount on price for single attachments on poles</v>
      </c>
      <c r="D81" s="230">
        <v>0</v>
      </c>
      <c r="E81" s="230">
        <v>0</v>
      </c>
      <c r="F81" s="78">
        <f>Single_attach_disc</f>
        <v>0.1</v>
      </c>
      <c r="G81" s="78">
        <f>Single_attach_disc</f>
        <v>0.1</v>
      </c>
      <c r="H81" s="78">
        <f>Single_attach_disc</f>
        <v>0.1</v>
      </c>
      <c r="I81" s="78">
        <f>Single_attach_disc</f>
        <v>0.1</v>
      </c>
      <c r="J81" s="78">
        <f>Single_attach_disc</f>
        <v>0.1</v>
      </c>
      <c r="L81" s="78"/>
      <c r="M81" s="230"/>
    </row>
    <row r="82" spans="1:15" s="39" customFormat="1" ht="9" customHeight="1" x14ac:dyDescent="0.4">
      <c r="D82" s="312"/>
    </row>
    <row r="83" spans="1:15" s="312" customFormat="1" ht="13.15" x14ac:dyDescent="0.4">
      <c r="C83" s="200" t="s">
        <v>331</v>
      </c>
    </row>
    <row r="84" spans="1:15" s="39" customFormat="1" ht="13.15" x14ac:dyDescent="0.4">
      <c r="C84" s="39" t="s">
        <v>120</v>
      </c>
      <c r="D84" s="265">
        <f>ROUND(D78*(1-D81),2)</f>
        <v>2.64</v>
      </c>
      <c r="E84" s="265">
        <f t="shared" ref="E84:J84" si="29">ROUND(E78*(1-E81),2)</f>
        <v>2.93</v>
      </c>
      <c r="F84" s="265">
        <f t="shared" si="29"/>
        <v>2.0699999999999998</v>
      </c>
      <c r="G84" s="265">
        <f t="shared" si="29"/>
        <v>2.11</v>
      </c>
      <c r="H84" s="265">
        <f t="shared" si="29"/>
        <v>2.2799999999999998</v>
      </c>
      <c r="I84" s="265">
        <f t="shared" si="29"/>
        <v>2.2799999999999998</v>
      </c>
      <c r="J84" s="265">
        <f t="shared" si="29"/>
        <v>2.37</v>
      </c>
      <c r="L84" s="199"/>
      <c r="M84" s="265"/>
    </row>
    <row r="85" spans="1:15" s="39" customFormat="1" ht="13.15" x14ac:dyDescent="0.4">
      <c r="C85" s="199" t="s">
        <v>121</v>
      </c>
      <c r="D85" s="265">
        <f>ROUND(D79,2)</f>
        <v>6.1</v>
      </c>
      <c r="E85" s="265">
        <f t="shared" ref="E85:J85" si="30">ROUND(E79,2)</f>
        <v>6.78</v>
      </c>
      <c r="F85" s="265">
        <f t="shared" si="30"/>
        <v>5.32</v>
      </c>
      <c r="G85" s="265">
        <f t="shared" si="30"/>
        <v>5.42</v>
      </c>
      <c r="H85" s="265">
        <f t="shared" si="30"/>
        <v>5.85</v>
      </c>
      <c r="I85" s="265">
        <f t="shared" si="30"/>
        <v>5.85</v>
      </c>
      <c r="J85" s="265">
        <f t="shared" si="30"/>
        <v>6.09</v>
      </c>
      <c r="L85" s="199"/>
      <c r="M85" s="265"/>
    </row>
    <row r="86" spans="1:15" s="39" customFormat="1" ht="9" customHeight="1" x14ac:dyDescent="0.4"/>
    <row r="87" spans="1:15" s="312" customFormat="1" ht="13.15" x14ac:dyDescent="0.4">
      <c r="C87" s="200" t="s">
        <v>273</v>
      </c>
    </row>
    <row r="88" spans="1:15" x14ac:dyDescent="0.45">
      <c r="C88" s="8" t="str">
        <f>C84</f>
        <v>Single</v>
      </c>
      <c r="D88" s="267">
        <f>D61/D64*(1-D81)</f>
        <v>1</v>
      </c>
      <c r="E88" s="267">
        <f t="shared" ref="E88:J88" si="31">E61/E64*(1-E81)</f>
        <v>1</v>
      </c>
      <c r="F88" s="267">
        <f t="shared" si="31"/>
        <v>0.9</v>
      </c>
      <c r="G88" s="267">
        <f t="shared" si="31"/>
        <v>0.9</v>
      </c>
      <c r="H88" s="267">
        <f t="shared" si="31"/>
        <v>0.9</v>
      </c>
      <c r="I88" s="267">
        <f t="shared" si="31"/>
        <v>0.9</v>
      </c>
      <c r="J88" s="267">
        <f t="shared" si="31"/>
        <v>0.9</v>
      </c>
      <c r="L88" s="39"/>
      <c r="M88" s="267"/>
    </row>
    <row r="89" spans="1:15" x14ac:dyDescent="0.45">
      <c r="C89" s="311" t="str">
        <f>C85</f>
        <v>Multi</v>
      </c>
      <c r="D89" s="189">
        <f t="shared" ref="D89:J89" si="32">D62/D65</f>
        <v>0.54221031378417328</v>
      </c>
      <c r="E89" s="189">
        <f t="shared" si="32"/>
        <v>0.54221031378417328</v>
      </c>
      <c r="F89" s="189">
        <f t="shared" si="32"/>
        <v>0.54221031378417317</v>
      </c>
      <c r="G89" s="189">
        <f t="shared" si="32"/>
        <v>0.54221031378417317</v>
      </c>
      <c r="H89" s="189">
        <f t="shared" si="32"/>
        <v>0.54221031378417306</v>
      </c>
      <c r="I89" s="189">
        <f t="shared" si="32"/>
        <v>0.54221031378417306</v>
      </c>
      <c r="J89" s="189">
        <f t="shared" si="32"/>
        <v>0.54221031378417317</v>
      </c>
      <c r="L89" s="335"/>
      <c r="M89" s="189"/>
    </row>
    <row r="90" spans="1:15" s="39" customFormat="1" ht="9" customHeight="1" x14ac:dyDescent="0.4"/>
    <row r="91" spans="1:15" s="39" customFormat="1" ht="15.75" x14ac:dyDescent="0.5">
      <c r="B91" s="12" t="s">
        <v>275</v>
      </c>
      <c r="D91" s="45" t="str">
        <f t="shared" ref="D91:J91" si="33">D23</f>
        <v>2019/20</v>
      </c>
      <c r="E91" s="45" t="str">
        <f t="shared" si="33"/>
        <v>2020/21</v>
      </c>
      <c r="F91" s="45" t="str">
        <f t="shared" si="33"/>
        <v>2021/22</v>
      </c>
      <c r="G91" s="45" t="str">
        <f t="shared" si="33"/>
        <v>2022/23</v>
      </c>
      <c r="H91" s="45" t="str">
        <f t="shared" si="33"/>
        <v>2023/24</v>
      </c>
      <c r="I91" s="45" t="str">
        <f t="shared" si="33"/>
        <v>2024/25</v>
      </c>
      <c r="J91" s="45" t="str">
        <f t="shared" si="33"/>
        <v>2025/26</v>
      </c>
      <c r="M91" s="268"/>
    </row>
    <row r="92" spans="1:15" s="39" customFormat="1" ht="13.15" x14ac:dyDescent="0.4">
      <c r="C92" s="200" t="str">
        <f>B17</f>
        <v>Facility on pole for Multi-end-user attachment</v>
      </c>
      <c r="D92" s="271">
        <f>D85</f>
        <v>6.1</v>
      </c>
      <c r="E92" s="271">
        <f>E85</f>
        <v>6.78</v>
      </c>
      <c r="F92" s="271">
        <f t="shared" ref="F92:J92" si="34">F85</f>
        <v>5.32</v>
      </c>
      <c r="G92" s="271">
        <f t="shared" si="34"/>
        <v>5.42</v>
      </c>
      <c r="H92" s="271">
        <f t="shared" si="34"/>
        <v>5.85</v>
      </c>
      <c r="I92" s="271">
        <f t="shared" si="34"/>
        <v>5.85</v>
      </c>
      <c r="J92" s="271">
        <f t="shared" si="34"/>
        <v>6.09</v>
      </c>
      <c r="L92" s="234"/>
      <c r="M92" s="234"/>
    </row>
    <row r="93" spans="1:15" s="39" customFormat="1" ht="13.15" x14ac:dyDescent="0.4">
      <c r="C93" s="200" t="str">
        <f>B18</f>
        <v>Facility on pole for Single-end-user attachment</v>
      </c>
      <c r="D93" s="271">
        <f>D84</f>
        <v>2.64</v>
      </c>
      <c r="E93" s="271">
        <f t="shared" ref="E93:J93" si="35">E84</f>
        <v>2.93</v>
      </c>
      <c r="F93" s="271">
        <f t="shared" si="35"/>
        <v>2.0699999999999998</v>
      </c>
      <c r="G93" s="271">
        <f t="shared" si="35"/>
        <v>2.11</v>
      </c>
      <c r="H93" s="271">
        <f t="shared" si="35"/>
        <v>2.2799999999999998</v>
      </c>
      <c r="I93" s="271">
        <f t="shared" si="35"/>
        <v>2.2799999999999998</v>
      </c>
      <c r="J93" s="271">
        <f t="shared" si="35"/>
        <v>2.37</v>
      </c>
      <c r="L93" s="234"/>
      <c r="M93" s="234"/>
    </row>
    <row r="94" spans="1:15" s="39" customFormat="1" ht="13.15" x14ac:dyDescent="0.4">
      <c r="C94" s="200" t="str">
        <f>B19</f>
        <v>Pole top equipment</v>
      </c>
      <c r="D94" s="271">
        <f>D57</f>
        <v>1.56</v>
      </c>
      <c r="E94" s="271">
        <f t="shared" ref="E94:J94" si="36">E57</f>
        <v>1.74</v>
      </c>
      <c r="F94" s="271">
        <f t="shared" si="36"/>
        <v>1.36</v>
      </c>
      <c r="G94" s="271">
        <f t="shared" si="36"/>
        <v>1.39</v>
      </c>
      <c r="H94" s="271">
        <f t="shared" si="36"/>
        <v>1.5</v>
      </c>
      <c r="I94" s="271">
        <f t="shared" si="36"/>
        <v>1.5</v>
      </c>
      <c r="J94" s="271">
        <f t="shared" si="36"/>
        <v>1.56</v>
      </c>
      <c r="L94" s="234"/>
      <c r="M94" s="234"/>
    </row>
    <row r="95" spans="1:15" s="39" customFormat="1" ht="13.15" x14ac:dyDescent="0.4">
      <c r="C95" s="200" t="str">
        <f>B20</f>
        <v>Cable up a pole (per cable)</v>
      </c>
      <c r="D95" s="271">
        <f>D46</f>
        <v>1.02</v>
      </c>
      <c r="E95" s="271">
        <f t="shared" ref="E95:J95" si="37">E46</f>
        <v>1.1299999999999999</v>
      </c>
      <c r="F95" s="271">
        <f t="shared" si="37"/>
        <v>0.89</v>
      </c>
      <c r="G95" s="271">
        <f t="shared" si="37"/>
        <v>0.9</v>
      </c>
      <c r="H95" s="271">
        <f t="shared" si="37"/>
        <v>0.98</v>
      </c>
      <c r="I95" s="271">
        <f t="shared" si="37"/>
        <v>0.98</v>
      </c>
      <c r="J95" s="271">
        <f t="shared" si="37"/>
        <v>1.02</v>
      </c>
      <c r="L95" s="234"/>
      <c r="M95" s="234"/>
    </row>
    <row r="96" spans="1:15" s="39" customFormat="1" ht="9" customHeight="1" thickBot="1" x14ac:dyDescent="0.45">
      <c r="A96" s="125"/>
      <c r="B96" s="125"/>
      <c r="C96" s="125"/>
      <c r="D96" s="125"/>
      <c r="E96" s="125"/>
      <c r="F96" s="125"/>
      <c r="G96" s="125"/>
      <c r="H96" s="125"/>
      <c r="I96" s="125"/>
      <c r="J96" s="125"/>
      <c r="K96" s="125"/>
      <c r="L96" s="125"/>
      <c r="M96" s="125"/>
      <c r="N96" s="125"/>
      <c r="O96" s="125"/>
    </row>
    <row r="97" spans="1:15" s="39" customFormat="1" ht="9" customHeight="1" x14ac:dyDescent="0.4"/>
    <row r="98" spans="1:15" ht="15.75" x14ac:dyDescent="0.5">
      <c r="A98" s="12" t="s">
        <v>361</v>
      </c>
    </row>
    <row r="99" spans="1:15" s="39" customFormat="1" x14ac:dyDescent="0.45">
      <c r="B99" s="8"/>
      <c r="C99" s="8"/>
      <c r="D99" s="275">
        <v>42826</v>
      </c>
      <c r="E99" s="275">
        <v>43221</v>
      </c>
      <c r="F99" s="275">
        <v>43556</v>
      </c>
      <c r="G99" s="275">
        <v>43922</v>
      </c>
    </row>
    <row r="100" spans="1:15" s="39" customFormat="1" ht="13.15" x14ac:dyDescent="0.4">
      <c r="C100" s="229" t="str">
        <f>C92</f>
        <v>Facility on pole for Multi-end-user attachment</v>
      </c>
      <c r="D100" s="245">
        <f t="shared" ref="D100:F103" si="38">D17</f>
        <v>15.48</v>
      </c>
      <c r="E100" s="245">
        <f t="shared" si="38"/>
        <v>11.13</v>
      </c>
      <c r="F100" s="245">
        <f t="shared" si="38"/>
        <v>11.39</v>
      </c>
      <c r="G100" s="245">
        <f t="shared" ref="G100" si="39">G17</f>
        <v>11.56</v>
      </c>
      <c r="H100" s="199"/>
      <c r="I100" s="199"/>
      <c r="J100" s="199"/>
      <c r="K100" s="199"/>
      <c r="L100" s="199"/>
      <c r="M100" s="199"/>
      <c r="N100" s="199"/>
      <c r="O100" s="199"/>
    </row>
    <row r="101" spans="1:15" s="39" customFormat="1" ht="13.15" x14ac:dyDescent="0.4">
      <c r="C101" s="229" t="str">
        <f>C93</f>
        <v>Facility on pole for Single-end-user attachment</v>
      </c>
      <c r="D101" s="245">
        <f t="shared" si="38"/>
        <v>8.85</v>
      </c>
      <c r="E101" s="245">
        <f t="shared" si="38"/>
        <v>4.76</v>
      </c>
      <c r="F101" s="245">
        <f t="shared" si="38"/>
        <v>4.87</v>
      </c>
      <c r="G101" s="245">
        <f t="shared" ref="G101" si="40">G18</f>
        <v>4.9400000000000004</v>
      </c>
      <c r="H101" s="268"/>
      <c r="I101" s="268"/>
      <c r="J101" s="268"/>
      <c r="K101" s="268"/>
      <c r="L101" s="268"/>
      <c r="M101" s="268"/>
      <c r="N101" s="268"/>
      <c r="O101" s="268"/>
    </row>
    <row r="102" spans="1:15" s="39" customFormat="1" ht="13.15" x14ac:dyDescent="0.4">
      <c r="C102" s="229" t="str">
        <f>C94</f>
        <v>Pole top equipment</v>
      </c>
      <c r="D102" s="245">
        <f t="shared" si="38"/>
        <v>3.72</v>
      </c>
      <c r="E102" s="245">
        <f t="shared" si="38"/>
        <v>3.45</v>
      </c>
      <c r="F102" s="245">
        <f t="shared" si="38"/>
        <v>3.53</v>
      </c>
      <c r="G102" s="245">
        <f t="shared" ref="G102" si="41">G19</f>
        <v>3.58</v>
      </c>
      <c r="H102" s="268"/>
      <c r="I102" s="268"/>
      <c r="J102" s="268"/>
      <c r="K102" s="268"/>
      <c r="L102" s="268"/>
      <c r="M102" s="268"/>
      <c r="N102" s="268"/>
      <c r="O102" s="268"/>
    </row>
    <row r="103" spans="1:15" s="39" customFormat="1" ht="13.15" x14ac:dyDescent="0.4">
      <c r="C103" s="229" t="str">
        <f>C95</f>
        <v>Cable up a pole (per cable)</v>
      </c>
      <c r="D103" s="245">
        <f t="shared" si="38"/>
        <v>2.39</v>
      </c>
      <c r="E103" s="245">
        <f t="shared" si="38"/>
        <v>2.25</v>
      </c>
      <c r="F103" s="245">
        <f t="shared" si="38"/>
        <v>2.2999999999999998</v>
      </c>
      <c r="G103" s="245">
        <f t="shared" ref="G103" si="42">G20</f>
        <v>2.33</v>
      </c>
      <c r="H103" s="268"/>
      <c r="I103" s="268"/>
      <c r="J103" s="268"/>
      <c r="K103" s="268"/>
      <c r="M103" s="268"/>
      <c r="N103" s="268"/>
    </row>
    <row r="104" spans="1:15" s="39" customFormat="1" ht="9" customHeight="1" thickBot="1" x14ac:dyDescent="0.45">
      <c r="A104" s="125"/>
      <c r="B104" s="125"/>
      <c r="C104" s="125"/>
      <c r="D104" s="125"/>
      <c r="E104" s="125"/>
      <c r="F104" s="125"/>
      <c r="G104" s="125"/>
      <c r="H104" s="125"/>
      <c r="I104" s="125"/>
      <c r="J104" s="125"/>
      <c r="K104" s="125"/>
      <c r="L104" s="125"/>
      <c r="M104" s="125"/>
      <c r="N104" s="125"/>
      <c r="O104" s="125"/>
    </row>
    <row r="105" spans="1:15" s="39" customFormat="1" ht="9" customHeight="1" x14ac:dyDescent="0.4"/>
    <row r="106" spans="1:15" s="39" customFormat="1" ht="15.75" x14ac:dyDescent="0.5">
      <c r="A106" s="12" t="s">
        <v>256</v>
      </c>
      <c r="C106" s="276" t="s">
        <v>263</v>
      </c>
      <c r="D106" s="94" t="str">
        <f t="shared" ref="D106:J106" si="43">D23</f>
        <v>2019/20</v>
      </c>
      <c r="E106" s="94" t="str">
        <f t="shared" si="43"/>
        <v>2020/21</v>
      </c>
      <c r="F106" s="94" t="str">
        <f t="shared" si="43"/>
        <v>2021/22</v>
      </c>
      <c r="G106" s="94" t="str">
        <f t="shared" si="43"/>
        <v>2022/23</v>
      </c>
      <c r="H106" s="94" t="str">
        <f t="shared" si="43"/>
        <v>2023/24</v>
      </c>
      <c r="I106" s="94" t="str">
        <f t="shared" si="43"/>
        <v>2024/25</v>
      </c>
      <c r="J106" s="94" t="str">
        <f t="shared" si="43"/>
        <v>2025/26</v>
      </c>
      <c r="M106" s="268"/>
      <c r="N106" s="268"/>
    </row>
    <row r="107" spans="1:15" s="39" customFormat="1" ht="13.15" x14ac:dyDescent="0.4">
      <c r="C107" s="107" t="str">
        <f>C100</f>
        <v>Facility on pole for Multi-end-user attachment</v>
      </c>
      <c r="D107" s="108">
        <f>D92</f>
        <v>6.1</v>
      </c>
      <c r="E107" s="108">
        <f t="shared" ref="D107:J110" si="44">E92</f>
        <v>6.78</v>
      </c>
      <c r="F107" s="108">
        <f t="shared" si="44"/>
        <v>5.32</v>
      </c>
      <c r="G107" s="108">
        <f t="shared" si="44"/>
        <v>5.42</v>
      </c>
      <c r="H107" s="108">
        <f t="shared" si="44"/>
        <v>5.85</v>
      </c>
      <c r="I107" s="108">
        <f t="shared" si="44"/>
        <v>5.85</v>
      </c>
      <c r="J107" s="108">
        <f t="shared" si="44"/>
        <v>6.09</v>
      </c>
      <c r="M107" s="268"/>
      <c r="N107" s="268"/>
    </row>
    <row r="108" spans="1:15" s="39" customFormat="1" ht="13.15" x14ac:dyDescent="0.4">
      <c r="C108" s="107" t="str">
        <f>C101</f>
        <v>Facility on pole for Single-end-user attachment</v>
      </c>
      <c r="D108" s="108">
        <f>D93</f>
        <v>2.64</v>
      </c>
      <c r="E108" s="108">
        <f t="shared" si="44"/>
        <v>2.93</v>
      </c>
      <c r="F108" s="108">
        <f t="shared" si="44"/>
        <v>2.0699999999999998</v>
      </c>
      <c r="G108" s="108">
        <f t="shared" si="44"/>
        <v>2.11</v>
      </c>
      <c r="H108" s="108">
        <f t="shared" si="44"/>
        <v>2.2799999999999998</v>
      </c>
      <c r="I108" s="108">
        <f t="shared" si="44"/>
        <v>2.2799999999999998</v>
      </c>
      <c r="J108" s="108">
        <f t="shared" si="44"/>
        <v>2.37</v>
      </c>
      <c r="M108" s="268"/>
      <c r="N108" s="268"/>
    </row>
    <row r="109" spans="1:15" s="39" customFormat="1" ht="13.15" x14ac:dyDescent="0.4">
      <c r="C109" s="107" t="str">
        <f>C102</f>
        <v>Pole top equipment</v>
      </c>
      <c r="D109" s="108">
        <f t="shared" si="44"/>
        <v>1.56</v>
      </c>
      <c r="E109" s="108">
        <f t="shared" si="44"/>
        <v>1.74</v>
      </c>
      <c r="F109" s="108">
        <f t="shared" si="44"/>
        <v>1.36</v>
      </c>
      <c r="G109" s="108">
        <f t="shared" si="44"/>
        <v>1.39</v>
      </c>
      <c r="H109" s="108">
        <f t="shared" si="44"/>
        <v>1.5</v>
      </c>
      <c r="I109" s="108">
        <f t="shared" si="44"/>
        <v>1.5</v>
      </c>
      <c r="J109" s="108">
        <f t="shared" si="44"/>
        <v>1.56</v>
      </c>
    </row>
    <row r="110" spans="1:15" s="39" customFormat="1" ht="13.15" x14ac:dyDescent="0.4">
      <c r="C110" s="107" t="str">
        <f>C103</f>
        <v>Cable up a pole (per cable)</v>
      </c>
      <c r="D110" s="108">
        <f t="shared" si="44"/>
        <v>1.02</v>
      </c>
      <c r="E110" s="108">
        <f t="shared" si="44"/>
        <v>1.1299999999999999</v>
      </c>
      <c r="F110" s="108">
        <f t="shared" si="44"/>
        <v>0.89</v>
      </c>
      <c r="G110" s="108">
        <f t="shared" si="44"/>
        <v>0.9</v>
      </c>
      <c r="H110" s="108">
        <f t="shared" si="44"/>
        <v>0.98</v>
      </c>
      <c r="I110" s="108">
        <f t="shared" si="44"/>
        <v>0.98</v>
      </c>
      <c r="J110" s="108">
        <f t="shared" si="44"/>
        <v>1.02</v>
      </c>
    </row>
    <row r="111" spans="1:15" s="39" customFormat="1" ht="9" customHeight="1" x14ac:dyDescent="0.4">
      <c r="C111" s="107"/>
      <c r="D111" s="241"/>
      <c r="E111" s="241"/>
      <c r="F111" s="241"/>
      <c r="G111" s="241"/>
      <c r="H111" s="241"/>
      <c r="I111" s="241"/>
      <c r="J111" s="241"/>
      <c r="K111" s="332" t="s">
        <v>356</v>
      </c>
    </row>
    <row r="112" spans="1:15" s="39" customFormat="1" ht="13.15" x14ac:dyDescent="0.4">
      <c r="C112" s="199" t="s">
        <v>163</v>
      </c>
      <c r="D112" s="200">
        <f>INDEX('Parameters and Assumptions'!$A$45:$J$50,MATCH($C112,'Parameters and Assumptions'!$A$45:$A$50,0),MATCH(D$106,'Parameters and Assumptions'!$A$45:$J$45,0))</f>
        <v>1.7392938670509173E-2</v>
      </c>
      <c r="E112" s="200">
        <f>INDEX('Parameters and Assumptions'!$A$45:$J$50,MATCH($C112,'Parameters and Assumptions'!$A$45:$A$50,0),MATCH(E$106,'Parameters and Assumptions'!$A$45:$J$45,0))</f>
        <v>5.8444858245327858E-3</v>
      </c>
      <c r="F112" s="200">
        <f>INDEX('Parameters and Assumptions'!$A$45:$J$50,MATCH($C112,'Parameters and Assumptions'!$A$45:$A$50,0),MATCH(F$106,'Parameters and Assumptions'!$A$45:$J$45,0))</f>
        <v>1.3816272579449063E-2</v>
      </c>
      <c r="G112" s="200">
        <f>INDEX('Parameters and Assumptions'!$A$45:$J$50,MATCH($C112,'Parameters and Assumptions'!$A$45:$A$50,0),MATCH(G$106,'Parameters and Assumptions'!$A$45:$J$45,0))</f>
        <v>1.5942729226603669E-2</v>
      </c>
      <c r="H112" s="200">
        <f>INDEX('Parameters and Assumptions'!$A$45:$J$50,MATCH($C112,'Parameters and Assumptions'!$A$45:$A$50,0),MATCH(H$106,'Parameters and Assumptions'!$A$45:$J$45,0))</f>
        <v>1.7723776612699194E-2</v>
      </c>
      <c r="I112" s="200">
        <f>INDEX('Parameters and Assumptions'!$A$45:$J$50,MATCH($C112,'Parameters and Assumptions'!$A$45:$A$50,0),MATCH(I$106,'Parameters and Assumptions'!$A$45:$J$45,0))</f>
        <v>1.9481889923258722E-2</v>
      </c>
      <c r="J112" s="200">
        <f>INDEX('Parameters and Assumptions'!$A$45:$J$50,MATCH($C112,'Parameters and Assumptions'!$A$45:$A$50,0),MATCH(J$106,'Parameters and Assumptions'!$A$45:$J$45,0))</f>
        <v>2.0000000000000018E-2</v>
      </c>
      <c r="K112" s="158">
        <f>(J113/F113)^(1/4)-1</f>
        <v>1.8285849401564747E-2</v>
      </c>
    </row>
    <row r="113" spans="3:14" s="39" customFormat="1" ht="13.15" x14ac:dyDescent="0.4">
      <c r="C113" s="199" t="s">
        <v>137</v>
      </c>
      <c r="D113" s="249"/>
      <c r="E113" s="249"/>
      <c r="F113" s="249">
        <v>100</v>
      </c>
      <c r="G113" s="249">
        <f t="shared" ref="G113:J113" si="45">F113*(1+G112)</f>
        <v>101.59427292266037</v>
      </c>
      <c r="H113" s="249">
        <f t="shared" si="45"/>
        <v>103.3949071210712</v>
      </c>
      <c r="I113" s="249">
        <f t="shared" si="45"/>
        <v>105.40923532022947</v>
      </c>
      <c r="J113" s="249">
        <f t="shared" si="45"/>
        <v>107.51742002663406</v>
      </c>
    </row>
    <row r="114" spans="3:14" s="39" customFormat="1" ht="9" customHeight="1" x14ac:dyDescent="0.4">
      <c r="C114" s="199"/>
      <c r="D114" s="199"/>
      <c r="E114" s="249"/>
      <c r="F114" s="249"/>
      <c r="G114" s="249"/>
      <c r="H114" s="249"/>
      <c r="I114" s="249"/>
      <c r="J114" s="249"/>
      <c r="K114" s="249"/>
    </row>
    <row r="115" spans="3:14" s="58" customFormat="1" ht="13.15" x14ac:dyDescent="0.45">
      <c r="C115" s="160" t="s">
        <v>257</v>
      </c>
      <c r="F115" s="286" t="s">
        <v>258</v>
      </c>
      <c r="J115" s="286" t="s">
        <v>259</v>
      </c>
      <c r="K115" s="154" t="s">
        <v>260</v>
      </c>
      <c r="M115" s="270" t="s">
        <v>261</v>
      </c>
    </row>
    <row r="116" spans="3:14" s="39" customFormat="1" ht="13.15" x14ac:dyDescent="0.4">
      <c r="C116" s="200" t="str">
        <f>C107</f>
        <v>Facility on pole for Multi-end-user attachment</v>
      </c>
      <c r="D116" s="199"/>
      <c r="E116" s="249"/>
      <c r="F116" s="269">
        <f>F107</f>
        <v>5.32</v>
      </c>
      <c r="H116" s="249"/>
      <c r="J116" s="269">
        <f>J107</f>
        <v>6.09</v>
      </c>
      <c r="K116" s="250">
        <f>100*(J116/F116)</f>
        <v>114.4736842105263</v>
      </c>
      <c r="M116" s="448">
        <f>(K116/100)^(1/4)-1-$K$112</f>
        <v>1.6085338942657179E-2</v>
      </c>
    </row>
    <row r="117" spans="3:14" s="39" customFormat="1" ht="13.15" x14ac:dyDescent="0.4">
      <c r="C117" s="200" t="str">
        <f t="shared" ref="C117:C119" si="46">C108</f>
        <v>Facility on pole for Single-end-user attachment</v>
      </c>
      <c r="D117" s="199"/>
      <c r="E117" s="249"/>
      <c r="F117" s="269">
        <f>F108</f>
        <v>2.0699999999999998</v>
      </c>
      <c r="H117" s="249"/>
      <c r="J117" s="269">
        <f>J108</f>
        <v>2.37</v>
      </c>
      <c r="K117" s="250">
        <f>100*(J117/F117)</f>
        <v>114.49275362318842</v>
      </c>
      <c r="M117" s="448">
        <f>(K117/100)^(1/4)-1-$K$112</f>
        <v>1.6128413512819462E-2</v>
      </c>
    </row>
    <row r="118" spans="3:14" s="39" customFormat="1" ht="13.15" x14ac:dyDescent="0.4">
      <c r="C118" s="200" t="str">
        <f t="shared" si="46"/>
        <v>Pole top equipment</v>
      </c>
      <c r="D118" s="199"/>
      <c r="E118" s="249"/>
      <c r="F118" s="269">
        <f>F109</f>
        <v>1.36</v>
      </c>
      <c r="H118" s="249"/>
      <c r="J118" s="269">
        <f>J109</f>
        <v>1.56</v>
      </c>
      <c r="K118" s="250">
        <f>100*(J118/F118)</f>
        <v>114.70588235294117</v>
      </c>
      <c r="M118" s="448">
        <f>(K118/100)^(1/4)-1-$K$112</f>
        <v>1.6609469431758006E-2</v>
      </c>
    </row>
    <row r="119" spans="3:14" s="39" customFormat="1" ht="13.15" x14ac:dyDescent="0.4">
      <c r="C119" s="200" t="str">
        <f t="shared" si="46"/>
        <v>Cable up a pole (per cable)</v>
      </c>
      <c r="D119" s="199"/>
      <c r="E119" s="249"/>
      <c r="F119" s="269">
        <f>F110</f>
        <v>0.89</v>
      </c>
      <c r="H119" s="249"/>
      <c r="J119" s="269">
        <f>J110</f>
        <v>1.02</v>
      </c>
      <c r="K119" s="250">
        <f>100*(J119/F119)</f>
        <v>114.6067415730337</v>
      </c>
      <c r="M119" s="448">
        <f>(K119/100)^(1/4)-1-$K$112</f>
        <v>1.6385780816330353E-2</v>
      </c>
    </row>
    <row r="120" spans="3:14" s="39" customFormat="1" ht="9" customHeight="1" x14ac:dyDescent="0.4">
      <c r="C120" s="200"/>
      <c r="D120" s="199"/>
      <c r="E120" s="249"/>
      <c r="F120" s="249"/>
      <c r="G120" s="249"/>
      <c r="H120" s="249"/>
      <c r="I120" s="249"/>
      <c r="J120" s="249"/>
      <c r="K120" s="249"/>
    </row>
    <row r="121" spans="3:14" s="39" customFormat="1" ht="13.15" x14ac:dyDescent="0.4">
      <c r="C121" s="251" t="s">
        <v>262</v>
      </c>
      <c r="D121" s="94" t="str">
        <f t="shared" ref="D121:J121" si="47">D106</f>
        <v>2019/20</v>
      </c>
      <c r="E121" s="94" t="str">
        <f t="shared" si="47"/>
        <v>2020/21</v>
      </c>
      <c r="F121" s="94" t="str">
        <f t="shared" si="47"/>
        <v>2021/22</v>
      </c>
      <c r="G121" s="94" t="str">
        <f t="shared" si="47"/>
        <v>2022/23</v>
      </c>
      <c r="H121" s="94" t="str">
        <f t="shared" si="47"/>
        <v>2023/24</v>
      </c>
      <c r="I121" s="94" t="str">
        <f t="shared" si="47"/>
        <v>2024/25</v>
      </c>
      <c r="J121" s="94" t="str">
        <f t="shared" si="47"/>
        <v>2025/26</v>
      </c>
      <c r="M121" s="449" t="s">
        <v>357</v>
      </c>
      <c r="N121" s="449"/>
    </row>
    <row r="122" spans="3:14" s="39" customFormat="1" ht="13.15" x14ac:dyDescent="0.4">
      <c r="C122" s="239" t="str">
        <f>C92</f>
        <v>Facility on pole for Multi-end-user attachment</v>
      </c>
      <c r="D122" s="252">
        <f>F100</f>
        <v>11.39</v>
      </c>
      <c r="E122" s="252">
        <f>G100</f>
        <v>11.56</v>
      </c>
      <c r="F122" s="252">
        <f>F107</f>
        <v>5.32</v>
      </c>
      <c r="G122" s="252">
        <f t="shared" ref="G122:J125" si="48">F122*(1+G$112+$M116)</f>
        <v>5.4903893226604676</v>
      </c>
      <c r="H122" s="252">
        <f t="shared" si="48"/>
        <v>5.6760145297141902</v>
      </c>
      <c r="I122" s="252">
        <f t="shared" si="48"/>
        <v>5.877894637538799</v>
      </c>
      <c r="J122" s="252">
        <f t="shared" si="48"/>
        <v>6.0900004578036135</v>
      </c>
      <c r="M122" s="294" t="str">
        <f>IF(ABS(J122-J107)&lt;0.00001,"ok","error")</f>
        <v>ok</v>
      </c>
    </row>
    <row r="123" spans="3:14" s="39" customFormat="1" ht="13.15" x14ac:dyDescent="0.4">
      <c r="C123" s="239" t="str">
        <f>C93</f>
        <v>Facility on pole for Single-end-user attachment</v>
      </c>
      <c r="D123" s="252">
        <f t="shared" ref="D123:E125" si="49">F101</f>
        <v>4.87</v>
      </c>
      <c r="E123" s="252">
        <f t="shared" si="49"/>
        <v>4.9400000000000004</v>
      </c>
      <c r="F123" s="252">
        <f>F108</f>
        <v>2.0699999999999998</v>
      </c>
      <c r="G123" s="252">
        <f t="shared" si="48"/>
        <v>2.1363872654706055</v>
      </c>
      <c r="H123" s="252">
        <f t="shared" si="48"/>
        <v>2.2087086533630536</v>
      </c>
      <c r="I123" s="252">
        <f t="shared" si="48"/>
        <v>2.2873614387112036</v>
      </c>
      <c r="J123" s="252">
        <f t="shared" si="48"/>
        <v>2.3700001786222398</v>
      </c>
      <c r="M123" s="294" t="str">
        <f t="shared" ref="M123:M125" si="50">IF(ABS(J123-J108)&lt;0.00001,"ok","error")</f>
        <v>ok</v>
      </c>
    </row>
    <row r="124" spans="3:14" s="39" customFormat="1" ht="13.15" x14ac:dyDescent="0.4">
      <c r="C124" s="239" t="str">
        <f>C94</f>
        <v>Pole top equipment</v>
      </c>
      <c r="D124" s="252">
        <f t="shared" si="49"/>
        <v>3.53</v>
      </c>
      <c r="E124" s="252">
        <f t="shared" si="49"/>
        <v>3.58</v>
      </c>
      <c r="F124" s="252">
        <f>F109</f>
        <v>1.36</v>
      </c>
      <c r="G124" s="252">
        <f t="shared" si="48"/>
        <v>1.404270990175372</v>
      </c>
      <c r="H124" s="252">
        <f t="shared" si="48"/>
        <v>1.4524841715941565</v>
      </c>
      <c r="I124" s="252">
        <f t="shared" si="48"/>
        <v>1.5049062997886351</v>
      </c>
      <c r="J124" s="252">
        <f t="shared" si="48"/>
        <v>1.5600001209684071</v>
      </c>
      <c r="M124" s="294" t="str">
        <f t="shared" si="50"/>
        <v>ok</v>
      </c>
    </row>
    <row r="125" spans="3:14" s="39" customFormat="1" ht="13.15" x14ac:dyDescent="0.4">
      <c r="C125" s="239" t="str">
        <f>C95</f>
        <v>Cable up a pole (per cable)</v>
      </c>
      <c r="D125" s="252">
        <f t="shared" si="49"/>
        <v>2.2999999999999998</v>
      </c>
      <c r="E125" s="252">
        <f t="shared" si="49"/>
        <v>2.33</v>
      </c>
      <c r="F125" s="252">
        <f>F110</f>
        <v>0.89</v>
      </c>
      <c r="G125" s="252">
        <f t="shared" si="48"/>
        <v>0.91877237393821132</v>
      </c>
      <c r="H125" s="252">
        <f t="shared" si="48"/>
        <v>0.95011129299126251</v>
      </c>
      <c r="I125" s="252">
        <f t="shared" si="48"/>
        <v>0.9841895720142384</v>
      </c>
      <c r="J125" s="252">
        <f t="shared" si="48"/>
        <v>1.0200000780632665</v>
      </c>
      <c r="M125" s="294" t="str">
        <f t="shared" si="50"/>
        <v>ok</v>
      </c>
    </row>
  </sheetData>
  <printOptions horizontalCentered="1" verticalCentered="1"/>
  <pageMargins left="0.19685039370078741" right="0.19685039370078741" top="0.39370078740157483" bottom="0.27559055118110237" header="0.19685039370078741" footer="0.11811023622047245"/>
  <pageSetup paperSize="9" scale="60" orientation="landscape" r:id="rId1"/>
  <headerFooter>
    <oddHeader>&amp;CPage &amp;P of &amp;N&amp;R&amp;D &amp;T&amp;L&amp;"Calibri"&amp;12&amp;K000000Classification: HIGHLY SENSITIVE&amp;1#_x000D_&amp;"Calibri"&amp;11&amp;K000000File: &amp;F Tab: &amp;A</oddHeader>
  </headerFooter>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FB544-E59E-44EA-8FAE-1469DFE098DC}">
  <sheetPr codeName="Sheet21">
    <tabColor rgb="FF7030A0"/>
  </sheetPr>
  <dimension ref="A1"/>
  <sheetViews>
    <sheetView workbookViewId="0"/>
  </sheetViews>
  <sheetFormatPr defaultColWidth="9" defaultRowHeight="14.25" x14ac:dyDescent="0.45"/>
  <cols>
    <col min="1" max="16384" width="9" style="8"/>
  </cols>
  <sheetData/>
  <pageMargins left="0.7" right="0.7" top="0.75" bottom="0.75" header="0.3" footer="0.3"/>
  <pageSetup paperSize="9" orientation="portrait" r:id="rId1"/>
  <headerFooter>
    <oddHeader>&amp;L&amp;"Calibri"&amp;12&amp;K000000Classification: HIGHLY SENSITIVE&amp;1#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6023-5184-416F-98BD-257295B03849}">
  <sheetPr codeName="Sheet20">
    <tabColor rgb="FF00B0F0"/>
  </sheetPr>
  <dimension ref="B2:K44"/>
  <sheetViews>
    <sheetView zoomScale="88" zoomScaleNormal="88" workbookViewId="0">
      <selection activeCell="E50" sqref="E50"/>
    </sheetView>
  </sheetViews>
  <sheetFormatPr defaultColWidth="8.86328125" defaultRowHeight="14.25" x14ac:dyDescent="0.45"/>
  <cols>
    <col min="1" max="1" width="8.86328125" style="8"/>
    <col min="2" max="2" width="37.86328125" style="8" bestFit="1" customWidth="1"/>
    <col min="3" max="3" width="13.265625" style="8" customWidth="1"/>
    <col min="4" max="4" width="14.33203125" style="8" bestFit="1" customWidth="1"/>
    <col min="5" max="10" width="11.53125" style="8" bestFit="1" customWidth="1"/>
    <col min="11" max="11" width="13" style="8" customWidth="1"/>
    <col min="12" max="12" width="3.73046875" style="8" customWidth="1"/>
    <col min="13" max="16384" width="8.86328125" style="8"/>
  </cols>
  <sheetData>
    <row r="2" spans="2:11" ht="28.5" x14ac:dyDescent="0.45">
      <c r="K2" s="281" t="s">
        <v>308</v>
      </c>
    </row>
    <row r="3" spans="2:11" x14ac:dyDescent="0.45">
      <c r="B3" s="282" t="s">
        <v>149</v>
      </c>
      <c r="C3" s="282" t="s">
        <v>35</v>
      </c>
      <c r="D3" s="146" t="s">
        <v>37</v>
      </c>
      <c r="E3" s="146" t="s">
        <v>38</v>
      </c>
      <c r="F3" s="146" t="s">
        <v>45</v>
      </c>
      <c r="G3" s="146" t="s">
        <v>46</v>
      </c>
      <c r="H3" s="146" t="s">
        <v>47</v>
      </c>
      <c r="I3" s="146" t="s">
        <v>52</v>
      </c>
      <c r="J3" s="146" t="s">
        <v>51</v>
      </c>
      <c r="K3" s="277" t="s">
        <v>309</v>
      </c>
    </row>
    <row r="5" spans="2:11" x14ac:dyDescent="0.45">
      <c r="B5" s="5" t="s">
        <v>30</v>
      </c>
    </row>
    <row r="6" spans="2:11" x14ac:dyDescent="0.45">
      <c r="B6" s="209" t="s">
        <v>148</v>
      </c>
      <c r="C6" s="209" t="s">
        <v>145</v>
      </c>
      <c r="D6" s="279">
        <f>'D&amp;C Forecast UCs, Charges &amp; Xs'!D140</f>
        <v>0.28000000000000003</v>
      </c>
      <c r="E6" s="279">
        <f>'D&amp;C Forecast UCs, Charges &amp; Xs'!E140</f>
        <v>0.28999999999999998</v>
      </c>
      <c r="F6" s="279">
        <f>'D&amp;C Forecast UCs, Charges &amp; Xs'!F140</f>
        <v>0.3034434950283979</v>
      </c>
      <c r="G6" s="279">
        <f>'D&amp;C Forecast UCs, Charges &amp; Xs'!G140</f>
        <v>0.31815544797169187</v>
      </c>
      <c r="H6" s="279">
        <f>'D&amp;C Forecast UCs, Charges &amp; Xs'!H140</f>
        <v>0.33414733540254921</v>
      </c>
      <c r="I6" s="279">
        <f>'D&amp;C Forecast UCs, Charges &amp; Xs'!I140</f>
        <v>0.35153051407324398</v>
      </c>
      <c r="J6" s="279">
        <f>'D&amp;C Forecast UCs, Charges &amp; Xs'!J140</f>
        <v>0.37000014060149916</v>
      </c>
      <c r="K6" s="280">
        <f>'D&amp;C Forecast UCs, Charges &amp; Xs'!M131</f>
        <v>3.2540606828819651E-2</v>
      </c>
    </row>
    <row r="7" spans="2:11" x14ac:dyDescent="0.45">
      <c r="B7" s="209" t="s">
        <v>147</v>
      </c>
      <c r="C7" s="209" t="s">
        <v>145</v>
      </c>
      <c r="D7" s="279">
        <f>'D&amp;C Forecast UCs, Charges &amp; Xs'!D141</f>
        <v>0.18</v>
      </c>
      <c r="E7" s="279">
        <f>'D&amp;C Forecast UCs, Charges &amp; Xs'!E141</f>
        <v>0.18</v>
      </c>
      <c r="F7" s="279">
        <f>'D&amp;C Forecast UCs, Charges &amp; Xs'!F141</f>
        <v>0.19309371024122288</v>
      </c>
      <c r="G7" s="279">
        <f>'D&amp;C Forecast UCs, Charges &amp; Xs'!G141</f>
        <v>0.20755049948545143</v>
      </c>
      <c r="H7" s="279">
        <f>'D&amp;C Forecast UCs, Charges &amp; Xs'!H141</f>
        <v>0.22345931556975823</v>
      </c>
      <c r="I7" s="279">
        <f>'D&amp;C Forecast UCs, Charges &amp; Xs'!I141</f>
        <v>0.24098041459242164</v>
      </c>
      <c r="J7" s="279">
        <f>'D&amp;C Forecast UCs, Charges &amp; Xs'!J141</f>
        <v>0.260000170248191</v>
      </c>
      <c r="K7" s="280">
        <f>'D&amp;C Forecast UCs, Charges &amp; Xs'!M132</f>
        <v>5.892656209401137E-2</v>
      </c>
    </row>
    <row r="8" spans="2:11" x14ac:dyDescent="0.45">
      <c r="B8" s="209" t="s">
        <v>146</v>
      </c>
      <c r="C8" s="209" t="s">
        <v>145</v>
      </c>
      <c r="D8" s="279">
        <f>'D&amp;C Forecast UCs, Charges &amp; Xs'!D142</f>
        <v>0.13</v>
      </c>
      <c r="E8" s="279">
        <f>'D&amp;C Forecast UCs, Charges &amp; Xs'!E142</f>
        <v>0.13</v>
      </c>
      <c r="F8" s="279">
        <f>'D&amp;C Forecast UCs, Charges &amp; Xs'!F142</f>
        <v>0.13330974451987887</v>
      </c>
      <c r="G8" s="279">
        <f>'D&amp;C Forecast UCs, Charges &amp; Xs'!G142</f>
        <v>0.13698723111509845</v>
      </c>
      <c r="H8" s="279">
        <f>'D&amp;C Forecast UCs, Charges &amp; Xs'!H142</f>
        <v>0.14101014571531198</v>
      </c>
      <c r="I8" s="279">
        <f>'D&amp;C Forecast UCs, Charges &amp; Xs'!I142</f>
        <v>0.14539911337351882</v>
      </c>
      <c r="J8" s="279">
        <f>'D&amp;C Forecast UCs, Charges &amp; Xs'!J142</f>
        <v>0.150000021232297</v>
      </c>
      <c r="K8" s="280">
        <f>'D&amp;C Forecast UCs, Charges &amp; Xs'!M133</f>
        <v>1.1643300650388433E-2</v>
      </c>
    </row>
    <row r="9" spans="2:11" x14ac:dyDescent="0.45">
      <c r="B9" s="209" t="s">
        <v>144</v>
      </c>
      <c r="C9" s="209" t="s">
        <v>145</v>
      </c>
      <c r="D9" s="279">
        <f>'D&amp;C Forecast UCs, Charges &amp; Xs'!F110</f>
        <v>0.56000000000000005</v>
      </c>
      <c r="E9" s="279">
        <f>'D&amp;C Forecast UCs, Charges &amp; Xs'!G110</f>
        <v>0.56000000000000005</v>
      </c>
      <c r="F9" s="279">
        <f>'D&amp;C Forecast UCs, Charges &amp; Xs'!F96*'D&amp;C Forecast UCs, Charges &amp; Xs'!F61</f>
        <v>0.56700000000000006</v>
      </c>
      <c r="G9" s="279">
        <f>'D&amp;C Forecast UCs, Charges &amp; Xs'!G96*'D&amp;C Forecast UCs, Charges &amp; Xs'!G61</f>
        <v>0.55800000000000005</v>
      </c>
      <c r="H9" s="279">
        <f>'D&amp;C Forecast UCs, Charges &amp; Xs'!H96*'D&amp;C Forecast UCs, Charges &amp; Xs'!H61</f>
        <v>0.54</v>
      </c>
      <c r="I9" s="279">
        <f>'D&amp;C Forecast UCs, Charges &amp; Xs'!I96*'D&amp;C Forecast UCs, Charges &amp; Xs'!I61</f>
        <v>0.54</v>
      </c>
      <c r="J9" s="279">
        <f>'D&amp;C Forecast UCs, Charges &amp; Xs'!J96*'D&amp;C Forecast UCs, Charges &amp; Xs'!J61</f>
        <v>0.56700000000000006</v>
      </c>
      <c r="K9" s="209"/>
    </row>
    <row r="10" spans="2:11" x14ac:dyDescent="0.45">
      <c r="B10" s="209" t="s">
        <v>144</v>
      </c>
      <c r="C10" s="209" t="s">
        <v>143</v>
      </c>
      <c r="D10" s="279">
        <f>'D&amp;C Forecast UCs, Charges &amp; Xs'!D145</f>
        <v>10.08</v>
      </c>
      <c r="E10" s="279">
        <f>'D&amp;C Forecast UCs, Charges &amp; Xs'!E145</f>
        <v>10.196414530264537</v>
      </c>
      <c r="F10" s="279">
        <f>'D&amp;C Forecast UCs, Charges &amp; Xs'!F145</f>
        <v>10.373551798056228</v>
      </c>
      <c r="G10" s="279">
        <f>'D&amp;C Forecast UCs, Charges &amp; Xs'!G145</f>
        <v>10.575825292187405</v>
      </c>
      <c r="H10" s="279">
        <f>'D&amp;C Forecast UCs, Charges &amp; Xs'!H145</f>
        <v>10.800878955522114</v>
      </c>
      <c r="I10" s="279">
        <f>'D&amp;C Forecast UCs, Charges &amp; Xs'!I145</f>
        <v>11.049710932021801</v>
      </c>
      <c r="J10" s="279">
        <f>'D&amp;C Forecast UCs, Charges &amp; Xs'!J145</f>
        <v>11.310000496749456</v>
      </c>
      <c r="K10" s="280">
        <f>'D&amp;C Forecast UCs, Charges &amp; Xs'!M136</f>
        <v>3.5562329484422062E-3</v>
      </c>
    </row>
    <row r="11" spans="2:11" x14ac:dyDescent="0.45">
      <c r="D11" s="311"/>
      <c r="K11" s="278"/>
    </row>
    <row r="12" spans="2:11" x14ac:dyDescent="0.45">
      <c r="B12" s="5" t="s">
        <v>150</v>
      </c>
      <c r="D12" s="311"/>
    </row>
    <row r="13" spans="2:11" x14ac:dyDescent="0.45">
      <c r="B13" s="210" t="str">
        <f>'D&amp;C Forecast UCs, Charges &amp; Xs'!C143</f>
        <v>Joint boxes</v>
      </c>
      <c r="C13" s="209" t="s">
        <v>151</v>
      </c>
      <c r="D13" s="279">
        <f>'D&amp;C Forecast UCs, Charges &amp; Xs'!D143</f>
        <v>2.0499999999999998</v>
      </c>
      <c r="E13" s="279">
        <f>'D&amp;C Forecast UCs, Charges &amp; Xs'!E143</f>
        <v>2.08</v>
      </c>
      <c r="F13" s="279">
        <f>'D&amp;C Forecast UCs, Charges &amp; Xs'!F143</f>
        <v>2.1641397768084536</v>
      </c>
      <c r="G13" s="279">
        <f>'D&amp;C Forecast UCs, Charges &amp; Xs'!G143</f>
        <v>2.2562851097813348</v>
      </c>
      <c r="H13" s="279">
        <f>'D&amp;C Forecast UCs, Charges &amp; Xs'!H143</f>
        <v>2.3563723825408704</v>
      </c>
      <c r="I13" s="279">
        <f>'D&amp;C Forecast UCs, Charges &amp; Xs'!I143</f>
        <v>2.4650422282916913</v>
      </c>
      <c r="J13" s="279">
        <f>'D&amp;C Forecast UCs, Charges &amp; Xs'!J143</f>
        <v>2.5800008116038424</v>
      </c>
      <c r="K13" s="280">
        <f>'D&amp;C Forecast UCs, Charges &amp; Xs'!M134</f>
        <v>2.6635543193845868E-2</v>
      </c>
    </row>
    <row r="14" spans="2:11" x14ac:dyDescent="0.45">
      <c r="B14" s="210" t="str">
        <f>'D&amp;C Forecast UCs, Charges &amp; Xs'!C144</f>
        <v>Manholes</v>
      </c>
      <c r="C14" s="209" t="s">
        <v>151</v>
      </c>
      <c r="D14" s="279">
        <f>'D&amp;C Forecast UCs, Charges &amp; Xs'!D144</f>
        <v>8.5399999999999991</v>
      </c>
      <c r="E14" s="279">
        <f>'D&amp;C Forecast UCs, Charges &amp; Xs'!E144</f>
        <v>8.66</v>
      </c>
      <c r="F14" s="279">
        <f>'D&amp;C Forecast UCs, Charges &amp; Xs'!F144</f>
        <v>9.2220742434437604</v>
      </c>
      <c r="G14" s="279">
        <f>'D&amp;C Forecast UCs, Charges &amp; Xs'!G144</f>
        <v>9.8402400583490568</v>
      </c>
      <c r="H14" s="279">
        <f>'D&amp;C Forecast UCs, Charges &amp; Xs'!H144</f>
        <v>10.517368143929122</v>
      </c>
      <c r="I14" s="279">
        <f>'D&amp;C Forecast UCs, Charges &amp; Xs'!I144</f>
        <v>11.259581594562009</v>
      </c>
      <c r="J14" s="279">
        <f>'D&amp;C Forecast UCs, Charges &amp; Xs'!J144</f>
        <v>12.060006947325942</v>
      </c>
      <c r="K14" s="280">
        <f>'D&amp;C Forecast UCs, Charges &amp; Xs'!M135</f>
        <v>5.1088374469483888E-2</v>
      </c>
    </row>
    <row r="15" spans="2:11" x14ac:dyDescent="0.45">
      <c r="D15" s="311"/>
    </row>
    <row r="16" spans="2:11" x14ac:dyDescent="0.45">
      <c r="B16" s="5" t="s">
        <v>14</v>
      </c>
      <c r="D16" s="311"/>
    </row>
    <row r="17" spans="2:11" x14ac:dyDescent="0.45">
      <c r="B17" s="209" t="s">
        <v>142</v>
      </c>
      <c r="C17" s="209" t="s">
        <v>140</v>
      </c>
      <c r="D17" s="279">
        <f>'Poles Fcast UCs, Charges &amp; Xs'!D122</f>
        <v>11.39</v>
      </c>
      <c r="E17" s="279">
        <f>'Poles Fcast UCs, Charges &amp; Xs'!E122</f>
        <v>11.56</v>
      </c>
      <c r="F17" s="279">
        <f>'Poles Fcast UCs, Charges &amp; Xs'!F122</f>
        <v>5.32</v>
      </c>
      <c r="G17" s="279">
        <f>'Poles Fcast UCs, Charges &amp; Xs'!G122</f>
        <v>5.4903893226604676</v>
      </c>
      <c r="H17" s="279">
        <f>'Poles Fcast UCs, Charges &amp; Xs'!H122</f>
        <v>5.6760145297141902</v>
      </c>
      <c r="I17" s="279">
        <f>'Poles Fcast UCs, Charges &amp; Xs'!I122</f>
        <v>5.877894637538799</v>
      </c>
      <c r="J17" s="279">
        <f>'Poles Fcast UCs, Charges &amp; Xs'!J122</f>
        <v>6.0900004578036135</v>
      </c>
      <c r="K17" s="280">
        <f>'Poles Fcast UCs, Charges &amp; Xs'!M116</f>
        <v>1.6085338942657179E-2</v>
      </c>
    </row>
    <row r="18" spans="2:11" x14ac:dyDescent="0.45">
      <c r="B18" s="209" t="s">
        <v>141</v>
      </c>
      <c r="C18" s="209" t="s">
        <v>140</v>
      </c>
      <c r="D18" s="279">
        <f>'Poles Fcast UCs, Charges &amp; Xs'!D123</f>
        <v>4.87</v>
      </c>
      <c r="E18" s="279">
        <f>'Poles Fcast UCs, Charges &amp; Xs'!E123</f>
        <v>4.9400000000000004</v>
      </c>
      <c r="F18" s="279">
        <f>'Poles Fcast UCs, Charges &amp; Xs'!F123</f>
        <v>2.0699999999999998</v>
      </c>
      <c r="G18" s="279">
        <f>'Poles Fcast UCs, Charges &amp; Xs'!G123</f>
        <v>2.1363872654706055</v>
      </c>
      <c r="H18" s="279">
        <f>'Poles Fcast UCs, Charges &amp; Xs'!H123</f>
        <v>2.2087086533630536</v>
      </c>
      <c r="I18" s="279">
        <f>'Poles Fcast UCs, Charges &amp; Xs'!I123</f>
        <v>2.2873614387112036</v>
      </c>
      <c r="J18" s="279">
        <f>'Poles Fcast UCs, Charges &amp; Xs'!J123</f>
        <v>2.3700001786222398</v>
      </c>
      <c r="K18" s="280">
        <f>'Poles Fcast UCs, Charges &amp; Xs'!M117</f>
        <v>1.6128413512819462E-2</v>
      </c>
    </row>
    <row r="19" spans="2:11" x14ac:dyDescent="0.45">
      <c r="B19" s="210" t="str">
        <f>'Poles Fcast UCs, Charges &amp; Xs'!C124</f>
        <v>Pole top equipment</v>
      </c>
      <c r="C19" s="209"/>
      <c r="D19" s="279">
        <f>'Poles Fcast UCs, Charges &amp; Xs'!D124</f>
        <v>3.53</v>
      </c>
      <c r="E19" s="279">
        <f>'Poles Fcast UCs, Charges &amp; Xs'!E124</f>
        <v>3.58</v>
      </c>
      <c r="F19" s="279">
        <f>'Poles Fcast UCs, Charges &amp; Xs'!F124</f>
        <v>1.36</v>
      </c>
      <c r="G19" s="279">
        <f>'Poles Fcast UCs, Charges &amp; Xs'!G124</f>
        <v>1.404270990175372</v>
      </c>
      <c r="H19" s="279">
        <f>'Poles Fcast UCs, Charges &amp; Xs'!H124</f>
        <v>1.4524841715941565</v>
      </c>
      <c r="I19" s="279">
        <f>'Poles Fcast UCs, Charges &amp; Xs'!I124</f>
        <v>1.5049062997886351</v>
      </c>
      <c r="J19" s="279">
        <f>'Poles Fcast UCs, Charges &amp; Xs'!J124</f>
        <v>1.5600001209684071</v>
      </c>
      <c r="K19" s="280">
        <f>'Poles Fcast UCs, Charges &amp; Xs'!M118</f>
        <v>1.6609469431758006E-2</v>
      </c>
    </row>
    <row r="20" spans="2:11" x14ac:dyDescent="0.45">
      <c r="B20" s="210" t="str">
        <f>'Poles Fcast UCs, Charges &amp; Xs'!C125</f>
        <v>Cable up a pole (per cable)</v>
      </c>
      <c r="C20" s="209" t="s">
        <v>153</v>
      </c>
      <c r="D20" s="279">
        <f>'Poles Fcast UCs, Charges &amp; Xs'!D125</f>
        <v>2.2999999999999998</v>
      </c>
      <c r="E20" s="279">
        <f>'Poles Fcast UCs, Charges &amp; Xs'!E125</f>
        <v>2.33</v>
      </c>
      <c r="F20" s="279">
        <f>'Poles Fcast UCs, Charges &amp; Xs'!F125</f>
        <v>0.89</v>
      </c>
      <c r="G20" s="279">
        <f>'Poles Fcast UCs, Charges &amp; Xs'!G125</f>
        <v>0.91877237393821132</v>
      </c>
      <c r="H20" s="279">
        <f>'Poles Fcast UCs, Charges &amp; Xs'!H125</f>
        <v>0.95011129299126251</v>
      </c>
      <c r="I20" s="279">
        <f>'Poles Fcast UCs, Charges &amp; Xs'!I125</f>
        <v>0.9841895720142384</v>
      </c>
      <c r="J20" s="279">
        <f>'Poles Fcast UCs, Charges &amp; Xs'!J125</f>
        <v>1.0200000780632665</v>
      </c>
      <c r="K20" s="280">
        <f>'Poles Fcast UCs, Charges &amp; Xs'!M119</f>
        <v>1.6385780816330353E-2</v>
      </c>
    </row>
    <row r="21" spans="2:11" s="311" customFormat="1" x14ac:dyDescent="0.45"/>
    <row r="22" spans="2:11" s="311" customFormat="1" x14ac:dyDescent="0.45">
      <c r="B22" s="209" t="s">
        <v>375</v>
      </c>
      <c r="C22" s="209" t="s">
        <v>376</v>
      </c>
      <c r="D22" s="279">
        <f t="shared" ref="D22:J22" si="0">D17*(1-D32) +D18*D32</f>
        <v>5.7276961051689437</v>
      </c>
      <c r="E22" s="279">
        <f t="shared" si="0"/>
        <v>5.8108509534077335</v>
      </c>
      <c r="F22" s="279">
        <f t="shared" si="0"/>
        <v>2.4975325677605933</v>
      </c>
      <c r="G22" s="279">
        <f t="shared" si="0"/>
        <v>2.5776011460197421</v>
      </c>
      <c r="H22" s="279">
        <f t="shared" si="0"/>
        <v>2.6648274793716062</v>
      </c>
      <c r="I22" s="279">
        <f t="shared" si="0"/>
        <v>2.7596906319802557</v>
      </c>
      <c r="J22" s="279">
        <f t="shared" si="0"/>
        <v>2.8593605698310203</v>
      </c>
      <c r="K22" s="280"/>
    </row>
    <row r="24" spans="2:11" x14ac:dyDescent="0.45">
      <c r="B24" s="315" t="s">
        <v>370</v>
      </c>
    </row>
    <row r="25" spans="2:11" x14ac:dyDescent="0.45">
      <c r="B25" s="8" t="s">
        <v>368</v>
      </c>
      <c r="C25" s="455">
        <v>0.9</v>
      </c>
    </row>
    <row r="26" spans="2:11" x14ac:dyDescent="0.45">
      <c r="B26" s="8" t="s">
        <v>369</v>
      </c>
      <c r="C26" s="455">
        <v>0.1</v>
      </c>
    </row>
    <row r="27" spans="2:11" x14ac:dyDescent="0.45">
      <c r="C27" s="354" t="b">
        <f>SUM(C25:C26)=100%</f>
        <v>1</v>
      </c>
    </row>
    <row r="29" spans="2:11" x14ac:dyDescent="0.45">
      <c r="B29" s="315" t="s">
        <v>373</v>
      </c>
      <c r="D29" s="330" t="s">
        <v>37</v>
      </c>
      <c r="E29" s="330" t="s">
        <v>38</v>
      </c>
      <c r="F29" s="330" t="s">
        <v>45</v>
      </c>
      <c r="G29" s="330" t="s">
        <v>46</v>
      </c>
      <c r="H29" s="330" t="s">
        <v>47</v>
      </c>
      <c r="I29" s="330" t="s">
        <v>52</v>
      </c>
      <c r="J29" s="330" t="s">
        <v>51</v>
      </c>
    </row>
    <row r="30" spans="2:11" x14ac:dyDescent="0.45">
      <c r="B30" s="8" t="str">
        <f>'Poles Fcast UCs, Charges &amp; Xs'!C73</f>
        <v>Total attachments - Single</v>
      </c>
      <c r="C30" s="311"/>
      <c r="D30" s="310">
        <f>'Poles Fcast UCs, Charges &amp; Xs'!D73</f>
        <v>17027607.74141752</v>
      </c>
      <c r="E30" s="310">
        <f>'Poles Fcast UCs, Charges &amp; Xs'!E73</f>
        <v>17117433.095369563</v>
      </c>
      <c r="F30" s="310">
        <f>'Poles Fcast UCs, Charges &amp; Xs'!F73</f>
        <v>17243250.873354379</v>
      </c>
      <c r="G30" s="310">
        <f>'Poles Fcast UCs, Charges &amp; Xs'!G73</f>
        <v>17365957.781369135</v>
      </c>
      <c r="H30" s="310">
        <f>'Poles Fcast UCs, Charges &amp; Xs'!H73</f>
        <v>17506002.335762277</v>
      </c>
      <c r="I30" s="310">
        <f>'Poles Fcast UCs, Charges &amp; Xs'!I73</f>
        <v>17632971.635994118</v>
      </c>
      <c r="J30" s="310">
        <f>'Poles Fcast UCs, Charges &amp; Xs'!J73</f>
        <v>17727356.642271698</v>
      </c>
    </row>
    <row r="31" spans="2:11" x14ac:dyDescent="0.45">
      <c r="B31" s="311" t="str">
        <f>'Poles Fcast UCs, Charges &amp; Xs'!C74</f>
        <v>Total attachments - Multi</v>
      </c>
      <c r="D31" s="310">
        <f>'Poles Fcast UCs, Charges &amp; Xs'!D74</f>
        <v>2579252.7408305276</v>
      </c>
      <c r="E31" s="310">
        <f>'Poles Fcast UCs, Charges &amp; Xs'!E74</f>
        <v>2592859.014471266</v>
      </c>
      <c r="F31" s="310">
        <f>'Poles Fcast UCs, Charges &amp; Xs'!F74</f>
        <v>2611917.23178756</v>
      </c>
      <c r="G31" s="310">
        <f>'Poles Fcast UCs, Charges &amp; Xs'!G74</f>
        <v>2630504.2308318289</v>
      </c>
      <c r="H31" s="310">
        <f>'Poles Fcast UCs, Charges &amp; Xs'!H74</f>
        <v>2651717.445644048</v>
      </c>
      <c r="I31" s="310">
        <f>'Poles Fcast UCs, Charges &amp; Xs'!I74</f>
        <v>2670950.0895126131</v>
      </c>
      <c r="J31" s="310">
        <f>'Poles Fcast UCs, Charges &amp; Xs'!J74</f>
        <v>2685247.0353802713</v>
      </c>
    </row>
    <row r="32" spans="2:11" s="311" customFormat="1" x14ac:dyDescent="0.45">
      <c r="B32" s="311" t="s">
        <v>374</v>
      </c>
      <c r="D32" s="372">
        <f t="shared" ref="D32:J32" si="1">D30/SUM(D30:D31)</f>
        <v>0.86845151761212513</v>
      </c>
      <c r="E32" s="372">
        <f t="shared" si="1"/>
        <v>0.86845151761212502</v>
      </c>
      <c r="F32" s="372">
        <f t="shared" si="1"/>
        <v>0.86845151761212513</v>
      </c>
      <c r="G32" s="372">
        <f t="shared" si="1"/>
        <v>0.86845151761212513</v>
      </c>
      <c r="H32" s="372">
        <f t="shared" si="1"/>
        <v>0.86845151761212513</v>
      </c>
      <c r="I32" s="372">
        <f t="shared" si="1"/>
        <v>0.86845151761212513</v>
      </c>
      <c r="J32" s="372">
        <f t="shared" si="1"/>
        <v>0.86845151761212513</v>
      </c>
    </row>
    <row r="33" spans="2:10" x14ac:dyDescent="0.45">
      <c r="B33" s="311"/>
    </row>
    <row r="34" spans="2:10" x14ac:dyDescent="0.45">
      <c r="B34" s="315" t="s">
        <v>371</v>
      </c>
      <c r="D34" s="330" t="s">
        <v>37</v>
      </c>
      <c r="E34" s="330" t="s">
        <v>38</v>
      </c>
      <c r="F34" s="330" t="s">
        <v>45</v>
      </c>
      <c r="G34" s="330" t="s">
        <v>46</v>
      </c>
      <c r="H34" s="330" t="s">
        <v>47</v>
      </c>
      <c r="I34" s="330" t="s">
        <v>52</v>
      </c>
      <c r="J34" s="330" t="s">
        <v>51</v>
      </c>
    </row>
    <row r="35" spans="2:10" x14ac:dyDescent="0.45">
      <c r="B35" s="7" t="str">
        <f>'D&amp;C Forecast UCs, Charges &amp; Xs'!C73</f>
        <v>Lead-in duct</v>
      </c>
      <c r="C35" s="7"/>
      <c r="D35" s="74">
        <f>'D&amp;C Forecast UCs, Charges &amp; Xs'!D73</f>
        <v>55.443012258694964</v>
      </c>
      <c r="E35" s="74">
        <f>'D&amp;C Forecast UCs, Charges &amp; Xs'!E73</f>
        <v>60.155721941641431</v>
      </c>
      <c r="F35" s="74">
        <f>'D&amp;C Forecast UCs, Charges &amp; Xs'!F73</f>
        <v>60.171089422460881</v>
      </c>
      <c r="G35" s="74">
        <f>'D&amp;C Forecast UCs, Charges &amp; Xs'!G73</f>
        <v>60.311400701961176</v>
      </c>
      <c r="H35" s="74">
        <f>'D&amp;C Forecast UCs, Charges &amp; Xs'!H73</f>
        <v>58.366575151659198</v>
      </c>
      <c r="I35" s="74">
        <f>'D&amp;C Forecast UCs, Charges &amp; Xs'!I73</f>
        <v>59.600774801031768</v>
      </c>
      <c r="J35" s="74">
        <f>'D&amp;C Forecast UCs, Charges &amp; Xs'!J73</f>
        <v>63.087304873995762</v>
      </c>
    </row>
    <row r="36" spans="2:10" x14ac:dyDescent="0.45">
      <c r="B36" s="7" t="str">
        <f>'D&amp;C Forecast UCs, Charges &amp; Xs'!C74</f>
        <v>Spine duct – single bore</v>
      </c>
      <c r="D36" s="74">
        <f>'D&amp;C Forecast UCs, Charges &amp; Xs'!D74</f>
        <v>217.28709984839483</v>
      </c>
      <c r="E36" s="74">
        <f>'D&amp;C Forecast UCs, Charges &amp; Xs'!E74</f>
        <v>235.83237914060851</v>
      </c>
      <c r="F36" s="74">
        <f>'D&amp;C Forecast UCs, Charges &amp; Xs'!F74</f>
        <v>235.96264087452167</v>
      </c>
      <c r="G36" s="74">
        <f>'D&amp;C Forecast UCs, Charges &amp; Xs'!G74</f>
        <v>236.60057206985755</v>
      </c>
      <c r="H36" s="74">
        <f>'D&amp;C Forecast UCs, Charges &amp; Xs'!H74</f>
        <v>229.03930226865538</v>
      </c>
      <c r="I36" s="74">
        <f>'D&amp;C Forecast UCs, Charges &amp; Xs'!I74</f>
        <v>233.95175981917541</v>
      </c>
      <c r="J36" s="74">
        <f>'D&amp;C Forecast UCs, Charges &amp; Xs'!J74</f>
        <v>247.71932475239245</v>
      </c>
    </row>
    <row r="37" spans="2:10" x14ac:dyDescent="0.45">
      <c r="B37" s="7" t="str">
        <f>'D&amp;C Forecast UCs, Charges &amp; Xs'!C75</f>
        <v>Spine duct – 2 bores</v>
      </c>
      <c r="D37" s="74">
        <f>'D&amp;C Forecast UCs, Charges &amp; Xs'!D75</f>
        <v>57.777099718247342</v>
      </c>
      <c r="E37" s="74">
        <f>'D&amp;C Forecast UCs, Charges &amp; Xs'!E75</f>
        <v>62.977824350929922</v>
      </c>
      <c r="F37" s="74">
        <f>'D&amp;C Forecast UCs, Charges &amp; Xs'!F75</f>
        <v>63.202025686671078</v>
      </c>
      <c r="G37" s="74">
        <f>'D&amp;C Forecast UCs, Charges &amp; Xs'!G75</f>
        <v>63.549656182558834</v>
      </c>
      <c r="H37" s="74">
        <f>'D&amp;C Forecast UCs, Charges &amp; Xs'!H75</f>
        <v>61.537043517048581</v>
      </c>
      <c r="I37" s="74">
        <f>'D&amp;C Forecast UCs, Charges &amp; Xs'!I75</f>
        <v>62.812231399898543</v>
      </c>
      <c r="J37" s="74">
        <f>'D&amp;C Forecast UCs, Charges &amp; Xs'!J75</f>
        <v>66.479328347714031</v>
      </c>
    </row>
    <row r="38" spans="2:10" x14ac:dyDescent="0.45">
      <c r="B38" s="7" t="str">
        <f>'D&amp;C Forecast UCs, Charges &amp; Xs'!C76</f>
        <v>Spine duct – 3+ bores</v>
      </c>
      <c r="D38" s="74">
        <f>'D&amp;C Forecast UCs, Charges &amp; Xs'!D76</f>
        <v>88.766183857875944</v>
      </c>
      <c r="E38" s="74">
        <f>'D&amp;C Forecast UCs, Charges &amp; Xs'!E76</f>
        <v>95.054353591140867</v>
      </c>
      <c r="F38" s="74">
        <f>'D&amp;C Forecast UCs, Charges &amp; Xs'!F76</f>
        <v>93.854463635202876</v>
      </c>
      <c r="G38" s="74">
        <f>'D&amp;C Forecast UCs, Charges &amp; Xs'!G76</f>
        <v>92.476660407297842</v>
      </c>
      <c r="H38" s="74">
        <f>'D&amp;C Forecast UCs, Charges &amp; Xs'!H76</f>
        <v>88.131722707790004</v>
      </c>
      <c r="I38" s="74">
        <f>'D&amp;C Forecast UCs, Charges &amp; Xs'!I76</f>
        <v>88.543041457418184</v>
      </c>
      <c r="J38" s="74">
        <f>'D&amp;C Forecast UCs, Charges &amp; Xs'!J76</f>
        <v>92.029365591176543</v>
      </c>
    </row>
    <row r="39" spans="2:10" x14ac:dyDescent="0.45">
      <c r="B39" s="7" t="str">
        <f>'D&amp;C Forecast UCs, Charges &amp; Xs'!C77</f>
        <v>Joint boxes</v>
      </c>
      <c r="D39" s="74">
        <f>'D&amp;C Forecast UCs, Charges &amp; Xs'!D77</f>
        <v>102.14585237134165</v>
      </c>
      <c r="E39" s="74">
        <f>'D&amp;C Forecast UCs, Charges &amp; Xs'!E77</f>
        <v>110.15105771102992</v>
      </c>
      <c r="F39" s="74">
        <f>'D&amp;C Forecast UCs, Charges &amp; Xs'!F77</f>
        <v>109.52945324426724</v>
      </c>
      <c r="G39" s="74">
        <f>'D&amp;C Forecast UCs, Charges &amp; Xs'!G77</f>
        <v>108.94380732078456</v>
      </c>
      <c r="H39" s="74">
        <f>'D&amp;C Forecast UCs, Charges &amp; Xs'!H77</f>
        <v>104.69394880600262</v>
      </c>
      <c r="I39" s="74">
        <f>'D&amp;C Forecast UCs, Charges &amp; Xs'!I77</f>
        <v>106.14999048349884</v>
      </c>
      <c r="J39" s="74">
        <f>'D&amp;C Forecast UCs, Charges &amp; Xs'!J77</f>
        <v>111.50126521621775</v>
      </c>
    </row>
    <row r="40" spans="2:10" x14ac:dyDescent="0.45">
      <c r="B40" s="456" t="str">
        <f>'D&amp;C Forecast UCs, Charges &amp; Xs'!C78</f>
        <v>Manholes</v>
      </c>
      <c r="C40" s="6"/>
      <c r="D40" s="77">
        <f>'D&amp;C Forecast UCs, Charges &amp; Xs'!D78</f>
        <v>68.059198162547361</v>
      </c>
      <c r="E40" s="77">
        <f>'D&amp;C Forecast UCs, Charges &amp; Xs'!E78</f>
        <v>73.071520850822196</v>
      </c>
      <c r="F40" s="77">
        <f>'D&amp;C Forecast UCs, Charges &amp; Xs'!F78</f>
        <v>72.324102280669251</v>
      </c>
      <c r="G40" s="77">
        <f>'D&amp;C Forecast UCs, Charges &amp; Xs'!G78</f>
        <v>71.481023642704884</v>
      </c>
      <c r="H40" s="77">
        <f>'D&amp;C Forecast UCs, Charges &amp; Xs'!H78</f>
        <v>68.288818749455203</v>
      </c>
      <c r="I40" s="77">
        <f>'D&amp;C Forecast UCs, Charges &amp; Xs'!I78</f>
        <v>68.775280057899906</v>
      </c>
      <c r="J40" s="77">
        <f>'D&amp;C Forecast UCs, Charges &amp; Xs'!J78</f>
        <v>71.685975893835447</v>
      </c>
    </row>
    <row r="41" spans="2:10" x14ac:dyDescent="0.45">
      <c r="B41" s="7" t="str">
        <f>'D&amp;C Forecast UCs, Charges &amp; Xs'!C79</f>
        <v>Sub-total</v>
      </c>
      <c r="D41" s="74">
        <f>'D&amp;C Forecast UCs, Charges &amp; Xs'!D79</f>
        <v>589.47844621710203</v>
      </c>
      <c r="E41" s="74">
        <f>'D&amp;C Forecast UCs, Charges &amp; Xs'!E79</f>
        <v>637.24285758617293</v>
      </c>
      <c r="F41" s="74">
        <f>'D&amp;C Forecast UCs, Charges &amp; Xs'!F79</f>
        <v>635.04377514379303</v>
      </c>
      <c r="G41" s="74">
        <f>'D&amp;C Forecast UCs, Charges &amp; Xs'!G79</f>
        <v>633.3631203251648</v>
      </c>
      <c r="H41" s="74">
        <f>'D&amp;C Forecast UCs, Charges &amp; Xs'!H79</f>
        <v>610.057411200611</v>
      </c>
      <c r="I41" s="74">
        <f>'D&amp;C Forecast UCs, Charges &amp; Xs'!I79</f>
        <v>619.83307801892261</v>
      </c>
      <c r="J41" s="74">
        <f>'D&amp;C Forecast UCs, Charges &amp; Xs'!J79</f>
        <v>652.502564675332</v>
      </c>
    </row>
    <row r="42" spans="2:10" x14ac:dyDescent="0.45">
      <c r="D42" s="354" t="b">
        <f>D41=SUM(D35:D40)</f>
        <v>1</v>
      </c>
      <c r="E42" s="354" t="b">
        <f t="shared" ref="E42:J42" si="2">E41=SUM(E35:E40)</f>
        <v>1</v>
      </c>
      <c r="F42" s="354" t="b">
        <f t="shared" si="2"/>
        <v>1</v>
      </c>
      <c r="G42" s="354" t="b">
        <f t="shared" si="2"/>
        <v>1</v>
      </c>
      <c r="H42" s="354" t="b">
        <f t="shared" si="2"/>
        <v>1</v>
      </c>
      <c r="I42" s="354" t="b">
        <f t="shared" si="2"/>
        <v>1</v>
      </c>
      <c r="J42" s="354" t="b">
        <f t="shared" si="2"/>
        <v>1</v>
      </c>
    </row>
    <row r="43" spans="2:10" x14ac:dyDescent="0.45">
      <c r="E43" s="311"/>
      <c r="F43" s="311"/>
      <c r="G43" s="311"/>
      <c r="H43" s="311"/>
      <c r="I43" s="311"/>
      <c r="J43" s="311"/>
    </row>
    <row r="44" spans="2:10" x14ac:dyDescent="0.45">
      <c r="B44" s="8" t="s">
        <v>372</v>
      </c>
      <c r="D44" s="450">
        <f>D41/SUM(D35:D38)</f>
        <v>1.4059524221815625</v>
      </c>
      <c r="E44" s="450">
        <f t="shared" ref="E44:J44" si="3">E41/SUM(E35:E38)</f>
        <v>1.4035559357736032</v>
      </c>
      <c r="F44" s="450">
        <f t="shared" si="3"/>
        <v>1.4012742280225721</v>
      </c>
      <c r="G44" s="450">
        <f t="shared" si="3"/>
        <v>1.398343074986576</v>
      </c>
      <c r="H44" s="450">
        <f t="shared" si="3"/>
        <v>1.3957739714955804</v>
      </c>
      <c r="I44" s="450">
        <f t="shared" si="3"/>
        <v>1.393171950686066</v>
      </c>
      <c r="J44" s="450">
        <f t="shared" si="3"/>
        <v>1.390328702072676</v>
      </c>
    </row>
  </sheetData>
  <phoneticPr fontId="56" type="noConversion"/>
  <pageMargins left="0.31496062992125984" right="0.31496062992125984" top="0.55118110236220474" bottom="0.55118110236220474" header="0.31496062992125984" footer="0.31496062992125984"/>
  <pageSetup paperSize="9" scale="90" orientation="landscape" r:id="rId1"/>
  <headerFooter>
    <oddHeader>&amp;CPrinted: &amp;D &amp;T&amp;RPage &amp;P of &amp;N&amp;L&amp;"Calibri"&amp;12&amp;K000000Classification: HIGHLY SENSITIVE&amp;1#_x000D_&amp;"Calibri"&amp;11&amp;K000000File: &amp;F Tab: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 xmlns="c5f543e3-8063-4253-bd42-47ca496057f8" xsi:nil="true"/>
    <Attach_x0020_count xmlns="c5f543e3-8063-4253-bd42-47ca496057f8" xsi:nil="true"/>
    <Classification xmlns="c5f543e3-8063-4253-bd42-47ca496057f8" xsi:nil="true"/>
    <SentOn xmlns="c5f543e3-8063-4253-bd42-47ca496057f8" xsi:nil="true"/>
    <mvFrom xmlns="c5f543e3-8063-4253-bd42-47ca496057f8" xsi:nil="true"/>
    <ReceivedTime xmlns="c5f543e3-8063-4253-bd42-47ca496057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069ab6e-cbb1-4306-ad7e-01a48c91ef8b" ContentTypeId="0x010100CAA12C5105342047A1E5FE66CBFB410700F52D858113A6F54C9CA8E666CD997AA1" PreviousValue="false"/>
</file>

<file path=customXml/item4.xml><?xml version="1.0" encoding="utf-8"?>
<ct:contentTypeSchema xmlns:ct="http://schemas.microsoft.com/office/2006/metadata/contentType" xmlns:ma="http://schemas.microsoft.com/office/2006/metadata/properties/metaAttributes" ct:_="" ma:_="" ma:contentTypeName="Modelling" ma:contentTypeID="0x010100CAA12C5105342047A1E5FE66CBFB410700F52D858113A6F54C9CA8E666CD997AA10057839904160C3E4DBA30018BDBF1819A" ma:contentTypeVersion="13" ma:contentTypeDescription="" ma:contentTypeScope="" ma:versionID="3816fddd464c663f502e6019b13d983f">
  <xsd:schema xmlns:xsd="http://www.w3.org/2001/XMLSchema" xmlns:xs="http://www.w3.org/2001/XMLSchema" xmlns:p="http://schemas.microsoft.com/office/2006/metadata/properties" xmlns:ns3="c5f543e3-8063-4253-bd42-47ca496057f8" targetNamespace="http://schemas.microsoft.com/office/2006/metadata/properties" ma:root="true" ma:fieldsID="358f8445c10d4eadcb2eea9024fa8a31"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8393E-2698-4FA1-8444-1C561FF55FD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5f543e3-8063-4253-bd42-47ca496057f8"/>
    <ds:schemaRef ds:uri="http://www.w3.org/XML/1998/namespace"/>
  </ds:schemaRefs>
</ds:datastoreItem>
</file>

<file path=customXml/itemProps2.xml><?xml version="1.0" encoding="utf-8"?>
<ds:datastoreItem xmlns:ds="http://schemas.openxmlformats.org/officeDocument/2006/customXml" ds:itemID="{8B0B418B-2A4E-40AB-9DB6-3A2A2B9DEA8B}">
  <ds:schemaRefs>
    <ds:schemaRef ds:uri="http://schemas.microsoft.com/sharepoint/v3/contenttype/forms"/>
  </ds:schemaRefs>
</ds:datastoreItem>
</file>

<file path=customXml/itemProps3.xml><?xml version="1.0" encoding="utf-8"?>
<ds:datastoreItem xmlns:ds="http://schemas.openxmlformats.org/officeDocument/2006/customXml" ds:itemID="{3FD981F6-8D9E-4CEB-8181-D0AA8D28B4A2}">
  <ds:schemaRefs>
    <ds:schemaRef ds:uri="Microsoft.SharePoint.Taxonomy.ContentTypeSync"/>
  </ds:schemaRefs>
</ds:datastoreItem>
</file>

<file path=customXml/itemProps4.xml><?xml version="1.0" encoding="utf-8"?>
<ds:datastoreItem xmlns:ds="http://schemas.openxmlformats.org/officeDocument/2006/customXml" ds:itemID="{1A18D7AD-728A-4F9A-9083-B8566FB9C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Contents</vt:lpstr>
      <vt:lpstr>Style Guidelines</vt:lpstr>
      <vt:lpstr>Terms and Conditions</vt:lpstr>
      <vt:lpstr>Model Map</vt:lpstr>
      <vt:lpstr>Input data and assumptions&gt;&gt;&gt;</vt:lpstr>
      <vt:lpstr>Input data</vt:lpstr>
      <vt:lpstr>Parameters and Assumptions</vt:lpstr>
      <vt:lpstr>Calculation Sheets&gt;&gt;&gt;&gt;</vt:lpstr>
      <vt:lpstr>Network Adjs</vt:lpstr>
      <vt:lpstr>Duct and Chambers&gt;&gt;&gt;</vt:lpstr>
      <vt:lpstr>D&amp;C Vols</vt:lpstr>
      <vt:lpstr>LDD forecasts</vt:lpstr>
      <vt:lpstr>D&amp;C Cost Forecasts</vt:lpstr>
      <vt:lpstr>D&amp;C Forecast UCs, Charges &amp; Xs</vt:lpstr>
      <vt:lpstr>Poles&gt;&gt;&gt;</vt:lpstr>
      <vt:lpstr>Pole volume forecasts</vt:lpstr>
      <vt:lpstr>Poles main COW Forecasts</vt:lpstr>
      <vt:lpstr>Poles costs forecasts</vt:lpstr>
      <vt:lpstr>Poles Fcast UCs, Charges &amp; Xs</vt:lpstr>
      <vt:lpstr>Model Output&gt;&gt;&gt;</vt:lpstr>
      <vt:lpstr>Model outputs</vt:lpstr>
      <vt:lpstr>CPI</vt:lpstr>
      <vt:lpstr>duct_asset_life</vt:lpstr>
      <vt:lpstr>Junction_box_discount</vt:lpstr>
      <vt:lpstr>Leadin_discount</vt:lpstr>
      <vt:lpstr>Manifold_uplift_ratio</vt:lpstr>
      <vt:lpstr>Million</vt:lpstr>
      <vt:lpstr>Opex_CVE</vt:lpstr>
      <vt:lpstr>Opex_eff</vt:lpstr>
      <vt:lpstr>pole_asset_life</vt:lpstr>
      <vt:lpstr>polevol_scenario</vt:lpstr>
      <vt:lpstr>RPI</vt:lpstr>
      <vt:lpstr>Single_attach_disc</vt:lpstr>
      <vt:lpstr>Single_bore_discount</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Bilotta</dc:creator>
  <cp:keywords/>
  <dc:description/>
  <cp:lastModifiedBy>Christian Coull</cp:lastModifiedBy>
  <cp:revision/>
  <cp:lastPrinted>2020-01-28T16:19:29Z</cp:lastPrinted>
  <dcterms:created xsi:type="dcterms:W3CDTF">2019-08-19T11:13:09Z</dcterms:created>
  <dcterms:modified xsi:type="dcterms:W3CDTF">2021-03-16T09:48:24Z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0x010100CAA12C5105342047A1E5FE66CBFB410700F52D858113A6F54C9CA8E666CD997AA10057839904160C3E4DBA30018BDBF1819A</vt:lpwstr>
  </property>
  <property fmtid="{D5CDD505-2E9C-101B-9397-08002B2CF9AE}" pid="3" name="URL">
    <vt:lpwstr/>
  </property>
  <property fmtid="{D5CDD505-2E9C-101B-9397-08002B2CF9AE}" pid="4" name="Year">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SIP_Label_4b3bde21-53e7-4844-882a-bacfde4adfcd_Enabled">
    <vt:lpwstr>True</vt:lpwstr>
  </property>
  <property fmtid="{D5CDD505-2E9C-101B-9397-08002B2CF9AE}" pid="10" name="MSIP_Label_4b3bde21-53e7-4844-882a-bacfde4adfcd_SiteId">
    <vt:lpwstr>0af648de-310c-4068-8ae4-f9418bae24cc</vt:lpwstr>
  </property>
  <property fmtid="{D5CDD505-2E9C-101B-9397-08002B2CF9AE}" pid="11" name="MSIP_Label_4b3bde21-53e7-4844-882a-bacfde4adfcd_Owner">
    <vt:lpwstr>Harriet.Taylor@ofcom.org.uk</vt:lpwstr>
  </property>
  <property fmtid="{D5CDD505-2E9C-101B-9397-08002B2CF9AE}" pid="12" name="MSIP_Label_4b3bde21-53e7-4844-882a-bacfde4adfcd_SetDate">
    <vt:lpwstr>2020-05-26T14:13:35.8462411Z</vt:lpwstr>
  </property>
  <property fmtid="{D5CDD505-2E9C-101B-9397-08002B2CF9AE}" pid="13" name="MSIP_Label_4b3bde21-53e7-4844-882a-bacfde4adfcd_Name">
    <vt:lpwstr>Highly Sensitive</vt:lpwstr>
  </property>
  <property fmtid="{D5CDD505-2E9C-101B-9397-08002B2CF9AE}" pid="14" name="MSIP_Label_4b3bde21-53e7-4844-882a-bacfde4adfcd_Application">
    <vt:lpwstr>Microsoft Azure Information Protection</vt:lpwstr>
  </property>
  <property fmtid="{D5CDD505-2E9C-101B-9397-08002B2CF9AE}" pid="15" name="MSIP_Label_4b3bde21-53e7-4844-882a-bacfde4adfcd_ActionId">
    <vt:lpwstr>ea5486d7-595b-4da9-94ac-51d4f8111d9c</vt:lpwstr>
  </property>
  <property fmtid="{D5CDD505-2E9C-101B-9397-08002B2CF9AE}" pid="16" name="MSIP_Label_4b3bde21-53e7-4844-882a-bacfde4adfcd_Extended_MSFT_Method">
    <vt:lpwstr>Manual</vt:lpwstr>
  </property>
  <property fmtid="{D5CDD505-2E9C-101B-9397-08002B2CF9AE}" pid="17" name="Sensitivity">
    <vt:lpwstr>Highly Sensitive</vt:lpwstr>
  </property>
</Properties>
</file>