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210" documentId="8_{91626441-C3E1-4F93-8AB6-5F99C81F1408}" xr6:coauthVersionLast="44" xr6:coauthVersionMax="45" xr10:uidLastSave="{296F4C9D-CC84-43C2-9154-53C876E4BCA5}"/>
  <bookViews>
    <workbookView xWindow="-98" yWindow="-98" windowWidth="20715" windowHeight="13276" firstSheet="1" activeTab="5" xr2:uid="{EB5B80FB-B168-4D64-8701-D18D8BA9540E}"/>
  </bookViews>
  <sheets>
    <sheet name="Terms and Conditions" sheetId="12" r:id="rId1"/>
    <sheet name="Cost recovery calculation" sheetId="7" r:id="rId2"/>
    <sheet name="INPUTS&gt;&gt;" sheetId="11" r:id="rId3"/>
    <sheet name="Fibre shortfall inputs" sheetId="8" r:id="rId4"/>
    <sheet name="Copper price inputs" sheetId="9" r:id="rId5"/>
    <sheet name="CPI-X model inputs" sheetId="10" r:id="rId6"/>
  </sheets>
  <externalReferences>
    <externalReference r:id="rId7"/>
    <externalReference r:id="rId8"/>
    <externalReference r:id="rId9"/>
  </externalReferences>
  <definedNames>
    <definedName name="Activity1">'[1]Auto-Switch CPS variant'!$A$9</definedName>
    <definedName name="Activity10">'[1]Auto-Switch CPS variant'!$A$63</definedName>
    <definedName name="Activity11">'[1]Auto-Switch CPS variant'!$A$70</definedName>
    <definedName name="Activity12">'[1]Auto-Switch CPS variant'!$A$75</definedName>
    <definedName name="Activity13">'[1]Auto-Switch CPS variant'!$A$80</definedName>
    <definedName name="Activity14">'[1]Auto-Switch CPS variant'!$A$85</definedName>
    <definedName name="Activity2">'[1]Auto-Switch CPS variant'!$A$14</definedName>
    <definedName name="Activity3">'[1]Auto-Switch CPS variant'!$A$23</definedName>
    <definedName name="Activity4">'[1]Auto-Switch CPS variant'!$A$28</definedName>
    <definedName name="Activity5">'[1]Auto-Switch CPS variant'!$A$31</definedName>
    <definedName name="Activity6">'[1]Auto-Switch CPS variant'!$A$34</definedName>
    <definedName name="Activity7">'[1]Auto-Switch CPS variant'!$A$42</definedName>
    <definedName name="Activity8">'[1]Auto-Switch CPS variant'!$A$50</definedName>
    <definedName name="Activity9">'[1]Auto-Switch CPS variant'!$A$58</definedName>
    <definedName name="CIQWBGuid" hidden="1">"DCF Area 3 RAB v3.xlsx"</definedName>
    <definedName name="copper_markup">'[2]RAB calc - cumulative'!$C$36:$AU$36</definedName>
    <definedName name="CRM_stack">'[1]MP cost summary'!$Q$16</definedName>
    <definedName name="deployment_bands">'[3]RAB calc - cumulative'!$C$24:$K$24</definedName>
    <definedName name="fibre_markup_post">'[2]RAB calc - cumulative'!$C$38:$AU$38</definedName>
    <definedName name="fibre_markup_pre">'[2]RAB calc - cumulative'!$C$37:$AU$37</definedName>
    <definedName name="Fibre_takeup">'Fibre shortfall inputs'!$B$24:$K$33</definedName>
    <definedName name="fund_period">#REF!</definedName>
    <definedName name="GPLActivity1">[1]GPL!$A$9</definedName>
    <definedName name="GPLActivity10">[1]GPL!$A$69</definedName>
    <definedName name="GPLActivity11">[1]GPL!$A$74</definedName>
    <definedName name="GPLActivity12">[1]GPL!$A$81</definedName>
    <definedName name="GPLActivity13">[1]GPL!$A$86</definedName>
    <definedName name="GPLActivity14">[1]GPL!$A$91</definedName>
    <definedName name="GPLActivity15">[1]GPL!$A$96</definedName>
    <definedName name="GPLActivity16" localSheetId="1">[1]GPL!#REF!</definedName>
    <definedName name="GPLActivity16">[1]GPL!#REF!</definedName>
    <definedName name="GPLActivity17" localSheetId="1">[1]GPL!#REF!</definedName>
    <definedName name="GPLActivity17">[1]GPL!#REF!</definedName>
    <definedName name="GPLActivity18" localSheetId="1">[1]GPL!#REF!</definedName>
    <definedName name="GPLActivity18">[1]GPL!#REF!</definedName>
    <definedName name="GPLActivity2">[1]GPL!$A$20</definedName>
    <definedName name="GPLActivity3">[1]GPL!$A$24</definedName>
    <definedName name="GPLActivity4">[1]GPL!$A$33</definedName>
    <definedName name="GPLActivity5">[1]GPL!$A$39</definedName>
    <definedName name="GPLActivity6">[1]GPL!$A$42</definedName>
    <definedName name="GPLActivity7">[1]GPL!$A$45</definedName>
    <definedName name="GPLActivity8">[1]GPL!$A$53</definedName>
    <definedName name="GPLActivity9">[1]GPL!$A$61</definedName>
    <definedName name="loading_factor">'[1]Salary . staff rates'!$B$33</definedName>
    <definedName name="million">1000000</definedName>
    <definedName name="months_in_year">12</definedName>
    <definedName name="NPV_central">'[3]RAB calc - cumulative'!$C$27:$K$27</definedName>
    <definedName name="NPV_high">'[3]RAB calc - cumulative'!$C$26:$K$26</definedName>
    <definedName name="NPV_low">'[3]RAB calc - cumulative'!$C$25:$K$25</definedName>
    <definedName name="passthrough">'[3]RAB calc - cumulative'!$C$9</definedName>
    <definedName name="per_recovery">'[2]RAB calc - cumulative'!$C$11</definedName>
    <definedName name="percent_recovery_preswitch">'[3]RAB calc - cumulative'!$C$11</definedName>
    <definedName name="premises">'[2]RAB calc - cumulative'!$C$50:$AU$50</definedName>
    <definedName name="pricing_freedom">'[2]RAB calc - cumulative'!$C$7</definedName>
    <definedName name="rate">'[2]RAB calc - cumulative'!$C$5</definedName>
    <definedName name="recovery1st">'[2]With time and test constant k'!$C$10</definedName>
    <definedName name="scenario_choice">'[1]MP cost summary'!$E$15</definedName>
    <definedName name="sensitivity">'[1]Control panel'!$B$7</definedName>
    <definedName name="switchoff_year">'[3]RAB calc - cumulative'!$C$7</definedName>
    <definedName name="total_lines">'[3]RAB calc - cumulative'!$C$15</definedName>
    <definedName name="tranche_size">'[2]RAB calc - cumulative'!$C$18</definedName>
    <definedName name="wacc">'[3]RAB calc - cumulative'!$C$13</definedName>
    <definedName name="working_days">'[1]Salary . staff rates'!$B$31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8" l="1"/>
  <c r="V44" i="9" l="1"/>
  <c r="W44" i="9"/>
  <c r="T44" i="9"/>
  <c r="Y59" i="9"/>
  <c r="X44" i="9"/>
  <c r="U44" i="9"/>
  <c r="Z59" i="9" l="1"/>
  <c r="AA59" i="9" l="1"/>
  <c r="AB59" i="9" l="1"/>
  <c r="AC59" i="9"/>
  <c r="Z44" i="9" l="1"/>
  <c r="AA44" i="9"/>
  <c r="AB44" i="9"/>
  <c r="AC44" i="9"/>
  <c r="Y44" i="9"/>
  <c r="C26" i="7" l="1"/>
  <c r="C27" i="7"/>
  <c r="D42" i="10"/>
  <c r="E42" i="10"/>
  <c r="F42" i="10"/>
  <c r="G42" i="10"/>
  <c r="H42" i="10"/>
  <c r="I42" i="10"/>
  <c r="J42" i="10"/>
  <c r="K42" i="10"/>
  <c r="L42" i="10"/>
  <c r="M42" i="10"/>
  <c r="N42" i="10"/>
  <c r="O42" i="10"/>
  <c r="P42" i="10"/>
  <c r="Q42" i="10"/>
  <c r="C42" i="10"/>
  <c r="F76" i="10"/>
  <c r="H76" i="10"/>
  <c r="E15" i="9" l="1"/>
  <c r="I15" i="9"/>
  <c r="H16" i="9"/>
  <c r="G17" i="9"/>
  <c r="F18" i="9"/>
  <c r="E19" i="9"/>
  <c r="I19" i="9"/>
  <c r="H20" i="9"/>
  <c r="G21" i="9"/>
  <c r="F22" i="9"/>
  <c r="E23" i="9"/>
  <c r="I23" i="9"/>
  <c r="H24" i="9"/>
  <c r="G25" i="9"/>
  <c r="F26" i="9"/>
  <c r="H25" i="9"/>
  <c r="F15" i="9"/>
  <c r="E16" i="9"/>
  <c r="I16" i="9"/>
  <c r="H17" i="9"/>
  <c r="G18" i="9"/>
  <c r="F19" i="9"/>
  <c r="E20" i="9"/>
  <c r="I20" i="9"/>
  <c r="H21" i="9"/>
  <c r="G22" i="9"/>
  <c r="F23" i="9"/>
  <c r="E24" i="9"/>
  <c r="I24" i="9"/>
  <c r="G26" i="9"/>
  <c r="H15" i="9"/>
  <c r="F17" i="9"/>
  <c r="I18" i="9"/>
  <c r="G20" i="9"/>
  <c r="E22" i="9"/>
  <c r="H23" i="9"/>
  <c r="F25" i="9"/>
  <c r="I26" i="9"/>
  <c r="G15" i="9"/>
  <c r="F16" i="9"/>
  <c r="E17" i="9"/>
  <c r="I17" i="9"/>
  <c r="H18" i="9"/>
  <c r="G19" i="9"/>
  <c r="F20" i="9"/>
  <c r="E21" i="9"/>
  <c r="I21" i="9"/>
  <c r="H22" i="9"/>
  <c r="G23" i="9"/>
  <c r="F24" i="9"/>
  <c r="E25" i="9"/>
  <c r="I25" i="9"/>
  <c r="H26" i="9"/>
  <c r="G16" i="9"/>
  <c r="E18" i="9"/>
  <c r="H19" i="9"/>
  <c r="F21" i="9"/>
  <c r="I22" i="9"/>
  <c r="G24" i="9"/>
  <c r="E26" i="9"/>
  <c r="D78" i="10"/>
  <c r="H87" i="10"/>
  <c r="E86" i="10"/>
  <c r="F85" i="10"/>
  <c r="G84" i="10"/>
  <c r="H83" i="10"/>
  <c r="E82" i="10"/>
  <c r="F81" i="10"/>
  <c r="G80" i="10"/>
  <c r="H79" i="10"/>
  <c r="E78" i="10"/>
  <c r="F77" i="10"/>
  <c r="G76" i="10"/>
  <c r="G79" i="10"/>
  <c r="H78" i="10"/>
  <c r="E77" i="10"/>
  <c r="D85" i="10"/>
  <c r="D81" i="10"/>
  <c r="D77" i="10"/>
  <c r="F87" i="10"/>
  <c r="G86" i="10"/>
  <c r="H85" i="10"/>
  <c r="H84" i="10"/>
  <c r="E84" i="10"/>
  <c r="F83" i="10"/>
  <c r="G82" i="10"/>
  <c r="H81" i="10"/>
  <c r="H80" i="10"/>
  <c r="E80" i="10"/>
  <c r="F79" i="10"/>
  <c r="G78" i="10"/>
  <c r="H77" i="10"/>
  <c r="E76" i="10"/>
  <c r="D87" i="10"/>
  <c r="D83" i="10"/>
  <c r="D79" i="10"/>
  <c r="G87" i="10"/>
  <c r="H86" i="10"/>
  <c r="D86" i="10"/>
  <c r="E85" i="10"/>
  <c r="F84" i="10"/>
  <c r="G83" i="10"/>
  <c r="H82" i="10"/>
  <c r="D82" i="10"/>
  <c r="E81" i="10"/>
  <c r="F80" i="10"/>
  <c r="D76" i="10"/>
  <c r="E87" i="10"/>
  <c r="F86" i="10"/>
  <c r="G85" i="10"/>
  <c r="D84" i="10"/>
  <c r="E83" i="10"/>
  <c r="F82" i="10"/>
  <c r="G81" i="10"/>
  <c r="D80" i="10"/>
  <c r="E79" i="10"/>
  <c r="F78" i="10"/>
  <c r="G77" i="10"/>
  <c r="C38" i="9"/>
  <c r="C39" i="9"/>
  <c r="E14" i="10"/>
  <c r="D22" i="10"/>
  <c r="E22" i="10"/>
  <c r="D23" i="10"/>
  <c r="E23" i="10"/>
  <c r="D24" i="10"/>
  <c r="E24" i="10"/>
  <c r="D25" i="10"/>
  <c r="E25" i="10"/>
  <c r="D26" i="10"/>
  <c r="E26" i="10"/>
  <c r="D27" i="10"/>
  <c r="E27" i="10"/>
  <c r="D28" i="10"/>
  <c r="E28" i="10"/>
  <c r="C23" i="10"/>
  <c r="C24" i="10"/>
  <c r="C25" i="10"/>
  <c r="C26" i="10"/>
  <c r="C27" i="10"/>
  <c r="C28" i="10"/>
  <c r="D5" i="10"/>
  <c r="E5" i="10"/>
  <c r="D6" i="10"/>
  <c r="E6" i="10"/>
  <c r="D7" i="10"/>
  <c r="E7" i="10"/>
  <c r="D8" i="10"/>
  <c r="E8" i="10"/>
  <c r="D9" i="10"/>
  <c r="E9" i="10"/>
  <c r="D10" i="10"/>
  <c r="E10" i="10"/>
  <c r="D11" i="10"/>
  <c r="E11" i="10"/>
  <c r="C6" i="10"/>
  <c r="C7" i="10"/>
  <c r="C8" i="10"/>
  <c r="C9" i="10"/>
  <c r="C10" i="10"/>
  <c r="C11" i="10"/>
  <c r="C5" i="10"/>
  <c r="C22" i="10"/>
  <c r="D31" i="10"/>
  <c r="E31" i="10"/>
  <c r="D32" i="10"/>
  <c r="E32" i="10"/>
  <c r="D33" i="10"/>
  <c r="E33" i="10"/>
  <c r="C32" i="10"/>
  <c r="C33" i="10"/>
  <c r="C31" i="10"/>
  <c r="D14" i="10"/>
  <c r="D15" i="10"/>
  <c r="E15" i="10"/>
  <c r="D16" i="10"/>
  <c r="E16" i="10"/>
  <c r="C15" i="10"/>
  <c r="C16" i="10"/>
  <c r="C14" i="10"/>
  <c r="J20" i="9" l="1"/>
  <c r="J16" i="9"/>
  <c r="J17" i="9"/>
  <c r="J24" i="9"/>
  <c r="J18" i="9"/>
  <c r="K18" i="9" s="1"/>
  <c r="L18" i="9" s="1"/>
  <c r="M18" i="9" s="1"/>
  <c r="N18" i="9" s="1"/>
  <c r="K17" i="9"/>
  <c r="K16" i="9"/>
  <c r="L16" i="9" s="1"/>
  <c r="M16" i="9" s="1"/>
  <c r="N16" i="9" s="1"/>
  <c r="C37" i="9"/>
  <c r="C33" i="9"/>
  <c r="J19" i="9"/>
  <c r="K19" i="9" s="1"/>
  <c r="L19" i="9" s="1"/>
  <c r="M19" i="9" s="1"/>
  <c r="N19" i="9" s="1"/>
  <c r="J23" i="9"/>
  <c r="K23" i="9" s="1"/>
  <c r="L23" i="9" s="1"/>
  <c r="M23" i="9" s="1"/>
  <c r="N23" i="9" s="1"/>
  <c r="J21" i="9"/>
  <c r="K21" i="9" s="1"/>
  <c r="L21" i="9" s="1"/>
  <c r="M21" i="9" s="1"/>
  <c r="N21" i="9" s="1"/>
  <c r="K20" i="9"/>
  <c r="L20" i="9" s="1"/>
  <c r="M20" i="9" s="1"/>
  <c r="N20" i="9" s="1"/>
  <c r="K24" i="9"/>
  <c r="L24" i="9" s="1"/>
  <c r="M24" i="9" s="1"/>
  <c r="N24" i="9" s="1"/>
  <c r="J15" i="9"/>
  <c r="K15" i="9" s="1"/>
  <c r="L15" i="9" s="1"/>
  <c r="M15" i="9" s="1"/>
  <c r="N15" i="9" s="1"/>
  <c r="C31" i="9"/>
  <c r="J22" i="9"/>
  <c r="K22" i="9" s="1"/>
  <c r="L22" i="9" s="1"/>
  <c r="M22" i="9" s="1"/>
  <c r="N22" i="9" s="1"/>
  <c r="C41" i="9"/>
  <c r="C35" i="9"/>
  <c r="C42" i="9"/>
  <c r="C40" i="9"/>
  <c r="C36" i="9"/>
  <c r="C34" i="9"/>
  <c r="C32" i="9"/>
  <c r="J26" i="9"/>
  <c r="K26" i="9" s="1"/>
  <c r="L26" i="9" s="1"/>
  <c r="M26" i="9" s="1"/>
  <c r="N26" i="9" s="1"/>
  <c r="J25" i="9"/>
  <c r="K25" i="9" s="1"/>
  <c r="L25" i="9" s="1"/>
  <c r="M25" i="9" s="1"/>
  <c r="N25" i="9" s="1"/>
  <c r="L17" i="9"/>
  <c r="M17" i="9" s="1"/>
  <c r="N17" i="9" s="1"/>
  <c r="B25" i="7" l="1"/>
  <c r="B24" i="7"/>
  <c r="C25" i="7" l="1"/>
  <c r="B9" i="9" l="1"/>
  <c r="J56" i="9" s="1"/>
  <c r="N58" i="9"/>
  <c r="N55" i="9"/>
  <c r="N56" i="9"/>
  <c r="L56" i="9"/>
  <c r="M55" i="9"/>
  <c r="J57" i="9"/>
  <c r="K57" i="9"/>
  <c r="M56" i="9"/>
  <c r="M58" i="9"/>
  <c r="L55" i="9"/>
  <c r="K56" i="9"/>
  <c r="M57" i="9"/>
  <c r="L58" i="9"/>
  <c r="J55" i="9"/>
  <c r="K55" i="9"/>
  <c r="J58" i="9"/>
  <c r="L57" i="9"/>
  <c r="K58" i="9"/>
  <c r="B8" i="9"/>
  <c r="N57" i="9" l="1"/>
  <c r="J48" i="9"/>
  <c r="J52" i="9"/>
  <c r="K48" i="9"/>
  <c r="K49" i="9"/>
  <c r="J49" i="9"/>
  <c r="L48" i="9"/>
  <c r="J50" i="9"/>
  <c r="N49" i="9"/>
  <c r="N50" i="9"/>
  <c r="N53" i="9"/>
  <c r="N54" i="9"/>
  <c r="N52" i="9"/>
  <c r="N47" i="9"/>
  <c r="M52" i="9"/>
  <c r="N48" i="9"/>
  <c r="K53" i="9"/>
  <c r="N51" i="9"/>
  <c r="J47" i="9"/>
  <c r="M53" i="9"/>
  <c r="J54" i="9"/>
  <c r="L52" i="9"/>
  <c r="M49" i="9"/>
  <c r="M51" i="9"/>
  <c r="L51" i="9"/>
  <c r="L47" i="9"/>
  <c r="J53" i="9"/>
  <c r="K52" i="9"/>
  <c r="M54" i="9"/>
  <c r="M47" i="9"/>
  <c r="L54" i="9"/>
  <c r="L50" i="9"/>
  <c r="K51" i="9"/>
  <c r="K47" i="9"/>
  <c r="L53" i="9"/>
  <c r="L49" i="9"/>
  <c r="M48" i="9"/>
  <c r="K54" i="9"/>
  <c r="K50" i="9"/>
  <c r="J51" i="9"/>
  <c r="M50" i="9"/>
  <c r="B20" i="8" l="1"/>
  <c r="C24" i="7" s="1"/>
  <c r="C32" i="7"/>
  <c r="B15" i="7" s="1"/>
  <c r="B16" i="7" s="1"/>
  <c r="C19" i="7"/>
  <c r="AV15" i="7" s="1"/>
  <c r="AV14" i="7" l="1"/>
  <c r="AV19" i="7"/>
  <c r="AV24" i="7"/>
  <c r="AV26" i="7"/>
  <c r="AV28" i="7"/>
  <c r="AV22" i="7"/>
  <c r="AV16" i="7"/>
  <c r="AV21" i="7"/>
  <c r="AV23" i="7"/>
  <c r="AV17" i="7"/>
  <c r="AV30" i="7"/>
  <c r="AV32" i="7"/>
  <c r="AV29" i="7"/>
  <c r="AV31" i="7"/>
  <c r="AV25" i="7"/>
  <c r="AV27" i="7"/>
  <c r="AV18" i="7"/>
  <c r="AV20" i="7"/>
  <c r="AV33" i="7"/>
  <c r="C18" i="7"/>
  <c r="C17" i="7" l="1"/>
  <c r="AU18" i="7"/>
  <c r="AU24" i="7"/>
  <c r="AU17" i="7"/>
  <c r="AU23" i="7"/>
  <c r="AU21" i="7"/>
  <c r="AU19" i="7"/>
  <c r="AU14" i="7"/>
  <c r="AU26" i="7"/>
  <c r="AU25" i="7"/>
  <c r="AU29" i="7"/>
  <c r="AU27" i="7"/>
  <c r="AU16" i="7"/>
  <c r="AU22" i="7"/>
  <c r="AU28" i="7"/>
  <c r="AU30" i="7"/>
  <c r="AU15" i="7"/>
  <c r="AU33" i="7"/>
  <c r="AU20" i="7"/>
  <c r="AU32" i="7"/>
  <c r="AU31" i="7"/>
  <c r="AT15" i="7" l="1"/>
  <c r="AT14" i="7" l="1"/>
  <c r="AT25" i="7"/>
  <c r="AT32" i="7"/>
  <c r="AT16" i="7"/>
  <c r="AT27" i="7"/>
  <c r="AT18" i="7"/>
  <c r="AT21" i="7"/>
  <c r="AT28" i="7"/>
  <c r="AT30" i="7"/>
  <c r="AT23" i="7"/>
  <c r="AT33" i="7"/>
  <c r="AT17" i="7"/>
  <c r="AT24" i="7"/>
  <c r="AT22" i="7"/>
  <c r="AT19" i="7"/>
  <c r="AT29" i="7"/>
  <c r="AT26" i="7"/>
  <c r="AT20" i="7"/>
  <c r="AT31" i="7"/>
  <c r="H14" i="7" l="1"/>
  <c r="F14" i="7" l="1"/>
  <c r="E14" i="7"/>
  <c r="I14" i="7"/>
  <c r="J14" i="7" s="1"/>
  <c r="H15" i="7"/>
  <c r="F15" i="7" l="1"/>
  <c r="E15" i="7"/>
  <c r="I15" i="7"/>
  <c r="H16" i="7"/>
  <c r="F16" i="7" l="1"/>
  <c r="E16" i="7"/>
  <c r="I16" i="7"/>
  <c r="J15" i="7"/>
  <c r="H17" i="7"/>
  <c r="F17" i="7" l="1"/>
  <c r="E17" i="7"/>
  <c r="I17" i="7"/>
  <c r="J17" i="7" s="1"/>
  <c r="J16" i="7"/>
  <c r="H18" i="7"/>
  <c r="F18" i="7" l="1"/>
  <c r="E18" i="7"/>
  <c r="H19" i="7"/>
  <c r="H20" i="7" s="1"/>
  <c r="I18" i="7"/>
  <c r="F20" i="7" l="1"/>
  <c r="E20" i="7"/>
  <c r="I19" i="7"/>
  <c r="J19" i="7" s="1"/>
  <c r="F19" i="7"/>
  <c r="E19" i="7"/>
  <c r="I20" i="7"/>
  <c r="J18" i="7"/>
  <c r="H21" i="7"/>
  <c r="J20" i="7" l="1"/>
  <c r="F21" i="7"/>
  <c r="E21" i="7"/>
  <c r="I21" i="7"/>
  <c r="H22" i="7"/>
  <c r="F22" i="7" l="1"/>
  <c r="E22" i="7"/>
  <c r="I22" i="7"/>
  <c r="J21" i="7"/>
  <c r="H23" i="7"/>
  <c r="F23" i="7" l="1"/>
  <c r="E23" i="7"/>
  <c r="I23" i="7"/>
  <c r="J22" i="7"/>
  <c r="H24" i="7"/>
  <c r="F24" i="7" l="1"/>
  <c r="E24" i="7"/>
  <c r="I24" i="7"/>
  <c r="K24" i="7"/>
  <c r="L24" i="7" s="1"/>
  <c r="J23" i="7"/>
  <c r="H25" i="7"/>
  <c r="AC24" i="7" l="1"/>
  <c r="AL24" i="7" s="1"/>
  <c r="V24" i="7"/>
  <c r="AI24" i="7" s="1"/>
  <c r="F25" i="7"/>
  <c r="E25" i="7"/>
  <c r="I25" i="7"/>
  <c r="K25" i="7"/>
  <c r="L25" i="7" s="1"/>
  <c r="J24" i="7"/>
  <c r="H26" i="7"/>
  <c r="AC25" i="7" l="1"/>
  <c r="AL25" i="7" s="1"/>
  <c r="V25" i="7"/>
  <c r="AI25" i="7" s="1"/>
  <c r="F26" i="7"/>
  <c r="E26" i="7"/>
  <c r="I26" i="7"/>
  <c r="K26" i="7"/>
  <c r="L26" i="7" s="1"/>
  <c r="J25" i="7"/>
  <c r="H27" i="7"/>
  <c r="V26" i="7" l="1"/>
  <c r="AI26" i="7" s="1"/>
  <c r="AC26" i="7"/>
  <c r="AL26" i="7" s="1"/>
  <c r="F27" i="7"/>
  <c r="E27" i="7"/>
  <c r="I27" i="7"/>
  <c r="K27" i="7"/>
  <c r="L27" i="7" s="1"/>
  <c r="J26" i="7"/>
  <c r="H28" i="7"/>
  <c r="V27" i="7" l="1"/>
  <c r="AI27" i="7" s="1"/>
  <c r="AC27" i="7"/>
  <c r="AL27" i="7" s="1"/>
  <c r="F28" i="7"/>
  <c r="E28" i="7"/>
  <c r="I28" i="7"/>
  <c r="K28" i="7"/>
  <c r="L28" i="7" s="1"/>
  <c r="J27" i="7"/>
  <c r="H29" i="7"/>
  <c r="AC28" i="7" l="1"/>
  <c r="AL28" i="7" s="1"/>
  <c r="V28" i="7"/>
  <c r="AI28" i="7" s="1"/>
  <c r="F29" i="7"/>
  <c r="E29" i="7"/>
  <c r="I29" i="7"/>
  <c r="K29" i="7"/>
  <c r="L29" i="7" s="1"/>
  <c r="J28" i="7"/>
  <c r="H30" i="7"/>
  <c r="AC29" i="7" l="1"/>
  <c r="AL29" i="7" s="1"/>
  <c r="V29" i="7"/>
  <c r="AI29" i="7" s="1"/>
  <c r="F30" i="7"/>
  <c r="E30" i="7"/>
  <c r="I30" i="7"/>
  <c r="K30" i="7"/>
  <c r="L30" i="7" s="1"/>
  <c r="J29" i="7"/>
  <c r="H31" i="7"/>
  <c r="AC30" i="7" l="1"/>
  <c r="AL30" i="7" s="1"/>
  <c r="V30" i="7"/>
  <c r="AI30" i="7" s="1"/>
  <c r="F31" i="7"/>
  <c r="E31" i="7"/>
  <c r="I31" i="7"/>
  <c r="K31" i="7"/>
  <c r="L31" i="7" s="1"/>
  <c r="J30" i="7"/>
  <c r="H32" i="7"/>
  <c r="V31" i="7" l="1"/>
  <c r="AI31" i="7" s="1"/>
  <c r="AC31" i="7"/>
  <c r="AL31" i="7" s="1"/>
  <c r="F32" i="7"/>
  <c r="E32" i="7"/>
  <c r="I32" i="7"/>
  <c r="K32" i="7"/>
  <c r="L32" i="7" s="1"/>
  <c r="J31" i="7"/>
  <c r="H33" i="7"/>
  <c r="AC32" i="7" l="1"/>
  <c r="AL32" i="7" s="1"/>
  <c r="V32" i="7"/>
  <c r="AI32" i="7" s="1"/>
  <c r="F33" i="7"/>
  <c r="E33" i="7"/>
  <c r="I33" i="7"/>
  <c r="K33" i="7"/>
  <c r="L33" i="7" s="1"/>
  <c r="J32" i="7"/>
  <c r="AC33" i="7" l="1"/>
  <c r="AL33" i="7" s="1"/>
  <c r="V33" i="7"/>
  <c r="AI33" i="7" s="1"/>
  <c r="J33" i="7"/>
  <c r="T23" i="9" l="1"/>
  <c r="T24" i="9"/>
  <c r="U23" i="9" l="1"/>
  <c r="T25" i="9"/>
  <c r="U24" i="9"/>
  <c r="T26" i="9" l="1"/>
  <c r="T9" i="9" s="1"/>
  <c r="U25" i="9"/>
  <c r="V24" i="9"/>
  <c r="U26" i="9"/>
  <c r="V23" i="9"/>
  <c r="U9" i="9" l="1"/>
  <c r="W23" i="9"/>
  <c r="W24" i="9"/>
  <c r="V25" i="9"/>
  <c r="V26" i="9" l="1"/>
  <c r="V9" i="9" s="1"/>
  <c r="W26" i="9"/>
  <c r="W25" i="9"/>
  <c r="X23" i="9"/>
  <c r="X24" i="9"/>
  <c r="U15" i="9"/>
  <c r="T22" i="9"/>
  <c r="W9" i="9" l="1"/>
  <c r="T15" i="9"/>
  <c r="X25" i="9"/>
  <c r="Y24" i="9"/>
  <c r="Y23" i="9"/>
  <c r="E27" i="9"/>
  <c r="U21" i="9"/>
  <c r="U17" i="9"/>
  <c r="T16" i="9"/>
  <c r="T18" i="9"/>
  <c r="U16" i="9"/>
  <c r="U20" i="9"/>
  <c r="T21" i="9"/>
  <c r="T20" i="9"/>
  <c r="T19" i="9"/>
  <c r="U18" i="9"/>
  <c r="U19" i="9"/>
  <c r="T17" i="9"/>
  <c r="U22" i="9"/>
  <c r="F27" i="9"/>
  <c r="U8" i="9" l="1"/>
  <c r="T8" i="9"/>
  <c r="X26" i="9"/>
  <c r="X9" i="9" s="1"/>
  <c r="Z23" i="9"/>
  <c r="Z24" i="9"/>
  <c r="Y25" i="9"/>
  <c r="U27" i="9"/>
  <c r="T27" i="9"/>
  <c r="V18" i="9"/>
  <c r="W17" i="9"/>
  <c r="Z25" i="9" l="1"/>
  <c r="AA24" i="9"/>
  <c r="AA23" i="9"/>
  <c r="Y26" i="9"/>
  <c r="Y9" i="9" s="1"/>
  <c r="V19" i="9"/>
  <c r="V20" i="9"/>
  <c r="H27" i="9"/>
  <c r="W20" i="9"/>
  <c r="W16" i="9"/>
  <c r="V17" i="9"/>
  <c r="V16" i="9"/>
  <c r="V15" i="9"/>
  <c r="W21" i="9"/>
  <c r="W15" i="9"/>
  <c r="W19" i="9"/>
  <c r="V22" i="9"/>
  <c r="V21" i="9"/>
  <c r="W22" i="9"/>
  <c r="W18" i="9"/>
  <c r="G27" i="9"/>
  <c r="I27" i="9"/>
  <c r="W8" i="9" l="1"/>
  <c r="V8" i="9"/>
  <c r="Z26" i="9"/>
  <c r="Z9" i="9" s="1"/>
  <c r="AC23" i="9"/>
  <c r="AB23" i="9"/>
  <c r="AC24" i="9"/>
  <c r="AB24" i="9"/>
  <c r="AA25" i="9"/>
  <c r="V27" i="9"/>
  <c r="W27" i="9"/>
  <c r="Y15" i="9"/>
  <c r="X22" i="9"/>
  <c r="X17" i="9"/>
  <c r="X16" i="9"/>
  <c r="X21" i="9"/>
  <c r="X19" i="9"/>
  <c r="X20" i="9"/>
  <c r="X18" i="9"/>
  <c r="X15" i="9"/>
  <c r="Y18" i="9"/>
  <c r="Y19" i="9"/>
  <c r="Y17" i="9"/>
  <c r="Y16" i="9"/>
  <c r="X8" i="9" l="1"/>
  <c r="Y22" i="9"/>
  <c r="Y21" i="9"/>
  <c r="AC25" i="9"/>
  <c r="AB25" i="9"/>
  <c r="AA26" i="9"/>
  <c r="AA9" i="9" s="1"/>
  <c r="J27" i="9"/>
  <c r="X27" i="9"/>
  <c r="Y20" i="9"/>
  <c r="Z18" i="9"/>
  <c r="Z16" i="9"/>
  <c r="Y8" i="9" l="1"/>
  <c r="Y27" i="9"/>
  <c r="Z21" i="9"/>
  <c r="Z17" i="9"/>
  <c r="AC26" i="9"/>
  <c r="AC9" i="9" s="1"/>
  <c r="AB26" i="9"/>
  <c r="AB9" i="9" s="1"/>
  <c r="Z15" i="9"/>
  <c r="K27" i="9"/>
  <c r="Z22" i="9"/>
  <c r="Z19" i="9"/>
  <c r="Z20" i="9"/>
  <c r="AA15" i="9"/>
  <c r="AA16" i="9"/>
  <c r="AA19" i="9"/>
  <c r="AA17" i="9"/>
  <c r="AA18" i="9"/>
  <c r="L27" i="9"/>
  <c r="AA21" i="9"/>
  <c r="AA22" i="9"/>
  <c r="AA20" i="9"/>
  <c r="Z8" i="9" l="1"/>
  <c r="AA8" i="9"/>
  <c r="Z27" i="9"/>
  <c r="AA27" i="9"/>
  <c r="AB20" i="9"/>
  <c r="AB15" i="9"/>
  <c r="AB17" i="9"/>
  <c r="AB19" i="9"/>
  <c r="AB21" i="9"/>
  <c r="AB16" i="9"/>
  <c r="M27" i="9"/>
  <c r="AB18" i="9"/>
  <c r="AB22" i="9"/>
  <c r="AB8" i="9" l="1"/>
  <c r="AC15" i="9"/>
  <c r="AC20" i="9"/>
  <c r="AC19" i="9"/>
  <c r="AC22" i="9"/>
  <c r="N27" i="9"/>
  <c r="AC18" i="9"/>
  <c r="AC17" i="9"/>
  <c r="AC16" i="9"/>
  <c r="AC21" i="9"/>
  <c r="AB27" i="9"/>
  <c r="AC8" i="9" l="1"/>
  <c r="AC27" i="9"/>
  <c r="C33" i="7" s="1"/>
  <c r="K14" i="7" l="1"/>
  <c r="K15" i="7"/>
  <c r="L15" i="7" s="1"/>
  <c r="K17" i="7"/>
  <c r="L17" i="7" s="1"/>
  <c r="K16" i="7"/>
  <c r="L16" i="7" s="1"/>
  <c r="K18" i="7"/>
  <c r="L18" i="7" s="1"/>
  <c r="K20" i="7"/>
  <c r="L20" i="7" s="1"/>
  <c r="K19" i="7"/>
  <c r="L19" i="7" s="1"/>
  <c r="K22" i="7"/>
  <c r="L22" i="7" s="1"/>
  <c r="K21" i="7"/>
  <c r="L21" i="7" s="1"/>
  <c r="K23" i="7"/>
  <c r="L23" i="7" s="1"/>
  <c r="L14" i="7" l="1"/>
  <c r="T10" i="9" a="1"/>
  <c r="T10" i="9" l="1"/>
  <c r="AA10" i="9"/>
  <c r="W10" i="9"/>
  <c r="Z10" i="9"/>
  <c r="U10" i="9"/>
  <c r="V10" i="9"/>
  <c r="AB10" i="9"/>
  <c r="AC10" i="9"/>
  <c r="X10" i="9"/>
  <c r="Y10" i="9"/>
  <c r="D31" i="9" l="1"/>
  <c r="E31" i="9" s="1"/>
  <c r="D38" i="9"/>
  <c r="E38" i="9" s="1"/>
  <c r="D35" i="9"/>
  <c r="E35" i="9" s="1"/>
  <c r="D32" i="9"/>
  <c r="E32" i="9" s="1"/>
  <c r="D36" i="9"/>
  <c r="E36" i="9" s="1"/>
  <c r="D37" i="9"/>
  <c r="E37" i="9" s="1"/>
  <c r="D33" i="9"/>
  <c r="E33" i="9" s="1"/>
  <c r="D34" i="9"/>
  <c r="E34" i="9" s="1"/>
  <c r="F37" i="9" l="1"/>
  <c r="T37" i="9"/>
  <c r="T51" i="9" s="1"/>
  <c r="U51" i="9" s="1"/>
  <c r="V51" i="9" s="1"/>
  <c r="W51" i="9" s="1"/>
  <c r="X51" i="9" s="1"/>
  <c r="F31" i="9"/>
  <c r="T31" i="9"/>
  <c r="F34" i="9"/>
  <c r="T34" i="9"/>
  <c r="T48" i="9" s="1"/>
  <c r="U48" i="9" s="1"/>
  <c r="V48" i="9" s="1"/>
  <c r="W48" i="9" s="1"/>
  <c r="X48" i="9" s="1"/>
  <c r="F35" i="9"/>
  <c r="T35" i="9"/>
  <c r="T49" i="9" s="1"/>
  <c r="U49" i="9" s="1"/>
  <c r="V49" i="9" s="1"/>
  <c r="W49" i="9" s="1"/>
  <c r="X49" i="9" s="1"/>
  <c r="F36" i="9"/>
  <c r="T36" i="9"/>
  <c r="T50" i="9" s="1"/>
  <c r="U50" i="9" s="1"/>
  <c r="V50" i="9" s="1"/>
  <c r="W50" i="9" s="1"/>
  <c r="X50" i="9" s="1"/>
  <c r="D40" i="9"/>
  <c r="E40" i="9" s="1"/>
  <c r="F33" i="9"/>
  <c r="T33" i="9"/>
  <c r="T47" i="9" s="1"/>
  <c r="U47" i="9" s="1"/>
  <c r="V47" i="9" s="1"/>
  <c r="W47" i="9" s="1"/>
  <c r="X47" i="9" s="1"/>
  <c r="D39" i="9"/>
  <c r="E39" i="9" s="1"/>
  <c r="F32" i="9"/>
  <c r="T32" i="9"/>
  <c r="T46" i="9" s="1"/>
  <c r="U46" i="9" s="1"/>
  <c r="V46" i="9" s="1"/>
  <c r="W46" i="9" s="1"/>
  <c r="X46" i="9" s="1"/>
  <c r="F38" i="9"/>
  <c r="T38" i="9"/>
  <c r="T52" i="9" s="1"/>
  <c r="U52" i="9" s="1"/>
  <c r="V52" i="9" s="1"/>
  <c r="W52" i="9" s="1"/>
  <c r="X52" i="9" s="1"/>
  <c r="Y49" i="9" l="1"/>
  <c r="Y64" i="9"/>
  <c r="Z64" i="9" s="1"/>
  <c r="AA64" i="9" s="1"/>
  <c r="AB64" i="9" s="1"/>
  <c r="AC64" i="9" s="1"/>
  <c r="Y46" i="9"/>
  <c r="Y61" i="9"/>
  <c r="Z61" i="9" s="1"/>
  <c r="AA61" i="9" s="1"/>
  <c r="AB61" i="9" s="1"/>
  <c r="AC61" i="9" s="1"/>
  <c r="Y52" i="9"/>
  <c r="Y67" i="9"/>
  <c r="Z67" i="9" s="1"/>
  <c r="AA67" i="9" s="1"/>
  <c r="AB67" i="9" s="1"/>
  <c r="AC67" i="9" s="1"/>
  <c r="Y50" i="9"/>
  <c r="Y65" i="9"/>
  <c r="Z65" i="9" s="1"/>
  <c r="AA65" i="9" s="1"/>
  <c r="AB65" i="9" s="1"/>
  <c r="AC65" i="9" s="1"/>
  <c r="Y48" i="9"/>
  <c r="Y63" i="9"/>
  <c r="Z63" i="9" s="1"/>
  <c r="AA63" i="9" s="1"/>
  <c r="AB63" i="9" s="1"/>
  <c r="AC63" i="9" s="1"/>
  <c r="Y51" i="9"/>
  <c r="Y66" i="9"/>
  <c r="Z66" i="9" s="1"/>
  <c r="AA66" i="9" s="1"/>
  <c r="AB66" i="9" s="1"/>
  <c r="AC66" i="9" s="1"/>
  <c r="Y47" i="9"/>
  <c r="Y62" i="9"/>
  <c r="Z62" i="9" s="1"/>
  <c r="AA62" i="9" s="1"/>
  <c r="AB62" i="9" s="1"/>
  <c r="AC62" i="9" s="1"/>
  <c r="G31" i="9"/>
  <c r="U31" i="9"/>
  <c r="G35" i="9"/>
  <c r="U35" i="9"/>
  <c r="G32" i="9"/>
  <c r="U32" i="9"/>
  <c r="F39" i="9"/>
  <c r="T39" i="9"/>
  <c r="T53" i="9" s="1"/>
  <c r="U53" i="9" s="1"/>
  <c r="V53" i="9" s="1"/>
  <c r="W53" i="9" s="1"/>
  <c r="X53" i="9" s="1"/>
  <c r="G33" i="9"/>
  <c r="U33" i="9"/>
  <c r="T45" i="9"/>
  <c r="G38" i="9"/>
  <c r="U38" i="9"/>
  <c r="F40" i="9"/>
  <c r="T40" i="9"/>
  <c r="T54" i="9" s="1"/>
  <c r="U54" i="9" s="1"/>
  <c r="V54" i="9" s="1"/>
  <c r="W54" i="9" s="1"/>
  <c r="X54" i="9" s="1"/>
  <c r="G36" i="9"/>
  <c r="U36" i="9"/>
  <c r="G34" i="9"/>
  <c r="U34" i="9"/>
  <c r="G37" i="9"/>
  <c r="U37" i="9"/>
  <c r="Z51" i="9" l="1"/>
  <c r="AA51" i="9" s="1"/>
  <c r="AB51" i="9" s="1"/>
  <c r="AC51" i="9" s="1"/>
  <c r="Z50" i="9"/>
  <c r="AA50" i="9" s="1"/>
  <c r="AB50" i="9" s="1"/>
  <c r="AC50" i="9" s="1"/>
  <c r="Z46" i="9"/>
  <c r="AA46" i="9" s="1"/>
  <c r="AB46" i="9" s="1"/>
  <c r="AC46" i="9" s="1"/>
  <c r="Y53" i="9"/>
  <c r="Y68" i="9"/>
  <c r="Z68" i="9" s="1"/>
  <c r="AA68" i="9" s="1"/>
  <c r="AB68" i="9" s="1"/>
  <c r="AC68" i="9" s="1"/>
  <c r="Y54" i="9"/>
  <c r="Y69" i="9"/>
  <c r="Z69" i="9" s="1"/>
  <c r="AA69" i="9" s="1"/>
  <c r="AB69" i="9" s="1"/>
  <c r="AC69" i="9" s="1"/>
  <c r="Z47" i="9"/>
  <c r="AA47" i="9" s="1"/>
  <c r="AB47" i="9" s="1"/>
  <c r="AC47" i="9" s="1"/>
  <c r="Z48" i="9"/>
  <c r="AA48" i="9" s="1"/>
  <c r="AB48" i="9" s="1"/>
  <c r="AC48" i="9" s="1"/>
  <c r="Z52" i="9"/>
  <c r="AA52" i="9" s="1"/>
  <c r="AB52" i="9" s="1"/>
  <c r="AC52" i="9" s="1"/>
  <c r="Z49" i="9"/>
  <c r="AA49" i="9" s="1"/>
  <c r="AB49" i="9" s="1"/>
  <c r="AC49" i="9" s="1"/>
  <c r="D42" i="9"/>
  <c r="E42" i="9" s="1"/>
  <c r="H38" i="9"/>
  <c r="V38" i="9"/>
  <c r="G39" i="9"/>
  <c r="U39" i="9"/>
  <c r="H36" i="9"/>
  <c r="V36" i="9"/>
  <c r="U45" i="9"/>
  <c r="H33" i="9"/>
  <c r="V33" i="9"/>
  <c r="H32" i="9"/>
  <c r="V32" i="9"/>
  <c r="H35" i="9"/>
  <c r="V35" i="9"/>
  <c r="H31" i="9"/>
  <c r="V31" i="9"/>
  <c r="D41" i="9"/>
  <c r="E41" i="9" s="1"/>
  <c r="H37" i="9"/>
  <c r="V37" i="9"/>
  <c r="H34" i="9"/>
  <c r="V34" i="9"/>
  <c r="G40" i="9"/>
  <c r="U40" i="9"/>
  <c r="Z53" i="9" l="1"/>
  <c r="AA53" i="9" s="1"/>
  <c r="AB53" i="9" s="1"/>
  <c r="AC53" i="9" s="1"/>
  <c r="Z54" i="9"/>
  <c r="AA54" i="9" s="1"/>
  <c r="AB54" i="9" s="1"/>
  <c r="AC54" i="9" s="1"/>
  <c r="I31" i="9"/>
  <c r="W31" i="9"/>
  <c r="I32" i="9"/>
  <c r="W32" i="9"/>
  <c r="H39" i="9"/>
  <c r="V39" i="9"/>
  <c r="F42" i="9"/>
  <c r="T42" i="9"/>
  <c r="T56" i="9" s="1"/>
  <c r="U56" i="9" s="1"/>
  <c r="V56" i="9" s="1"/>
  <c r="W56" i="9" s="1"/>
  <c r="X56" i="9" s="1"/>
  <c r="I36" i="9"/>
  <c r="W36" i="9"/>
  <c r="I34" i="9"/>
  <c r="W34" i="9"/>
  <c r="F41" i="9"/>
  <c r="T41" i="9"/>
  <c r="E3" i="9"/>
  <c r="H40" i="9"/>
  <c r="V40" i="9"/>
  <c r="I37" i="9"/>
  <c r="W37" i="9"/>
  <c r="I35" i="9"/>
  <c r="W35" i="9"/>
  <c r="I33" i="9"/>
  <c r="W33" i="9"/>
  <c r="V45" i="9"/>
  <c r="I38" i="9"/>
  <c r="W38" i="9"/>
  <c r="Y56" i="9" l="1"/>
  <c r="Y71" i="9"/>
  <c r="Z71" i="9" s="1"/>
  <c r="AA71" i="9" s="1"/>
  <c r="AB71" i="9" s="1"/>
  <c r="AC71" i="9" s="1"/>
  <c r="I69" i="9"/>
  <c r="X38" i="9"/>
  <c r="X35" i="9"/>
  <c r="I66" i="9"/>
  <c r="I40" i="9"/>
  <c r="W40" i="9"/>
  <c r="G41" i="9"/>
  <c r="U41" i="9"/>
  <c r="F3" i="9"/>
  <c r="I63" i="9"/>
  <c r="X32" i="9"/>
  <c r="W45" i="9"/>
  <c r="I64" i="9"/>
  <c r="X33" i="9"/>
  <c r="I68" i="9"/>
  <c r="X37" i="9"/>
  <c r="I67" i="9"/>
  <c r="X36" i="9"/>
  <c r="I62" i="9"/>
  <c r="X31" i="9"/>
  <c r="T55" i="9"/>
  <c r="T5" i="9" s="1"/>
  <c r="T3" i="9"/>
  <c r="I65" i="9"/>
  <c r="X34" i="9"/>
  <c r="G42" i="9"/>
  <c r="U42" i="9"/>
  <c r="I39" i="9"/>
  <c r="W39" i="9"/>
  <c r="Z56" i="9" l="1"/>
  <c r="AA56" i="9" s="1"/>
  <c r="AB56" i="9" s="1"/>
  <c r="AC56" i="9" s="1"/>
  <c r="I82" i="9"/>
  <c r="J64" i="9"/>
  <c r="I81" i="9"/>
  <c r="J63" i="9"/>
  <c r="I71" i="9"/>
  <c r="X40" i="9"/>
  <c r="I87" i="9"/>
  <c r="J69" i="9"/>
  <c r="J62" i="9"/>
  <c r="I80" i="9"/>
  <c r="I70" i="9"/>
  <c r="X39" i="9"/>
  <c r="I86" i="9"/>
  <c r="J68" i="9"/>
  <c r="X45" i="9"/>
  <c r="U3" i="9"/>
  <c r="I84" i="9"/>
  <c r="J66" i="9"/>
  <c r="H42" i="9"/>
  <c r="V42" i="9"/>
  <c r="I83" i="9"/>
  <c r="J65" i="9"/>
  <c r="U55" i="9"/>
  <c r="U5" i="9" s="1"/>
  <c r="T4" i="9"/>
  <c r="I85" i="9"/>
  <c r="J67" i="9"/>
  <c r="H41" i="9"/>
  <c r="V41" i="9"/>
  <c r="V3" i="9" s="1"/>
  <c r="G3" i="9"/>
  <c r="Y60" i="9" l="1"/>
  <c r="V55" i="9"/>
  <c r="V5" i="9" s="1"/>
  <c r="U4" i="9"/>
  <c r="I42" i="9"/>
  <c r="W42" i="9"/>
  <c r="K64" i="9"/>
  <c r="J33" i="9"/>
  <c r="Y33" i="9" s="1"/>
  <c r="J82" i="9"/>
  <c r="K65" i="9"/>
  <c r="J34" i="9"/>
  <c r="Y34" i="9" s="1"/>
  <c r="J83" i="9"/>
  <c r="K67" i="9"/>
  <c r="J85" i="9"/>
  <c r="J36" i="9"/>
  <c r="Y36" i="9" s="1"/>
  <c r="Y45" i="9"/>
  <c r="K62" i="9"/>
  <c r="J80" i="9"/>
  <c r="J31" i="9"/>
  <c r="I89" i="9"/>
  <c r="J71" i="9"/>
  <c r="I41" i="9"/>
  <c r="W41" i="9"/>
  <c r="H3" i="9"/>
  <c r="K66" i="9"/>
  <c r="J35" i="9"/>
  <c r="Y35" i="9" s="1"/>
  <c r="J84" i="9"/>
  <c r="K68" i="9"/>
  <c r="J86" i="9"/>
  <c r="J37" i="9"/>
  <c r="Y37" i="9" s="1"/>
  <c r="I88" i="9"/>
  <c r="J70" i="9"/>
  <c r="K69" i="9"/>
  <c r="J87" i="9"/>
  <c r="J38" i="9"/>
  <c r="Y38" i="9" s="1"/>
  <c r="K63" i="9"/>
  <c r="J81" i="9"/>
  <c r="J32" i="9"/>
  <c r="Y32" i="9" s="1"/>
  <c r="Z60" i="9" l="1"/>
  <c r="W3" i="9"/>
  <c r="K71" i="9"/>
  <c r="J89" i="9"/>
  <c r="J40" i="9"/>
  <c r="L62" i="9"/>
  <c r="K80" i="9"/>
  <c r="K31" i="9"/>
  <c r="Z45" i="9"/>
  <c r="L64" i="9"/>
  <c r="K82" i="9"/>
  <c r="K33" i="9"/>
  <c r="Z33" i="9" s="1"/>
  <c r="W55" i="9"/>
  <c r="W5" i="9" s="1"/>
  <c r="V4" i="9"/>
  <c r="L67" i="9"/>
  <c r="K36" i="9"/>
  <c r="Z36" i="9" s="1"/>
  <c r="K85" i="9"/>
  <c r="L65" i="9"/>
  <c r="K34" i="9"/>
  <c r="Z34" i="9" s="1"/>
  <c r="K83" i="9"/>
  <c r="K70" i="9"/>
  <c r="J39" i="9"/>
  <c r="J88" i="9"/>
  <c r="L68" i="9"/>
  <c r="K86" i="9"/>
  <c r="K37" i="9"/>
  <c r="Z37" i="9" s="1"/>
  <c r="Y31" i="9"/>
  <c r="I73" i="9"/>
  <c r="X42" i="9"/>
  <c r="L63" i="9"/>
  <c r="K32" i="9"/>
  <c r="Z32" i="9" s="1"/>
  <c r="K81" i="9"/>
  <c r="L69" i="9"/>
  <c r="K38" i="9"/>
  <c r="Z38" i="9" s="1"/>
  <c r="K87" i="9"/>
  <c r="L66" i="9"/>
  <c r="K35" i="9"/>
  <c r="Z35" i="9" s="1"/>
  <c r="K84" i="9"/>
  <c r="I72" i="9"/>
  <c r="X41" i="9"/>
  <c r="I3" i="9"/>
  <c r="AA60" i="9" l="1"/>
  <c r="X3" i="9"/>
  <c r="M66" i="9"/>
  <c r="L35" i="9"/>
  <c r="AA35" i="9" s="1"/>
  <c r="L84" i="9"/>
  <c r="M63" i="9"/>
  <c r="L32" i="9"/>
  <c r="AA32" i="9" s="1"/>
  <c r="L81" i="9"/>
  <c r="M64" i="9"/>
  <c r="L33" i="9"/>
  <c r="AA33" i="9" s="1"/>
  <c r="L82" i="9"/>
  <c r="Y39" i="9"/>
  <c r="M65" i="9"/>
  <c r="L83" i="9"/>
  <c r="L34" i="9"/>
  <c r="AA34" i="9" s="1"/>
  <c r="AA45" i="9"/>
  <c r="Y40" i="9"/>
  <c r="M67" i="9"/>
  <c r="L36" i="9"/>
  <c r="AA36" i="9" s="1"/>
  <c r="L85" i="9"/>
  <c r="I91" i="9"/>
  <c r="J73" i="9"/>
  <c r="L70" i="9"/>
  <c r="K88" i="9"/>
  <c r="K39" i="9"/>
  <c r="X55" i="9"/>
  <c r="W4" i="9"/>
  <c r="Z31" i="9"/>
  <c r="M62" i="9"/>
  <c r="L31" i="9"/>
  <c r="L80" i="9"/>
  <c r="I90" i="9"/>
  <c r="J72" i="9"/>
  <c r="M69" i="9"/>
  <c r="L38" i="9"/>
  <c r="AA38" i="9" s="1"/>
  <c r="L87" i="9"/>
  <c r="M68" i="9"/>
  <c r="L86" i="9"/>
  <c r="L37" i="9"/>
  <c r="AA37" i="9" s="1"/>
  <c r="L71" i="9"/>
  <c r="K40" i="9"/>
  <c r="K89" i="9"/>
  <c r="Z40" i="9" l="1"/>
  <c r="Y70" i="9"/>
  <c r="X5" i="9"/>
  <c r="AB60" i="9"/>
  <c r="M71" i="9"/>
  <c r="L40" i="9"/>
  <c r="L89" i="9"/>
  <c r="K72" i="9"/>
  <c r="J41" i="9"/>
  <c r="J90" i="9"/>
  <c r="N62" i="9"/>
  <c r="M31" i="9"/>
  <c r="M80" i="9"/>
  <c r="K73" i="9"/>
  <c r="J42" i="9"/>
  <c r="Y42" i="9" s="1"/>
  <c r="J91" i="9"/>
  <c r="N65" i="9"/>
  <c r="M34" i="9"/>
  <c r="AB34" i="9" s="1"/>
  <c r="M83" i="9"/>
  <c r="N64" i="9"/>
  <c r="M33" i="9"/>
  <c r="AB33" i="9" s="1"/>
  <c r="M82" i="9"/>
  <c r="N68" i="9"/>
  <c r="M37" i="9"/>
  <c r="AB37" i="9" s="1"/>
  <c r="M86" i="9"/>
  <c r="Y55" i="9"/>
  <c r="X4" i="9"/>
  <c r="M70" i="9"/>
  <c r="L39" i="9"/>
  <c r="L88" i="9"/>
  <c r="AB45" i="9"/>
  <c r="N69" i="9"/>
  <c r="M38" i="9"/>
  <c r="AB38" i="9" s="1"/>
  <c r="M87" i="9"/>
  <c r="N67" i="9"/>
  <c r="M36" i="9"/>
  <c r="AB36" i="9" s="1"/>
  <c r="M85" i="9"/>
  <c r="N66" i="9"/>
  <c r="M35" i="9"/>
  <c r="AB35" i="9" s="1"/>
  <c r="M84" i="9"/>
  <c r="AA31" i="9"/>
  <c r="Z39" i="9"/>
  <c r="N63" i="9"/>
  <c r="M32" i="9"/>
  <c r="AB32" i="9" s="1"/>
  <c r="M81" i="9"/>
  <c r="AC60" i="9" l="1"/>
  <c r="Z70" i="9"/>
  <c r="Y5" i="9"/>
  <c r="N86" i="9"/>
  <c r="N37" i="9"/>
  <c r="AC37" i="9" s="1"/>
  <c r="N31" i="9"/>
  <c r="N80" i="9"/>
  <c r="N36" i="9"/>
  <c r="AC36" i="9" s="1"/>
  <c r="N85" i="9"/>
  <c r="AC45" i="9"/>
  <c r="Z55" i="9"/>
  <c r="Y4" i="9"/>
  <c r="N33" i="9"/>
  <c r="AC33" i="9" s="1"/>
  <c r="N82" i="9"/>
  <c r="N83" i="9"/>
  <c r="N34" i="9"/>
  <c r="AC34" i="9" s="1"/>
  <c r="AA40" i="9"/>
  <c r="N32" i="9"/>
  <c r="AC32" i="9" s="1"/>
  <c r="N81" i="9"/>
  <c r="N35" i="9"/>
  <c r="AC35" i="9" s="1"/>
  <c r="N84" i="9"/>
  <c r="AA39" i="9"/>
  <c r="Y41" i="9"/>
  <c r="Y3" i="9" s="1"/>
  <c r="J3" i="9"/>
  <c r="N71" i="9"/>
  <c r="M40" i="9"/>
  <c r="M89" i="9"/>
  <c r="N38" i="9"/>
  <c r="AC38" i="9" s="1"/>
  <c r="N87" i="9"/>
  <c r="N70" i="9"/>
  <c r="M39" i="9"/>
  <c r="M88" i="9"/>
  <c r="L73" i="9"/>
  <c r="K42" i="9"/>
  <c r="Z42" i="9" s="1"/>
  <c r="K91" i="9"/>
  <c r="AB31" i="9"/>
  <c r="L72" i="9"/>
  <c r="K90" i="9"/>
  <c r="K41" i="9"/>
  <c r="AA70" i="9" l="1"/>
  <c r="Z5" i="9"/>
  <c r="AB39" i="9"/>
  <c r="AA55" i="9"/>
  <c r="Z4" i="9"/>
  <c r="Z41" i="9"/>
  <c r="Z3" i="9" s="1"/>
  <c r="K3" i="9"/>
  <c r="N39" i="9"/>
  <c r="N88" i="9"/>
  <c r="AB40" i="9"/>
  <c r="M73" i="9"/>
  <c r="L91" i="9"/>
  <c r="L42" i="9"/>
  <c r="AA42" i="9" s="1"/>
  <c r="N40" i="9"/>
  <c r="N89" i="9"/>
  <c r="AC31" i="9"/>
  <c r="M72" i="9"/>
  <c r="L41" i="9"/>
  <c r="L90" i="9"/>
  <c r="AB70" i="9" l="1"/>
  <c r="AA5" i="9"/>
  <c r="N73" i="9"/>
  <c r="M91" i="9"/>
  <c r="M42" i="9"/>
  <c r="AB42" i="9" s="1"/>
  <c r="AB55" i="9"/>
  <c r="AA4" i="9"/>
  <c r="N72" i="9"/>
  <c r="M41" i="9"/>
  <c r="M90" i="9"/>
  <c r="AC40" i="9"/>
  <c r="AA41" i="9"/>
  <c r="AA3" i="9" s="1"/>
  <c r="L3" i="9"/>
  <c r="AC39" i="9"/>
  <c r="AC70" i="9" l="1"/>
  <c r="AC5" i="9" s="1"/>
  <c r="AB5" i="9"/>
  <c r="N42" i="9"/>
  <c r="AC42" i="9" s="1"/>
  <c r="N91" i="9"/>
  <c r="AC55" i="9"/>
  <c r="AC4" i="9" s="1"/>
  <c r="AB4" i="9"/>
  <c r="AB41" i="9"/>
  <c r="AB3" i="9" s="1"/>
  <c r="M3" i="9"/>
  <c r="N41" i="9"/>
  <c r="N90" i="9"/>
  <c r="Y14" i="7" l="1" a="1"/>
  <c r="Y15" i="7" s="1"/>
  <c r="AC41" i="9"/>
  <c r="AC3" i="9" s="1"/>
  <c r="M14" i="7" s="1" a="1"/>
  <c r="N3" i="9"/>
  <c r="R14" i="7" a="1"/>
  <c r="Y18" i="7" l="1"/>
  <c r="AC18" i="7" s="1"/>
  <c r="AL18" i="7" s="1"/>
  <c r="Y16" i="7"/>
  <c r="AC16" i="7" s="1"/>
  <c r="AL16" i="7" s="1"/>
  <c r="Y14" i="7"/>
  <c r="AC14" i="7" s="1"/>
  <c r="AL14" i="7" s="1"/>
  <c r="Y21" i="7"/>
  <c r="AC21" i="7" s="1"/>
  <c r="AL21" i="7" s="1"/>
  <c r="Y17" i="7"/>
  <c r="AC17" i="7" s="1"/>
  <c r="AL17" i="7" s="1"/>
  <c r="Y23" i="7"/>
  <c r="Y20" i="7"/>
  <c r="Y19" i="7"/>
  <c r="AC19" i="7" s="1"/>
  <c r="AL19" i="7" s="1"/>
  <c r="Y22" i="7"/>
  <c r="AC22" i="7" s="1"/>
  <c r="AL22" i="7" s="1"/>
  <c r="AC23" i="7"/>
  <c r="AL23" i="7" s="1"/>
  <c r="AC20" i="7"/>
  <c r="AL20" i="7" s="1"/>
  <c r="AC15" i="7"/>
  <c r="AL15" i="7" s="1"/>
  <c r="M14" i="7"/>
  <c r="O14" i="7" s="1"/>
  <c r="AF14" i="7" s="1"/>
  <c r="M23" i="7"/>
  <c r="O23" i="7" s="1"/>
  <c r="AF23" i="7" s="1"/>
  <c r="M16" i="7"/>
  <c r="O16" i="7" s="1"/>
  <c r="AF16" i="7" s="1"/>
  <c r="M15" i="7"/>
  <c r="O15" i="7" s="1"/>
  <c r="AF15" i="7" s="1"/>
  <c r="M20" i="7"/>
  <c r="M22" i="7"/>
  <c r="O22" i="7" s="1"/>
  <c r="AF22" i="7" s="1"/>
  <c r="M17" i="7"/>
  <c r="O17" i="7" s="1"/>
  <c r="AF17" i="7" s="1"/>
  <c r="M21" i="7"/>
  <c r="O21" i="7" s="1"/>
  <c r="AF21" i="7" s="1"/>
  <c r="M18" i="7"/>
  <c r="O18" i="7" s="1"/>
  <c r="AF18" i="7" s="1"/>
  <c r="M19" i="7"/>
  <c r="O19" i="7" s="1"/>
  <c r="AF19" i="7" s="1"/>
  <c r="R14" i="7"/>
  <c r="V14" i="7" s="1"/>
  <c r="AI14" i="7" s="1"/>
  <c r="R19" i="7"/>
  <c r="V19" i="7" s="1"/>
  <c r="AI19" i="7" s="1"/>
  <c r="R23" i="7"/>
  <c r="V23" i="7" s="1"/>
  <c r="AI23" i="7" s="1"/>
  <c r="R22" i="7"/>
  <c r="V22" i="7" s="1"/>
  <c r="AI22" i="7" s="1"/>
  <c r="R20" i="7"/>
  <c r="V20" i="7" s="1"/>
  <c r="AI20" i="7" s="1"/>
  <c r="R15" i="7"/>
  <c r="R16" i="7"/>
  <c r="V16" i="7" s="1"/>
  <c r="AI16" i="7" s="1"/>
  <c r="R18" i="7"/>
  <c r="V18" i="7" s="1"/>
  <c r="AI18" i="7" s="1"/>
  <c r="R21" i="7"/>
  <c r="V21" i="7" s="1"/>
  <c r="AI21" i="7" s="1"/>
  <c r="R17" i="7"/>
  <c r="V17" i="7" s="1"/>
  <c r="AI17" i="7" s="1"/>
  <c r="Z20" i="7" l="1"/>
  <c r="AL35" i="7"/>
  <c r="Z18" i="7"/>
  <c r="Z15" i="7"/>
  <c r="Z23" i="7"/>
  <c r="S15" i="7"/>
  <c r="V15" i="7"/>
  <c r="AI15" i="7" s="1"/>
  <c r="Z16" i="7"/>
  <c r="Z19" i="7"/>
  <c r="Z22" i="7"/>
  <c r="Z17" i="7"/>
  <c r="Z14" i="7"/>
  <c r="Z21" i="7"/>
  <c r="AC35" i="7"/>
  <c r="S17" i="7"/>
  <c r="S19" i="7"/>
  <c r="S21" i="7"/>
  <c r="S14" i="7"/>
  <c r="S20" i="7"/>
  <c r="S18" i="7"/>
  <c r="S22" i="7"/>
  <c r="S16" i="7"/>
  <c r="S23" i="7"/>
  <c r="O20" i="7"/>
  <c r="AF20" i="7" s="1"/>
  <c r="N17" i="7"/>
  <c r="N16" i="7"/>
  <c r="N19" i="7"/>
  <c r="N22" i="7"/>
  <c r="M24" i="7"/>
  <c r="O24" i="7" s="1"/>
  <c r="AF24" i="7" s="1"/>
  <c r="N23" i="7"/>
  <c r="N18" i="7"/>
  <c r="N20" i="7"/>
  <c r="N14" i="7"/>
  <c r="N21" i="7"/>
  <c r="N15" i="7"/>
  <c r="AI35" i="7" l="1"/>
  <c r="T15" i="7"/>
  <c r="AA15" i="7"/>
  <c r="T19" i="7"/>
  <c r="AA19" i="7"/>
  <c r="T14" i="7"/>
  <c r="AA14" i="7"/>
  <c r="P17" i="7"/>
  <c r="AA17" i="7"/>
  <c r="T17" i="7"/>
  <c r="P20" i="7"/>
  <c r="AA20" i="7"/>
  <c r="T20" i="7"/>
  <c r="AA16" i="7"/>
  <c r="T16" i="7"/>
  <c r="P21" i="7"/>
  <c r="T21" i="7"/>
  <c r="AA21" i="7"/>
  <c r="T23" i="7"/>
  <c r="AA23" i="7"/>
  <c r="T18" i="7"/>
  <c r="AA18" i="7"/>
  <c r="AA22" i="7"/>
  <c r="T22" i="7"/>
  <c r="V35" i="7"/>
  <c r="P15" i="7"/>
  <c r="P18" i="7"/>
  <c r="P22" i="7"/>
  <c r="P16" i="7"/>
  <c r="P23" i="7"/>
  <c r="P19" i="7"/>
  <c r="P14" i="7"/>
  <c r="AG14" i="7" s="1"/>
  <c r="M25" i="7"/>
  <c r="O25" i="7" s="1"/>
  <c r="AF25" i="7" s="1"/>
  <c r="N24" i="7"/>
  <c r="AH14" i="7" l="1"/>
  <c r="Q19" i="7"/>
  <c r="AG19" i="7"/>
  <c r="AH19" i="7" s="1"/>
  <c r="Q18" i="7"/>
  <c r="AG18" i="7"/>
  <c r="AH18" i="7" s="1"/>
  <c r="Q20" i="7"/>
  <c r="AG20" i="7"/>
  <c r="AH20" i="7" s="1"/>
  <c r="Q23" i="7"/>
  <c r="AG23" i="7"/>
  <c r="AH23" i="7" s="1"/>
  <c r="Q15" i="7"/>
  <c r="AG15" i="7"/>
  <c r="AH15" i="7" s="1"/>
  <c r="Q16" i="7"/>
  <c r="AG16" i="7"/>
  <c r="AH16" i="7" s="1"/>
  <c r="Q22" i="7"/>
  <c r="AG22" i="7"/>
  <c r="AH22" i="7" s="1"/>
  <c r="Q21" i="7"/>
  <c r="AG21" i="7"/>
  <c r="AH21" i="7" s="1"/>
  <c r="Q17" i="7"/>
  <c r="AG17" i="7"/>
  <c r="AH17" i="7" s="1"/>
  <c r="U18" i="7"/>
  <c r="W18" i="7"/>
  <c r="AB17" i="7"/>
  <c r="AD17" i="7"/>
  <c r="U22" i="7"/>
  <c r="W22" i="7"/>
  <c r="AB23" i="7"/>
  <c r="AD23" i="7"/>
  <c r="AB20" i="7"/>
  <c r="AD20" i="7"/>
  <c r="U19" i="7"/>
  <c r="W19" i="7"/>
  <c r="AB19" i="7"/>
  <c r="AD19" i="7"/>
  <c r="AB22" i="7"/>
  <c r="AD22" i="7"/>
  <c r="U23" i="7"/>
  <c r="W23" i="7"/>
  <c r="U16" i="7"/>
  <c r="W16" i="7"/>
  <c r="AB14" i="7"/>
  <c r="AD14" i="7"/>
  <c r="AM14" i="7" s="1"/>
  <c r="AN14" i="7" s="1"/>
  <c r="AB15" i="7"/>
  <c r="AD15" i="7"/>
  <c r="U21" i="7"/>
  <c r="W21" i="7"/>
  <c r="U20" i="7"/>
  <c r="W20" i="7"/>
  <c r="AB18" i="7"/>
  <c r="AD18" i="7"/>
  <c r="AB21" i="7"/>
  <c r="AD21" i="7"/>
  <c r="AB16" i="7"/>
  <c r="AD16" i="7"/>
  <c r="U17" i="7"/>
  <c r="W17" i="7"/>
  <c r="W14" i="7"/>
  <c r="AJ14" i="7" s="1"/>
  <c r="U14" i="7"/>
  <c r="U15" i="7"/>
  <c r="W15" i="7"/>
  <c r="Q14" i="7"/>
  <c r="P24" i="7"/>
  <c r="N25" i="7"/>
  <c r="P25" i="7" s="1"/>
  <c r="M26" i="7"/>
  <c r="O26" i="7" s="1"/>
  <c r="AF26" i="7" s="1"/>
  <c r="AP14" i="7" l="1"/>
  <c r="AK14" i="7"/>
  <c r="AE19" i="7"/>
  <c r="AM19" i="7"/>
  <c r="AN19" i="7" s="1"/>
  <c r="AP19" i="7" s="1"/>
  <c r="X15" i="7"/>
  <c r="AJ15" i="7"/>
  <c r="AK15" i="7" s="1"/>
  <c r="AO15" i="7" s="1"/>
  <c r="X17" i="7"/>
  <c r="AJ17" i="7"/>
  <c r="AK17" i="7" s="1"/>
  <c r="AO17" i="7" s="1"/>
  <c r="AE21" i="7"/>
  <c r="AM21" i="7"/>
  <c r="AN21" i="7" s="1"/>
  <c r="AP21" i="7" s="1"/>
  <c r="X20" i="7"/>
  <c r="AJ20" i="7"/>
  <c r="AK20" i="7" s="1"/>
  <c r="AO20" i="7" s="1"/>
  <c r="AE15" i="7"/>
  <c r="AM15" i="7"/>
  <c r="AN15" i="7" s="1"/>
  <c r="AP15" i="7" s="1"/>
  <c r="X16" i="7"/>
  <c r="AJ16" i="7"/>
  <c r="AK16" i="7" s="1"/>
  <c r="AO16" i="7" s="1"/>
  <c r="X22" i="7"/>
  <c r="AJ22" i="7"/>
  <c r="AK22" i="7" s="1"/>
  <c r="AO22" i="7" s="1"/>
  <c r="X18" i="7"/>
  <c r="AJ18" i="7"/>
  <c r="AK18" i="7" s="1"/>
  <c r="AO18" i="7" s="1"/>
  <c r="X23" i="7"/>
  <c r="AJ23" i="7"/>
  <c r="AK23" i="7" s="1"/>
  <c r="AO23" i="7" s="1"/>
  <c r="AE20" i="7"/>
  <c r="AM20" i="7"/>
  <c r="AN20" i="7" s="1"/>
  <c r="AP20" i="7" s="1"/>
  <c r="AE22" i="7"/>
  <c r="AM22" i="7"/>
  <c r="AN22" i="7" s="1"/>
  <c r="AP22" i="7" s="1"/>
  <c r="X19" i="7"/>
  <c r="AJ19" i="7"/>
  <c r="AK19" i="7" s="1"/>
  <c r="AO19" i="7" s="1"/>
  <c r="AE23" i="7"/>
  <c r="AM23" i="7"/>
  <c r="AN23" i="7" s="1"/>
  <c r="AP23" i="7" s="1"/>
  <c r="AE16" i="7"/>
  <c r="AM16" i="7"/>
  <c r="AN16" i="7" s="1"/>
  <c r="AP16" i="7" s="1"/>
  <c r="AE18" i="7"/>
  <c r="AM18" i="7"/>
  <c r="AN18" i="7" s="1"/>
  <c r="AP18" i="7" s="1"/>
  <c r="X21" i="7"/>
  <c r="AJ21" i="7"/>
  <c r="AK21" i="7" s="1"/>
  <c r="AO21" i="7" s="1"/>
  <c r="AE17" i="7"/>
  <c r="AM17" i="7"/>
  <c r="Q25" i="7"/>
  <c r="AG25" i="7"/>
  <c r="AH25" i="7" s="1"/>
  <c r="Q24" i="7"/>
  <c r="AG24" i="7"/>
  <c r="AH24" i="7" s="1"/>
  <c r="AE14" i="7"/>
  <c r="X14" i="7"/>
  <c r="M27" i="7"/>
  <c r="O27" i="7" s="1"/>
  <c r="AF27" i="7" s="1"/>
  <c r="N26" i="7"/>
  <c r="P26" i="7" s="1"/>
  <c r="AG26" i="7" s="1"/>
  <c r="AH26" i="7" s="1"/>
  <c r="AO14" i="7" l="1"/>
  <c r="AN17" i="7"/>
  <c r="AP17" i="7" s="1"/>
  <c r="AS20" i="7" s="1"/>
  <c r="Q26" i="7"/>
  <c r="N27" i="7"/>
  <c r="M28" i="7"/>
  <c r="O28" i="7" s="1"/>
  <c r="AF28" i="7" s="1"/>
  <c r="AS21" i="7" l="1"/>
  <c r="AS22" i="7"/>
  <c r="AR21" i="7"/>
  <c r="AR20" i="7"/>
  <c r="AR22" i="7"/>
  <c r="AR19" i="7"/>
  <c r="AR23" i="7"/>
  <c r="AS23" i="7"/>
  <c r="AS19" i="7"/>
  <c r="AQ16" i="7"/>
  <c r="AQ17" i="7"/>
  <c r="AQ14" i="7"/>
  <c r="AQ18" i="7"/>
  <c r="AR18" i="7" s="1"/>
  <c r="AS18" i="7" s="1"/>
  <c r="AQ15" i="7"/>
  <c r="P27" i="7"/>
  <c r="AG27" i="7" s="1"/>
  <c r="N28" i="7"/>
  <c r="M29" i="7"/>
  <c r="O29" i="7" s="1"/>
  <c r="AF29" i="7" s="1"/>
  <c r="AH27" i="7" l="1"/>
  <c r="Q27" i="7"/>
  <c r="P28" i="7"/>
  <c r="N29" i="7"/>
  <c r="M30" i="7"/>
  <c r="O30" i="7" s="1"/>
  <c r="AF30" i="7" s="1"/>
  <c r="Q28" i="7" l="1"/>
  <c r="AG28" i="7"/>
  <c r="P29" i="7"/>
  <c r="AG29" i="7" s="1"/>
  <c r="AH29" i="7" s="1"/>
  <c r="N30" i="7"/>
  <c r="M31" i="7"/>
  <c r="O31" i="7" s="1"/>
  <c r="AF31" i="7" s="1"/>
  <c r="AH28" i="7" l="1"/>
  <c r="Q29" i="7"/>
  <c r="P30" i="7"/>
  <c r="M32" i="7"/>
  <c r="O32" i="7" s="1"/>
  <c r="AF32" i="7" s="1"/>
  <c r="N31" i="7"/>
  <c r="Q30" i="7" l="1"/>
  <c r="AG30" i="7"/>
  <c r="AH30" i="7" s="1"/>
  <c r="P31" i="7"/>
  <c r="M33" i="7"/>
  <c r="O33" i="7" s="1"/>
  <c r="AF33" i="7" s="1"/>
  <c r="AF35" i="7" s="1"/>
  <c r="N32" i="7"/>
  <c r="Q31" i="7" l="1"/>
  <c r="AG31" i="7"/>
  <c r="AH31" i="7" s="1"/>
  <c r="O35" i="7"/>
  <c r="P32" i="7"/>
  <c r="N33" i="7"/>
  <c r="P33" i="7" l="1"/>
  <c r="P35" i="7" s="1"/>
  <c r="C21" i="7"/>
  <c r="Q32" i="7"/>
  <c r="AG32" i="7"/>
  <c r="AH32" i="7" s="1"/>
  <c r="Q33" i="7" l="1"/>
  <c r="Q35" i="7" s="1"/>
  <c r="AG33" i="7"/>
  <c r="AG35" i="7" s="1"/>
  <c r="AA24" i="7"/>
  <c r="T24" i="7"/>
  <c r="AH33" i="7" l="1"/>
  <c r="AH35" i="7" s="1"/>
  <c r="T25" i="7"/>
  <c r="U24" i="7"/>
  <c r="W24" i="7"/>
  <c r="AB24" i="7"/>
  <c r="AA25" i="7"/>
  <c r="AD24" i="7"/>
  <c r="AE24" i="7" l="1"/>
  <c r="AM24" i="7"/>
  <c r="U25" i="7"/>
  <c r="W25" i="7"/>
  <c r="T26" i="7"/>
  <c r="AB25" i="7"/>
  <c r="AA26" i="7"/>
  <c r="AD25" i="7"/>
  <c r="X24" i="7"/>
  <c r="AJ24" i="7"/>
  <c r="AK24" i="7" s="1"/>
  <c r="AO24" i="7" s="1"/>
  <c r="AE25" i="7" l="1"/>
  <c r="AM25" i="7"/>
  <c r="AN25" i="7" s="1"/>
  <c r="AP25" i="7" s="1"/>
  <c r="AB26" i="7"/>
  <c r="AD26" i="7"/>
  <c r="AA27" i="7"/>
  <c r="X25" i="7"/>
  <c r="AJ25" i="7"/>
  <c r="AR24" i="7"/>
  <c r="AN24" i="7"/>
  <c r="T27" i="7"/>
  <c r="U26" i="7"/>
  <c r="W26" i="7"/>
  <c r="AP24" i="7" l="1"/>
  <c r="AD27" i="7"/>
  <c r="AA28" i="7"/>
  <c r="AB27" i="7"/>
  <c r="W27" i="7"/>
  <c r="T28" i="7"/>
  <c r="C22" i="7" s="1"/>
  <c r="U27" i="7"/>
  <c r="AM26" i="7"/>
  <c r="AN26" i="7" s="1"/>
  <c r="AP26" i="7" s="1"/>
  <c r="AE26" i="7"/>
  <c r="X26" i="7"/>
  <c r="AJ26" i="7"/>
  <c r="AK26" i="7" s="1"/>
  <c r="AO26" i="7" s="1"/>
  <c r="AK25" i="7"/>
  <c r="U28" i="7" l="1"/>
  <c r="W28" i="7"/>
  <c r="T29" i="7"/>
  <c r="AE27" i="7"/>
  <c r="AM27" i="7"/>
  <c r="AO25" i="7"/>
  <c r="AJ27" i="7"/>
  <c r="AK27" i="7" s="1"/>
  <c r="AO27" i="7" s="1"/>
  <c r="X27" i="7"/>
  <c r="AS24" i="7"/>
  <c r="AS26" i="7"/>
  <c r="AS25" i="7"/>
  <c r="AA29" i="7"/>
  <c r="AD28" i="7"/>
  <c r="AB28" i="7"/>
  <c r="AR25" i="7" l="1"/>
  <c r="AR27" i="7"/>
  <c r="AR26" i="7"/>
  <c r="W29" i="7"/>
  <c r="T30" i="7"/>
  <c r="U29" i="7"/>
  <c r="AB29" i="7"/>
  <c r="AA30" i="7"/>
  <c r="AD29" i="7"/>
  <c r="AM28" i="7"/>
  <c r="AN28" i="7" s="1"/>
  <c r="AP28" i="7" s="1"/>
  <c r="AE28" i="7"/>
  <c r="AJ28" i="7"/>
  <c r="AK28" i="7" s="1"/>
  <c r="AO28" i="7" s="1"/>
  <c r="X28" i="7"/>
  <c r="AN27" i="7"/>
  <c r="AP27" i="7" l="1"/>
  <c r="AM29" i="7"/>
  <c r="AN29" i="7" s="1"/>
  <c r="AP29" i="7" s="1"/>
  <c r="AE29" i="7"/>
  <c r="T31" i="7"/>
  <c r="U30" i="7"/>
  <c r="W30" i="7"/>
  <c r="AR28" i="7"/>
  <c r="AD30" i="7"/>
  <c r="AA31" i="7"/>
  <c r="AB30" i="7"/>
  <c r="X29" i="7"/>
  <c r="AJ29" i="7"/>
  <c r="AB31" i="7" l="1"/>
  <c r="AA32" i="7"/>
  <c r="AD31" i="7"/>
  <c r="X30" i="7"/>
  <c r="AJ30" i="7"/>
  <c r="AK30" i="7" s="1"/>
  <c r="AO30" i="7" s="1"/>
  <c r="AK29" i="7"/>
  <c r="AM30" i="7"/>
  <c r="AE30" i="7"/>
  <c r="U31" i="7"/>
  <c r="W31" i="7"/>
  <c r="T32" i="7"/>
  <c r="AS28" i="7"/>
  <c r="AS29" i="7"/>
  <c r="AS27" i="7"/>
  <c r="U32" i="7" l="1"/>
  <c r="W32" i="7"/>
  <c r="T33" i="7"/>
  <c r="X31" i="7"/>
  <c r="AJ31" i="7"/>
  <c r="AN30" i="7"/>
  <c r="AM31" i="7"/>
  <c r="AN31" i="7" s="1"/>
  <c r="AP31" i="7" s="1"/>
  <c r="AE31" i="7"/>
  <c r="AO29" i="7"/>
  <c r="AA33" i="7"/>
  <c r="AB32" i="7"/>
  <c r="AD32" i="7"/>
  <c r="AD33" i="7" l="1"/>
  <c r="AB33" i="7"/>
  <c r="W33" i="7"/>
  <c r="U33" i="7"/>
  <c r="AE32" i="7"/>
  <c r="AM32" i="7"/>
  <c r="AN32" i="7" s="1"/>
  <c r="AP32" i="7" s="1"/>
  <c r="AR30" i="7"/>
  <c r="AR29" i="7"/>
  <c r="AP30" i="7"/>
  <c r="AS31" i="7" s="1"/>
  <c r="X32" i="7"/>
  <c r="AJ32" i="7"/>
  <c r="AK32" i="7" s="1"/>
  <c r="AO32" i="7" s="1"/>
  <c r="AK31" i="7"/>
  <c r="X33" i="7" l="1"/>
  <c r="X35" i="7" s="1"/>
  <c r="AJ33" i="7"/>
  <c r="W35" i="7"/>
  <c r="AO31" i="7"/>
  <c r="AS30" i="7"/>
  <c r="AS32" i="7"/>
  <c r="AM33" i="7"/>
  <c r="AE33" i="7"/>
  <c r="AE35" i="7" s="1"/>
  <c r="AD35" i="7"/>
  <c r="AR31" i="7" l="1"/>
  <c r="AR32" i="7"/>
  <c r="AK33" i="7"/>
  <c r="AJ35" i="7"/>
  <c r="AN33" i="7"/>
  <c r="AM35" i="7"/>
  <c r="AP33" i="7" l="1"/>
  <c r="AN35" i="7"/>
  <c r="AO33" i="7"/>
  <c r="AK35" i="7"/>
  <c r="AR33" i="7" l="1"/>
  <c r="AO35" i="7"/>
  <c r="B2" i="7" s="1"/>
  <c r="AS33" i="7"/>
  <c r="AP35" i="7"/>
  <c r="C2" i="7" s="1"/>
</calcChain>
</file>

<file path=xl/sharedStrings.xml><?xml version="1.0" encoding="utf-8"?>
<sst xmlns="http://schemas.openxmlformats.org/spreadsheetml/2006/main" count="654" uniqueCount="202">
  <si>
    <t>Terms and conditions</t>
  </si>
  <si>
    <t>The terms and conditions on which OFCOM is making available the model are set out below.</t>
  </si>
  <si>
    <t>The Discounted cashflow (DCF) Area 3 model provided has been developed for the July 2020 Access Review Consultation to inform the assessment of what is a reasonable level of cost recovery that is required during the next charge control period (given BT's plans to deploy fibre in Area 3) that would allow an expectation of cost recovery over the lifetime of the fibre and copper network, and what this means in terms of a CPI-X control for the next five years.</t>
  </si>
  <si>
    <t xml:space="preserve">All right, title and interest in the provided model (the ‘Model’) constructed in Excel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</si>
  <si>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</si>
  <si>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t>
  </si>
  <si>
    <t>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t>
  </si>
  <si>
    <t>These terms and conditions shall be covered by and construed in accordance with the laws of England and Wales. Any dispute arising under these terms and conditions shall be subject to the exclusive jurisdiction of the Courts of England and Wales.</t>
  </si>
  <si>
    <t>Cost recovery sheet</t>
  </si>
  <si>
    <t>Indexed for 5yrs Payback (£m)</t>
  </si>
  <si>
    <t>Indexed for 10yrs Payback (£m)</t>
  </si>
  <si>
    <t>Calculations on nominal basis</t>
  </si>
  <si>
    <t>Volumes</t>
  </si>
  <si>
    <t>Do-nothing revenue</t>
  </si>
  <si>
    <t>Indexing for 5-years revenue</t>
  </si>
  <si>
    <t>Indexing for 10-years revenue</t>
  </si>
  <si>
    <t>Discounted revenue</t>
  </si>
  <si>
    <t>Additional revenue calculations</t>
  </si>
  <si>
    <t>Modelling assumptions:</t>
  </si>
  <si>
    <t>Discount factors - copper</t>
  </si>
  <si>
    <t>Discount factors - fibre</t>
  </si>
  <si>
    <t>Year</t>
  </si>
  <si>
    <t>Fibre homes passed</t>
  </si>
  <si>
    <t>Fibre homes passed per year</t>
  </si>
  <si>
    <t>Fibre take-up</t>
  </si>
  <si>
    <t>Copper take-up</t>
  </si>
  <si>
    <t>Do nothing: 
Copper price (£/month)</t>
  </si>
  <si>
    <t>Do nothing:
Fibre price (£/month)</t>
  </si>
  <si>
    <t>Copper revenue - do nothing</t>
  </si>
  <si>
    <t>Fibre revenue - do nothing</t>
  </si>
  <si>
    <t>Total revenue - do nothing</t>
  </si>
  <si>
    <r>
      <t xml:space="preserve">Copper price with CPI mark-up: </t>
    </r>
    <r>
      <rPr>
        <b/>
        <u/>
        <sz val="10"/>
        <color theme="1"/>
        <rFont val="Calibri"/>
        <family val="2"/>
        <scheme val="minor"/>
      </rPr>
      <t>5yrs</t>
    </r>
    <r>
      <rPr>
        <b/>
        <sz val="10"/>
        <color theme="1"/>
        <rFont val="Calibri"/>
        <family val="2"/>
        <scheme val="minor"/>
      </rPr>
      <t xml:space="preserve"> (£/month)</t>
    </r>
  </si>
  <si>
    <r>
      <t xml:space="preserve">Copper mark-up: </t>
    </r>
    <r>
      <rPr>
        <b/>
        <u/>
        <sz val="10"/>
        <color theme="1"/>
        <rFont val="Calibri"/>
        <family val="2"/>
        <scheme val="minor"/>
      </rPr>
      <t>5yrs CPI</t>
    </r>
    <r>
      <rPr>
        <b/>
        <sz val="10"/>
        <color theme="1"/>
        <rFont val="Calibri"/>
        <family val="2"/>
        <scheme val="minor"/>
      </rPr>
      <t xml:space="preserve"> (£/month)</t>
    </r>
  </si>
  <si>
    <r>
      <t>Fibre price with CPI mark-up:</t>
    </r>
    <r>
      <rPr>
        <b/>
        <u/>
        <sz val="10"/>
        <color theme="1"/>
        <rFont val="Calibri"/>
        <family val="2"/>
        <scheme val="minor"/>
      </rPr>
      <t xml:space="preserve"> 5yrs</t>
    </r>
    <r>
      <rPr>
        <b/>
        <sz val="10"/>
        <color theme="1"/>
        <rFont val="Calibri"/>
        <family val="2"/>
        <scheme val="minor"/>
      </rPr>
      <t xml:space="preserve"> (£/month)</t>
    </r>
  </si>
  <si>
    <r>
      <t xml:space="preserve">Fibre mark-up: </t>
    </r>
    <r>
      <rPr>
        <b/>
        <u/>
        <sz val="10"/>
        <color theme="1"/>
        <rFont val="Calibri"/>
        <family val="2"/>
        <scheme val="minor"/>
      </rPr>
      <t>5yrs CPI</t>
    </r>
    <r>
      <rPr>
        <b/>
        <sz val="10"/>
        <color theme="1"/>
        <rFont val="Calibri"/>
        <family val="2"/>
        <scheme val="minor"/>
      </rPr>
      <t xml:space="preserve"> (£/month)</t>
    </r>
  </si>
  <si>
    <r>
      <t xml:space="preserve">Copper revenue - </t>
    </r>
    <r>
      <rPr>
        <b/>
        <u/>
        <sz val="10"/>
        <color theme="1"/>
        <rFont val="Calibri"/>
        <family val="2"/>
        <scheme val="minor"/>
      </rPr>
      <t>5yrs</t>
    </r>
    <r>
      <rPr>
        <b/>
        <sz val="10"/>
        <color theme="1"/>
        <rFont val="Calibri"/>
        <family val="2"/>
        <scheme val="minor"/>
      </rPr>
      <t xml:space="preserve"> indexed</t>
    </r>
  </si>
  <si>
    <r>
      <t xml:space="preserve">Fibre revenue - </t>
    </r>
    <r>
      <rPr>
        <b/>
        <u/>
        <sz val="10"/>
        <color theme="1"/>
        <rFont val="Calibri"/>
        <family val="2"/>
        <scheme val="minor"/>
      </rPr>
      <t>5yrs</t>
    </r>
    <r>
      <rPr>
        <b/>
        <sz val="10"/>
        <color theme="1"/>
        <rFont val="Calibri"/>
        <family val="2"/>
        <scheme val="minor"/>
      </rPr>
      <t xml:space="preserve"> indexed</t>
    </r>
  </si>
  <si>
    <r>
      <t xml:space="preserve">Total revenue - </t>
    </r>
    <r>
      <rPr>
        <b/>
        <u/>
        <sz val="10"/>
        <color theme="1"/>
        <rFont val="Calibri"/>
        <family val="2"/>
        <scheme val="minor"/>
      </rPr>
      <t>5yrs</t>
    </r>
    <r>
      <rPr>
        <b/>
        <sz val="10"/>
        <color theme="1"/>
        <rFont val="Calibri"/>
        <family val="2"/>
        <scheme val="minor"/>
      </rPr>
      <t xml:space="preserve"> indexed</t>
    </r>
  </si>
  <si>
    <r>
      <t xml:space="preserve">Copper price with CPI mark-up: </t>
    </r>
    <r>
      <rPr>
        <b/>
        <u/>
        <sz val="10"/>
        <color theme="1"/>
        <rFont val="Calibri"/>
        <family val="2"/>
        <scheme val="minor"/>
      </rPr>
      <t>10yrs</t>
    </r>
    <r>
      <rPr>
        <b/>
        <sz val="10"/>
        <color theme="1"/>
        <rFont val="Calibri"/>
        <family val="2"/>
        <scheme val="minor"/>
      </rPr>
      <t xml:space="preserve"> (£/month)</t>
    </r>
  </si>
  <si>
    <r>
      <t xml:space="preserve">Copper mark-up: </t>
    </r>
    <r>
      <rPr>
        <b/>
        <u/>
        <sz val="10"/>
        <color theme="1"/>
        <rFont val="Calibri"/>
        <family val="2"/>
        <scheme val="minor"/>
      </rPr>
      <t>10yrs</t>
    </r>
    <r>
      <rPr>
        <b/>
        <sz val="10"/>
        <color theme="1"/>
        <rFont val="Calibri"/>
        <family val="2"/>
        <scheme val="minor"/>
      </rPr>
      <t xml:space="preserve"> CPI (£/month)</t>
    </r>
  </si>
  <si>
    <r>
      <t xml:space="preserve">Fibre price with CPI mark-up: </t>
    </r>
    <r>
      <rPr>
        <b/>
        <u/>
        <sz val="10"/>
        <color theme="1"/>
        <rFont val="Calibri"/>
        <family val="2"/>
        <scheme val="minor"/>
      </rPr>
      <t>10yrs</t>
    </r>
    <r>
      <rPr>
        <b/>
        <sz val="10"/>
        <color theme="1"/>
        <rFont val="Calibri"/>
        <family val="2"/>
        <scheme val="minor"/>
      </rPr>
      <t xml:space="preserve"> (£/month)</t>
    </r>
  </si>
  <si>
    <r>
      <t xml:space="preserve">Fibre mark-up: </t>
    </r>
    <r>
      <rPr>
        <b/>
        <u/>
        <sz val="10"/>
        <color theme="1"/>
        <rFont val="Calibri"/>
        <family val="2"/>
        <scheme val="minor"/>
      </rPr>
      <t>10yrs</t>
    </r>
    <r>
      <rPr>
        <b/>
        <sz val="10"/>
        <color theme="1"/>
        <rFont val="Calibri"/>
        <family val="2"/>
        <scheme val="minor"/>
      </rPr>
      <t xml:space="preserve"> CPI (£/month)</t>
    </r>
  </si>
  <si>
    <r>
      <t xml:space="preserve">Copper revenue - </t>
    </r>
    <r>
      <rPr>
        <b/>
        <u/>
        <sz val="10"/>
        <color theme="1"/>
        <rFont val="Calibri"/>
        <family val="2"/>
        <scheme val="minor"/>
      </rPr>
      <t>10yrs</t>
    </r>
    <r>
      <rPr>
        <b/>
        <sz val="10"/>
        <color theme="1"/>
        <rFont val="Calibri"/>
        <family val="2"/>
        <scheme val="minor"/>
      </rPr>
      <t xml:space="preserve"> indexed</t>
    </r>
  </si>
  <si>
    <r>
      <t xml:space="preserve">Fibre revenue - </t>
    </r>
    <r>
      <rPr>
        <b/>
        <u/>
        <sz val="10"/>
        <color theme="1"/>
        <rFont val="Calibri"/>
        <family val="2"/>
        <scheme val="minor"/>
      </rPr>
      <t>10yrs</t>
    </r>
    <r>
      <rPr>
        <b/>
        <sz val="10"/>
        <color theme="1"/>
        <rFont val="Calibri"/>
        <family val="2"/>
        <scheme val="minor"/>
      </rPr>
      <t xml:space="preserve"> indexed</t>
    </r>
  </si>
  <si>
    <r>
      <t xml:space="preserve">Total revenue - </t>
    </r>
    <r>
      <rPr>
        <b/>
        <u/>
        <sz val="10"/>
        <color theme="1"/>
        <rFont val="Calibri"/>
        <family val="2"/>
        <scheme val="minor"/>
      </rPr>
      <t>10yrs</t>
    </r>
    <r>
      <rPr>
        <b/>
        <sz val="10"/>
        <color theme="1"/>
        <rFont val="Calibri"/>
        <family val="2"/>
        <scheme val="minor"/>
      </rPr>
      <t xml:space="preserve"> indexed</t>
    </r>
  </si>
  <si>
    <t>PV Copper revenue - do nothing</t>
  </si>
  <si>
    <t>PV Fibre revenue - do nothing</t>
  </si>
  <si>
    <t>PV Total revenue - do nothing</t>
  </si>
  <si>
    <r>
      <t xml:space="preserve">PV Copper revenue - </t>
    </r>
    <r>
      <rPr>
        <b/>
        <u/>
        <sz val="10"/>
        <color theme="1"/>
        <rFont val="Calibri"/>
        <family val="2"/>
        <scheme val="minor"/>
      </rPr>
      <t>5yrs</t>
    </r>
    <r>
      <rPr>
        <b/>
        <sz val="10"/>
        <color theme="1"/>
        <rFont val="Calibri"/>
        <family val="2"/>
        <scheme val="minor"/>
      </rPr>
      <t xml:space="preserve"> indexed</t>
    </r>
  </si>
  <si>
    <r>
      <t xml:space="preserve">PV Fibre revenue - </t>
    </r>
    <r>
      <rPr>
        <b/>
        <u/>
        <sz val="10"/>
        <color theme="1"/>
        <rFont val="Calibri"/>
        <family val="2"/>
        <scheme val="minor"/>
      </rPr>
      <t>5yrs</t>
    </r>
    <r>
      <rPr>
        <b/>
        <sz val="10"/>
        <color theme="1"/>
        <rFont val="Calibri"/>
        <family val="2"/>
        <scheme val="minor"/>
      </rPr>
      <t xml:space="preserve"> indexed</t>
    </r>
  </si>
  <si>
    <r>
      <t xml:space="preserve">PV Total revenue - </t>
    </r>
    <r>
      <rPr>
        <b/>
        <u/>
        <sz val="10"/>
        <color theme="1"/>
        <rFont val="Calibri"/>
        <family val="2"/>
        <scheme val="minor"/>
      </rPr>
      <t>5yrs</t>
    </r>
    <r>
      <rPr>
        <b/>
        <sz val="10"/>
        <color theme="1"/>
        <rFont val="Calibri"/>
        <family val="2"/>
        <scheme val="minor"/>
      </rPr>
      <t xml:space="preserve"> indexed</t>
    </r>
  </si>
  <si>
    <r>
      <t xml:space="preserve">PV Copper revenue - </t>
    </r>
    <r>
      <rPr>
        <b/>
        <u/>
        <sz val="10"/>
        <color theme="1"/>
        <rFont val="Calibri"/>
        <family val="2"/>
        <scheme val="minor"/>
      </rPr>
      <t>10yrs</t>
    </r>
    <r>
      <rPr>
        <b/>
        <sz val="10"/>
        <color theme="1"/>
        <rFont val="Calibri"/>
        <family val="2"/>
        <scheme val="minor"/>
      </rPr>
      <t xml:space="preserve"> indexed</t>
    </r>
  </si>
  <si>
    <r>
      <t xml:space="preserve">PV Fibre revenue - </t>
    </r>
    <r>
      <rPr>
        <b/>
        <u/>
        <sz val="10"/>
        <color theme="1"/>
        <rFont val="Calibri"/>
        <family val="2"/>
        <scheme val="minor"/>
      </rPr>
      <t>10yrs</t>
    </r>
    <r>
      <rPr>
        <b/>
        <sz val="10"/>
        <color theme="1"/>
        <rFont val="Calibri"/>
        <family val="2"/>
        <scheme val="minor"/>
      </rPr>
      <t xml:space="preserve"> indexed</t>
    </r>
  </si>
  <si>
    <r>
      <t xml:space="preserve">PV Total revenue - </t>
    </r>
    <r>
      <rPr>
        <b/>
        <u/>
        <sz val="10"/>
        <color theme="1"/>
        <rFont val="Calibri"/>
        <family val="2"/>
        <scheme val="minor"/>
      </rPr>
      <t>10yrs</t>
    </r>
    <r>
      <rPr>
        <b/>
        <sz val="10"/>
        <color theme="1"/>
        <rFont val="Calibri"/>
        <family val="2"/>
        <scheme val="minor"/>
      </rPr>
      <t xml:space="preserve"> indexed</t>
    </r>
  </si>
  <si>
    <t>Additional rev: 5yrs indexing</t>
  </si>
  <si>
    <t>Additonal rev: 10yr indexing</t>
  </si>
  <si>
    <t>Cumulative: years 1-5</t>
  </si>
  <si>
    <r>
      <rPr>
        <b/>
        <u/>
        <sz val="10"/>
        <color theme="1"/>
        <rFont val="Calibri"/>
        <family val="2"/>
        <scheme val="minor"/>
      </rPr>
      <t>5yrs indexed</t>
    </r>
    <r>
      <rPr>
        <b/>
        <sz val="10"/>
        <color theme="1"/>
        <rFont val="Calibri"/>
        <family val="2"/>
        <scheme val="minor"/>
      </rPr>
      <t xml:space="preserve"> Cumulative: years 6-20</t>
    </r>
  </si>
  <si>
    <r>
      <rPr>
        <b/>
        <u/>
        <sz val="10"/>
        <color theme="1"/>
        <rFont val="Calibri"/>
        <family val="2"/>
        <scheme val="minor"/>
      </rPr>
      <t>10yrs indexed</t>
    </r>
    <r>
      <rPr>
        <b/>
        <sz val="10"/>
        <color theme="1"/>
        <rFont val="Calibri"/>
        <family val="2"/>
        <scheme val="minor"/>
      </rPr>
      <t xml:space="preserve"> Cumulative: years 6-20</t>
    </r>
  </si>
  <si>
    <t>Shortfall PV - Central</t>
  </si>
  <si>
    <t>Shortfall PV - High</t>
  </si>
  <si>
    <t>Shortfall PV - Low</t>
  </si>
  <si>
    <t>Select options:</t>
  </si>
  <si>
    <t>Commercial build in CC period (homes)</t>
  </si>
  <si>
    <t>2021/22</t>
  </si>
  <si>
    <t>Additional publicly funded build</t>
  </si>
  <si>
    <t>2022/23</t>
  </si>
  <si>
    <t>Total build in CC period (homes)</t>
  </si>
  <si>
    <t>2023/24</t>
  </si>
  <si>
    <t>Total shortfall PV (£m)</t>
  </si>
  <si>
    <t>Central</t>
  </si>
  <si>
    <t>2024/25</t>
  </si>
  <si>
    <t>High</t>
  </si>
  <si>
    <t>2025/26</t>
  </si>
  <si>
    <t>Low</t>
  </si>
  <si>
    <t>2026/27</t>
  </si>
  <si>
    <t>2027/28</t>
  </si>
  <si>
    <t>Fibre pricing: years 11-15</t>
  </si>
  <si>
    <t>Flat nominal cap</t>
  </si>
  <si>
    <t>2028/29</t>
  </si>
  <si>
    <t>Fibre pricing: years 16-20</t>
  </si>
  <si>
    <t>2029/30</t>
  </si>
  <si>
    <t>Passthrough: copper mark-up to fibre</t>
  </si>
  <si>
    <t>2030/31</t>
  </si>
  <si>
    <t>Incr fibre revenue: years 1-10</t>
  </si>
  <si>
    <t>2031/32</t>
  </si>
  <si>
    <t>Incr fibre revenue: years 11-20</t>
  </si>
  <si>
    <t>2032/33</t>
  </si>
  <si>
    <t>Nominal WACC OUKT (fibre)</t>
  </si>
  <si>
    <t>2033/34</t>
  </si>
  <si>
    <t>Nominal WACC Openreach (copper)</t>
  </si>
  <si>
    <t>2034/35</t>
  </si>
  <si>
    <t>CPI cap</t>
  </si>
  <si>
    <t>2035/36</t>
  </si>
  <si>
    <t>2036/37</t>
  </si>
  <si>
    <t>2037/38</t>
  </si>
  <si>
    <t>Number of Area 3 homes</t>
  </si>
  <si>
    <t>Source: Fibre shortfall model</t>
  </si>
  <si>
    <t>2038/39</t>
  </si>
  <si>
    <t>Number of Area 3 BB lines</t>
  </si>
  <si>
    <t>2039/40</t>
  </si>
  <si>
    <t>Number of copper lines @ switch-off</t>
  </si>
  <si>
    <t>2040/41</t>
  </si>
  <si>
    <t>Deployment period (years)</t>
  </si>
  <si>
    <t>Charge control period (years)</t>
  </si>
  <si>
    <t>Total</t>
  </si>
  <si>
    <t>Copper switch off (years)</t>
  </si>
  <si>
    <t>Fibre shortfall inputs sheet</t>
  </si>
  <si>
    <t>Shortfall PV (£m)</t>
  </si>
  <si>
    <t>Shortfall PV calculation:</t>
  </si>
  <si>
    <t>Build costs</t>
  </si>
  <si>
    <r>
      <rPr>
        <i/>
        <sz val="11"/>
        <color theme="1"/>
        <rFont val="Calibri"/>
        <family val="2"/>
        <scheme val="minor"/>
      </rPr>
      <t>Less</t>
    </r>
    <r>
      <rPr>
        <sz val="11"/>
        <color theme="1"/>
        <rFont val="Calibri"/>
        <family val="2"/>
        <scheme val="minor"/>
      </rPr>
      <t xml:space="preserve"> incremental fibre revenue</t>
    </r>
  </si>
  <si>
    <r>
      <rPr>
        <i/>
        <sz val="11"/>
        <color theme="1"/>
        <rFont val="Calibri"/>
        <family val="2"/>
        <scheme val="minor"/>
      </rPr>
      <t>Less</t>
    </r>
    <r>
      <rPr>
        <sz val="11"/>
        <color theme="1"/>
        <rFont val="Calibri"/>
        <family val="2"/>
        <scheme val="minor"/>
      </rPr>
      <t xml:space="preserve"> cost savings from copper switch-off</t>
    </r>
  </si>
  <si>
    <t>Copper pricing options:</t>
  </si>
  <si>
    <t>Fibre pricing options</t>
  </si>
  <si>
    <t>CPI-X cap 1 period</t>
  </si>
  <si>
    <t>CPI-X cap 2 periods</t>
  </si>
  <si>
    <t>Incremental fibre revenue</t>
  </si>
  <si>
    <t>years 1-10</t>
  </si>
  <si>
    <t>years 11-20</t>
  </si>
  <si>
    <t>Area 3 - Ofcom forecast</t>
  </si>
  <si>
    <t>Fibre_takeup</t>
  </si>
  <si>
    <t>Copper price forecasts</t>
  </si>
  <si>
    <t>(i) Individual service prices</t>
  </si>
  <si>
    <t>(ii) Combined Copper-FTTC prices</t>
  </si>
  <si>
    <t>Prices</t>
  </si>
  <si>
    <t>Discounted</t>
  </si>
  <si>
    <t>Weighted Average Price &gt;</t>
  </si>
  <si>
    <t>Cost-based</t>
  </si>
  <si>
    <t>Scenario</t>
  </si>
  <si>
    <t>Base</t>
  </si>
  <si>
    <t>Indexed 5 years</t>
  </si>
  <si>
    <t>Indexed 10 years</t>
  </si>
  <si>
    <t>Fcast CPI</t>
  </si>
  <si>
    <t>Ofcom CPI-X model</t>
  </si>
  <si>
    <t>Volumes summary</t>
  </si>
  <si>
    <t>CVE Legacy</t>
  </si>
  <si>
    <t>Legacy</t>
  </si>
  <si>
    <t>BT 17/18 LRIC/FAC</t>
  </si>
  <si>
    <t>MPF/WLR solus</t>
  </si>
  <si>
    <t>CVE FTTC</t>
  </si>
  <si>
    <t>FTTC</t>
  </si>
  <si>
    <t>FTTC (+MPF/WLR)</t>
  </si>
  <si>
    <t>WLA opex Efficiency</t>
  </si>
  <si>
    <t>FTTP</t>
  </si>
  <si>
    <t>Calculates combined MPF/WLR + GEA FTTC prices</t>
  </si>
  <si>
    <t>SL122</t>
  </si>
  <si>
    <t>PSTN Basic Rentals - Internal</t>
  </si>
  <si>
    <t>SL151</t>
  </si>
  <si>
    <t>PSTN Basic Rentals - External</t>
  </si>
  <si>
    <t>SL121</t>
  </si>
  <si>
    <t>PSTN Premium Rentals - Internal</t>
  </si>
  <si>
    <t>SL150</t>
  </si>
  <si>
    <t>PSTN Premium Rentals - External</t>
  </si>
  <si>
    <t>SL346</t>
  </si>
  <si>
    <t>MPF Rental with SL1 Int</t>
  </si>
  <si>
    <t>SL347</t>
  </si>
  <si>
    <t>MPF Rental with SL1 Ext</t>
  </si>
  <si>
    <t>SL127</t>
  </si>
  <si>
    <t>MPF Rentals Costs - non SL1 Int</t>
  </si>
  <si>
    <t>SL130</t>
  </si>
  <si>
    <t>MPF Rentals Costs - non SL1 Ext</t>
  </si>
  <si>
    <t>SL301</t>
  </si>
  <si>
    <t>GEA 40/10 FTTC Rentals Internal</t>
  </si>
  <si>
    <t>SL311</t>
  </si>
  <si>
    <t>GEA 40/10 FTTC Rentals External</t>
  </si>
  <si>
    <t>SL300</t>
  </si>
  <si>
    <t>GEA FTTC rentals (all other speeds except 40/10) internal</t>
  </si>
  <si>
    <t>SL310</t>
  </si>
  <si>
    <t>GEA FTTC rentals (all other speeds except 40/10) external</t>
  </si>
  <si>
    <t>Chosen Area 3 X</t>
  </si>
  <si>
    <t>Chosen Start Prices</t>
  </si>
  <si>
    <t>Prices - cost-based</t>
  </si>
  <si>
    <t>Prices - indexed</t>
  </si>
  <si>
    <t>Cost Trend</t>
  </si>
  <si>
    <t>Cost Stack Fcast</t>
  </si>
  <si>
    <t>2025/26 +</t>
  </si>
  <si>
    <t>Price = Cost Final Year</t>
  </si>
  <si>
    <t>AFI C3</t>
  </si>
  <si>
    <t>BT 17/18 LRIC/FAC data</t>
  </si>
  <si>
    <t>SL950</t>
  </si>
  <si>
    <t>GEA FTTC Rentals Costs - Internal</t>
  </si>
  <si>
    <t>Unit Costs</t>
  </si>
  <si>
    <t>SL960</t>
  </si>
  <si>
    <t>GEA FTTC Rentals - External</t>
  </si>
  <si>
    <t>CPI-X model inputs</t>
  </si>
  <si>
    <t>Headline X's</t>
  </si>
  <si>
    <t>High Costs</t>
  </si>
  <si>
    <t>Low Costs</t>
  </si>
  <si>
    <t>Headline Prices</t>
  </si>
  <si>
    <t>Hardcoded 01/07/2020</t>
  </si>
  <si>
    <t>Discounted X's</t>
  </si>
  <si>
    <t>Discounted Prices</t>
  </si>
  <si>
    <t>Efficiency</t>
  </si>
  <si>
    <t>WACC</t>
  </si>
  <si>
    <t>FTTC/Openreach</t>
  </si>
  <si>
    <t>Post 25/26 volumes</t>
  </si>
  <si>
    <t>Base Case</t>
  </si>
  <si>
    <t>Linked WLA Volumes Model</t>
  </si>
  <si>
    <t>Inflation</t>
  </si>
  <si>
    <t>CPI forecast</t>
  </si>
  <si>
    <t>Ofcom calculations - based on Ofcom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</si>
</sst>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quot;£&quot;#,##0"/>
    <numFmt numFmtId="165" formatCode="&quot;£&quot;#,##0.00"/>
    <numFmt numFmtId="166" formatCode="0.0%"/>
    <numFmt numFmtId="167" formatCode="_-* #,##0_-;\-* #,##0_-;_-* &quot;-&quot;??_-;_-@_-"/>
  </numFmts>
  <fonts count="32" x14ac:knownFonts="1">
    <font>
      <sz val="11"/>
      <color theme="1"/>
      <name val="Calibri"/>
      <family val="2"/>
      <scheme val="minor"/>
    </font>
    <font>
      <sz val="9"/>
      <name val="Arial"/>
      <family val="2"/>
    </font>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i/>
      <sz val="10"/>
      <color theme="0" tint="-0.499984740745262"/>
      <name val="Calibri"/>
      <family val="2"/>
      <scheme val="minor"/>
    </font>
    <font>
      <b/>
      <sz val="10"/>
      <color theme="1"/>
      <name val="Calibri"/>
      <family val="2"/>
      <scheme val="minor"/>
    </font>
    <font>
      <b/>
      <i/>
      <sz val="10"/>
      <color theme="1"/>
      <name val="Calibri"/>
      <family val="2"/>
      <scheme val="minor"/>
    </font>
    <font>
      <i/>
      <sz val="11"/>
      <color theme="1"/>
      <name val="Calibri"/>
      <family val="2"/>
      <scheme val="minor"/>
    </font>
    <font>
      <sz val="10"/>
      <color rgb="FF000000"/>
      <name val="Calibri"/>
      <family val="2"/>
      <scheme val="minor"/>
    </font>
    <font>
      <sz val="8"/>
      <name val="Calibri"/>
      <family val="2"/>
      <scheme val="minor"/>
    </font>
    <font>
      <sz val="11"/>
      <color rgb="FF0000FF"/>
      <name val="Calibri"/>
      <family val="2"/>
      <scheme val="minor"/>
    </font>
    <font>
      <b/>
      <sz val="10"/>
      <color rgb="FF000000"/>
      <name val="Calibri"/>
      <family val="2"/>
      <scheme val="minor"/>
    </font>
    <font>
      <sz val="11"/>
      <color rgb="FFFF0000"/>
      <name val="Calibri"/>
      <family val="2"/>
      <scheme val="minor"/>
    </font>
    <font>
      <sz val="10"/>
      <color rgb="FFFF0000"/>
      <name val="Calibri"/>
      <family val="2"/>
      <scheme val="minor"/>
    </font>
    <font>
      <b/>
      <sz val="18"/>
      <color theme="1"/>
      <name val="Calibri"/>
      <family val="2"/>
      <scheme val="minor"/>
    </font>
    <font>
      <b/>
      <sz val="20"/>
      <color theme="1"/>
      <name val="Calibri"/>
      <family val="2"/>
      <scheme val="minor"/>
    </font>
    <font>
      <u/>
      <sz val="11"/>
      <color theme="1"/>
      <name val="Calibri"/>
      <family val="2"/>
      <scheme val="minor"/>
    </font>
    <font>
      <b/>
      <sz val="11"/>
      <color rgb="FFFF0000"/>
      <name val="Calibri"/>
      <family val="2"/>
      <scheme val="minor"/>
    </font>
    <font>
      <b/>
      <u/>
      <sz val="11"/>
      <color theme="1"/>
      <name val="Calibri"/>
      <family val="2"/>
      <scheme val="minor"/>
    </font>
    <font>
      <b/>
      <u/>
      <sz val="10"/>
      <color theme="1"/>
      <name val="Calibri"/>
      <family val="2"/>
      <scheme val="minor"/>
    </font>
    <font>
      <b/>
      <sz val="10"/>
      <name val="Calibri"/>
      <family val="2"/>
      <scheme val="minor"/>
    </font>
    <font>
      <sz val="10"/>
      <name val="Calibri"/>
      <family val="2"/>
      <scheme val="minor"/>
    </font>
    <font>
      <b/>
      <sz val="16"/>
      <color theme="1"/>
      <name val="Calibri"/>
      <family val="2"/>
      <scheme val="minor"/>
    </font>
    <font>
      <b/>
      <sz val="12"/>
      <name val="Calibri"/>
      <family val="2"/>
      <scheme val="minor"/>
    </font>
    <font>
      <b/>
      <sz val="22"/>
      <color theme="1"/>
      <name val="Calibri"/>
      <family val="2"/>
      <scheme val="minor"/>
    </font>
    <font>
      <b/>
      <sz val="15"/>
      <color theme="3"/>
      <name val="Calibri"/>
      <family val="2"/>
      <scheme val="minor"/>
    </font>
    <font>
      <i/>
      <sz val="11"/>
      <name val="Calibri"/>
      <family val="2"/>
    </font>
    <font>
      <b/>
      <sz val="12"/>
      <name val="Arial"/>
      <family val="2"/>
    </font>
    <font>
      <sz val="12"/>
      <name val="Arial"/>
      <family val="2"/>
    </font>
    <font>
      <b/>
      <sz val="22"/>
      <color theme="3"/>
      <name val="Calibri"/>
      <family val="2"/>
      <scheme val="minor"/>
    </font>
  </fonts>
  <fills count="17">
    <fill>
      <patternFill patternType="none"/>
    </fill>
    <fill>
      <patternFill patternType="gray125"/>
    </fill>
    <fill>
      <patternFill patternType="solid">
        <fgColor rgb="FFE8D9E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296"/>
        <bgColor indexed="64"/>
      </patternFill>
    </fill>
    <fill>
      <patternFill patternType="solid">
        <fgColor rgb="FFDAEEF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2" tint="-9.9978637043366805E-2"/>
        <bgColor indexed="64"/>
      </patternFill>
    </fill>
  </fills>
  <borders count="7">
    <border>
      <left/>
      <right/>
      <top/>
      <bottom/>
      <diagonal/>
    </border>
    <border>
      <left style="thin">
        <color rgb="FF660066"/>
      </left>
      <right style="thin">
        <color rgb="FF660066"/>
      </right>
      <top style="thin">
        <color rgb="FF660066"/>
      </top>
      <bottom style="thin">
        <color rgb="FF660066"/>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top/>
      <bottom style="thick">
        <color theme="4"/>
      </bottom>
      <diagonal/>
    </border>
  </borders>
  <cellStyleXfs count="14">
    <xf numFmtId="0" fontId="0" fillId="0" borderId="0"/>
    <xf numFmtId="0" fontId="1" fillId="0" borderId="0">
      <alignment vertical="center"/>
    </xf>
    <xf numFmtId="0" fontId="1" fillId="0" borderId="0" applyProtection="0">
      <alignment vertical="center"/>
    </xf>
    <xf numFmtId="0" fontId="1" fillId="2" borderId="0" applyNumberFormat="0" applyFont="0" applyBorder="0" applyAlignment="0" applyProtection="0">
      <alignment vertical="center"/>
    </xf>
    <xf numFmtId="0" fontId="1" fillId="0" borderId="1" applyNumberFormat="0" applyAlignment="0">
      <alignment vertical="center"/>
      <protection locked="0"/>
    </xf>
    <xf numFmtId="9" fontId="2" fillId="0" borderId="0" applyFont="0" applyFill="0" applyBorder="0" applyAlignment="0" applyProtection="0"/>
    <xf numFmtId="43" fontId="2" fillId="0" borderId="0" applyFont="0" applyFill="0" applyBorder="0" applyAlignment="0" applyProtection="0"/>
    <xf numFmtId="0" fontId="4" fillId="5" borderId="0" applyNumberFormat="0" applyProtection="0"/>
    <xf numFmtId="0" fontId="12" fillId="5" borderId="0" applyNumberFormat="0">
      <protection locked="0"/>
    </xf>
    <xf numFmtId="0" fontId="4" fillId="6" borderId="0" applyNumberFormat="0" applyProtection="0"/>
    <xf numFmtId="0" fontId="14" fillId="0" borderId="0" applyNumberFormat="0" applyFill="0" applyBorder="0" applyAlignment="0" applyProtection="0"/>
    <xf numFmtId="0" fontId="1" fillId="0" borderId="0"/>
    <xf numFmtId="0" fontId="27" fillId="0" borderId="6" applyNumberFormat="0" applyFill="0" applyAlignment="0" applyProtection="0"/>
    <xf numFmtId="0" fontId="2" fillId="0" borderId="0"/>
  </cellStyleXfs>
  <cellXfs count="130">
    <xf numFmtId="0" fontId="0" fillId="0" borderId="0" xfId="0"/>
    <xf numFmtId="167" fontId="4" fillId="5" borderId="0" xfId="7" applyNumberForma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0" xfId="0" applyFont="1" applyBorder="1"/>
    <xf numFmtId="0" fontId="5" fillId="0" borderId="0" xfId="0" applyFont="1" applyAlignment="1">
      <alignment horizontal="right"/>
    </xf>
    <xf numFmtId="0" fontId="5" fillId="0" borderId="0" xfId="0" applyFont="1" applyAlignment="1">
      <alignment horizontal="center"/>
    </xf>
    <xf numFmtId="165" fontId="5" fillId="0" borderId="0" xfId="0" applyNumberFormat="1" applyFont="1"/>
    <xf numFmtId="164" fontId="5" fillId="0" borderId="0" xfId="0" applyNumberFormat="1" applyFont="1"/>
    <xf numFmtId="0" fontId="5" fillId="0" borderId="0" xfId="5" applyNumberFormat="1" applyFont="1" applyAlignment="1">
      <alignment horizontal="center"/>
    </xf>
    <xf numFmtId="0" fontId="8" fillId="4" borderId="0" xfId="0" applyFont="1" applyFill="1"/>
    <xf numFmtId="164" fontId="7" fillId="4" borderId="0" xfId="0" applyNumberFormat="1" applyFont="1" applyFill="1"/>
    <xf numFmtId="8" fontId="5" fillId="0" borderId="0" xfId="0" applyNumberFormat="1" applyFont="1"/>
    <xf numFmtId="166" fontId="10" fillId="5" borderId="0" xfId="5" applyNumberFormat="1" applyFont="1" applyFill="1"/>
    <xf numFmtId="2" fontId="0" fillId="0" borderId="0" xfId="0" applyNumberFormat="1"/>
    <xf numFmtId="1" fontId="0" fillId="0" borderId="0" xfId="0" applyNumberFormat="1"/>
    <xf numFmtId="167" fontId="5" fillId="0" borderId="0" xfId="6" applyNumberFormat="1" applyFont="1"/>
    <xf numFmtId="167" fontId="10" fillId="5" borderId="0" xfId="7" applyNumberFormat="1" applyFont="1"/>
    <xf numFmtId="9" fontId="5" fillId="0" borderId="0" xfId="0" applyNumberFormat="1" applyFont="1"/>
    <xf numFmtId="167" fontId="5" fillId="0" borderId="0" xfId="0" applyNumberFormat="1" applyFont="1"/>
    <xf numFmtId="0" fontId="3" fillId="0" borderId="0" xfId="0" applyFont="1"/>
    <xf numFmtId="9" fontId="0" fillId="0" borderId="0" xfId="5" applyFont="1"/>
    <xf numFmtId="166" fontId="5" fillId="0" borderId="0" xfId="5" applyNumberFormat="1" applyFont="1"/>
    <xf numFmtId="166" fontId="5" fillId="0" borderId="0" xfId="0" applyNumberFormat="1" applyFont="1"/>
    <xf numFmtId="0" fontId="15" fillId="0" borderId="0" xfId="10" applyFont="1"/>
    <xf numFmtId="0" fontId="16" fillId="0" borderId="0" xfId="0" applyFont="1"/>
    <xf numFmtId="0" fontId="17" fillId="0" borderId="0" xfId="0" applyFont="1"/>
    <xf numFmtId="0" fontId="5" fillId="0" borderId="0" xfId="0" applyFont="1" applyAlignment="1">
      <alignment horizontal="left"/>
    </xf>
    <xf numFmtId="165" fontId="7" fillId="0" borderId="0" xfId="0" applyNumberFormat="1" applyFont="1"/>
    <xf numFmtId="0" fontId="14" fillId="0" borderId="0" xfId="0" applyFont="1"/>
    <xf numFmtId="0" fontId="0" fillId="0" borderId="0" xfId="11" applyFont="1" applyAlignment="1">
      <alignment vertical="center"/>
    </xf>
    <xf numFmtId="0" fontId="18" fillId="0" borderId="0" xfId="0" applyFont="1"/>
    <xf numFmtId="0" fontId="0" fillId="0" borderId="0" xfId="11" applyFont="1" applyFill="1" applyAlignment="1">
      <alignment vertical="center"/>
    </xf>
    <xf numFmtId="0" fontId="0" fillId="0" borderId="0" xfId="0" applyFill="1"/>
    <xf numFmtId="0" fontId="19" fillId="0" borderId="0" xfId="0" applyFont="1"/>
    <xf numFmtId="167" fontId="0" fillId="0" borderId="0" xfId="6" applyNumberFormat="1" applyFont="1"/>
    <xf numFmtId="43" fontId="5" fillId="0" borderId="0" xfId="6" applyNumberFormat="1" applyFont="1" applyAlignment="1">
      <alignment horizontal="center"/>
    </xf>
    <xf numFmtId="0" fontId="7" fillId="0" borderId="2" xfId="0" applyFont="1" applyBorder="1" applyAlignment="1">
      <alignment horizontal="center"/>
    </xf>
    <xf numFmtId="0" fontId="7" fillId="0" borderId="2" xfId="5" applyNumberFormat="1" applyFont="1" applyBorder="1" applyAlignment="1">
      <alignment horizontal="center"/>
    </xf>
    <xf numFmtId="0" fontId="7" fillId="0" borderId="0" xfId="0" applyFont="1" applyBorder="1" applyAlignment="1">
      <alignment horizontal="center"/>
    </xf>
    <xf numFmtId="0" fontId="7" fillId="0" borderId="0" xfId="5" applyNumberFormat="1" applyFont="1" applyBorder="1" applyAlignment="1">
      <alignment horizontal="center"/>
    </xf>
    <xf numFmtId="43" fontId="0" fillId="7" borderId="0" xfId="6" applyNumberFormat="1" applyFont="1" applyFill="1"/>
    <xf numFmtId="167" fontId="0" fillId="0" borderId="3" xfId="6" applyNumberFormat="1" applyFont="1" applyFill="1" applyBorder="1"/>
    <xf numFmtId="167" fontId="0" fillId="0" borderId="0" xfId="6" applyNumberFormat="1" applyFont="1" applyFill="1"/>
    <xf numFmtId="43" fontId="5" fillId="0" borderId="0" xfId="0" applyNumberFormat="1" applyFont="1" applyAlignment="1">
      <alignment horizontal="center"/>
    </xf>
    <xf numFmtId="166" fontId="0" fillId="7" borderId="0" xfId="5" applyNumberFormat="1" applyFont="1" applyFill="1"/>
    <xf numFmtId="0" fontId="20" fillId="0" borderId="0" xfId="0" applyFont="1"/>
    <xf numFmtId="167" fontId="0" fillId="7" borderId="0" xfId="6" applyNumberFormat="1" applyFont="1" applyFill="1"/>
    <xf numFmtId="10" fontId="12" fillId="5" borderId="0" xfId="5" applyNumberFormat="1" applyFont="1" applyFill="1" applyAlignment="1" applyProtection="1">
      <alignment horizontal="center" vertical="center"/>
    </xf>
    <xf numFmtId="167" fontId="5" fillId="0" borderId="0" xfId="0" applyNumberFormat="1" applyFont="1" applyAlignment="1">
      <alignment horizontal="center"/>
    </xf>
    <xf numFmtId="167" fontId="0" fillId="0" borderId="0" xfId="0" applyNumberFormat="1"/>
    <xf numFmtId="167" fontId="14" fillId="0" borderId="0" xfId="6" applyNumberFormat="1" applyFont="1"/>
    <xf numFmtId="43" fontId="0" fillId="0" borderId="0" xfId="0" applyNumberFormat="1"/>
    <xf numFmtId="43" fontId="0" fillId="8" borderId="0" xfId="6" applyNumberFormat="1" applyFont="1" applyFill="1"/>
    <xf numFmtId="166" fontId="12" fillId="5" borderId="0" xfId="8" applyNumberFormat="1">
      <protection locked="0"/>
    </xf>
    <xf numFmtId="165" fontId="10" fillId="6" borderId="0" xfId="9" applyNumberFormat="1" applyFont="1"/>
    <xf numFmtId="166" fontId="12" fillId="8" borderId="0" xfId="8" applyNumberFormat="1" applyFill="1">
      <protection locked="0"/>
    </xf>
    <xf numFmtId="0" fontId="3" fillId="0" borderId="0" xfId="0" applyFont="1" applyBorder="1" applyAlignment="1">
      <alignment horizontal="center"/>
    </xf>
    <xf numFmtId="167" fontId="12" fillId="3" borderId="4" xfId="6" applyNumberFormat="1" applyFont="1" applyFill="1" applyBorder="1" applyAlignment="1" applyProtection="1">
      <alignment horizontal="center"/>
      <protection locked="0"/>
    </xf>
    <xf numFmtId="10" fontId="0" fillId="7" borderId="0" xfId="5" applyNumberFormat="1" applyFont="1" applyFill="1" applyAlignment="1">
      <alignment horizontal="center"/>
    </xf>
    <xf numFmtId="166" fontId="12" fillId="5" borderId="2" xfId="5" applyNumberFormat="1" applyFont="1" applyFill="1" applyBorder="1" applyAlignment="1" applyProtection="1">
      <alignment horizontal="center" vertical="center"/>
    </xf>
    <xf numFmtId="9" fontId="0" fillId="7" borderId="2" xfId="5" applyFont="1" applyFill="1" applyBorder="1" applyAlignment="1">
      <alignment horizontal="center"/>
    </xf>
    <xf numFmtId="0" fontId="0" fillId="9" borderId="2" xfId="11" applyFont="1" applyFill="1" applyBorder="1" applyAlignment="1">
      <alignment vertical="center"/>
    </xf>
    <xf numFmtId="0" fontId="0" fillId="9" borderId="2" xfId="0" applyFill="1" applyBorder="1"/>
    <xf numFmtId="0" fontId="3" fillId="0" borderId="0" xfId="11" applyFont="1" applyFill="1" applyAlignment="1">
      <alignment vertical="center"/>
    </xf>
    <xf numFmtId="9" fontId="0" fillId="0" borderId="0" xfId="0" applyNumberFormat="1"/>
    <xf numFmtId="0" fontId="14" fillId="0" borderId="0" xfId="10"/>
    <xf numFmtId="0" fontId="0" fillId="0" borderId="0" xfId="0" applyBorder="1"/>
    <xf numFmtId="9" fontId="5" fillId="0" borderId="0" xfId="5" applyFont="1" applyBorder="1"/>
    <xf numFmtId="9" fontId="5" fillId="0" borderId="0" xfId="5" applyNumberFormat="1" applyFont="1"/>
    <xf numFmtId="0" fontId="22" fillId="10" borderId="0" xfId="0" applyFont="1" applyFill="1" applyBorder="1"/>
    <xf numFmtId="0" fontId="23" fillId="10" borderId="0" xfId="0" applyFont="1" applyFill="1" applyBorder="1"/>
    <xf numFmtId="0" fontId="23" fillId="11" borderId="0" xfId="0" applyFont="1" applyFill="1" applyBorder="1"/>
    <xf numFmtId="0" fontId="23" fillId="12" borderId="0" xfId="0" applyFont="1" applyFill="1" applyBorder="1"/>
    <xf numFmtId="165" fontId="23" fillId="12" borderId="0" xfId="0" applyNumberFormat="1" applyFont="1" applyFill="1" applyBorder="1"/>
    <xf numFmtId="0" fontId="22" fillId="11" borderId="0" xfId="0" applyFont="1" applyFill="1" applyBorder="1"/>
    <xf numFmtId="0" fontId="22" fillId="12" borderId="0" xfId="0" applyFont="1" applyFill="1" applyBorder="1"/>
    <xf numFmtId="0" fontId="5" fillId="12" borderId="0" xfId="0" applyFont="1" applyFill="1"/>
    <xf numFmtId="0" fontId="22" fillId="13" borderId="0" xfId="0" applyFont="1" applyFill="1" applyBorder="1"/>
    <xf numFmtId="0" fontId="23" fillId="13" borderId="0" xfId="0" applyFont="1" applyFill="1" applyBorder="1"/>
    <xf numFmtId="165" fontId="23" fillId="13" borderId="0" xfId="0" applyNumberFormat="1" applyFont="1" applyFill="1" applyBorder="1"/>
    <xf numFmtId="0" fontId="5" fillId="13" borderId="0" xfId="0" applyFont="1" applyFill="1"/>
    <xf numFmtId="0" fontId="5" fillId="14" borderId="0" xfId="0" applyFont="1" applyFill="1"/>
    <xf numFmtId="0" fontId="7" fillId="14" borderId="0" xfId="0" applyFont="1" applyFill="1"/>
    <xf numFmtId="0" fontId="7" fillId="15" borderId="0" xfId="0" applyFont="1" applyFill="1"/>
    <xf numFmtId="0" fontId="5" fillId="15" borderId="0" xfId="0" applyFont="1" applyFill="1"/>
    <xf numFmtId="0" fontId="7" fillId="0" borderId="0" xfId="0" applyFont="1" applyAlignment="1">
      <alignment horizontal="center" wrapText="1"/>
    </xf>
    <xf numFmtId="164" fontId="5" fillId="12" borderId="0" xfId="0" applyNumberFormat="1" applyFont="1" applyFill="1"/>
    <xf numFmtId="164" fontId="5" fillId="13" borderId="0" xfId="0" applyNumberFormat="1" applyFont="1" applyFill="1"/>
    <xf numFmtId="165" fontId="23" fillId="15" borderId="0" xfId="0" applyNumberFormat="1" applyFont="1" applyFill="1"/>
    <xf numFmtId="167" fontId="13" fillId="16" borderId="0" xfId="6" applyNumberFormat="1" applyFont="1" applyFill="1"/>
    <xf numFmtId="166" fontId="12" fillId="5" borderId="0" xfId="5" applyNumberFormat="1" applyFont="1" applyFill="1" applyAlignment="1" applyProtection="1">
      <alignment horizontal="center" vertical="center"/>
    </xf>
    <xf numFmtId="166" fontId="0" fillId="7" borderId="0" xfId="5" applyNumberFormat="1" applyFont="1" applyFill="1" applyAlignment="1">
      <alignment horizontal="center"/>
    </xf>
    <xf numFmtId="0" fontId="0" fillId="0" borderId="0" xfId="11" applyFont="1" applyFill="1" applyBorder="1" applyAlignment="1">
      <alignment vertical="center"/>
    </xf>
    <xf numFmtId="0" fontId="24" fillId="0" borderId="0" xfId="0" applyFont="1"/>
    <xf numFmtId="0" fontId="25" fillId="0" borderId="0" xfId="0" applyFont="1"/>
    <xf numFmtId="0" fontId="26" fillId="0" borderId="0" xfId="0" applyFont="1"/>
    <xf numFmtId="0" fontId="19" fillId="0" borderId="0" xfId="0" applyFont="1" applyAlignment="1">
      <alignment horizontal="right"/>
    </xf>
    <xf numFmtId="1" fontId="4" fillId="6" borderId="0" xfId="9" applyNumberFormat="1"/>
    <xf numFmtId="2" fontId="4" fillId="6" borderId="0" xfId="9" applyNumberFormat="1"/>
    <xf numFmtId="2" fontId="2" fillId="2" borderId="0" xfId="3" applyNumberFormat="1" applyFont="1" applyAlignment="1"/>
    <xf numFmtId="167" fontId="5" fillId="16" borderId="0" xfId="6" applyNumberFormat="1" applyFont="1" applyFill="1"/>
    <xf numFmtId="43" fontId="10" fillId="6" borderId="0" xfId="9" applyNumberFormat="1" applyFont="1"/>
    <xf numFmtId="166" fontId="10" fillId="6" borderId="0" xfId="9" applyNumberFormat="1" applyFont="1"/>
    <xf numFmtId="167" fontId="10" fillId="6" borderId="0" xfId="9" applyNumberFormat="1" applyFont="1"/>
    <xf numFmtId="167" fontId="5" fillId="2" borderId="0" xfId="3" applyNumberFormat="1" applyFont="1" applyAlignment="1"/>
    <xf numFmtId="167" fontId="5" fillId="7" borderId="0" xfId="3" applyNumberFormat="1" applyFont="1" applyFill="1" applyAlignment="1"/>
    <xf numFmtId="167" fontId="5" fillId="12" borderId="0" xfId="3" applyNumberFormat="1" applyFont="1" applyFill="1" applyAlignment="1"/>
    <xf numFmtId="167" fontId="5" fillId="13" borderId="0" xfId="3" applyNumberFormat="1" applyFont="1" applyFill="1" applyAlignment="1"/>
    <xf numFmtId="167" fontId="4" fillId="5" borderId="0" xfId="7" applyNumberFormat="1" applyProtection="1"/>
    <xf numFmtId="43" fontId="4" fillId="5" borderId="0" xfId="7" applyNumberFormat="1" applyProtection="1"/>
    <xf numFmtId="10" fontId="0" fillId="0" borderId="0" xfId="5" applyNumberFormat="1" applyFont="1" applyFill="1" applyAlignment="1">
      <alignment horizontal="center"/>
    </xf>
    <xf numFmtId="0" fontId="12" fillId="5" borderId="0" xfId="8">
      <protection locked="0"/>
    </xf>
    <xf numFmtId="9" fontId="10" fillId="5" borderId="0" xfId="5" applyNumberFormat="1" applyFont="1" applyFill="1" applyAlignment="1">
      <alignment horizontal="right"/>
    </xf>
    <xf numFmtId="0" fontId="4" fillId="5" borderId="0" xfId="7" applyProtection="1">
      <protection locked="0"/>
    </xf>
    <xf numFmtId="9" fontId="4" fillId="5" borderId="0" xfId="7" applyNumberFormat="1" applyProtection="1">
      <protection locked="0"/>
    </xf>
    <xf numFmtId="167" fontId="12" fillId="5" borderId="5" xfId="8" applyNumberFormat="1" applyBorder="1">
      <protection locked="0"/>
    </xf>
    <xf numFmtId="0" fontId="28" fillId="0" borderId="0" xfId="13" applyFont="1" applyAlignment="1">
      <alignment vertical="center"/>
    </xf>
    <xf numFmtId="0" fontId="2" fillId="0" borderId="0" xfId="13" applyAlignment="1">
      <alignment vertical="center"/>
    </xf>
    <xf numFmtId="0" fontId="2" fillId="0" borderId="0" xfId="13"/>
    <xf numFmtId="0" fontId="27" fillId="0" borderId="6" xfId="12" applyAlignment="1">
      <alignment horizontal="left" vertical="center"/>
    </xf>
    <xf numFmtId="0" fontId="27" fillId="0" borderId="6" xfId="12" applyAlignment="1">
      <alignment vertical="center"/>
    </xf>
    <xf numFmtId="0" fontId="29" fillId="0" borderId="0" xfId="13" applyFont="1" applyAlignment="1">
      <alignment vertical="center"/>
    </xf>
    <xf numFmtId="0" fontId="30" fillId="0" borderId="0" xfId="13" applyFont="1" applyAlignment="1">
      <alignment vertical="center"/>
    </xf>
    <xf numFmtId="0" fontId="31" fillId="0" borderId="6" xfId="12" applyFont="1" applyAlignment="1">
      <alignment horizontal="left" vertical="center"/>
    </xf>
    <xf numFmtId="0" fontId="30" fillId="0" borderId="0" xfId="13" applyFont="1" applyAlignment="1">
      <alignment horizontal="left" vertical="top" wrapText="1"/>
    </xf>
    <xf numFmtId="0" fontId="14" fillId="0" borderId="0" xfId="0" applyFont="1" applyAlignment="1">
      <alignment horizontal="center"/>
    </xf>
  </cellXfs>
  <cellStyles count="14">
    <cellStyle name="Comma" xfId="6" builtinId="3"/>
    <cellStyle name="Feed internal" xfId="9" xr:uid="{A954D941-2387-4480-BF14-C859679B4DF3}"/>
    <cellStyle name="Heading 1" xfId="12" builtinId="16"/>
    <cellStyle name="Input assumption or parameter" xfId="8" xr:uid="{EE1F1019-3041-46B1-ADD7-3AFE13490F21}"/>
    <cellStyle name="Input data" xfId="7" xr:uid="{E478B73A-8028-4722-B6CF-3657F758F01B}"/>
    <cellStyle name="Input parameter" xfId="4" xr:uid="{5D37DE05-1224-49A3-A698-9517F8DAEF5F}"/>
    <cellStyle name="Normal" xfId="0" builtinId="0"/>
    <cellStyle name="Normal 2" xfId="1" xr:uid="{33916C31-3083-4BDE-85C5-5633FE5F895D}"/>
    <cellStyle name="Normal 2 2" xfId="13" xr:uid="{8D675AA9-7C81-491D-8812-39809C8BE277}"/>
    <cellStyle name="Normal 39 5" xfId="11" xr:uid="{5CD4BFF4-E5AA-407F-84E9-32E0A03B008B}"/>
    <cellStyle name="Ofcom Output" xfId="3" xr:uid="{BD47C700-EFDC-42B4-9076-E36935B4CDF4}"/>
    <cellStyle name="Percent" xfId="5" builtinId="5"/>
    <cellStyle name="Unhighlight" xfId="2" xr:uid="{A730C49F-D650-450B-B123-D14D46D3C440}"/>
    <cellStyle name="Warning Text" xfId="10" builtinId="1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FF"/>
      <color rgb="FFFF99CC"/>
      <color rgb="FF808080"/>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Prices (£ per month, nominal)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Fibre price (indexed 5yrs)</c:v>
          </c:tx>
          <c:spPr>
            <a:ln w="28575" cap="rnd">
              <a:solidFill>
                <a:schemeClr val="accent4"/>
              </a:solidFill>
              <a:prstDash val="sysDot"/>
              <a:round/>
            </a:ln>
            <a:effectLst/>
          </c:spPr>
          <c:marker>
            <c:symbol val="circle"/>
            <c:size val="5"/>
            <c:spPr>
              <a:solidFill>
                <a:schemeClr val="accent4"/>
              </a:solidFill>
              <a:ln w="9525">
                <a:solidFill>
                  <a:schemeClr val="accent4"/>
                </a:solidFill>
                <a:prstDash val="sysDot"/>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6C-4236-BC0A-C240F61324B2}"/>
                </c:ext>
              </c:extLst>
            </c:dLbl>
            <c:dLbl>
              <c:idx val="9"/>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6C-4236-BC0A-C240F61324B2}"/>
                </c:ext>
              </c:extLst>
            </c:dLbl>
            <c:dLbl>
              <c:idx val="19"/>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28-4E64-82C5-82268AF23E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calculation'!$T$14:$T$33</c:f>
              <c:numCache>
                <c:formatCode>"£"#,##0.00</c:formatCode>
                <c:ptCount val="20"/>
                <c:pt idx="0">
                  <c:v>14.773089104936497</c:v>
                </c:pt>
                <c:pt idx="1">
                  <c:v>15.261767275058927</c:v>
                </c:pt>
                <c:pt idx="2">
                  <c:v>15.619256078463371</c:v>
                </c:pt>
                <c:pt idx="3">
                  <c:v>15.971431222108746</c:v>
                </c:pt>
                <c:pt idx="4">
                  <c:v>16.344824196480879</c:v>
                </c:pt>
                <c:pt idx="5">
                  <c:v>16.461207444398802</c:v>
                </c:pt>
                <c:pt idx="6">
                  <c:v>16.506795667578309</c:v>
                </c:pt>
                <c:pt idx="7">
                  <c:v>16.644848922940163</c:v>
                </c:pt>
                <c:pt idx="8">
                  <c:v>16.703545232223753</c:v>
                </c:pt>
                <c:pt idx="9">
                  <c:v>16.762821074363316</c:v>
                </c:pt>
                <c:pt idx="10">
                  <c:v>16.762821074363316</c:v>
                </c:pt>
                <c:pt idx="11">
                  <c:v>16.762821074363316</c:v>
                </c:pt>
                <c:pt idx="12">
                  <c:v>16.762821074363316</c:v>
                </c:pt>
                <c:pt idx="13">
                  <c:v>16.762821074363316</c:v>
                </c:pt>
                <c:pt idx="14">
                  <c:v>16.762821074363316</c:v>
                </c:pt>
                <c:pt idx="15">
                  <c:v>16.762821074363316</c:v>
                </c:pt>
                <c:pt idx="16">
                  <c:v>16.762821074363316</c:v>
                </c:pt>
                <c:pt idx="17">
                  <c:v>16.762821074363316</c:v>
                </c:pt>
                <c:pt idx="18">
                  <c:v>16.762821074363316</c:v>
                </c:pt>
                <c:pt idx="19">
                  <c:v>16.762821074363316</c:v>
                </c:pt>
              </c:numCache>
            </c:numRef>
          </c:val>
          <c:smooth val="0"/>
          <c:extLst>
            <c:ext xmlns:c16="http://schemas.microsoft.com/office/drawing/2014/chart" uri="{C3380CC4-5D6E-409C-BE32-E72D297353CC}">
              <c16:uniqueId val="{00000000-1D6C-4236-BC0A-C240F61324B2}"/>
            </c:ext>
          </c:extLst>
        </c:ser>
        <c:ser>
          <c:idx val="1"/>
          <c:order val="1"/>
          <c:tx>
            <c:v>Copper price (indexed 5yrs)</c:v>
          </c:tx>
          <c:spPr>
            <a:ln w="28575" cap="rnd">
              <a:solidFill>
                <a:schemeClr val="accent4"/>
              </a:solidFill>
              <a:prstDash val="solid"/>
              <a:round/>
            </a:ln>
            <a:effectLst/>
          </c:spPr>
          <c:marker>
            <c:symbol val="circle"/>
            <c:size val="5"/>
            <c:spPr>
              <a:solidFill>
                <a:schemeClr val="accent4"/>
              </a:solidFill>
              <a:ln w="9525">
                <a:solidFill>
                  <a:schemeClr val="accent4"/>
                </a:solidFill>
                <a:prstDash val="solid"/>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6C-4236-BC0A-C240F61324B2}"/>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6C-4236-BC0A-C240F61324B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calculation'!$R$14:$R$33</c:f>
              <c:numCache>
                <c:formatCode>"£"#,##0.00</c:formatCode>
                <c:ptCount val="20"/>
                <c:pt idx="0">
                  <c:v>12.023089104936497</c:v>
                </c:pt>
                <c:pt idx="1">
                  <c:v>12.511767275058927</c:v>
                </c:pt>
                <c:pt idx="2">
                  <c:v>12.869256078463371</c:v>
                </c:pt>
                <c:pt idx="3">
                  <c:v>13.221431222108746</c:v>
                </c:pt>
                <c:pt idx="4">
                  <c:v>13.594824196480877</c:v>
                </c:pt>
                <c:pt idx="5">
                  <c:v>13.7112074443988</c:v>
                </c:pt>
                <c:pt idx="6">
                  <c:v>13.756795667578308</c:v>
                </c:pt>
                <c:pt idx="7">
                  <c:v>13.894848922940165</c:v>
                </c:pt>
                <c:pt idx="8">
                  <c:v>13.953545232223753</c:v>
                </c:pt>
                <c:pt idx="9">
                  <c:v>14.012821074363316</c:v>
                </c:pt>
              </c:numCache>
            </c:numRef>
          </c:val>
          <c:smooth val="0"/>
          <c:extLst>
            <c:ext xmlns:c16="http://schemas.microsoft.com/office/drawing/2014/chart" uri="{C3380CC4-5D6E-409C-BE32-E72D297353CC}">
              <c16:uniqueId val="{00000001-1D6C-4236-BC0A-C240F61324B2}"/>
            </c:ext>
          </c:extLst>
        </c:ser>
        <c:ser>
          <c:idx val="2"/>
          <c:order val="2"/>
          <c:tx>
            <c:v>Fibre price (cost-based)</c:v>
          </c:tx>
          <c:spPr>
            <a:ln w="28575" cap="rnd">
              <a:solidFill>
                <a:schemeClr val="accent1"/>
              </a:solidFill>
              <a:prstDash val="sysDot"/>
              <a:round/>
            </a:ln>
            <a:effectLst/>
          </c:spPr>
          <c:marker>
            <c:symbol val="circle"/>
            <c:size val="5"/>
            <c:spPr>
              <a:solidFill>
                <a:schemeClr val="accent1"/>
              </a:solidFill>
              <a:ln w="9525">
                <a:solidFill>
                  <a:schemeClr val="accent1"/>
                </a:solidFill>
                <a:prstDash val="sysDot"/>
              </a:ln>
              <a:effectLst/>
            </c:spPr>
          </c:marker>
          <c:dLbls>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64-44AD-9374-C65827E85B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calculation'!$N$14:$N$33</c:f>
              <c:numCache>
                <c:formatCode>"£"#,##0.00</c:formatCode>
                <c:ptCount val="20"/>
                <c:pt idx="0">
                  <c:v>14.546139940607842</c:v>
                </c:pt>
                <c:pt idx="1">
                  <c:v>14.73119679585762</c:v>
                </c:pt>
                <c:pt idx="2">
                  <c:v>14.768564473741145</c:v>
                </c:pt>
                <c:pt idx="3">
                  <c:v>14.811703353155286</c:v>
                </c:pt>
                <c:pt idx="4">
                  <c:v>14.864697666499774</c:v>
                </c:pt>
                <c:pt idx="5">
                  <c:v>15.115488839629904</c:v>
                </c:pt>
                <c:pt idx="6">
                  <c:v>15.35911836840536</c:v>
                </c:pt>
                <c:pt idx="7">
                  <c:v>15.636326093143731</c:v>
                </c:pt>
                <c:pt idx="8">
                  <c:v>15.902546567478716</c:v>
                </c:pt>
                <c:pt idx="9">
                  <c:v>16.250602936132481</c:v>
                </c:pt>
                <c:pt idx="10">
                  <c:v>15.175602936132481</c:v>
                </c:pt>
                <c:pt idx="11">
                  <c:v>15.175602936132481</c:v>
                </c:pt>
                <c:pt idx="12">
                  <c:v>15.175602936132481</c:v>
                </c:pt>
                <c:pt idx="13">
                  <c:v>15.175602936132481</c:v>
                </c:pt>
                <c:pt idx="14">
                  <c:v>15.175602936132481</c:v>
                </c:pt>
                <c:pt idx="15">
                  <c:v>15.175602936132481</c:v>
                </c:pt>
                <c:pt idx="16">
                  <c:v>15.175602936132481</c:v>
                </c:pt>
                <c:pt idx="17">
                  <c:v>15.175602936132481</c:v>
                </c:pt>
                <c:pt idx="18">
                  <c:v>15.175602936132481</c:v>
                </c:pt>
                <c:pt idx="19">
                  <c:v>15.175602936132481</c:v>
                </c:pt>
              </c:numCache>
            </c:numRef>
          </c:val>
          <c:smooth val="0"/>
          <c:extLst>
            <c:ext xmlns:c16="http://schemas.microsoft.com/office/drawing/2014/chart" uri="{C3380CC4-5D6E-409C-BE32-E72D297353CC}">
              <c16:uniqueId val="{00000000-BD64-44AD-9374-C65827E85B84}"/>
            </c:ext>
          </c:extLst>
        </c:ser>
        <c:ser>
          <c:idx val="3"/>
          <c:order val="3"/>
          <c:tx>
            <c:v>Copper price (cost-based)</c:v>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64-44AD-9374-C65827E85B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calculation'!$M$14:$M$23</c:f>
              <c:numCache>
                <c:formatCode>"£"#,##0.00</c:formatCode>
                <c:ptCount val="10"/>
                <c:pt idx="0">
                  <c:v>11.796139940607842</c:v>
                </c:pt>
                <c:pt idx="1">
                  <c:v>11.98119679585762</c:v>
                </c:pt>
                <c:pt idx="2">
                  <c:v>12.018564473741145</c:v>
                </c:pt>
                <c:pt idx="3">
                  <c:v>12.061703353155286</c:v>
                </c:pt>
                <c:pt idx="4">
                  <c:v>12.114697666499774</c:v>
                </c:pt>
                <c:pt idx="5">
                  <c:v>12.365488839629904</c:v>
                </c:pt>
                <c:pt idx="6">
                  <c:v>12.60911836840536</c:v>
                </c:pt>
                <c:pt idx="7">
                  <c:v>12.886326093143731</c:v>
                </c:pt>
                <c:pt idx="8">
                  <c:v>13.152546567478716</c:v>
                </c:pt>
                <c:pt idx="9">
                  <c:v>13.500602936132481</c:v>
                </c:pt>
              </c:numCache>
            </c:numRef>
          </c:val>
          <c:smooth val="0"/>
          <c:extLst>
            <c:ext xmlns:c16="http://schemas.microsoft.com/office/drawing/2014/chart" uri="{C3380CC4-5D6E-409C-BE32-E72D297353CC}">
              <c16:uniqueId val="{00000001-BD64-44AD-9374-C65827E85B84}"/>
            </c:ext>
          </c:extLst>
        </c:ser>
        <c:ser>
          <c:idx val="4"/>
          <c:order val="4"/>
          <c:tx>
            <c:v>Fibre price (indexed 10yrs)</c:v>
          </c:tx>
          <c:spPr>
            <a:ln w="28575" cap="rnd">
              <a:solidFill>
                <a:schemeClr val="accent2"/>
              </a:solidFill>
              <a:prstDash val="sysDot"/>
              <a:round/>
            </a:ln>
            <a:effectLst/>
          </c:spPr>
          <c:marker>
            <c:symbol val="circle"/>
            <c:size val="5"/>
            <c:spPr>
              <a:solidFill>
                <a:schemeClr val="accent2"/>
              </a:solidFill>
              <a:ln w="9525">
                <a:solidFill>
                  <a:schemeClr val="accent2"/>
                </a:solidFill>
                <a:prstDash val="sysDot"/>
              </a:ln>
              <a:effectLst/>
            </c:spPr>
          </c:marker>
          <c:dLbls>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54-43F9-BA5E-CA18CE35498F}"/>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54-43F9-BA5E-CA18CE35498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calculation'!$AA$14:$AA$33</c:f>
              <c:numCache>
                <c:formatCode>"£"#,##0.00</c:formatCode>
                <c:ptCount val="20"/>
                <c:pt idx="0">
                  <c:v>14.773089104936497</c:v>
                </c:pt>
                <c:pt idx="1">
                  <c:v>15.261767275058927</c:v>
                </c:pt>
                <c:pt idx="2">
                  <c:v>15.619256078463371</c:v>
                </c:pt>
                <c:pt idx="3">
                  <c:v>15.971431222108746</c:v>
                </c:pt>
                <c:pt idx="4">
                  <c:v>16.344824196480879</c:v>
                </c:pt>
                <c:pt idx="5">
                  <c:v>16.740787277993249</c:v>
                </c:pt>
                <c:pt idx="6">
                  <c:v>17.073534234650658</c:v>
                </c:pt>
                <c:pt idx="7">
                  <c:v>17.512271375342742</c:v>
                </c:pt>
                <c:pt idx="8">
                  <c:v>17.876915190467606</c:v>
                </c:pt>
                <c:pt idx="9">
                  <c:v>18.250932889406826</c:v>
                </c:pt>
                <c:pt idx="10">
                  <c:v>18.250932889406826</c:v>
                </c:pt>
                <c:pt idx="11">
                  <c:v>18.250932889406826</c:v>
                </c:pt>
                <c:pt idx="12">
                  <c:v>18.250932889406826</c:v>
                </c:pt>
                <c:pt idx="13">
                  <c:v>18.250932889406826</c:v>
                </c:pt>
                <c:pt idx="14">
                  <c:v>18.250932889406826</c:v>
                </c:pt>
                <c:pt idx="15">
                  <c:v>18.250932889406826</c:v>
                </c:pt>
                <c:pt idx="16">
                  <c:v>18.250932889406826</c:v>
                </c:pt>
                <c:pt idx="17">
                  <c:v>18.250932889406826</c:v>
                </c:pt>
                <c:pt idx="18">
                  <c:v>18.250932889406826</c:v>
                </c:pt>
                <c:pt idx="19">
                  <c:v>18.250932889406826</c:v>
                </c:pt>
              </c:numCache>
            </c:numRef>
          </c:val>
          <c:smooth val="0"/>
          <c:extLst>
            <c:ext xmlns:c16="http://schemas.microsoft.com/office/drawing/2014/chart" uri="{C3380CC4-5D6E-409C-BE32-E72D297353CC}">
              <c16:uniqueId val="{00000000-FF54-43F9-BA5E-CA18CE35498F}"/>
            </c:ext>
          </c:extLst>
        </c:ser>
        <c:ser>
          <c:idx val="5"/>
          <c:order val="5"/>
          <c:tx>
            <c:v>Copper price (indexed 10yrs)</c:v>
          </c:tx>
          <c:spPr>
            <a:ln w="28575" cap="rnd">
              <a:solidFill>
                <a:schemeClr val="accent2"/>
              </a:solidFill>
              <a:prstDash val="solid"/>
              <a:round/>
            </a:ln>
            <a:effectLst/>
          </c:spPr>
          <c:marker>
            <c:symbol val="circle"/>
            <c:size val="5"/>
            <c:spPr>
              <a:solidFill>
                <a:schemeClr val="accent2"/>
              </a:solidFill>
              <a:ln w="9525">
                <a:solidFill>
                  <a:schemeClr val="accent2"/>
                </a:solidFill>
                <a:prstDash val="solid"/>
              </a:ln>
              <a:effectLst/>
            </c:spPr>
          </c:marker>
          <c:dLbls>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54-43F9-BA5E-CA18CE35498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calculation'!$Y$14:$Y$23</c:f>
              <c:numCache>
                <c:formatCode>"£"#,##0.00</c:formatCode>
                <c:ptCount val="10"/>
                <c:pt idx="0">
                  <c:v>12.023089104936497</c:v>
                </c:pt>
                <c:pt idx="1">
                  <c:v>12.511767275058927</c:v>
                </c:pt>
                <c:pt idx="2">
                  <c:v>12.869256078463371</c:v>
                </c:pt>
                <c:pt idx="3">
                  <c:v>13.221431222108746</c:v>
                </c:pt>
                <c:pt idx="4">
                  <c:v>13.594824196480877</c:v>
                </c:pt>
                <c:pt idx="5">
                  <c:v>13.990787277993247</c:v>
                </c:pt>
                <c:pt idx="6">
                  <c:v>14.32353423465066</c:v>
                </c:pt>
                <c:pt idx="7">
                  <c:v>14.762271375342744</c:v>
                </c:pt>
                <c:pt idx="8">
                  <c:v>15.126915190467606</c:v>
                </c:pt>
                <c:pt idx="9">
                  <c:v>15.500932889406828</c:v>
                </c:pt>
              </c:numCache>
            </c:numRef>
          </c:val>
          <c:smooth val="0"/>
          <c:extLst>
            <c:ext xmlns:c16="http://schemas.microsoft.com/office/drawing/2014/chart" uri="{C3380CC4-5D6E-409C-BE32-E72D297353CC}">
              <c16:uniqueId val="{00000001-FF54-43F9-BA5E-CA18CE35498F}"/>
            </c:ext>
          </c:extLst>
        </c:ser>
        <c:dLbls>
          <c:showLegendKey val="0"/>
          <c:showVal val="0"/>
          <c:showCatName val="0"/>
          <c:showSerName val="0"/>
          <c:showPercent val="0"/>
          <c:showBubbleSize val="0"/>
        </c:dLbls>
        <c:marker val="1"/>
        <c:smooth val="0"/>
        <c:axId val="1216053360"/>
        <c:axId val="1216054672"/>
      </c:lineChart>
      <c:catAx>
        <c:axId val="1216053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6054672"/>
        <c:crosses val="autoZero"/>
        <c:auto val="1"/>
        <c:lblAlgn val="ctr"/>
        <c:lblOffset val="100"/>
        <c:noMultiLvlLbl val="0"/>
      </c:catAx>
      <c:valAx>
        <c:axId val="1216054672"/>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16053360"/>
        <c:crosses val="autoZero"/>
        <c:crossBetween val="between"/>
        <c:majorUnit val="1"/>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Commercial build</a:t>
            </a:r>
            <a:r>
              <a:rPr lang="en-GB" baseline="0"/>
              <a:t> (homes passed)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40000"/>
                <a:lumOff val="60000"/>
              </a:schemeClr>
            </a:solidFill>
            <a:ln>
              <a:noFill/>
            </a:ln>
            <a:effectLst/>
          </c:spPr>
          <c:invertIfNegative val="0"/>
          <c:dLbls>
            <c:dLbl>
              <c:idx val="0"/>
              <c:layout>
                <c:manualLayout>
                  <c:x val="-2.9641799014360985E-3"/>
                  <c:y val="3.1170691308234685E-2"/>
                </c:manualLayout>
              </c:layout>
              <c:spPr>
                <a:solidFill>
                  <a:schemeClr val="tx1">
                    <a:lumMod val="50000"/>
                    <a:lumOff val="50000"/>
                  </a:schemeClr>
                </a:solid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9124066681976823"/>
                      <c:h val="4.988352378011502E-2"/>
                    </c:manualLayout>
                  </c15:layout>
                </c:ext>
                <c:ext xmlns:c16="http://schemas.microsoft.com/office/drawing/2014/chart" uri="{C3380CC4-5D6E-409C-BE32-E72D297353CC}">
                  <c16:uniqueId val="{00000000-B47C-4855-99CF-5D87A1834A36}"/>
                </c:ext>
              </c:extLst>
            </c:dLbl>
            <c:spPr>
              <a:solidFill>
                <a:schemeClr val="tx1">
                  <a:lumMod val="50000"/>
                  <a:lumOff val="5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'Cost recovery calculation'!$B$14</c:f>
              <c:numCache>
                <c:formatCode>_-* #,##0_-;\-* #,##0_-;_-* "-"??_-;_-@_-</c:formatCode>
                <c:ptCount val="1"/>
                <c:pt idx="0">
                  <c:v>3200000</c:v>
                </c:pt>
              </c:numCache>
            </c:numRef>
          </c:val>
          <c:extLst>
            <c:ext xmlns:c16="http://schemas.microsoft.com/office/drawing/2014/chart" uri="{C3380CC4-5D6E-409C-BE32-E72D297353CC}">
              <c16:uniqueId val="{00000000-0C6C-45D0-BC96-9E5D11027704}"/>
            </c:ext>
          </c:extLst>
        </c:ser>
        <c:dLbls>
          <c:showLegendKey val="0"/>
          <c:showVal val="0"/>
          <c:showCatName val="0"/>
          <c:showSerName val="0"/>
          <c:showPercent val="0"/>
          <c:showBubbleSize val="0"/>
        </c:dLbls>
        <c:gapWidth val="130"/>
        <c:overlap val="-27"/>
        <c:axId val="461604008"/>
        <c:axId val="461605320"/>
      </c:barChart>
      <c:catAx>
        <c:axId val="461604008"/>
        <c:scaling>
          <c:orientation val="minMax"/>
        </c:scaling>
        <c:delete val="1"/>
        <c:axPos val="b"/>
        <c:numFmt formatCode="General" sourceLinked="1"/>
        <c:majorTickMark val="out"/>
        <c:minorTickMark val="none"/>
        <c:tickLblPos val="nextTo"/>
        <c:crossAx val="461605320"/>
        <c:crosses val="autoZero"/>
        <c:auto val="1"/>
        <c:lblAlgn val="ctr"/>
        <c:lblOffset val="100"/>
        <c:noMultiLvlLbl val="0"/>
      </c:catAx>
      <c:valAx>
        <c:axId val="461605320"/>
        <c:scaling>
          <c:orientation val="minMax"/>
          <c:max val="9000000"/>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61604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a:t>Forecast annual revenue (£m, cash nominal)</a:t>
            </a:r>
          </a:p>
        </c:rich>
      </c:tx>
      <c:layout>
        <c:manualLayout>
          <c:xMode val="edge"/>
          <c:yMode val="edge"/>
          <c:x val="0.25863645835970683"/>
          <c:y val="3.1085209489485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'Cost recovery calculation'!$Q$3</c:f>
              <c:strCache>
                <c:ptCount val="1"/>
                <c:pt idx="0">
                  <c:v>Total revenue - do nothing</c:v>
                </c:pt>
              </c:strCache>
            </c:strRef>
          </c:tx>
          <c:spPr>
            <a:ln w="28575" cap="rnd">
              <a:solidFill>
                <a:schemeClr val="accent1"/>
              </a:solidFill>
              <a:prstDash val="solid"/>
              <a:round/>
            </a:ln>
            <a:effectLst/>
          </c:spPr>
          <c:marker>
            <c:symbol val="none"/>
          </c:marker>
          <c:val>
            <c:numRef>
              <c:f>'Cost recovery calculation'!$Q$4:$Q$33</c:f>
              <c:numCache>
                <c:formatCode>_-* #,##0_-;\-* #,##0_-;_-* "-"??_-;_-@_-</c:formatCode>
                <c:ptCount val="20"/>
                <c:pt idx="0">
                  <c:v>1129328418.5398352</c:v>
                </c:pt>
                <c:pt idx="1">
                  <c:v>1156449829.5311136</c:v>
                </c:pt>
                <c:pt idx="2">
                  <c:v>1172679232.1367898</c:v>
                </c:pt>
                <c:pt idx="3">
                  <c:v>1192626053.0773938</c:v>
                </c:pt>
                <c:pt idx="4">
                  <c:v>1216679111.2414391</c:v>
                </c:pt>
                <c:pt idx="5">
                  <c:v>1261693983.1964653</c:v>
                </c:pt>
                <c:pt idx="6">
                  <c:v>1308676843.9119487</c:v>
                </c:pt>
                <c:pt idx="7">
                  <c:v>1361506125.8276138</c:v>
                </c:pt>
                <c:pt idx="8">
                  <c:v>1396961956.7224209</c:v>
                </c:pt>
                <c:pt idx="9">
                  <c:v>1430096919.9553633</c:v>
                </c:pt>
                <c:pt idx="10">
                  <c:v>1444717265.9745064</c:v>
                </c:pt>
                <c:pt idx="11">
                  <c:v>1444717265.9745064</c:v>
                </c:pt>
                <c:pt idx="12">
                  <c:v>1444717265.9745064</c:v>
                </c:pt>
                <c:pt idx="13">
                  <c:v>1444717265.9745064</c:v>
                </c:pt>
                <c:pt idx="14">
                  <c:v>1444717265.9745064</c:v>
                </c:pt>
                <c:pt idx="15">
                  <c:v>1444717265.9745064</c:v>
                </c:pt>
                <c:pt idx="16">
                  <c:v>1444717265.9745064</c:v>
                </c:pt>
                <c:pt idx="17">
                  <c:v>1444717265.9745064</c:v>
                </c:pt>
                <c:pt idx="18">
                  <c:v>1444717265.9745064</c:v>
                </c:pt>
                <c:pt idx="19">
                  <c:v>1444717265.9745064</c:v>
                </c:pt>
              </c:numCache>
            </c:numRef>
          </c:val>
          <c:smooth val="0"/>
          <c:extLst>
            <c:ext xmlns:c16="http://schemas.microsoft.com/office/drawing/2014/chart" uri="{C3380CC4-5D6E-409C-BE32-E72D297353CC}">
              <c16:uniqueId val="{00000000-659A-4740-A2C5-B7C83F498A21}"/>
            </c:ext>
          </c:extLst>
        </c:ser>
        <c:ser>
          <c:idx val="1"/>
          <c:order val="1"/>
          <c:tx>
            <c:strRef>
              <c:f>'Cost recovery calculation'!$X$3</c:f>
              <c:strCache>
                <c:ptCount val="1"/>
                <c:pt idx="0">
                  <c:v>Total revenue - 5yrs indexed</c:v>
                </c:pt>
              </c:strCache>
            </c:strRef>
          </c:tx>
          <c:spPr>
            <a:ln w="28575" cap="rnd">
              <a:solidFill>
                <a:schemeClr val="accent4"/>
              </a:solidFill>
              <a:round/>
            </a:ln>
            <a:effectLst/>
          </c:spPr>
          <c:marker>
            <c:symbol val="none"/>
          </c:marker>
          <c:val>
            <c:numRef>
              <c:f>'Cost recovery calculation'!$X$4:$X$33</c:f>
              <c:numCache>
                <c:formatCode>_-* #,##0_-;\-* #,##0_-;_-* "-"??_-;_-@_-</c:formatCode>
                <c:ptCount val="20"/>
                <c:pt idx="0">
                  <c:v>1150933976.9867704</c:v>
                </c:pt>
                <c:pt idx="1">
                  <c:v>1206960134.482058</c:v>
                </c:pt>
                <c:pt idx="2">
                  <c:v>1253665065.4202595</c:v>
                </c:pt>
                <c:pt idx="3">
                  <c:v>1303032135.9961581</c:v>
                </c:pt>
                <c:pt idx="4">
                  <c:v>1357587143.8705266</c:v>
                </c:pt>
                <c:pt idx="5">
                  <c:v>1389806382.5281405</c:v>
                </c:pt>
                <c:pt idx="6">
                  <c:v>1417935712.6936531</c:v>
                </c:pt>
                <c:pt idx="7">
                  <c:v>1457517490.3492332</c:v>
                </c:pt>
                <c:pt idx="8">
                  <c:v>1473217022.5573602</c:v>
                </c:pt>
                <c:pt idx="9">
                  <c:v>1478860082.2074192</c:v>
                </c:pt>
                <c:pt idx="10">
                  <c:v>1595820418.7665625</c:v>
                </c:pt>
                <c:pt idx="11">
                  <c:v>1595820418.7665625</c:v>
                </c:pt>
                <c:pt idx="12">
                  <c:v>1595820418.7665625</c:v>
                </c:pt>
                <c:pt idx="13">
                  <c:v>1595820418.7665625</c:v>
                </c:pt>
                <c:pt idx="14">
                  <c:v>1595820418.7665625</c:v>
                </c:pt>
                <c:pt idx="15">
                  <c:v>1595820418.7665625</c:v>
                </c:pt>
                <c:pt idx="16">
                  <c:v>1595820418.7665625</c:v>
                </c:pt>
                <c:pt idx="17">
                  <c:v>1595820418.7665625</c:v>
                </c:pt>
                <c:pt idx="18">
                  <c:v>1595820418.7665625</c:v>
                </c:pt>
                <c:pt idx="19">
                  <c:v>1595820418.7665625</c:v>
                </c:pt>
              </c:numCache>
            </c:numRef>
          </c:val>
          <c:smooth val="0"/>
          <c:extLst>
            <c:ext xmlns:c16="http://schemas.microsoft.com/office/drawing/2014/chart" uri="{C3380CC4-5D6E-409C-BE32-E72D297353CC}">
              <c16:uniqueId val="{00000001-659A-4740-A2C5-B7C83F498A21}"/>
            </c:ext>
          </c:extLst>
        </c:ser>
        <c:ser>
          <c:idx val="2"/>
          <c:order val="2"/>
          <c:tx>
            <c:v>Total revenue - 10yr indexed</c:v>
          </c:tx>
          <c:spPr>
            <a:ln w="28575" cap="rnd">
              <a:solidFill>
                <a:schemeClr val="accent2"/>
              </a:solidFill>
              <a:round/>
            </a:ln>
            <a:effectLst/>
          </c:spPr>
          <c:marker>
            <c:symbol val="none"/>
          </c:marker>
          <c:val>
            <c:numRef>
              <c:f>'Cost recovery calculation'!$AE$14:$AE$33</c:f>
              <c:numCache>
                <c:formatCode>_-* #,##0_-;\-* #,##0_-;_-* "-"??_-;_-@_-</c:formatCode>
                <c:ptCount val="20"/>
                <c:pt idx="0">
                  <c:v>1150933976.9867704</c:v>
                </c:pt>
                <c:pt idx="1">
                  <c:v>1206960134.482058</c:v>
                </c:pt>
                <c:pt idx="2">
                  <c:v>1253665065.4202595</c:v>
                </c:pt>
                <c:pt idx="3">
                  <c:v>1303032135.9961581</c:v>
                </c:pt>
                <c:pt idx="4">
                  <c:v>1357587143.8705266</c:v>
                </c:pt>
                <c:pt idx="5">
                  <c:v>1416422380.2260292</c:v>
                </c:pt>
                <c:pt idx="6">
                  <c:v>1471889219.2916417</c:v>
                </c:pt>
                <c:pt idx="7">
                  <c:v>1540096100.1846411</c:v>
                </c:pt>
                <c:pt idx="8">
                  <c:v>1584921832.2565193</c:v>
                </c:pt>
                <c:pt idx="9">
                  <c:v>1620528313.9041774</c:v>
                </c:pt>
                <c:pt idx="10">
                  <c:v>1737488650.4633207</c:v>
                </c:pt>
                <c:pt idx="11">
                  <c:v>1737488650.4633207</c:v>
                </c:pt>
                <c:pt idx="12">
                  <c:v>1737488650.4633207</c:v>
                </c:pt>
                <c:pt idx="13">
                  <c:v>1737488650.4633207</c:v>
                </c:pt>
                <c:pt idx="14">
                  <c:v>1737488650.4633207</c:v>
                </c:pt>
                <c:pt idx="15">
                  <c:v>1737488650.4633207</c:v>
                </c:pt>
                <c:pt idx="16">
                  <c:v>1737488650.4633207</c:v>
                </c:pt>
                <c:pt idx="17">
                  <c:v>1737488650.4633207</c:v>
                </c:pt>
                <c:pt idx="18">
                  <c:v>1737488650.4633207</c:v>
                </c:pt>
                <c:pt idx="19">
                  <c:v>1737488650.4633207</c:v>
                </c:pt>
              </c:numCache>
            </c:numRef>
          </c:val>
          <c:smooth val="0"/>
          <c:extLst>
            <c:ext xmlns:c16="http://schemas.microsoft.com/office/drawing/2014/chart" uri="{C3380CC4-5D6E-409C-BE32-E72D297353CC}">
              <c16:uniqueId val="{00000000-0969-44CD-A724-542F0CBE12CD}"/>
            </c:ext>
          </c:extLst>
        </c:ser>
        <c:dLbls>
          <c:showLegendKey val="0"/>
          <c:showVal val="0"/>
          <c:showCatName val="0"/>
          <c:showSerName val="0"/>
          <c:showPercent val="0"/>
          <c:showBubbleSize val="0"/>
        </c:dLbls>
        <c:smooth val="0"/>
        <c:axId val="1228998448"/>
        <c:axId val="1228999104"/>
      </c:lineChart>
      <c:catAx>
        <c:axId val="122899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28999104"/>
        <c:crosses val="autoZero"/>
        <c:auto val="1"/>
        <c:lblAlgn val="ctr"/>
        <c:lblOffset val="100"/>
        <c:noMultiLvlLbl val="0"/>
      </c:catAx>
      <c:valAx>
        <c:axId val="122899910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289984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a:t>Fibre</a:t>
            </a:r>
            <a:r>
              <a:rPr lang="en-GB" sz="1400" baseline="0"/>
              <a:t> shortfall vs additional revenue from indexed pricing (£m, present value)</a:t>
            </a:r>
            <a:endParaRPr lang="en-GB" sz="1400"/>
          </a:p>
        </c:rich>
      </c:tx>
      <c:layout>
        <c:manualLayout>
          <c:xMode val="edge"/>
          <c:yMode val="edge"/>
          <c:x val="0.12525751586906586"/>
          <c:y val="9.705794690599135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81914025452702"/>
          <c:y val="4.1578061545650302E-2"/>
          <c:w val="0.81102042975068711"/>
          <c:h val="0.71695033675189246"/>
        </c:manualLayout>
      </c:layout>
      <c:areaChart>
        <c:grouping val="standard"/>
        <c:varyColors val="0"/>
        <c:ser>
          <c:idx val="0"/>
          <c:order val="4"/>
          <c:tx>
            <c:v>CPI increases 2021-26</c:v>
          </c:tx>
          <c:spPr>
            <a:solidFill>
              <a:schemeClr val="accent5">
                <a:lumMod val="60000"/>
                <a:lumOff val="40000"/>
              </a:schemeClr>
            </a:solidFill>
            <a:ln>
              <a:noFill/>
            </a:ln>
            <a:effectLst/>
          </c:spPr>
          <c:val>
            <c:numRef>
              <c:f>'Cost recovery calculation'!$AQ$14:$AQ$33</c:f>
              <c:numCache>
                <c:formatCode>_-* #,##0_-;\-* #,##0_-;_-* "-"??_-;_-@_-</c:formatCode>
                <c:ptCount val="20"/>
                <c:pt idx="0">
                  <c:v>20169637.340351582</c:v>
                </c:pt>
                <c:pt idx="1">
                  <c:v>64165584.861277342</c:v>
                </c:pt>
                <c:pt idx="2">
                  <c:v>129930630.54479015</c:v>
                </c:pt>
                <c:pt idx="3">
                  <c:v>213427824.11134863</c:v>
                </c:pt>
                <c:pt idx="4">
                  <c:v>312541192.48449981</c:v>
                </c:pt>
              </c:numCache>
            </c:numRef>
          </c:val>
          <c:extLst>
            <c:ext xmlns:c16="http://schemas.microsoft.com/office/drawing/2014/chart" uri="{C3380CC4-5D6E-409C-BE32-E72D297353CC}">
              <c16:uniqueId val="{00000000-E2F8-4E52-BFC0-DAAA8C9B7CB9}"/>
            </c:ext>
          </c:extLst>
        </c:ser>
        <c:dLbls>
          <c:showLegendKey val="0"/>
          <c:showVal val="0"/>
          <c:showCatName val="0"/>
          <c:showSerName val="0"/>
          <c:showPercent val="0"/>
          <c:showBubbleSize val="0"/>
        </c:dLbls>
        <c:axId val="695196720"/>
        <c:axId val="695201312"/>
      </c:areaChart>
      <c:lineChart>
        <c:grouping val="standard"/>
        <c:varyColors val="0"/>
        <c:ser>
          <c:idx val="5"/>
          <c:order val="0"/>
          <c:tx>
            <c:v>Fibre shortfall (low)</c:v>
          </c:tx>
          <c:spPr>
            <a:ln w="28575" cap="rnd">
              <a:solidFill>
                <a:schemeClr val="bg2">
                  <a:lumMod val="50000"/>
                </a:schemeClr>
              </a:solidFill>
              <a:prstDash val="sysDash"/>
              <a:round/>
            </a:ln>
            <a:effectLst/>
          </c:spPr>
          <c:marker>
            <c:symbol val="none"/>
          </c:marker>
          <c:val>
            <c:numRef>
              <c:f>'Cost recovery calculation'!$AV$14:$AV$33</c:f>
              <c:numCache>
                <c:formatCode>_-* #,##0_-;\-* #,##0_-;_-* "-"??_-;_-@_-</c:formatCode>
                <c:ptCount val="20"/>
                <c:pt idx="0">
                  <c:v>885615069.59222806</c:v>
                </c:pt>
                <c:pt idx="1">
                  <c:v>885615069.59222806</c:v>
                </c:pt>
                <c:pt idx="2">
                  <c:v>885615069.59222806</c:v>
                </c:pt>
                <c:pt idx="3">
                  <c:v>885615069.59222806</c:v>
                </c:pt>
                <c:pt idx="4">
                  <c:v>885615069.59222806</c:v>
                </c:pt>
                <c:pt idx="5">
                  <c:v>885615069.59222806</c:v>
                </c:pt>
                <c:pt idx="6">
                  <c:v>885615069.59222806</c:v>
                </c:pt>
                <c:pt idx="7">
                  <c:v>885615069.59222806</c:v>
                </c:pt>
                <c:pt idx="8">
                  <c:v>885615069.59222806</c:v>
                </c:pt>
                <c:pt idx="9">
                  <c:v>885615069.59222806</c:v>
                </c:pt>
                <c:pt idx="10">
                  <c:v>885615069.59222806</c:v>
                </c:pt>
                <c:pt idx="11">
                  <c:v>885615069.59222806</c:v>
                </c:pt>
                <c:pt idx="12">
                  <c:v>885615069.59222806</c:v>
                </c:pt>
                <c:pt idx="13">
                  <c:v>885615069.59222806</c:v>
                </c:pt>
                <c:pt idx="14">
                  <c:v>885615069.59222806</c:v>
                </c:pt>
                <c:pt idx="15">
                  <c:v>885615069.59222806</c:v>
                </c:pt>
                <c:pt idx="16">
                  <c:v>885615069.59222806</c:v>
                </c:pt>
                <c:pt idx="17">
                  <c:v>885615069.59222806</c:v>
                </c:pt>
                <c:pt idx="18">
                  <c:v>885615069.59222806</c:v>
                </c:pt>
                <c:pt idx="19">
                  <c:v>885615069.59222806</c:v>
                </c:pt>
              </c:numCache>
            </c:numRef>
          </c:val>
          <c:smooth val="0"/>
          <c:extLst>
            <c:ext xmlns:c16="http://schemas.microsoft.com/office/drawing/2014/chart" uri="{C3380CC4-5D6E-409C-BE32-E72D297353CC}">
              <c16:uniqueId val="{00000005-E2F8-4E52-BFC0-DAAA8C9B7CB9}"/>
            </c:ext>
          </c:extLst>
        </c:ser>
        <c:ser>
          <c:idx val="4"/>
          <c:order val="1"/>
          <c:tx>
            <c:v>Fibre shortfall (high)</c:v>
          </c:tx>
          <c:spPr>
            <a:ln w="28575" cap="rnd">
              <a:solidFill>
                <a:schemeClr val="bg2">
                  <a:lumMod val="50000"/>
                </a:schemeClr>
              </a:solidFill>
              <a:prstDash val="sysDash"/>
              <a:round/>
            </a:ln>
            <a:effectLst/>
          </c:spPr>
          <c:marker>
            <c:symbol val="none"/>
          </c:marker>
          <c:val>
            <c:numRef>
              <c:f>'Cost recovery calculation'!$AU$14:$AU$33</c:f>
              <c:numCache>
                <c:formatCode>_-* #,##0_-;\-* #,##0_-;_-* "-"??_-;_-@_-</c:formatCode>
                <c:ptCount val="20"/>
                <c:pt idx="0">
                  <c:v>1501725812.272975</c:v>
                </c:pt>
                <c:pt idx="1">
                  <c:v>1501725812.272975</c:v>
                </c:pt>
                <c:pt idx="2">
                  <c:v>1501725812.272975</c:v>
                </c:pt>
                <c:pt idx="3">
                  <c:v>1501725812.272975</c:v>
                </c:pt>
                <c:pt idx="4">
                  <c:v>1501725812.272975</c:v>
                </c:pt>
                <c:pt idx="5">
                  <c:v>1501725812.272975</c:v>
                </c:pt>
                <c:pt idx="6">
                  <c:v>1501725812.272975</c:v>
                </c:pt>
                <c:pt idx="7">
                  <c:v>1501725812.272975</c:v>
                </c:pt>
                <c:pt idx="8">
                  <c:v>1501725812.272975</c:v>
                </c:pt>
                <c:pt idx="9">
                  <c:v>1501725812.272975</c:v>
                </c:pt>
                <c:pt idx="10">
                  <c:v>1501725812.272975</c:v>
                </c:pt>
                <c:pt idx="11">
                  <c:v>1501725812.272975</c:v>
                </c:pt>
                <c:pt idx="12">
                  <c:v>1501725812.272975</c:v>
                </c:pt>
                <c:pt idx="13">
                  <c:v>1501725812.272975</c:v>
                </c:pt>
                <c:pt idx="14">
                  <c:v>1501725812.272975</c:v>
                </c:pt>
                <c:pt idx="15">
                  <c:v>1501725812.272975</c:v>
                </c:pt>
                <c:pt idx="16">
                  <c:v>1501725812.272975</c:v>
                </c:pt>
                <c:pt idx="17">
                  <c:v>1501725812.272975</c:v>
                </c:pt>
                <c:pt idx="18">
                  <c:v>1501725812.272975</c:v>
                </c:pt>
                <c:pt idx="19">
                  <c:v>1501725812.272975</c:v>
                </c:pt>
              </c:numCache>
            </c:numRef>
          </c:val>
          <c:smooth val="0"/>
          <c:extLst>
            <c:ext xmlns:c16="http://schemas.microsoft.com/office/drawing/2014/chart" uri="{C3380CC4-5D6E-409C-BE32-E72D297353CC}">
              <c16:uniqueId val="{00000004-E2F8-4E52-BFC0-DAAA8C9B7CB9}"/>
            </c:ext>
          </c:extLst>
        </c:ser>
        <c:ser>
          <c:idx val="3"/>
          <c:order val="2"/>
          <c:tx>
            <c:v>Fibre shortfall (central)</c:v>
          </c:tx>
          <c:spPr>
            <a:ln w="28575" cap="rnd">
              <a:solidFill>
                <a:schemeClr val="bg2">
                  <a:lumMod val="50000"/>
                </a:schemeClr>
              </a:solidFill>
              <a:round/>
            </a:ln>
            <a:effectLst/>
          </c:spPr>
          <c:marker>
            <c:symbol val="none"/>
          </c:marker>
          <c:val>
            <c:numRef>
              <c:f>'Cost recovery calculation'!$AT$14:$AT$33</c:f>
              <c:numCache>
                <c:formatCode>_-* #,##0_-;\-* #,##0_-;_-* "-"??_-;_-@_-</c:formatCode>
                <c:ptCount val="20"/>
                <c:pt idx="0">
                  <c:v>1193670440.9326017</c:v>
                </c:pt>
                <c:pt idx="1">
                  <c:v>1193670440.9326017</c:v>
                </c:pt>
                <c:pt idx="2">
                  <c:v>1193670440.9326017</c:v>
                </c:pt>
                <c:pt idx="3">
                  <c:v>1193670440.9326017</c:v>
                </c:pt>
                <c:pt idx="4">
                  <c:v>1193670440.9326017</c:v>
                </c:pt>
                <c:pt idx="5">
                  <c:v>1193670440.9326017</c:v>
                </c:pt>
                <c:pt idx="6">
                  <c:v>1193670440.9326017</c:v>
                </c:pt>
                <c:pt idx="7">
                  <c:v>1193670440.9326017</c:v>
                </c:pt>
                <c:pt idx="8">
                  <c:v>1193670440.9326017</c:v>
                </c:pt>
                <c:pt idx="9">
                  <c:v>1193670440.9326017</c:v>
                </c:pt>
                <c:pt idx="10">
                  <c:v>1193670440.9326017</c:v>
                </c:pt>
                <c:pt idx="11">
                  <c:v>1193670440.9326017</c:v>
                </c:pt>
                <c:pt idx="12">
                  <c:v>1193670440.9326017</c:v>
                </c:pt>
                <c:pt idx="13">
                  <c:v>1193670440.9326017</c:v>
                </c:pt>
                <c:pt idx="14">
                  <c:v>1193670440.9326017</c:v>
                </c:pt>
                <c:pt idx="15">
                  <c:v>1193670440.9326017</c:v>
                </c:pt>
                <c:pt idx="16">
                  <c:v>1193670440.9326017</c:v>
                </c:pt>
                <c:pt idx="17">
                  <c:v>1193670440.9326017</c:v>
                </c:pt>
                <c:pt idx="18">
                  <c:v>1193670440.9326017</c:v>
                </c:pt>
                <c:pt idx="19">
                  <c:v>1193670440.9326017</c:v>
                </c:pt>
              </c:numCache>
            </c:numRef>
          </c:val>
          <c:smooth val="0"/>
          <c:extLst>
            <c:ext xmlns:c16="http://schemas.microsoft.com/office/drawing/2014/chart" uri="{C3380CC4-5D6E-409C-BE32-E72D297353CC}">
              <c16:uniqueId val="{00000003-E2F8-4E52-BFC0-DAAA8C9B7CB9}"/>
            </c:ext>
          </c:extLst>
        </c:ser>
        <c:ser>
          <c:idx val="2"/>
          <c:order val="3"/>
          <c:tx>
            <c:v>CPI increases 2026-31 then flat</c:v>
          </c:tx>
          <c:spPr>
            <a:ln w="28575" cap="rnd">
              <a:solidFill>
                <a:schemeClr val="accent2"/>
              </a:solidFill>
              <a:round/>
            </a:ln>
            <a:effectLst/>
          </c:spPr>
          <c:marker>
            <c:symbol val="none"/>
          </c:marker>
          <c:val>
            <c:numRef>
              <c:f>'Cost recovery calculation'!$AS$14:$AS$33</c:f>
              <c:numCache>
                <c:formatCode>General</c:formatCode>
                <c:ptCount val="20"/>
                <c:pt idx="4" formatCode="_-* #,##0_-;\-* #,##0_-;_-* &quot;-&quot;??_-;_-@_-">
                  <c:v>312541192.48449981</c:v>
                </c:pt>
                <c:pt idx="5" formatCode="_-* #,##0_-;\-* #,##0_-;_-* &quot;-&quot;??_-;_-@_-">
                  <c:v>413621917.11830688</c:v>
                </c:pt>
                <c:pt idx="6" formatCode="_-* #,##0_-;\-* #,##0_-;_-* &quot;-&quot;??_-;_-@_-">
                  <c:v>512479805.88676822</c:v>
                </c:pt>
                <c:pt idx="7" formatCode="_-* #,##0_-;\-* #,##0_-;_-* &quot;-&quot;??_-;_-@_-">
                  <c:v>612578333.05166948</c:v>
                </c:pt>
                <c:pt idx="8" formatCode="_-* #,##0_-;\-* #,##0_-;_-* &quot;-&quot;??_-;_-@_-">
                  <c:v>710326479.79767263</c:v>
                </c:pt>
                <c:pt idx="9" formatCode="_-* #,##0_-;\-* #,##0_-;_-* &quot;-&quot;??_-;_-@_-">
                  <c:v>802426780.85150206</c:v>
                </c:pt>
                <c:pt idx="10" formatCode="_-* #,##0_-;\-* #,##0_-;_-* &quot;-&quot;??_-;_-@_-">
                  <c:v>929277441.95216393</c:v>
                </c:pt>
                <c:pt idx="11" formatCode="_-* #,##0_-;\-* #,##0_-;_-* &quot;-&quot;??_-;_-@_-">
                  <c:v>1046840612.5737226</c:v>
                </c:pt>
                <c:pt idx="12" formatCode="_-* #,##0_-;\-* #,##0_-;_-* &quot;-&quot;??_-;_-@_-">
                  <c:v>1155796285.0682163</c:v>
                </c:pt>
                <c:pt idx="13" formatCode="_-* #,##0_-;\-* #,##0_-;_-* &quot;-&quot;??_-;_-@_-">
                  <c:v>1256774665.5079694</c:v>
                </c:pt>
                <c:pt idx="14" formatCode="_-* #,##0_-;\-* #,##0_-;_-* &quot;-&quot;??_-;_-@_-">
                  <c:v>1350359818.8348954</c:v>
                </c:pt>
                <c:pt idx="15" formatCode="_-* #,##0_-;\-* #,##0_-;_-* &quot;-&quot;??_-;_-@_-">
                  <c:v>1437093047.1267638</c:v>
                </c:pt>
                <c:pt idx="16" formatCode="_-* #,##0_-;\-* #,##0_-;_-* &quot;-&quot;??_-;_-@_-">
                  <c:v>1517476020.520525</c:v>
                </c:pt>
                <c:pt idx="17" formatCode="_-* #,##0_-;\-* #,##0_-;_-* &quot;-&quot;??_-;_-@_-">
                  <c:v>1591973678.9021387</c:v>
                </c:pt>
                <c:pt idx="18" formatCode="_-* #,##0_-;\-* #,##0_-;_-* &quot;-&quot;??_-;_-@_-">
                  <c:v>1661016921.1464517</c:v>
                </c:pt>
                <c:pt idx="19" formatCode="_-* #,##0_-;\-* #,##0_-;_-* &quot;-&quot;??_-;_-@_-">
                  <c:v>1725005097.4618485</c:v>
                </c:pt>
              </c:numCache>
            </c:numRef>
          </c:val>
          <c:smooth val="0"/>
          <c:extLst>
            <c:ext xmlns:c16="http://schemas.microsoft.com/office/drawing/2014/chart" uri="{C3380CC4-5D6E-409C-BE32-E72D297353CC}">
              <c16:uniqueId val="{00000002-E2F8-4E52-BFC0-DAAA8C9B7CB9}"/>
            </c:ext>
          </c:extLst>
        </c:ser>
        <c:ser>
          <c:idx val="1"/>
          <c:order val="5"/>
          <c:tx>
            <c:v>Flat from 2026 onwards</c:v>
          </c:tx>
          <c:spPr>
            <a:ln w="28575" cap="rnd">
              <a:solidFill>
                <a:schemeClr val="accent4"/>
              </a:solidFill>
              <a:round/>
            </a:ln>
            <a:effectLst/>
          </c:spPr>
          <c:marker>
            <c:symbol val="none"/>
          </c:marker>
          <c:val>
            <c:numRef>
              <c:f>'Cost recovery calculation'!$AR$14:$AR$33</c:f>
              <c:numCache>
                <c:formatCode>_-* #,##0_-;\-* #,##0_-;_-* "-"??_-;_-@_-</c:formatCode>
                <c:ptCount val="20"/>
                <c:pt idx="4">
                  <c:v>312541192.48449981</c:v>
                </c:pt>
                <c:pt idx="5">
                  <c:v>396234259.86984265</c:v>
                </c:pt>
                <c:pt idx="6">
                  <c:v>462412459.11400068</c:v>
                </c:pt>
                <c:pt idx="7">
                  <c:v>516226208.81807756</c:v>
                </c:pt>
                <c:pt idx="8">
                  <c:v>555882498.99266613</c:v>
                </c:pt>
                <c:pt idx="9">
                  <c:v>579466330.57958519</c:v>
                </c:pt>
                <c:pt idx="10">
                  <c:v>644935621.09625781</c:v>
                </c:pt>
                <c:pt idx="11">
                  <c:v>705611515.92171896</c:v>
                </c:pt>
                <c:pt idx="12">
                  <c:v>761844968.03058004</c:v>
                </c:pt>
                <c:pt idx="13">
                  <c:v>813961235.04527974</c:v>
                </c:pt>
                <c:pt idx="14">
                  <c:v>862261760.54546487</c:v>
                </c:pt>
                <c:pt idx="15">
                  <c:v>907025917.63553452</c:v>
                </c:pt>
                <c:pt idx="16">
                  <c:v>948512624.85524702</c:v>
                </c:pt>
                <c:pt idx="17">
                  <c:v>986961843.77991104</c:v>
                </c:pt>
                <c:pt idx="18">
                  <c:v>1022595966.9723706</c:v>
                </c:pt>
                <c:pt idx="19">
                  <c:v>1055621104.31478</c:v>
                </c:pt>
              </c:numCache>
            </c:numRef>
          </c:val>
          <c:smooth val="0"/>
          <c:extLst>
            <c:ext xmlns:c16="http://schemas.microsoft.com/office/drawing/2014/chart" uri="{C3380CC4-5D6E-409C-BE32-E72D297353CC}">
              <c16:uniqueId val="{00000001-E2F8-4E52-BFC0-DAAA8C9B7CB9}"/>
            </c:ext>
          </c:extLst>
        </c:ser>
        <c:dLbls>
          <c:showLegendKey val="0"/>
          <c:showVal val="0"/>
          <c:showCatName val="0"/>
          <c:showSerName val="0"/>
          <c:showPercent val="0"/>
          <c:showBubbleSize val="0"/>
        </c:dLbls>
        <c:marker val="1"/>
        <c:smooth val="0"/>
        <c:axId val="695196720"/>
        <c:axId val="695201312"/>
      </c:lineChart>
      <c:catAx>
        <c:axId val="695196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95201312"/>
        <c:crosses val="autoZero"/>
        <c:auto val="1"/>
        <c:lblAlgn val="ctr"/>
        <c:lblOffset val="100"/>
        <c:noMultiLvlLbl val="0"/>
      </c:catAx>
      <c:valAx>
        <c:axId val="6952013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9519672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2383375250858335"/>
          <c:y val="0.843353124264687"/>
          <c:w val="0.78991317607367839"/>
          <c:h val="0.1566469084384194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578642</xdr:colOff>
      <xdr:row>36</xdr:row>
      <xdr:rowOff>0</xdr:rowOff>
    </xdr:from>
    <xdr:to>
      <xdr:col>13</xdr:col>
      <xdr:colOff>1</xdr:colOff>
      <xdr:row>59</xdr:row>
      <xdr:rowOff>102048</xdr:rowOff>
    </xdr:to>
    <xdr:graphicFrame macro="">
      <xdr:nvGraphicFramePr>
        <xdr:cNvPr id="5" name="Chart 4">
          <a:extLst>
            <a:ext uri="{FF2B5EF4-FFF2-40B4-BE49-F238E27FC236}">
              <a16:creationId xmlns:a16="http://schemas.microsoft.com/office/drawing/2014/main" id="{5298F9E8-80AB-46F6-93D6-B23BE093AA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11907</xdr:rowOff>
    </xdr:from>
    <xdr:to>
      <xdr:col>1</xdr:col>
      <xdr:colOff>71438</xdr:colOff>
      <xdr:row>59</xdr:row>
      <xdr:rowOff>59532</xdr:rowOff>
    </xdr:to>
    <xdr:graphicFrame macro="">
      <xdr:nvGraphicFramePr>
        <xdr:cNvPr id="3" name="Chart 2">
          <a:extLst>
            <a:ext uri="{FF2B5EF4-FFF2-40B4-BE49-F238E27FC236}">
              <a16:creationId xmlns:a16="http://schemas.microsoft.com/office/drawing/2014/main" id="{DDCC5D53-F78D-41DA-AD43-474527DAF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369092</xdr:colOff>
      <xdr:row>35</xdr:row>
      <xdr:rowOff>154781</xdr:rowOff>
    </xdr:from>
    <xdr:to>
      <xdr:col>17</xdr:col>
      <xdr:colOff>690562</xdr:colOff>
      <xdr:row>59</xdr:row>
      <xdr:rowOff>107156</xdr:rowOff>
    </xdr:to>
    <xdr:graphicFrame macro="">
      <xdr:nvGraphicFramePr>
        <xdr:cNvPr id="4" name="Chart 3">
          <a:extLst>
            <a:ext uri="{FF2B5EF4-FFF2-40B4-BE49-F238E27FC236}">
              <a16:creationId xmlns:a16="http://schemas.microsoft.com/office/drawing/2014/main" id="{495965AD-59AC-4EFC-B857-B6B7923975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482204</xdr:colOff>
      <xdr:row>36</xdr:row>
      <xdr:rowOff>9524</xdr:rowOff>
    </xdr:from>
    <xdr:to>
      <xdr:col>8</xdr:col>
      <xdr:colOff>160734</xdr:colOff>
      <xdr:row>59</xdr:row>
      <xdr:rowOff>101202</xdr:rowOff>
    </xdr:to>
    <xdr:graphicFrame macro="">
      <xdr:nvGraphicFramePr>
        <xdr:cNvPr id="8" name="Chart 7">
          <a:extLst>
            <a:ext uri="{FF2B5EF4-FFF2-40B4-BE49-F238E27FC236}">
              <a16:creationId xmlns:a16="http://schemas.microsoft.com/office/drawing/2014/main" id="{088DA36F-4570-4285-9BE9-16A1D9834D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com.org.uk/__data/assets/excel_doc/0020/102188/Supporting-calculations-Gross-costs-to-indust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erry.yao\OneDrive%20-%20Ofcom\RAB%20model\Copy%20of%20RAB%20model%20-%20time%20tweek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comuk-my.sharepoint.com/sites/tac/work/Bottom-up%20fibre%20modelling/BU%20full%20fibre%20model/Control%20Module/RAB%20model%20NON%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Industry cost summary"/>
      <sheetName val="MP cost summary"/>
      <sheetName val="Inputs -----&gt;"/>
      <sheetName val="Salary . staff rates"/>
      <sheetName val="Training assumptions"/>
      <sheetName val="Development days"/>
      <sheetName val="Outputs for MPs ----&gt;&gt;&gt;&gt;"/>
      <sheetName val="Notice period reform"/>
      <sheetName val="Auto-Switch CPS variant"/>
      <sheetName val="Auto-Switch LP variant"/>
      <sheetName val="GPL"/>
      <sheetName val="End-to-end management"/>
      <sheetName val="Outputs for CPS ----&gt;"/>
      <sheetName val="Auto-Switch CPS costs"/>
      <sheetName val="E-2-E Mgmt with Auto-Switch"/>
      <sheetName val="GPL CPS costs"/>
      <sheetName val="Other"/>
    </sheetNames>
    <sheetDataSet>
      <sheetData sheetId="0" refreshError="1"/>
      <sheetData sheetId="1">
        <row r="7">
          <cell r="B7" t="str">
            <v>Base case</v>
          </cell>
        </row>
      </sheetData>
      <sheetData sheetId="2">
        <row r="8">
          <cell r="M8">
            <v>7004515.8499999996</v>
          </cell>
        </row>
      </sheetData>
      <sheetData sheetId="3">
        <row r="15">
          <cell r="E15">
            <v>1</v>
          </cell>
        </row>
        <row r="16">
          <cell r="Q16">
            <v>3</v>
          </cell>
        </row>
      </sheetData>
      <sheetData sheetId="4" refreshError="1"/>
      <sheetData sheetId="5">
        <row r="31">
          <cell r="B31">
            <v>228</v>
          </cell>
        </row>
        <row r="33">
          <cell r="B33">
            <v>0.6</v>
          </cell>
        </row>
      </sheetData>
      <sheetData sheetId="6" refreshError="1"/>
      <sheetData sheetId="7" refreshError="1"/>
      <sheetData sheetId="8" refreshError="1"/>
      <sheetData sheetId="9" refreshError="1"/>
      <sheetData sheetId="10">
        <row r="9">
          <cell r="A9" t="str">
            <v>1. Set up SMSC connections</v>
          </cell>
        </row>
        <row r="14">
          <cell r="A14" t="str">
            <v>2. Functionality to develop real-time ETC / credit balance</v>
          </cell>
        </row>
        <row r="23">
          <cell r="A23" t="str">
            <v>3. Functionality to deliver ETC / credit balance to CPS</v>
          </cell>
        </row>
        <row r="28">
          <cell r="A28" t="str">
            <v>4. MNP OSG engagement</v>
          </cell>
        </row>
        <row r="31">
          <cell r="A31" t="str">
            <v>5. Inter-operator testing</v>
          </cell>
        </row>
        <row r="34">
          <cell r="A34" t="str">
            <v>6. Training</v>
          </cell>
        </row>
        <row r="42">
          <cell r="A42" t="str">
            <v>7. Establish Small MVNO Account Management Portal</v>
          </cell>
        </row>
        <row r="50">
          <cell r="A50" t="str">
            <v xml:space="preserve">8. Input customer data into MNO / MVNE CRM portal </v>
          </cell>
        </row>
        <row r="58">
          <cell r="A58" t="str">
            <v>9. Central ported number database</v>
          </cell>
        </row>
        <row r="63">
          <cell r="A63" t="str">
            <v>10. Notify CPS once routing of porting numbers is updated to GP</v>
          </cell>
        </row>
        <row r="70">
          <cell r="A70" t="str">
            <v>11. Repatriations: Inactive ported in number identification</v>
          </cell>
        </row>
        <row r="75">
          <cell r="A75" t="str">
            <v>12. Repatriations: Re-activation of repatriated numbers onto the original customer SIM</v>
          </cell>
        </row>
        <row r="80">
          <cell r="A80" t="str">
            <v xml:space="preserve">13. Repatriations: Initiation and management of CPS processed repatriation transactions </v>
          </cell>
        </row>
        <row r="85">
          <cell r="A85" t="str">
            <v xml:space="preserve">14. Repatriations: Additional training </v>
          </cell>
        </row>
      </sheetData>
      <sheetData sheetId="11" refreshError="1"/>
      <sheetData sheetId="12">
        <row r="9">
          <cell r="A9" t="str">
            <v>1. Confirm contract and initiate port request</v>
          </cell>
        </row>
        <row r="20">
          <cell r="A20" t="str">
            <v>2. Set up SMSC connections</v>
          </cell>
        </row>
        <row r="24">
          <cell r="A24" t="str">
            <v>3. Functionality to develop real-time ETC / credit balance</v>
          </cell>
        </row>
        <row r="33">
          <cell r="A33" t="str">
            <v>4. Functionality to deliver ETC / credit balance to CPS</v>
          </cell>
        </row>
        <row r="39">
          <cell r="A39" t="str">
            <v>5. MNP OSG engagement</v>
          </cell>
        </row>
        <row r="42">
          <cell r="A42" t="str">
            <v>6. Inter-operator testing</v>
          </cell>
        </row>
        <row r="45">
          <cell r="A45" t="str">
            <v>7. Training</v>
          </cell>
        </row>
        <row r="53">
          <cell r="A53" t="str">
            <v>8. Establish Small MVNO Account Management Portal</v>
          </cell>
        </row>
        <row r="61">
          <cell r="A61" t="str">
            <v xml:space="preserve">9. Input customer data into MNO / MVNE CRM portal </v>
          </cell>
        </row>
        <row r="69">
          <cell r="A69" t="str">
            <v>10. Central ported number database</v>
          </cell>
        </row>
        <row r="74">
          <cell r="A74" t="str">
            <v>11. Notify CPS once routing of porting numbers is updated to GP</v>
          </cell>
        </row>
        <row r="81">
          <cell r="A81" t="str">
            <v>12. Repatriations: Inactive ported in number identification</v>
          </cell>
        </row>
        <row r="86">
          <cell r="A86" t="str">
            <v>13. Repatriations: Re-activation of repatriated numbers onto the original customer SIM</v>
          </cell>
        </row>
        <row r="91">
          <cell r="A91" t="str">
            <v xml:space="preserve">14. Repatriations: Initiation and management of CPS processed repatriation transactions </v>
          </cell>
        </row>
        <row r="96">
          <cell r="A96" t="str">
            <v xml:space="preserve">15. Repatriations: Additional training </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RAB calc - 200k tranches"/>
      <sheetName val="RAB calc - cumulative"/>
      <sheetName val="Sheet2"/>
      <sheetName val="With time and test constant k"/>
    </sheetNames>
    <sheetDataSet>
      <sheetData sheetId="0"/>
      <sheetData sheetId="1"/>
      <sheetData sheetId="2">
        <row r="5">
          <cell r="C5">
            <v>3.5</v>
          </cell>
        </row>
        <row r="7">
          <cell r="C7">
            <v>10</v>
          </cell>
        </row>
        <row r="11">
          <cell r="C11">
            <v>0.40500000000000003</v>
          </cell>
        </row>
        <row r="18">
          <cell r="C18">
            <v>200000</v>
          </cell>
        </row>
        <row r="36">
          <cell r="C36">
            <v>1.2144064984103949E-2</v>
          </cell>
          <cell r="D36">
            <v>2.4771517272241052E-2</v>
          </cell>
          <cell r="E36">
            <v>3.7906029774060164E-2</v>
          </cell>
          <cell r="F36">
            <v>5.1572855181190584E-2</v>
          </cell>
          <cell r="G36">
            <v>6.5798968616461631E-2</v>
          </cell>
          <cell r="H36">
            <v>8.4634813306760107E-2</v>
          </cell>
          <cell r="I36">
            <v>0.10427181811377877</v>
          </cell>
          <cell r="J36">
            <v>0.12475397146737961</v>
          </cell>
          <cell r="K36">
            <v>0.1461286888283507</v>
          </cell>
          <cell r="L36">
            <v>0.16844719218180509</v>
          </cell>
          <cell r="M36">
            <v>0.19578630307058587</v>
          </cell>
          <cell r="N36">
            <v>0.22439905305683674</v>
          </cell>
          <cell r="O36">
            <v>0.2543670854866692</v>
          </cell>
          <cell r="P36">
            <v>0.28577996440227849</v>
          </cell>
          <cell r="Q36">
            <v>0.31873634474577389</v>
          </cell>
          <cell r="R36">
            <v>0.36494331575437228</v>
          </cell>
          <cell r="S36">
            <v>0.41368875733833238</v>
          </cell>
          <cell r="T36">
            <v>0.46518583627265514</v>
          </cell>
          <cell r="U36">
            <v>0.51967767543809096</v>
          </cell>
          <cell r="V36">
            <v>0.57744416383160391</v>
          </cell>
          <cell r="W36">
            <v>0.65464944350905874</v>
          </cell>
          <cell r="X36">
            <v>0.73724764433372525</v>
          </cell>
          <cell r="Y36">
            <v>0.82591224051541579</v>
          </cell>
          <cell r="Z36">
            <v>0.92147357904009963</v>
          </cell>
          <cell r="AA36">
            <v>1.0249797616252554</v>
          </cell>
          <cell r="AB36">
            <v>1.1737826345948361</v>
          </cell>
          <cell r="AC36">
            <v>1.338897377590017</v>
          </cell>
          <cell r="AD36">
            <v>1.5243914665368099</v>
          </cell>
          <cell r="AE36">
            <v>1.7364204882420784</v>
          </cell>
          <cell r="AF36">
            <v>1.9851090077374298</v>
          </cell>
          <cell r="AG36">
            <v>2.7094120971509645</v>
          </cell>
          <cell r="AH36">
            <v>3.7155670005588668</v>
          </cell>
          <cell r="AI36">
            <v>5.4146114921984845</v>
          </cell>
          <cell r="AJ36">
            <v>12.454727548032469</v>
          </cell>
          <cell r="AK36">
            <v>10.177890717065184</v>
          </cell>
          <cell r="AL36">
            <v>8.3333422767590388</v>
          </cell>
          <cell r="AM36">
            <v>7.2865676596909177</v>
          </cell>
          <cell r="AN36">
            <v>6.6086125519387551</v>
          </cell>
          <cell r="AO36">
            <v>6.1460007423447092</v>
          </cell>
          <cell r="AP36">
            <v>5.8273682745614561</v>
          </cell>
          <cell r="AQ36">
            <v>4.6916502651335428</v>
          </cell>
          <cell r="AR36">
            <v>3.748367011113412</v>
          </cell>
          <cell r="AS36">
            <v>2.9552568059063864</v>
          </cell>
          <cell r="AT36">
            <v>2.2839433880690665</v>
          </cell>
          <cell r="AU36">
            <v>1.7147954384533743</v>
          </cell>
        </row>
        <row r="37">
          <cell r="C37">
            <v>1.2144064984103949E-2</v>
          </cell>
          <cell r="D37">
            <v>2.4771517272241052E-2</v>
          </cell>
          <cell r="E37">
            <v>3.7906029774060164E-2</v>
          </cell>
          <cell r="F37">
            <v>5.1572855181190584E-2</v>
          </cell>
          <cell r="G37">
            <v>6.5798968616461631E-2</v>
          </cell>
          <cell r="H37">
            <v>8.4634813306760107E-2</v>
          </cell>
          <cell r="I37">
            <v>0.10427181811377877</v>
          </cell>
          <cell r="J37">
            <v>0.12475397146737961</v>
          </cell>
          <cell r="K37">
            <v>0.1461286888283507</v>
          </cell>
          <cell r="L37">
            <v>0.16844719218180509</v>
          </cell>
          <cell r="M37">
            <v>0.19578630307058587</v>
          </cell>
          <cell r="N37">
            <v>0.22439905305683674</v>
          </cell>
          <cell r="O37">
            <v>0.2543670854866692</v>
          </cell>
          <cell r="P37">
            <v>0.28577996440227849</v>
          </cell>
          <cell r="Q37">
            <v>0.31873634474577389</v>
          </cell>
          <cell r="R37">
            <v>0.36494331575437228</v>
          </cell>
          <cell r="S37">
            <v>0.41368875733833238</v>
          </cell>
          <cell r="T37">
            <v>0.46518583627265514</v>
          </cell>
          <cell r="U37">
            <v>0.51967767543809096</v>
          </cell>
          <cell r="V37">
            <v>0.57744416383160391</v>
          </cell>
          <cell r="W37">
            <v>0.65464944350905874</v>
          </cell>
          <cell r="X37">
            <v>0.73724764433372525</v>
          </cell>
          <cell r="Y37">
            <v>0.82591224051541579</v>
          </cell>
          <cell r="Z37">
            <v>0.92147357904009963</v>
          </cell>
          <cell r="AA37">
            <v>1.0249797616252554</v>
          </cell>
          <cell r="AB37">
            <v>1.1737826345948361</v>
          </cell>
          <cell r="AC37">
            <v>1.338897377590017</v>
          </cell>
          <cell r="AD37">
            <v>1.5243914665368099</v>
          </cell>
          <cell r="AE37">
            <v>1.7364204882420784</v>
          </cell>
          <cell r="AF37">
            <v>1.9851090077374298</v>
          </cell>
          <cell r="AG37">
            <v>2.7094120971509645</v>
          </cell>
          <cell r="AH37">
            <v>3.7155670005588668</v>
          </cell>
          <cell r="AI37">
            <v>5.4146114921984845</v>
          </cell>
          <cell r="AJ37">
            <v>12.454727548032469</v>
          </cell>
          <cell r="AK37">
            <v>10.177890717065184</v>
          </cell>
          <cell r="AL37">
            <v>8.3333422767590388</v>
          </cell>
          <cell r="AM37">
            <v>7.2865676596909177</v>
          </cell>
          <cell r="AN37">
            <v>6.6086125519387551</v>
          </cell>
          <cell r="AO37">
            <v>6.1460007423447092</v>
          </cell>
          <cell r="AP37">
            <v>5.8273682745614561</v>
          </cell>
          <cell r="AQ37">
            <v>4.6916502651335428</v>
          </cell>
          <cell r="AR37">
            <v>3.748367011113412</v>
          </cell>
          <cell r="AS37">
            <v>2.9552568059063864</v>
          </cell>
          <cell r="AT37">
            <v>2.2839433880690665</v>
          </cell>
          <cell r="AU37">
            <v>1.7147954384533743</v>
          </cell>
        </row>
        <row r="38">
          <cell r="C38">
            <v>3.038674756539585E-2</v>
          </cell>
          <cell r="D38">
            <v>6.0726434135208465E-2</v>
          </cell>
          <cell r="E38">
            <v>9.0981164422101107E-2</v>
          </cell>
          <cell r="F38">
            <v>0.12111052678274477</v>
          </cell>
          <cell r="G38">
            <v>0.15107137867385345</v>
          </cell>
          <cell r="H38">
            <v>0.1888623348493699</v>
          </cell>
          <cell r="I38">
            <v>0.22631375959086861</v>
          </cell>
          <cell r="J38">
            <v>0.26335701133851552</v>
          </cell>
          <cell r="K38">
            <v>0.25596676413974606</v>
          </cell>
          <cell r="L38">
            <v>0.28127002367385379</v>
          </cell>
          <cell r="M38">
            <v>0.30849915852752052</v>
          </cell>
          <cell r="N38">
            <v>0.33347258881032976</v>
          </cell>
          <cell r="O38">
            <v>0.35604571840445642</v>
          </cell>
          <cell r="P38">
            <v>0.37605992308129071</v>
          </cell>
          <cell r="Q38">
            <v>0.39334047798801042</v>
          </cell>
          <cell r="R38">
            <v>0.41059678884779938</v>
          </cell>
          <cell r="S38">
            <v>0.42335728948065243</v>
          </cell>
          <cell r="T38">
            <v>0.43124444651021604</v>
          </cell>
          <cell r="U38">
            <v>0.43382767218641349</v>
          </cell>
          <cell r="V38">
            <v>0.43061126337714217</v>
          </cell>
          <cell r="W38">
            <v>0.41523800184849824</v>
          </cell>
          <cell r="X38">
            <v>0.3903134970310726</v>
          </cell>
          <cell r="Y38">
            <v>0.35464497865231026</v>
          </cell>
          <cell r="Z38">
            <v>0.30676184370122384</v>
          </cell>
          <cell r="AA38">
            <v>0.24480783019627114</v>
          </cell>
          <cell r="AB38">
            <v>0.13286486141626708</v>
          </cell>
          <cell r="AC38">
            <v>-7.9675783677828349E-3</v>
          </cell>
          <cell r="AD38">
            <v>-0.18489327557888083</v>
          </cell>
          <cell r="AE38">
            <v>-0.40881420811966207</v>
          </cell>
          <cell r="AF38">
            <v>-0.69766169394755206</v>
          </cell>
          <cell r="AG38">
            <v>-1.6946880453332489</v>
          </cell>
          <cell r="AH38">
            <v>-3.1908938160650488</v>
          </cell>
          <cell r="AI38">
            <v>-5.9142558623685888</v>
          </cell>
          <cell r="AJ38">
            <v>-18.097031933070763</v>
          </cell>
          <cell r="AK38">
            <v>-13.778828051941302</v>
          </cell>
          <cell r="AL38">
            <v>-10.049906286654455</v>
          </cell>
          <cell r="AM38">
            <v>-7.73389816634218</v>
          </cell>
          <cell r="AN38">
            <v>-6.071095380757793</v>
          </cell>
          <cell r="AO38">
            <v>-4.7896807473773562</v>
          </cell>
          <cell r="AP38">
            <v>-3.7632636718426276</v>
          </cell>
          <cell r="AQ38">
            <v>-0.73553591441514998</v>
          </cell>
          <cell r="AR38">
            <v>1.9513763339505832</v>
          </cell>
          <cell r="AS38">
            <v>4.3723215330162279</v>
          </cell>
          <cell r="AT38">
            <v>6.5775560409360452</v>
          </cell>
          <cell r="AU38">
            <v>8.6018483069687299</v>
          </cell>
        </row>
        <row r="50">
          <cell r="C50">
            <v>200000</v>
          </cell>
          <cell r="D50">
            <v>400000</v>
          </cell>
          <cell r="E50">
            <v>600000</v>
          </cell>
          <cell r="F50">
            <v>800000</v>
          </cell>
          <cell r="G50">
            <v>1000000</v>
          </cell>
          <cell r="H50">
            <v>1200000</v>
          </cell>
          <cell r="I50">
            <v>1400000</v>
          </cell>
          <cell r="J50">
            <v>1600000</v>
          </cell>
          <cell r="K50">
            <v>1800000</v>
          </cell>
          <cell r="L50">
            <v>2000000</v>
          </cell>
          <cell r="M50">
            <v>2200000</v>
          </cell>
          <cell r="N50">
            <v>2400000</v>
          </cell>
          <cell r="O50">
            <v>2600000</v>
          </cell>
          <cell r="P50">
            <v>2800000</v>
          </cell>
          <cell r="Q50">
            <v>3000000</v>
          </cell>
          <cell r="R50">
            <v>3200000</v>
          </cell>
          <cell r="S50">
            <v>3400000</v>
          </cell>
          <cell r="T50">
            <v>3600000</v>
          </cell>
          <cell r="U50">
            <v>3800000</v>
          </cell>
          <cell r="V50">
            <v>4000000</v>
          </cell>
          <cell r="W50">
            <v>4200000</v>
          </cell>
          <cell r="X50">
            <v>4400000</v>
          </cell>
          <cell r="Y50">
            <v>4600000</v>
          </cell>
          <cell r="Z50">
            <v>4800000</v>
          </cell>
          <cell r="AA50">
            <v>5000000</v>
          </cell>
          <cell r="AB50">
            <v>5200000</v>
          </cell>
          <cell r="AC50">
            <v>5400000</v>
          </cell>
          <cell r="AD50">
            <v>5600000</v>
          </cell>
          <cell r="AE50">
            <v>5800000</v>
          </cell>
          <cell r="AF50">
            <v>6000000</v>
          </cell>
          <cell r="AG50">
            <v>6200000</v>
          </cell>
          <cell r="AH50">
            <v>6400000</v>
          </cell>
          <cell r="AI50">
            <v>6600000</v>
          </cell>
          <cell r="AJ50">
            <v>6800000</v>
          </cell>
          <cell r="AK50">
            <v>7000000</v>
          </cell>
          <cell r="AL50">
            <v>7200000</v>
          </cell>
          <cell r="AM50">
            <v>7400000</v>
          </cell>
          <cell r="AN50">
            <v>7600000</v>
          </cell>
          <cell r="AO50">
            <v>7800000</v>
          </cell>
          <cell r="AP50">
            <v>8000000</v>
          </cell>
          <cell r="AQ50">
            <v>8200000</v>
          </cell>
          <cell r="AR50">
            <v>8400000</v>
          </cell>
          <cell r="AS50">
            <v>8600000</v>
          </cell>
          <cell r="AT50">
            <v>8800000</v>
          </cell>
          <cell r="AU50">
            <v>9000000</v>
          </cell>
        </row>
      </sheetData>
      <sheetData sheetId="3"/>
      <sheetData sheetId="4">
        <row r="10">
          <cell r="C10">
            <v>0.40500000000000003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and Conditions"/>
      <sheetName val="General inputs"/>
      <sheetName val="RAB calc - 200k tranches"/>
      <sheetName val="RAB calc - cumulative"/>
    </sheetNames>
    <sheetDataSet>
      <sheetData sheetId="0" refreshError="1"/>
      <sheetData sheetId="1" refreshError="1"/>
      <sheetData sheetId="2" refreshError="1"/>
      <sheetData sheetId="3">
        <row r="7">
          <cell r="C7">
            <v>10</v>
          </cell>
        </row>
        <row r="9">
          <cell r="C9">
            <v>1</v>
          </cell>
        </row>
        <row r="11">
          <cell r="C11">
            <v>0.64</v>
          </cell>
        </row>
        <row r="13">
          <cell r="C13">
            <v>5.7843137254901977E-2</v>
          </cell>
        </row>
        <row r="15">
          <cell r="C15">
            <v>8814814</v>
          </cell>
        </row>
        <row r="24">
          <cell r="C24" t="str">
            <v>0m to 1m</v>
          </cell>
          <cell r="D24" t="str">
            <v>1m to 2m</v>
          </cell>
          <cell r="E24" t="str">
            <v>2m to 3m</v>
          </cell>
          <cell r="F24" t="str">
            <v>3m to 4m</v>
          </cell>
          <cell r="G24" t="str">
            <v>4m to 5m</v>
          </cell>
          <cell r="H24" t="str">
            <v>5m to 6m</v>
          </cell>
          <cell r="I24" t="str">
            <v>6m to 7m</v>
          </cell>
          <cell r="J24" t="str">
            <v>7m to 8m</v>
          </cell>
          <cell r="K24" t="str">
            <v>8m to 8.8m</v>
          </cell>
        </row>
        <row r="25">
          <cell r="C25">
            <v>-39.888832668478699</v>
          </cell>
          <cell r="D25">
            <v>-57.050996307670118</v>
          </cell>
          <cell r="E25">
            <v>-63.397899829463846</v>
          </cell>
          <cell r="F25">
            <v>-74.236762005622907</v>
          </cell>
          <cell r="G25">
            <v>-78.401812092832756</v>
          </cell>
          <cell r="H25">
            <v>-88.62502481999897</v>
          </cell>
          <cell r="I25">
            <v>-107.13874100685825</v>
          </cell>
          <cell r="J25">
            <v>-136.11473342559731</v>
          </cell>
          <cell r="K25">
            <v>-264.21475566612145</v>
          </cell>
        </row>
        <row r="26">
          <cell r="C26">
            <v>-86.446488229215149</v>
          </cell>
          <cell r="D26">
            <v>-116.06084326840649</v>
          </cell>
          <cell r="E26">
            <v>-126.63669939020026</v>
          </cell>
          <cell r="F26">
            <v>-143.83953056635929</v>
          </cell>
          <cell r="G26">
            <v>-150.81763465356914</v>
          </cell>
          <cell r="H26">
            <v>-172.66217278073529</v>
          </cell>
          <cell r="I26">
            <v>-209.28039036759455</v>
          </cell>
          <cell r="J26">
            <v>-263.40427118633374</v>
          </cell>
          <cell r="K26">
            <v>-517.56030622685773</v>
          </cell>
        </row>
        <row r="27">
          <cell r="C27">
            <v>-63.167660448846924</v>
          </cell>
          <cell r="D27">
            <v>-86.555919788038295</v>
          </cell>
          <cell r="E27">
            <v>-95.017299609832051</v>
          </cell>
          <cell r="F27">
            <v>-109.0381462859911</v>
          </cell>
          <cell r="G27">
            <v>-114.60972337320095</v>
          </cell>
          <cell r="H27">
            <v>-130.64359880036713</v>
          </cell>
          <cell r="I27">
            <v>-158.20956568722642</v>
          </cell>
          <cell r="J27">
            <v>-199.75950230596553</v>
          </cell>
          <cell r="K27">
            <v>-390.88753094648962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BA4D-0016-4F71-A5E3-B7BAD8086FDF}">
  <dimension ref="A1:Y22"/>
  <sheetViews>
    <sheetView zoomScale="80" zoomScaleNormal="80" workbookViewId="0"/>
  </sheetViews>
  <sheetFormatPr defaultColWidth="9" defaultRowHeight="14.25" x14ac:dyDescent="0.45"/>
  <cols>
    <col min="1" max="16384" width="9" style="122"/>
  </cols>
  <sheetData>
    <row r="1" spans="1:25" x14ac:dyDescent="0.45">
      <c r="A1" s="120"/>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28.9" thickBot="1" x14ac:dyDescent="0.5">
      <c r="A2" s="127" t="s">
        <v>0</v>
      </c>
      <c r="B2" s="124"/>
      <c r="C2" s="124"/>
      <c r="D2" s="123"/>
      <c r="E2" s="124"/>
      <c r="F2" s="124"/>
      <c r="G2" s="124"/>
      <c r="H2" s="124"/>
      <c r="I2" s="124"/>
      <c r="J2" s="124"/>
      <c r="K2" s="124"/>
      <c r="L2" s="124"/>
      <c r="M2" s="124"/>
      <c r="N2" s="124"/>
      <c r="O2" s="124"/>
      <c r="P2" s="124"/>
      <c r="Q2" s="121"/>
      <c r="R2" s="121"/>
      <c r="S2" s="121"/>
      <c r="T2" s="121"/>
      <c r="U2" s="121"/>
      <c r="V2" s="121"/>
      <c r="W2" s="121"/>
      <c r="X2" s="121"/>
      <c r="Y2" s="121"/>
    </row>
    <row r="3" spans="1:25" ht="14.65" thickTop="1" x14ac:dyDescent="0.45">
      <c r="A3" s="121"/>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5" ht="15" x14ac:dyDescent="0.45">
      <c r="A4" s="125" t="s">
        <v>1</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5" ht="15" x14ac:dyDescent="0.45">
      <c r="A5" s="125"/>
      <c r="B5" s="121"/>
      <c r="C5" s="121"/>
      <c r="D5" s="121"/>
      <c r="E5" s="121"/>
      <c r="F5" s="121"/>
      <c r="G5" s="121"/>
      <c r="H5" s="121"/>
      <c r="I5" s="121"/>
      <c r="J5" s="121"/>
      <c r="K5" s="121"/>
      <c r="L5" s="121"/>
      <c r="M5" s="121"/>
      <c r="N5" s="121"/>
      <c r="O5" s="121"/>
      <c r="P5" s="121"/>
      <c r="Q5" s="121"/>
      <c r="R5" s="121"/>
      <c r="S5" s="121"/>
      <c r="T5" s="121"/>
      <c r="U5" s="121"/>
      <c r="V5" s="121"/>
      <c r="W5" s="121"/>
      <c r="X5" s="121"/>
      <c r="Y5" s="121"/>
    </row>
    <row r="6" spans="1:25" ht="66" customHeight="1" x14ac:dyDescent="0.45">
      <c r="A6" s="128" t="s">
        <v>2</v>
      </c>
      <c r="B6" s="128"/>
      <c r="C6" s="128"/>
      <c r="D6" s="128"/>
      <c r="E6" s="128"/>
      <c r="F6" s="128"/>
      <c r="G6" s="128"/>
      <c r="H6" s="128"/>
      <c r="I6" s="128"/>
      <c r="J6" s="128"/>
      <c r="K6" s="128"/>
      <c r="L6" s="128"/>
      <c r="M6" s="128"/>
      <c r="N6" s="128"/>
      <c r="O6" s="128"/>
      <c r="P6" s="128"/>
      <c r="Q6" s="121"/>
      <c r="R6" s="121"/>
      <c r="S6" s="121"/>
      <c r="T6" s="121"/>
      <c r="U6" s="121"/>
      <c r="V6" s="121"/>
      <c r="W6" s="121"/>
      <c r="X6" s="121"/>
      <c r="Y6" s="121"/>
    </row>
    <row r="7" spans="1:25" x14ac:dyDescent="0.45">
      <c r="A7" s="121"/>
      <c r="B7" s="121"/>
      <c r="C7" s="121"/>
      <c r="D7" s="121"/>
      <c r="E7" s="121"/>
      <c r="F7" s="121"/>
      <c r="G7" s="121"/>
      <c r="H7" s="121"/>
      <c r="I7" s="121"/>
      <c r="J7" s="121"/>
      <c r="K7" s="121"/>
      <c r="L7" s="121"/>
      <c r="M7" s="121"/>
      <c r="N7" s="121"/>
      <c r="O7" s="121"/>
      <c r="P7" s="121"/>
      <c r="Q7" s="121"/>
      <c r="R7" s="121"/>
      <c r="S7" s="121"/>
      <c r="T7" s="121"/>
      <c r="U7" s="121"/>
      <c r="V7" s="121"/>
      <c r="W7" s="121"/>
      <c r="X7" s="121"/>
      <c r="Y7" s="121"/>
    </row>
    <row r="8" spans="1:25" ht="73.900000000000006" customHeight="1" x14ac:dyDescent="0.45">
      <c r="A8" s="128" t="s">
        <v>3</v>
      </c>
      <c r="B8" s="128"/>
      <c r="C8" s="128"/>
      <c r="D8" s="128"/>
      <c r="E8" s="128"/>
      <c r="F8" s="128"/>
      <c r="G8" s="128"/>
      <c r="H8" s="128"/>
      <c r="I8" s="128"/>
      <c r="J8" s="128"/>
      <c r="K8" s="128"/>
      <c r="L8" s="128"/>
      <c r="M8" s="128"/>
      <c r="N8" s="128"/>
      <c r="O8" s="128"/>
      <c r="P8" s="128"/>
      <c r="Q8" s="121"/>
      <c r="R8" s="121"/>
      <c r="S8" s="121"/>
      <c r="T8" s="121"/>
      <c r="U8" s="121"/>
      <c r="V8" s="121"/>
      <c r="W8" s="121"/>
      <c r="X8" s="121"/>
      <c r="Y8" s="121"/>
    </row>
    <row r="9" spans="1:25" ht="15" x14ac:dyDescent="0.45">
      <c r="A9" s="126"/>
      <c r="B9" s="126"/>
      <c r="C9" s="126"/>
      <c r="D9" s="126"/>
      <c r="E9" s="126"/>
      <c r="F9" s="126"/>
      <c r="G9" s="126"/>
      <c r="H9" s="126"/>
      <c r="I9" s="126"/>
      <c r="J9" s="126"/>
      <c r="K9" s="126"/>
      <c r="L9" s="126"/>
      <c r="M9" s="121"/>
      <c r="N9" s="121"/>
      <c r="O9" s="121"/>
      <c r="P9" s="121"/>
      <c r="Q9" s="121"/>
      <c r="R9" s="121"/>
      <c r="S9" s="121"/>
      <c r="T9" s="121"/>
      <c r="U9" s="121"/>
      <c r="V9" s="121"/>
      <c r="W9" s="121"/>
      <c r="X9" s="121"/>
      <c r="Y9" s="121"/>
    </row>
    <row r="10" spans="1:25" ht="51.4" customHeight="1" x14ac:dyDescent="0.45">
      <c r="A10" s="128" t="s">
        <v>4</v>
      </c>
      <c r="B10" s="128"/>
      <c r="C10" s="128"/>
      <c r="D10" s="128"/>
      <c r="E10" s="128"/>
      <c r="F10" s="128"/>
      <c r="G10" s="128"/>
      <c r="H10" s="128"/>
      <c r="I10" s="128"/>
      <c r="J10" s="128"/>
      <c r="K10" s="128"/>
      <c r="L10" s="128"/>
      <c r="M10" s="128"/>
      <c r="N10" s="128"/>
      <c r="O10" s="128"/>
      <c r="P10" s="128"/>
      <c r="Q10" s="121"/>
      <c r="R10" s="121"/>
      <c r="S10" s="121"/>
      <c r="T10" s="121"/>
      <c r="U10" s="121"/>
      <c r="V10" s="121"/>
      <c r="W10" s="121"/>
      <c r="X10" s="121"/>
      <c r="Y10" s="121"/>
    </row>
    <row r="11" spans="1:25" ht="15" x14ac:dyDescent="0.45">
      <c r="A11" s="126"/>
      <c r="B11" s="126"/>
      <c r="C11" s="126"/>
      <c r="D11" s="126"/>
      <c r="E11" s="126"/>
      <c r="F11" s="126"/>
      <c r="G11" s="126"/>
      <c r="H11" s="126"/>
      <c r="I11" s="126"/>
      <c r="J11" s="126"/>
      <c r="K11" s="126"/>
      <c r="L11" s="126"/>
      <c r="M11" s="121"/>
      <c r="N11" s="121"/>
      <c r="O11" s="121"/>
      <c r="P11" s="121"/>
      <c r="Q11" s="121"/>
      <c r="R11" s="121"/>
      <c r="S11" s="121"/>
      <c r="T11" s="121"/>
      <c r="U11" s="121"/>
      <c r="V11" s="121"/>
      <c r="W11" s="121"/>
      <c r="X11" s="121"/>
      <c r="Y11" s="121"/>
    </row>
    <row r="12" spans="1:25" ht="49.5" customHeight="1" x14ac:dyDescent="0.45">
      <c r="A12" s="128" t="s">
        <v>5</v>
      </c>
      <c r="B12" s="128"/>
      <c r="C12" s="128"/>
      <c r="D12" s="128"/>
      <c r="E12" s="128"/>
      <c r="F12" s="128"/>
      <c r="G12" s="128"/>
      <c r="H12" s="128"/>
      <c r="I12" s="128"/>
      <c r="J12" s="128"/>
      <c r="K12" s="128"/>
      <c r="L12" s="128"/>
      <c r="M12" s="128"/>
      <c r="N12" s="128"/>
      <c r="O12" s="128"/>
      <c r="P12" s="128"/>
      <c r="Q12" s="121"/>
      <c r="R12" s="121"/>
      <c r="S12" s="121"/>
      <c r="T12" s="121"/>
      <c r="U12" s="121"/>
      <c r="V12" s="121"/>
      <c r="W12" s="121"/>
      <c r="X12" s="121"/>
      <c r="Y12" s="121"/>
    </row>
    <row r="13" spans="1:25" ht="15" x14ac:dyDescent="0.45">
      <c r="A13" s="126"/>
      <c r="B13" s="126"/>
      <c r="C13" s="126"/>
      <c r="D13" s="126"/>
      <c r="E13" s="126"/>
      <c r="F13" s="126"/>
      <c r="G13" s="126"/>
      <c r="H13" s="126"/>
      <c r="I13" s="126"/>
      <c r="J13" s="126"/>
      <c r="K13" s="126"/>
      <c r="L13" s="126"/>
      <c r="M13" s="121"/>
      <c r="N13" s="121"/>
      <c r="O13" s="121"/>
      <c r="P13" s="121"/>
      <c r="Q13" s="121"/>
      <c r="R13" s="121"/>
      <c r="S13" s="121"/>
      <c r="T13" s="121"/>
      <c r="U13" s="121"/>
      <c r="V13" s="121"/>
      <c r="W13" s="121"/>
      <c r="X13" s="121"/>
      <c r="Y13" s="121"/>
    </row>
    <row r="14" spans="1:25" ht="54.4" customHeight="1" x14ac:dyDescent="0.45">
      <c r="A14" s="128" t="s">
        <v>6</v>
      </c>
      <c r="B14" s="128"/>
      <c r="C14" s="128"/>
      <c r="D14" s="128"/>
      <c r="E14" s="128"/>
      <c r="F14" s="128"/>
      <c r="G14" s="128"/>
      <c r="H14" s="128"/>
      <c r="I14" s="128"/>
      <c r="J14" s="128"/>
      <c r="K14" s="128"/>
      <c r="L14" s="128"/>
      <c r="M14" s="128"/>
      <c r="N14" s="128"/>
      <c r="O14" s="128"/>
      <c r="P14" s="128"/>
      <c r="Q14" s="121"/>
      <c r="R14" s="121"/>
      <c r="S14" s="121"/>
      <c r="T14" s="121"/>
      <c r="U14" s="121"/>
      <c r="V14" s="121"/>
      <c r="W14" s="121"/>
      <c r="X14" s="121"/>
      <c r="Y14" s="121"/>
    </row>
    <row r="15" spans="1:25" x14ac:dyDescent="0.45">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58.15" customHeight="1" x14ac:dyDescent="0.45">
      <c r="A16" s="128" t="s">
        <v>7</v>
      </c>
      <c r="B16" s="128"/>
      <c r="C16" s="128"/>
      <c r="D16" s="128"/>
      <c r="E16" s="128"/>
      <c r="F16" s="128"/>
      <c r="G16" s="128"/>
      <c r="H16" s="128"/>
      <c r="I16" s="128"/>
      <c r="J16" s="128"/>
      <c r="K16" s="128"/>
      <c r="L16" s="128"/>
      <c r="M16" s="128"/>
      <c r="N16" s="128"/>
      <c r="O16" s="128"/>
      <c r="P16" s="128"/>
      <c r="Q16" s="121"/>
      <c r="R16" s="121"/>
      <c r="S16" s="121"/>
      <c r="T16" s="121"/>
      <c r="U16" s="121"/>
      <c r="V16" s="121"/>
      <c r="W16" s="121"/>
      <c r="X16" s="121"/>
      <c r="Y16" s="121"/>
    </row>
    <row r="17" spans="1:25" x14ac:dyDescent="0.4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row>
    <row r="18" spans="1:25" x14ac:dyDescent="0.4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row>
    <row r="19" spans="1:25" x14ac:dyDescent="0.4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0" spans="1:25" x14ac:dyDescent="0.4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row>
    <row r="21" spans="1:25" x14ac:dyDescent="0.45">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5" x14ac:dyDescent="0.4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sheetData>
  <mergeCells count="6">
    <mergeCell ref="A16:P16"/>
    <mergeCell ref="A6:P6"/>
    <mergeCell ref="A8:P8"/>
    <mergeCell ref="A10:P10"/>
    <mergeCell ref="A12:P12"/>
    <mergeCell ref="A14:P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8B1C-2D9D-47DF-B4DD-FD17B3AAA226}">
  <sheetPr>
    <tabColor rgb="FF0070C0"/>
  </sheetPr>
  <dimension ref="A1:AW69"/>
  <sheetViews>
    <sheetView zoomScale="80" zoomScaleNormal="80" workbookViewId="0">
      <selection activeCell="C30" sqref="C30"/>
    </sheetView>
  </sheetViews>
  <sheetFormatPr defaultColWidth="15.59765625" defaultRowHeight="13.15" outlineLevelRow="1" x14ac:dyDescent="0.4"/>
  <cols>
    <col min="1" max="1" width="35.1328125" style="2" customWidth="1"/>
    <col min="2" max="3" width="18.3984375" style="2" customWidth="1"/>
    <col min="4" max="4" width="7.86328125" style="2" customWidth="1"/>
    <col min="5" max="5" width="11.265625" style="2" customWidth="1"/>
    <col min="6" max="7" width="10.1328125" style="2" customWidth="1"/>
    <col min="8" max="8" width="10.3984375" style="2" customWidth="1"/>
    <col min="9" max="12" width="18.59765625" style="2" customWidth="1"/>
    <col min="13" max="18" width="17.265625" style="2" customWidth="1"/>
    <col min="19" max="45" width="18.59765625" style="2" customWidth="1"/>
    <col min="46" max="49" width="18.59765625" style="10" customWidth="1"/>
    <col min="50" max="16384" width="15.59765625" style="2"/>
  </cols>
  <sheetData>
    <row r="1" spans="1:48" ht="30.75" customHeight="1" x14ac:dyDescent="0.75">
      <c r="A1" s="29" t="s">
        <v>8</v>
      </c>
      <c r="B1" s="89" t="s">
        <v>9</v>
      </c>
      <c r="C1" s="89" t="s">
        <v>10</v>
      </c>
      <c r="AH1" s="22"/>
      <c r="AK1" s="22"/>
      <c r="AL1" s="22"/>
    </row>
    <row r="2" spans="1:48" x14ac:dyDescent="0.4">
      <c r="A2" s="27" t="s">
        <v>11</v>
      </c>
      <c r="B2" s="90">
        <f>AO35/10^6</f>
        <v>1055.62110431478</v>
      </c>
      <c r="C2" s="91">
        <f>AP35/10^6</f>
        <v>1725.0050974618484</v>
      </c>
      <c r="E2" s="3"/>
      <c r="F2" s="3"/>
      <c r="G2" s="3"/>
      <c r="I2" s="73" t="s">
        <v>12</v>
      </c>
      <c r="J2" s="74"/>
      <c r="K2" s="74"/>
      <c r="L2" s="74"/>
      <c r="M2" s="78" t="s">
        <v>13</v>
      </c>
      <c r="N2" s="75"/>
      <c r="O2" s="75"/>
      <c r="P2" s="75"/>
      <c r="Q2" s="75"/>
      <c r="R2" s="79" t="s">
        <v>14</v>
      </c>
      <c r="S2" s="76"/>
      <c r="T2" s="76"/>
      <c r="U2" s="76"/>
      <c r="V2" s="77"/>
      <c r="W2" s="80"/>
      <c r="X2" s="80"/>
      <c r="Y2" s="81" t="s">
        <v>15</v>
      </c>
      <c r="Z2" s="82"/>
      <c r="AA2" s="82"/>
      <c r="AB2" s="82"/>
      <c r="AC2" s="83"/>
      <c r="AD2" s="84"/>
      <c r="AE2" s="84"/>
      <c r="AF2" s="86" t="s">
        <v>16</v>
      </c>
      <c r="AG2" s="85"/>
      <c r="AH2" s="85"/>
      <c r="AI2" s="85"/>
      <c r="AJ2" s="85"/>
      <c r="AK2" s="85"/>
      <c r="AL2" s="85"/>
      <c r="AM2" s="85"/>
      <c r="AN2" s="85"/>
      <c r="AO2" s="87" t="s">
        <v>17</v>
      </c>
      <c r="AP2" s="88"/>
      <c r="AQ2" s="88"/>
      <c r="AR2" s="88"/>
      <c r="AS2" s="88"/>
      <c r="AT2" s="92"/>
      <c r="AU2" s="92"/>
      <c r="AV2" s="92"/>
    </row>
    <row r="3" spans="1:48" ht="45" customHeight="1" x14ac:dyDescent="0.5">
      <c r="A3" s="98" t="s">
        <v>18</v>
      </c>
      <c r="E3" s="6" t="s">
        <v>19</v>
      </c>
      <c r="F3" s="6" t="s">
        <v>20</v>
      </c>
      <c r="G3" s="4"/>
      <c r="H3" s="5" t="s">
        <v>21</v>
      </c>
      <c r="I3" s="5" t="s">
        <v>22</v>
      </c>
      <c r="J3" s="6" t="s">
        <v>23</v>
      </c>
      <c r="K3" s="5" t="s">
        <v>24</v>
      </c>
      <c r="L3" s="5" t="s">
        <v>25</v>
      </c>
      <c r="M3" s="6" t="s">
        <v>26</v>
      </c>
      <c r="N3" s="6" t="s">
        <v>27</v>
      </c>
      <c r="O3" s="6" t="s">
        <v>28</v>
      </c>
      <c r="P3" s="6" t="s">
        <v>29</v>
      </c>
      <c r="Q3" s="6" t="s">
        <v>30</v>
      </c>
      <c r="R3" s="6" t="s">
        <v>31</v>
      </c>
      <c r="S3" s="6" t="s">
        <v>32</v>
      </c>
      <c r="T3" s="6" t="s">
        <v>33</v>
      </c>
      <c r="U3" s="6" t="s">
        <v>34</v>
      </c>
      <c r="V3" s="6" t="s">
        <v>35</v>
      </c>
      <c r="W3" s="6" t="s">
        <v>36</v>
      </c>
      <c r="X3" s="6" t="s">
        <v>37</v>
      </c>
      <c r="Y3" s="6" t="s">
        <v>38</v>
      </c>
      <c r="Z3" s="6" t="s">
        <v>39</v>
      </c>
      <c r="AA3" s="6" t="s">
        <v>40</v>
      </c>
      <c r="AB3" s="6" t="s">
        <v>41</v>
      </c>
      <c r="AC3" s="6" t="s">
        <v>42</v>
      </c>
      <c r="AD3" s="6" t="s">
        <v>43</v>
      </c>
      <c r="AE3" s="6" t="s">
        <v>44</v>
      </c>
      <c r="AF3" s="6" t="s">
        <v>45</v>
      </c>
      <c r="AG3" s="6" t="s">
        <v>46</v>
      </c>
      <c r="AH3" s="6" t="s">
        <v>47</v>
      </c>
      <c r="AI3" s="6" t="s">
        <v>48</v>
      </c>
      <c r="AJ3" s="6" t="s">
        <v>49</v>
      </c>
      <c r="AK3" s="6" t="s">
        <v>50</v>
      </c>
      <c r="AL3" s="6" t="s">
        <v>51</v>
      </c>
      <c r="AM3" s="6" t="s">
        <v>52</v>
      </c>
      <c r="AN3" s="6" t="s">
        <v>53</v>
      </c>
      <c r="AO3" s="6" t="s">
        <v>54</v>
      </c>
      <c r="AP3" s="6" t="s">
        <v>55</v>
      </c>
      <c r="AQ3" s="6" t="s">
        <v>56</v>
      </c>
      <c r="AR3" s="6" t="s">
        <v>57</v>
      </c>
      <c r="AS3" s="6" t="s">
        <v>58</v>
      </c>
      <c r="AT3" s="6" t="s">
        <v>59</v>
      </c>
      <c r="AU3" s="6" t="s">
        <v>60</v>
      </c>
      <c r="AV3" s="6" t="s">
        <v>61</v>
      </c>
    </row>
    <row r="4" spans="1:48" ht="11.25" hidden="1" customHeight="1" outlineLevel="1" x14ac:dyDescent="0.4">
      <c r="E4" s="5"/>
      <c r="F4" s="5"/>
      <c r="G4" s="4"/>
      <c r="H4" s="5"/>
      <c r="I4" s="5"/>
      <c r="J4" s="6"/>
      <c r="K4" s="5"/>
      <c r="L4" s="5"/>
      <c r="M4" s="6"/>
      <c r="N4" s="6"/>
      <c r="O4" s="6"/>
      <c r="P4" s="6"/>
      <c r="Q4" s="6"/>
      <c r="R4" s="6"/>
      <c r="S4" s="6"/>
      <c r="T4" s="6"/>
      <c r="U4" s="6"/>
      <c r="X4" s="6"/>
      <c r="AT4" s="6"/>
      <c r="AU4" s="6"/>
      <c r="AV4" s="6"/>
    </row>
    <row r="5" spans="1:48" ht="11.25" hidden="1" customHeight="1" outlineLevel="1" x14ac:dyDescent="0.4">
      <c r="E5" s="5"/>
      <c r="F5" s="5"/>
      <c r="G5" s="4"/>
      <c r="H5" s="5"/>
      <c r="I5" s="5"/>
      <c r="J5" s="6"/>
      <c r="K5" s="5"/>
      <c r="L5" s="5"/>
      <c r="M5" s="6"/>
      <c r="N5" s="6"/>
      <c r="O5" s="6"/>
      <c r="P5" s="6"/>
      <c r="Q5" s="6"/>
      <c r="R5" s="6"/>
      <c r="S5" s="6"/>
      <c r="T5" s="6"/>
      <c r="U5" s="6"/>
      <c r="X5" s="6"/>
      <c r="AT5" s="6"/>
      <c r="AU5" s="6"/>
      <c r="AV5" s="6"/>
    </row>
    <row r="6" spans="1:48" ht="11.25" hidden="1" customHeight="1" outlineLevel="1" x14ac:dyDescent="0.4">
      <c r="E6" s="5"/>
      <c r="F6" s="5"/>
      <c r="G6" s="4"/>
      <c r="H6" s="5"/>
      <c r="I6" s="5"/>
      <c r="J6" s="6"/>
      <c r="K6" s="5"/>
      <c r="L6" s="5"/>
      <c r="M6" s="6"/>
      <c r="N6" s="6"/>
      <c r="O6" s="6"/>
      <c r="P6" s="6"/>
      <c r="Q6" s="6"/>
      <c r="R6" s="6"/>
      <c r="S6" s="6"/>
      <c r="T6" s="6"/>
      <c r="U6" s="6"/>
      <c r="X6" s="6"/>
      <c r="AT6" s="6"/>
      <c r="AU6" s="6"/>
      <c r="AV6" s="6"/>
    </row>
    <row r="7" spans="1:48" ht="11.25" hidden="1" customHeight="1" outlineLevel="1" x14ac:dyDescent="0.4">
      <c r="E7" s="5"/>
      <c r="F7" s="5"/>
      <c r="G7" s="4"/>
      <c r="H7" s="5"/>
      <c r="I7" s="5"/>
      <c r="J7" s="6"/>
      <c r="K7" s="5"/>
      <c r="L7" s="5"/>
      <c r="M7" s="6"/>
      <c r="N7" s="6"/>
      <c r="O7" s="6"/>
      <c r="P7" s="6"/>
      <c r="Q7" s="6"/>
      <c r="R7" s="6"/>
      <c r="S7" s="6"/>
      <c r="T7" s="6"/>
      <c r="U7" s="6"/>
      <c r="X7" s="6"/>
      <c r="AT7" s="6"/>
      <c r="AU7" s="6"/>
      <c r="AV7" s="6"/>
    </row>
    <row r="8" spans="1:48" ht="11.25" hidden="1" customHeight="1" outlineLevel="1" x14ac:dyDescent="0.4">
      <c r="E8" s="5"/>
      <c r="F8" s="5"/>
      <c r="G8" s="4"/>
      <c r="H8" s="5"/>
      <c r="I8" s="5"/>
      <c r="J8" s="6"/>
      <c r="K8" s="5"/>
      <c r="L8" s="5"/>
      <c r="M8" s="6"/>
      <c r="N8" s="6"/>
      <c r="O8" s="6"/>
      <c r="P8" s="6"/>
      <c r="Q8" s="6"/>
      <c r="R8" s="6"/>
      <c r="S8" s="6"/>
      <c r="T8" s="6"/>
      <c r="U8" s="6"/>
      <c r="X8" s="6"/>
      <c r="AT8" s="6"/>
      <c r="AU8" s="6"/>
      <c r="AV8" s="6"/>
    </row>
    <row r="9" spans="1:48" ht="11.25" hidden="1" customHeight="1" outlineLevel="1" x14ac:dyDescent="0.4">
      <c r="E9" s="5"/>
      <c r="F9" s="5"/>
      <c r="G9" s="4"/>
      <c r="H9" s="5"/>
      <c r="I9" s="5"/>
      <c r="J9" s="6"/>
      <c r="K9" s="5"/>
      <c r="L9" s="5"/>
      <c r="M9" s="6"/>
      <c r="N9" s="6"/>
      <c r="O9" s="6"/>
      <c r="P9" s="6"/>
      <c r="Q9" s="6"/>
      <c r="R9" s="6"/>
      <c r="S9" s="6"/>
      <c r="T9" s="6"/>
      <c r="U9" s="6"/>
      <c r="X9" s="6"/>
      <c r="AT9" s="6"/>
      <c r="AU9" s="6"/>
      <c r="AV9" s="6"/>
    </row>
    <row r="10" spans="1:48" ht="11.25" hidden="1" customHeight="1" outlineLevel="1" x14ac:dyDescent="0.4">
      <c r="E10" s="5"/>
      <c r="F10" s="5"/>
      <c r="G10" s="4"/>
      <c r="H10" s="5"/>
      <c r="I10" s="5"/>
      <c r="J10" s="6"/>
      <c r="K10" s="5"/>
      <c r="L10" s="5"/>
      <c r="M10" s="6"/>
      <c r="N10" s="6"/>
      <c r="O10" s="6"/>
      <c r="P10" s="6"/>
      <c r="Q10" s="6"/>
      <c r="R10" s="6"/>
      <c r="S10" s="6"/>
      <c r="T10" s="6"/>
      <c r="U10" s="6"/>
      <c r="X10" s="6"/>
      <c r="AT10" s="6"/>
      <c r="AU10" s="6"/>
      <c r="AV10" s="6"/>
    </row>
    <row r="11" spans="1:48" ht="11.25" hidden="1" customHeight="1" outlineLevel="1" x14ac:dyDescent="0.4">
      <c r="E11" s="5"/>
      <c r="F11" s="5"/>
      <c r="G11" s="4"/>
      <c r="H11" s="5"/>
      <c r="I11" s="5"/>
      <c r="J11" s="6"/>
      <c r="K11" s="5"/>
      <c r="L11" s="5"/>
      <c r="M11" s="6"/>
      <c r="N11" s="6"/>
      <c r="O11" s="6"/>
      <c r="P11" s="6"/>
      <c r="Q11" s="6"/>
      <c r="R11" s="6"/>
      <c r="S11" s="6"/>
      <c r="T11" s="6"/>
      <c r="U11" s="6"/>
      <c r="X11" s="6"/>
      <c r="AT11" s="6"/>
      <c r="AU11" s="6"/>
      <c r="AV11" s="6"/>
    </row>
    <row r="12" spans="1:48" ht="11.25" hidden="1" customHeight="1" outlineLevel="1" x14ac:dyDescent="0.4">
      <c r="E12" s="5"/>
      <c r="F12" s="5"/>
      <c r="G12" s="4"/>
      <c r="H12" s="5"/>
      <c r="I12" s="5"/>
      <c r="J12" s="6"/>
      <c r="K12" s="5"/>
      <c r="L12" s="5"/>
      <c r="M12" s="6"/>
      <c r="N12" s="6"/>
      <c r="O12" s="6"/>
      <c r="P12" s="6"/>
      <c r="Q12" s="6"/>
      <c r="R12" s="6"/>
      <c r="S12" s="6"/>
      <c r="T12" s="6"/>
      <c r="U12" s="6"/>
      <c r="X12" s="6"/>
      <c r="AT12" s="6"/>
      <c r="AU12" s="6"/>
      <c r="AV12" s="6"/>
    </row>
    <row r="13" spans="1:48" hidden="1" outlineLevel="1" x14ac:dyDescent="0.4">
      <c r="A13" s="10"/>
      <c r="B13" s="31" t="s">
        <v>62</v>
      </c>
      <c r="D13" s="7"/>
      <c r="H13" s="8"/>
      <c r="I13" s="9"/>
      <c r="J13" s="9"/>
      <c r="K13" s="9"/>
      <c r="L13" s="9"/>
      <c r="M13" s="8"/>
      <c r="N13" s="8"/>
      <c r="O13" s="8"/>
      <c r="P13" s="8"/>
      <c r="Q13" s="9"/>
      <c r="R13" s="8"/>
      <c r="S13" s="9"/>
      <c r="T13" s="9"/>
      <c r="U13" s="9"/>
      <c r="X13" s="9"/>
      <c r="AT13" s="2"/>
      <c r="AU13" s="2"/>
      <c r="AV13" s="2"/>
    </row>
    <row r="14" spans="1:48" ht="14.25" collapsed="1" x14ac:dyDescent="0.45">
      <c r="A14" s="7" t="s">
        <v>63</v>
      </c>
      <c r="B14" s="119">
        <v>3200000</v>
      </c>
      <c r="D14" s="71"/>
      <c r="E14" s="39">
        <f>1/(1+$C$27)^(H14)</f>
        <v>0.93370681605975725</v>
      </c>
      <c r="F14" s="39">
        <f>1/(1+$C$26)^(H14)</f>
        <v>0.92678405931417984</v>
      </c>
      <c r="G14" s="9" t="s">
        <v>64</v>
      </c>
      <c r="H14" s="9">
        <f>1</f>
        <v>1</v>
      </c>
      <c r="I14" s="19">
        <f t="shared" ref="I14:I33" si="0">IF(H14&lt;=$C$34,$B$16*H14/$C$34,IF(H14&gt;=$C$36,$C$31,$B$16+($C$31-$B$16)*(H14-$C$34)/$C$34))</f>
        <v>960000</v>
      </c>
      <c r="J14" s="19">
        <f>I14-I13</f>
        <v>960000</v>
      </c>
      <c r="K14" s="19">
        <f t="shared" ref="K14:K33" si="1">IF(H14&lt;=$C$36,MIN($C$32-$C$33,SUMPRODUCT(J5:J14,INDEX(Fibre_takeup,,H14))),$C$32)</f>
        <v>192000</v>
      </c>
      <c r="L14" s="19">
        <f>$C$31*'Fibre shortfall inputs'!$K$24-K14</f>
        <v>7741332.6000000006</v>
      </c>
      <c r="M14" s="58">
        <f t="array" ref="M14:M23">TRANSPOSE('Copper price inputs'!$T$3:$AC$3/12)</f>
        <v>11.796139940607842</v>
      </c>
      <c r="N14" s="10">
        <f t="shared" ref="N14:N33" si="2">IF(H14&lt;=10,M14+$C$24,M14+$C$25)</f>
        <v>14.546139940607842</v>
      </c>
      <c r="O14" s="19">
        <f>M14*L14*12</f>
        <v>1095814112.1166747</v>
      </c>
      <c r="P14" s="19">
        <f>N14*K14*12</f>
        <v>33514306.423160467</v>
      </c>
      <c r="Q14" s="19">
        <f>SUM(O14:P14)</f>
        <v>1129328418.5398352</v>
      </c>
      <c r="R14" s="58">
        <f t="array" ref="R14:R23">TRANSPOSE('Copper price inputs'!T4:AC4)/12</f>
        <v>12.023089104936497</v>
      </c>
      <c r="S14" s="10">
        <f>R14-$M14</f>
        <v>0.22694916432865497</v>
      </c>
      <c r="T14" s="10">
        <f t="shared" ref="T14:T33" si="3">IF($H14&lt;=$C$36,$N14+$C$23*S14,IF($H14&lt;=$C$36+$C$35,T13*(1+$C$21),T13*(1+$C$22)))</f>
        <v>14.773089104936497</v>
      </c>
      <c r="U14" s="10">
        <f>T14-$N14</f>
        <v>0.22694916432865497</v>
      </c>
      <c r="V14" s="19">
        <f>R14*$L14*12</f>
        <v>1116896779.6889968</v>
      </c>
      <c r="W14" s="19">
        <f>T14*$K14*12</f>
        <v>34037197.297773689</v>
      </c>
      <c r="X14" s="19">
        <f>SUM(V14:W14)</f>
        <v>1150933976.9867704</v>
      </c>
      <c r="Y14" s="58">
        <f t="array" ref="Y14:Y23">TRANSPOSE('Copper price inputs'!T5:AC5)/12</f>
        <v>12.023089104936497</v>
      </c>
      <c r="Z14" s="10">
        <f>Y14-$M14</f>
        <v>0.22694916432865497</v>
      </c>
      <c r="AA14" s="10">
        <f t="shared" ref="AA14:AA33" si="4">IF($H14&lt;=$C$36,$N14+$C$23*Z14,IF($H14&lt;=$C$36+$C$35,AA13*(1+$C$21),AA13*(1+$C$22)))</f>
        <v>14.773089104936497</v>
      </c>
      <c r="AB14" s="10">
        <f>AA14-$N14</f>
        <v>0.22694916432865497</v>
      </c>
      <c r="AC14" s="19">
        <f>Y14*$L14*12</f>
        <v>1116896779.6889968</v>
      </c>
      <c r="AD14" s="19">
        <f>AA14*$K14*12</f>
        <v>34037197.297773689</v>
      </c>
      <c r="AE14" s="19">
        <f>SUM(AC14:AD14)</f>
        <v>1150933976.9867704</v>
      </c>
      <c r="AF14" s="19">
        <f>O14*E14</f>
        <v>1023169105.6178101</v>
      </c>
      <c r="AG14" s="19">
        <f>P14*F14</f>
        <v>31060524.951955948</v>
      </c>
      <c r="AH14" s="108">
        <f>SUM(AF14:AG14)</f>
        <v>1054229630.569766</v>
      </c>
      <c r="AI14" s="19">
        <f>V14*E14</f>
        <v>1042854136.0308094</v>
      </c>
      <c r="AJ14" s="19">
        <f>W14*F14</f>
        <v>31545131.879308332</v>
      </c>
      <c r="AK14" s="108">
        <f>SUM(AI14:AJ14)</f>
        <v>1074399267.9101176</v>
      </c>
      <c r="AL14" s="19">
        <f>AC14*E14</f>
        <v>1042854136.0308094</v>
      </c>
      <c r="AM14" s="19">
        <f>AD14*F14</f>
        <v>31545131.879308332</v>
      </c>
      <c r="AN14" s="108">
        <f>SUM(AL14:AM14)</f>
        <v>1074399267.9101176</v>
      </c>
      <c r="AO14" s="19">
        <f>AK14-$AH14</f>
        <v>20169637.340351582</v>
      </c>
      <c r="AP14" s="19">
        <f>AN14-$AH14</f>
        <v>20169637.340351582</v>
      </c>
      <c r="AQ14" s="19">
        <f>SUM(AO$14:AO14)</f>
        <v>20169637.340351582</v>
      </c>
      <c r="AR14" s="19"/>
      <c r="AT14" s="22">
        <f t="shared" ref="AT14:AT33" si="5">$C$17*10^6</f>
        <v>1193670440.9326017</v>
      </c>
      <c r="AU14" s="22">
        <f t="shared" ref="AU14:AU33" si="6">$C$18*10^6</f>
        <v>1501725812.272975</v>
      </c>
      <c r="AV14" s="22">
        <f t="shared" ref="AV14:AV33" si="7">$C$19*10^6</f>
        <v>885615069.59222806</v>
      </c>
    </row>
    <row r="15" spans="1:48" x14ac:dyDescent="0.4">
      <c r="A15" s="2" t="s">
        <v>65</v>
      </c>
      <c r="B15" s="72">
        <f>IF(B14/C32&lt;=50%,50%,(C32-B14)/C32)</f>
        <v>0.5</v>
      </c>
      <c r="D15" s="27"/>
      <c r="E15" s="39">
        <f t="shared" ref="E15:E33" si="8">1/(1+$C$27)^(H15)</f>
        <v>0.8718084183564494</v>
      </c>
      <c r="F15" s="39">
        <f t="shared" ref="F15:F33" si="9">1/(1+$C$26)^(H15)</f>
        <v>0.85892869259886928</v>
      </c>
      <c r="G15" s="9" t="s">
        <v>66</v>
      </c>
      <c r="H15" s="9">
        <f>H14+1</f>
        <v>2</v>
      </c>
      <c r="I15" s="19">
        <f t="shared" si="0"/>
        <v>1920000</v>
      </c>
      <c r="J15" s="19">
        <f t="shared" ref="J15:J33" si="10">I15-I14</f>
        <v>960000</v>
      </c>
      <c r="K15" s="19">
        <f t="shared" si="1"/>
        <v>480000</v>
      </c>
      <c r="L15" s="19">
        <f>$C$31*'Fibre shortfall inputs'!$K$24-K15</f>
        <v>7453332.6000000006</v>
      </c>
      <c r="M15" s="58">
        <v>11.98119679585762</v>
      </c>
      <c r="N15" s="10">
        <f t="shared" si="2"/>
        <v>14.73119679585762</v>
      </c>
      <c r="O15" s="19">
        <f t="shared" ref="O15:O33" si="11">M15*L15*12</f>
        <v>1071598135.9869738</v>
      </c>
      <c r="P15" s="19">
        <f t="shared" ref="P15:P33" si="12">N15*K15*12</f>
        <v>84851693.544139892</v>
      </c>
      <c r="Q15" s="19">
        <f t="shared" ref="Q15:Q33" si="13">SUM(O15:P15)</f>
        <v>1156449829.5311136</v>
      </c>
      <c r="R15" s="58">
        <v>12.511767275058927</v>
      </c>
      <c r="S15" s="10">
        <f t="shared" ref="S15:S23" si="14">R15-$M15</f>
        <v>0.53057047920130707</v>
      </c>
      <c r="T15" s="10">
        <f t="shared" si="3"/>
        <v>15.261767275058927</v>
      </c>
      <c r="U15" s="10">
        <f t="shared" ref="U15:U33" si="15">T15-$N15</f>
        <v>0.53057047920130707</v>
      </c>
      <c r="V15" s="19">
        <f t="shared" ref="V15:V33" si="16">R15*$L15*12</f>
        <v>1119052354.9777186</v>
      </c>
      <c r="W15" s="19">
        <f t="shared" ref="W15:W33" si="17">T15*$K15*12</f>
        <v>87907779.504339427</v>
      </c>
      <c r="X15" s="19">
        <f t="shared" ref="X15:X33" si="18">SUM(V15:W15)</f>
        <v>1206960134.482058</v>
      </c>
      <c r="Y15" s="58">
        <v>12.511767275058927</v>
      </c>
      <c r="Z15" s="10">
        <f t="shared" ref="Z15:Z23" si="19">Y15-$M15</f>
        <v>0.53057047920130707</v>
      </c>
      <c r="AA15" s="10">
        <f t="shared" si="4"/>
        <v>15.261767275058927</v>
      </c>
      <c r="AB15" s="10">
        <f t="shared" ref="AB15:AB33" si="20">AA15-$N15</f>
        <v>0.53057047920130707</v>
      </c>
      <c r="AC15" s="19">
        <f t="shared" ref="AC15:AC33" si="21">Y15*$L15*12</f>
        <v>1119052354.9777186</v>
      </c>
      <c r="AD15" s="19">
        <f t="shared" ref="AD15:AD33" si="22">AA15*$K15*12</f>
        <v>87907779.504339427</v>
      </c>
      <c r="AE15" s="19">
        <f t="shared" ref="AE15:AE33" si="23">SUM(AC15:AD15)</f>
        <v>1206960134.482058</v>
      </c>
      <c r="AF15" s="19">
        <f t="shared" ref="AF15:AG33" si="24">O15*E15</f>
        <v>934228276.04852295</v>
      </c>
      <c r="AG15" s="19">
        <f t="shared" si="24"/>
        <v>72881554.200667992</v>
      </c>
      <c r="AH15" s="108">
        <f t="shared" ref="AH15:AH33" si="25">SUM(AF15:AG15)</f>
        <v>1007109830.2491909</v>
      </c>
      <c r="AI15" s="19">
        <f t="shared" ref="AI15:AJ33" si="26">V15*E15</f>
        <v>975599263.6511848</v>
      </c>
      <c r="AJ15" s="19">
        <f t="shared" si="26"/>
        <v>75506514.118931934</v>
      </c>
      <c r="AK15" s="108">
        <f t="shared" ref="AK15:AK33" si="27">SUM(AI15:AJ15)</f>
        <v>1051105777.7701167</v>
      </c>
      <c r="AL15" s="19">
        <f t="shared" ref="AL15:AM33" si="28">AC15*E15</f>
        <v>975599263.6511848</v>
      </c>
      <c r="AM15" s="19">
        <f t="shared" si="28"/>
        <v>75506514.118931934</v>
      </c>
      <c r="AN15" s="108">
        <f t="shared" ref="AN15:AN33" si="29">SUM(AL15:AM15)</f>
        <v>1051105777.7701167</v>
      </c>
      <c r="AO15" s="19">
        <f t="shared" ref="AO15:AO33" si="30">AK15-$AH15</f>
        <v>43995947.52092576</v>
      </c>
      <c r="AP15" s="19">
        <f t="shared" ref="AP15:AP33" si="31">AN15-$AH15</f>
        <v>43995947.52092576</v>
      </c>
      <c r="AQ15" s="19">
        <f>SUM(AO$14:AO15)</f>
        <v>64165584.861277342</v>
      </c>
      <c r="AR15" s="19"/>
      <c r="AT15" s="22">
        <f t="shared" si="5"/>
        <v>1193670440.9326017</v>
      </c>
      <c r="AU15" s="22">
        <f t="shared" si="6"/>
        <v>1501725812.272975</v>
      </c>
      <c r="AV15" s="22">
        <f t="shared" si="7"/>
        <v>885615069.59222806</v>
      </c>
    </row>
    <row r="16" spans="1:48" x14ac:dyDescent="0.4">
      <c r="A16" s="2" t="s">
        <v>67</v>
      </c>
      <c r="B16" s="22">
        <f>B14+B14*B15</f>
        <v>4800000</v>
      </c>
      <c r="D16" s="30"/>
      <c r="E16" s="39">
        <f t="shared" si="8"/>
        <v>0.81401346251769324</v>
      </c>
      <c r="F16" s="39">
        <f t="shared" si="9"/>
        <v>0.79604142038820125</v>
      </c>
      <c r="G16" s="12" t="s">
        <v>68</v>
      </c>
      <c r="H16" s="9">
        <f t="shared" ref="H16:H33" si="32">H15+1</f>
        <v>3</v>
      </c>
      <c r="I16" s="19">
        <f t="shared" si="0"/>
        <v>2880000</v>
      </c>
      <c r="J16" s="19">
        <f t="shared" si="10"/>
        <v>960000</v>
      </c>
      <c r="K16" s="19">
        <f t="shared" si="1"/>
        <v>864000</v>
      </c>
      <c r="L16" s="19">
        <f>$C$31*'Fibre shortfall inputs'!$K$24-K16</f>
        <v>7069332.6000000006</v>
      </c>
      <c r="M16" s="58">
        <v>12.018564473741145</v>
      </c>
      <c r="N16" s="10">
        <f t="shared" si="2"/>
        <v>14.768564473741145</v>
      </c>
      <c r="O16" s="19">
        <f t="shared" si="11"/>
        <v>1019558755.6730416</v>
      </c>
      <c r="P16" s="19">
        <f t="shared" si="12"/>
        <v>153120476.46374819</v>
      </c>
      <c r="Q16" s="19">
        <f t="shared" si="13"/>
        <v>1172679232.1367898</v>
      </c>
      <c r="R16" s="58">
        <v>12.869256078463371</v>
      </c>
      <c r="S16" s="10">
        <f t="shared" si="14"/>
        <v>0.85069160472222549</v>
      </c>
      <c r="T16" s="10">
        <f t="shared" si="3"/>
        <v>15.619256078463371</v>
      </c>
      <c r="U16" s="10">
        <f t="shared" si="15"/>
        <v>0.85069160472222549</v>
      </c>
      <c r="V16" s="19">
        <f t="shared" si="16"/>
        <v>1091724618.3987513</v>
      </c>
      <c r="W16" s="19">
        <f t="shared" si="17"/>
        <v>161940447.02150822</v>
      </c>
      <c r="X16" s="19">
        <f t="shared" si="18"/>
        <v>1253665065.4202595</v>
      </c>
      <c r="Y16" s="58">
        <v>12.869256078463371</v>
      </c>
      <c r="Z16" s="10">
        <f t="shared" si="19"/>
        <v>0.85069160472222549</v>
      </c>
      <c r="AA16" s="10">
        <f t="shared" si="4"/>
        <v>15.619256078463371</v>
      </c>
      <c r="AB16" s="10">
        <f t="shared" si="20"/>
        <v>0.85069160472222549</v>
      </c>
      <c r="AC16" s="19">
        <f t="shared" si="21"/>
        <v>1091724618.3987513</v>
      </c>
      <c r="AD16" s="19">
        <f t="shared" si="22"/>
        <v>161940447.02150822</v>
      </c>
      <c r="AE16" s="19">
        <f t="shared" si="23"/>
        <v>1253665065.4202595</v>
      </c>
      <c r="AF16" s="19">
        <f t="shared" si="24"/>
        <v>829934552.94564342</v>
      </c>
      <c r="AG16" s="19">
        <f t="shared" si="24"/>
        <v>121890241.57472025</v>
      </c>
      <c r="AH16" s="108">
        <f t="shared" si="25"/>
        <v>951824794.52036369</v>
      </c>
      <c r="AI16" s="19">
        <f t="shared" si="26"/>
        <v>888678536.73857486</v>
      </c>
      <c r="AJ16" s="19">
        <f t="shared" si="26"/>
        <v>128911303.46530165</v>
      </c>
      <c r="AK16" s="108">
        <f t="shared" si="27"/>
        <v>1017589840.2038765</v>
      </c>
      <c r="AL16" s="19">
        <f t="shared" si="28"/>
        <v>888678536.73857486</v>
      </c>
      <c r="AM16" s="19">
        <f t="shared" si="28"/>
        <v>128911303.46530165</v>
      </c>
      <c r="AN16" s="108">
        <f t="shared" si="29"/>
        <v>1017589840.2038765</v>
      </c>
      <c r="AO16" s="19">
        <f t="shared" si="30"/>
        <v>65765045.683512807</v>
      </c>
      <c r="AP16" s="19">
        <f t="shared" si="31"/>
        <v>65765045.683512807</v>
      </c>
      <c r="AQ16" s="19">
        <f>SUM(AO$14:AO16)</f>
        <v>129930630.54479015</v>
      </c>
      <c r="AR16" s="19"/>
      <c r="AT16" s="22">
        <f t="shared" si="5"/>
        <v>1193670440.9326017</v>
      </c>
      <c r="AU16" s="22">
        <f t="shared" si="6"/>
        <v>1501725812.272975</v>
      </c>
      <c r="AV16" s="22">
        <f t="shared" si="7"/>
        <v>885615069.59222806</v>
      </c>
    </row>
    <row r="17" spans="1:48" ht="15" customHeight="1" x14ac:dyDescent="0.4">
      <c r="A17" s="7" t="s">
        <v>69</v>
      </c>
      <c r="B17" s="9" t="s">
        <v>70</v>
      </c>
      <c r="C17" s="93">
        <f>INDEX('Fibre shortfall inputs'!$B$4:$AT$6,MATCH(B17,'Fibre shortfall inputs'!$A$4:$A$6,0),MATCH($B$14,'Fibre shortfall inputs'!$B$3:$AT$3,0))</f>
        <v>1193.6704409326017</v>
      </c>
      <c r="D17" s="11"/>
      <c r="E17" s="39">
        <f t="shared" si="8"/>
        <v>0.76004991831717383</v>
      </c>
      <c r="F17" s="39">
        <f t="shared" si="9"/>
        <v>0.73775849896960277</v>
      </c>
      <c r="G17" s="12" t="s">
        <v>71</v>
      </c>
      <c r="H17" s="9">
        <f t="shared" si="32"/>
        <v>4</v>
      </c>
      <c r="I17" s="19">
        <f t="shared" si="0"/>
        <v>3840000</v>
      </c>
      <c r="J17" s="19">
        <f t="shared" si="10"/>
        <v>960000</v>
      </c>
      <c r="K17" s="19">
        <f t="shared" si="1"/>
        <v>1344000</v>
      </c>
      <c r="L17" s="19">
        <f>$C$31*'Fibre shortfall inputs'!$K$24-K17</f>
        <v>6589332.6000000006</v>
      </c>
      <c r="M17" s="58">
        <v>12.061703353155286</v>
      </c>
      <c r="N17" s="10">
        <f t="shared" si="2"/>
        <v>14.811703353155286</v>
      </c>
      <c r="O17" s="19">
        <f t="shared" si="11"/>
        <v>953742901.39770532</v>
      </c>
      <c r="P17" s="19">
        <f t="shared" si="12"/>
        <v>238883151.67968845</v>
      </c>
      <c r="Q17" s="19">
        <f t="shared" si="13"/>
        <v>1192626053.0773938</v>
      </c>
      <c r="R17" s="58">
        <v>13.221431222108746</v>
      </c>
      <c r="S17" s="10">
        <f t="shared" si="14"/>
        <v>1.1597278689534605</v>
      </c>
      <c r="T17" s="10">
        <f t="shared" si="3"/>
        <v>15.971431222108746</v>
      </c>
      <c r="U17" s="10">
        <f t="shared" si="15"/>
        <v>1.1597278689534605</v>
      </c>
      <c r="V17" s="19">
        <f t="shared" si="16"/>
        <v>1045444893.2459881</v>
      </c>
      <c r="W17" s="19">
        <f t="shared" si="17"/>
        <v>257587242.75016987</v>
      </c>
      <c r="X17" s="19">
        <f t="shared" si="18"/>
        <v>1303032135.9961581</v>
      </c>
      <c r="Y17" s="58">
        <v>13.221431222108746</v>
      </c>
      <c r="Z17" s="10">
        <f t="shared" si="19"/>
        <v>1.1597278689534605</v>
      </c>
      <c r="AA17" s="10">
        <f t="shared" si="4"/>
        <v>15.971431222108746</v>
      </c>
      <c r="AB17" s="10">
        <f t="shared" si="20"/>
        <v>1.1597278689534605</v>
      </c>
      <c r="AC17" s="19">
        <f t="shared" si="21"/>
        <v>1045444893.2459881</v>
      </c>
      <c r="AD17" s="19">
        <f t="shared" si="22"/>
        <v>257587242.75016987</v>
      </c>
      <c r="AE17" s="19">
        <f t="shared" si="23"/>
        <v>1303032135.9961581</v>
      </c>
      <c r="AF17" s="19">
        <f t="shared" si="24"/>
        <v>724892214.30291033</v>
      </c>
      <c r="AG17" s="19">
        <f t="shared" si="24"/>
        <v>176238075.41233489</v>
      </c>
      <c r="AH17" s="108">
        <f t="shared" si="25"/>
        <v>901130289.71524525</v>
      </c>
      <c r="AI17" s="19">
        <f t="shared" si="26"/>
        <v>794590305.71671975</v>
      </c>
      <c r="AJ17" s="19">
        <f t="shared" si="26"/>
        <v>190037177.56508401</v>
      </c>
      <c r="AK17" s="108">
        <f t="shared" si="27"/>
        <v>984627483.28180373</v>
      </c>
      <c r="AL17" s="19">
        <f t="shared" si="28"/>
        <v>794590305.71671975</v>
      </c>
      <c r="AM17" s="19">
        <f t="shared" si="28"/>
        <v>190037177.56508401</v>
      </c>
      <c r="AN17" s="108">
        <f t="shared" si="29"/>
        <v>984627483.28180373</v>
      </c>
      <c r="AO17" s="19">
        <f t="shared" si="30"/>
        <v>83497193.56655848</v>
      </c>
      <c r="AP17" s="19">
        <f t="shared" si="31"/>
        <v>83497193.56655848</v>
      </c>
      <c r="AQ17" s="19">
        <f>SUM(AO$14:AO17)</f>
        <v>213427824.11134863</v>
      </c>
      <c r="AR17" s="19"/>
      <c r="AT17" s="22">
        <f t="shared" si="5"/>
        <v>1193670440.9326017</v>
      </c>
      <c r="AU17" s="22">
        <f t="shared" si="6"/>
        <v>1501725812.272975</v>
      </c>
      <c r="AV17" s="22">
        <f t="shared" si="7"/>
        <v>885615069.59222806</v>
      </c>
    </row>
    <row r="18" spans="1:48" ht="15" customHeight="1" x14ac:dyDescent="0.4">
      <c r="B18" s="9" t="s">
        <v>72</v>
      </c>
      <c r="C18" s="104">
        <f>INDEX('Fibre shortfall inputs'!$B$4:$AT$6,MATCH(B18,'Fibre shortfall inputs'!$A$4:$A$6,0),MATCH($B$14,'Fibre shortfall inputs'!$B$3:$AT$3,0))</f>
        <v>1501.725812272975</v>
      </c>
      <c r="D18" s="71"/>
      <c r="E18" s="39">
        <f t="shared" si="8"/>
        <v>0.70966378927840701</v>
      </c>
      <c r="F18" s="39">
        <f t="shared" si="9"/>
        <v>0.6837428164685847</v>
      </c>
      <c r="G18" s="9" t="s">
        <v>73</v>
      </c>
      <c r="H18" s="9">
        <f t="shared" si="32"/>
        <v>5</v>
      </c>
      <c r="I18" s="19">
        <f t="shared" si="0"/>
        <v>4800000</v>
      </c>
      <c r="J18" s="19">
        <f t="shared" si="10"/>
        <v>960000</v>
      </c>
      <c r="K18" s="19">
        <f t="shared" si="1"/>
        <v>1920000</v>
      </c>
      <c r="L18" s="19">
        <f>$C$31*'Fibre shortfall inputs'!$K$24-K18</f>
        <v>6013332.6000000006</v>
      </c>
      <c r="M18" s="58">
        <v>12.114697666499774</v>
      </c>
      <c r="N18" s="10">
        <f t="shared" si="2"/>
        <v>14.864697666499774</v>
      </c>
      <c r="O18" s="19">
        <f t="shared" si="11"/>
        <v>874196477.00528431</v>
      </c>
      <c r="P18" s="19">
        <f t="shared" si="12"/>
        <v>342482634.23615479</v>
      </c>
      <c r="Q18" s="19">
        <f t="shared" si="13"/>
        <v>1216679111.2414391</v>
      </c>
      <c r="R18" s="58">
        <v>13.594824196480877</v>
      </c>
      <c r="S18" s="10">
        <f t="shared" si="14"/>
        <v>1.4801265299811028</v>
      </c>
      <c r="T18" s="10">
        <f t="shared" si="3"/>
        <v>16.344824196480879</v>
      </c>
      <c r="U18" s="10">
        <f t="shared" si="15"/>
        <v>1.4801265299811046</v>
      </c>
      <c r="V18" s="19">
        <f t="shared" si="16"/>
        <v>981002394.38360715</v>
      </c>
      <c r="W18" s="19">
        <f t="shared" si="17"/>
        <v>376584749.4869194</v>
      </c>
      <c r="X18" s="19">
        <f t="shared" si="18"/>
        <v>1357587143.8705266</v>
      </c>
      <c r="Y18" s="58">
        <v>13.594824196480877</v>
      </c>
      <c r="Z18" s="10">
        <f t="shared" si="19"/>
        <v>1.4801265299811028</v>
      </c>
      <c r="AA18" s="10">
        <f t="shared" si="4"/>
        <v>16.344824196480879</v>
      </c>
      <c r="AB18" s="10">
        <f t="shared" si="20"/>
        <v>1.4801265299811046</v>
      </c>
      <c r="AC18" s="19">
        <f t="shared" si="21"/>
        <v>981002394.38360715</v>
      </c>
      <c r="AD18" s="19">
        <f t="shared" si="22"/>
        <v>376584749.4869194</v>
      </c>
      <c r="AE18" s="19">
        <f t="shared" si="23"/>
        <v>1357587143.8705266</v>
      </c>
      <c r="AF18" s="19">
        <f t="shared" si="24"/>
        <v>620385584.44540381</v>
      </c>
      <c r="AG18" s="19">
        <f t="shared" si="24"/>
        <v>234170040.92420861</v>
      </c>
      <c r="AH18" s="108">
        <f t="shared" si="25"/>
        <v>854555625.36961246</v>
      </c>
      <c r="AI18" s="19">
        <f t="shared" si="26"/>
        <v>696181876.48946095</v>
      </c>
      <c r="AJ18" s="19">
        <f t="shared" si="26"/>
        <v>257487117.25330269</v>
      </c>
      <c r="AK18" s="108">
        <f t="shared" si="27"/>
        <v>953668993.74276364</v>
      </c>
      <c r="AL18" s="19">
        <f t="shared" si="28"/>
        <v>696181876.48946095</v>
      </c>
      <c r="AM18" s="19">
        <f t="shared" si="28"/>
        <v>257487117.25330269</v>
      </c>
      <c r="AN18" s="108">
        <f t="shared" si="29"/>
        <v>953668993.74276364</v>
      </c>
      <c r="AO18" s="19">
        <f t="shared" si="30"/>
        <v>99113368.373151183</v>
      </c>
      <c r="AP18" s="19">
        <f t="shared" si="31"/>
        <v>99113368.373151183</v>
      </c>
      <c r="AQ18" s="109">
        <f>SUM(AO$14:AO18)</f>
        <v>312541192.48449981</v>
      </c>
      <c r="AR18" s="19">
        <f>AQ18</f>
        <v>312541192.48449981</v>
      </c>
      <c r="AS18" s="19">
        <f>AR18</f>
        <v>312541192.48449981</v>
      </c>
      <c r="AT18" s="22">
        <f t="shared" si="5"/>
        <v>1193670440.9326017</v>
      </c>
      <c r="AU18" s="22">
        <f t="shared" si="6"/>
        <v>1501725812.272975</v>
      </c>
      <c r="AV18" s="22">
        <f t="shared" si="7"/>
        <v>885615069.59222806</v>
      </c>
    </row>
    <row r="19" spans="1:48" x14ac:dyDescent="0.4">
      <c r="B19" s="9" t="s">
        <v>74</v>
      </c>
      <c r="C19" s="104">
        <f>INDEX('Fibre shortfall inputs'!$B$4:$AT$6,MATCH(B19,'Fibre shortfall inputs'!$A$4:$A$6,0),MATCH($B$14,'Fibre shortfall inputs'!$B$3:$AT$3,0))</f>
        <v>885.61506959222811</v>
      </c>
      <c r="D19" s="71"/>
      <c r="E19" s="39">
        <f t="shared" si="8"/>
        <v>0.66261791716004381</v>
      </c>
      <c r="F19" s="39">
        <f t="shared" si="9"/>
        <v>0.6336819429736652</v>
      </c>
      <c r="G19" s="9" t="s">
        <v>75</v>
      </c>
      <c r="H19" s="9">
        <f t="shared" si="32"/>
        <v>6</v>
      </c>
      <c r="I19" s="19">
        <f t="shared" si="0"/>
        <v>5602962.7999999998</v>
      </c>
      <c r="J19" s="19">
        <f t="shared" si="10"/>
        <v>802962.79999999981</v>
      </c>
      <c r="K19" s="19">
        <f t="shared" si="1"/>
        <v>2560592.56</v>
      </c>
      <c r="L19" s="19">
        <f>$C$31*'Fibre shortfall inputs'!$K$24-K19</f>
        <v>5372740.040000001</v>
      </c>
      <c r="M19" s="58">
        <v>12.365488839629904</v>
      </c>
      <c r="N19" s="10">
        <f t="shared" si="2"/>
        <v>15.115488839629904</v>
      </c>
      <c r="O19" s="19">
        <f t="shared" si="11"/>
        <v>797238684.03423285</v>
      </c>
      <c r="P19" s="19">
        <f t="shared" si="12"/>
        <v>464455299.1622324</v>
      </c>
      <c r="Q19" s="19">
        <f t="shared" si="13"/>
        <v>1261693983.1964653</v>
      </c>
      <c r="R19" s="58">
        <v>13.7112074443988</v>
      </c>
      <c r="S19" s="10">
        <f t="shared" si="14"/>
        <v>1.345718604768896</v>
      </c>
      <c r="T19" s="10">
        <f t="shared" si="3"/>
        <v>16.461207444398802</v>
      </c>
      <c r="U19" s="10">
        <f t="shared" si="15"/>
        <v>1.3457186047688978</v>
      </c>
      <c r="V19" s="19">
        <f t="shared" si="16"/>
        <v>884001038.79921019</v>
      </c>
      <c r="W19" s="19">
        <f t="shared" si="17"/>
        <v>505805343.72893023</v>
      </c>
      <c r="X19" s="19">
        <f t="shared" si="18"/>
        <v>1389806382.5281405</v>
      </c>
      <c r="Y19" s="58">
        <v>13.990787277993247</v>
      </c>
      <c r="Z19" s="10">
        <f t="shared" si="19"/>
        <v>1.6252984383633429</v>
      </c>
      <c r="AA19" s="10">
        <f t="shared" si="4"/>
        <v>16.740787277993249</v>
      </c>
      <c r="AB19" s="10">
        <f t="shared" si="20"/>
        <v>1.6252984383633446</v>
      </c>
      <c r="AC19" s="19">
        <f t="shared" si="21"/>
        <v>902026355.9951632</v>
      </c>
      <c r="AD19" s="19">
        <f t="shared" si="22"/>
        <v>514396024.23086596</v>
      </c>
      <c r="AE19" s="19">
        <f t="shared" si="23"/>
        <v>1416422380.2260292</v>
      </c>
      <c r="AF19" s="19">
        <f t="shared" si="24"/>
        <v>528264636.29417765</v>
      </c>
      <c r="AG19" s="19">
        <f t="shared" si="24"/>
        <v>294316936.39753836</v>
      </c>
      <c r="AH19" s="108">
        <f t="shared" si="25"/>
        <v>822581572.69171596</v>
      </c>
      <c r="AI19" s="19">
        <f t="shared" si="26"/>
        <v>585754927.09644771</v>
      </c>
      <c r="AJ19" s="19">
        <f t="shared" si="26"/>
        <v>320519712.98061109</v>
      </c>
      <c r="AK19" s="108">
        <f t="shared" si="27"/>
        <v>906274640.07705879</v>
      </c>
      <c r="AL19" s="19">
        <f t="shared" si="28"/>
        <v>597698825.2329793</v>
      </c>
      <c r="AM19" s="19">
        <f t="shared" si="28"/>
        <v>325963472.09254372</v>
      </c>
      <c r="AN19" s="108">
        <f t="shared" si="29"/>
        <v>923662297.32552302</v>
      </c>
      <c r="AO19" s="19">
        <f t="shared" si="30"/>
        <v>83693067.385342836</v>
      </c>
      <c r="AP19" s="19">
        <f t="shared" si="31"/>
        <v>101080724.63380706</v>
      </c>
      <c r="AQ19" s="19"/>
      <c r="AR19" s="19">
        <f>SUM(AO$14:AO19)</f>
        <v>396234259.86984265</v>
      </c>
      <c r="AS19" s="19">
        <f>SUM(AP$14:AP19)</f>
        <v>413621917.11830688</v>
      </c>
      <c r="AT19" s="22">
        <f t="shared" si="5"/>
        <v>1193670440.9326017</v>
      </c>
      <c r="AU19" s="22">
        <f t="shared" si="6"/>
        <v>1501725812.272975</v>
      </c>
      <c r="AV19" s="22">
        <f t="shared" si="7"/>
        <v>885615069.59222806</v>
      </c>
    </row>
    <row r="20" spans="1:48" x14ac:dyDescent="0.4">
      <c r="A20" s="71"/>
      <c r="B20" s="71"/>
      <c r="C20" s="25"/>
      <c r="D20" s="71"/>
      <c r="E20" s="39">
        <f t="shared" si="8"/>
        <v>0.61869086569565257</v>
      </c>
      <c r="F20" s="39">
        <f t="shared" si="9"/>
        <v>0.58728632342322995</v>
      </c>
      <c r="G20" s="9" t="s">
        <v>76</v>
      </c>
      <c r="H20" s="9">
        <f t="shared" si="32"/>
        <v>7</v>
      </c>
      <c r="I20" s="19">
        <f t="shared" si="0"/>
        <v>6405925.5999999996</v>
      </c>
      <c r="J20" s="19">
        <f t="shared" si="10"/>
        <v>802962.79999999981</v>
      </c>
      <c r="K20" s="19">
        <f t="shared" si="1"/>
        <v>3281481.4</v>
      </c>
      <c r="L20" s="19">
        <f>$C$31*'Fibre shortfall inputs'!$K$24-K20</f>
        <v>4651851.2000000011</v>
      </c>
      <c r="M20" s="58">
        <v>12.60911836840536</v>
      </c>
      <c r="N20" s="10">
        <f t="shared" si="2"/>
        <v>15.35911836840536</v>
      </c>
      <c r="O20" s="19">
        <f t="shared" si="11"/>
        <v>703868908.95610237</v>
      </c>
      <c r="P20" s="19">
        <f t="shared" si="12"/>
        <v>604807934.95584643</v>
      </c>
      <c r="Q20" s="19">
        <f t="shared" si="13"/>
        <v>1308676843.9119487</v>
      </c>
      <c r="R20" s="58">
        <v>13.756795667578308</v>
      </c>
      <c r="S20" s="10">
        <f t="shared" si="14"/>
        <v>1.1476772991729476</v>
      </c>
      <c r="T20" s="10">
        <f t="shared" si="3"/>
        <v>16.506795667578309</v>
      </c>
      <c r="U20" s="10">
        <f t="shared" si="15"/>
        <v>1.1476772991729494</v>
      </c>
      <c r="V20" s="19">
        <f t="shared" si="16"/>
        <v>767934797.21254754</v>
      </c>
      <c r="W20" s="19">
        <f t="shared" si="17"/>
        <v>650000915.48110569</v>
      </c>
      <c r="X20" s="19">
        <f t="shared" si="18"/>
        <v>1417935712.6936531</v>
      </c>
      <c r="Y20" s="58">
        <v>14.32353423465066</v>
      </c>
      <c r="Z20" s="10">
        <f t="shared" si="19"/>
        <v>1.7144158662453002</v>
      </c>
      <c r="AA20" s="10">
        <f t="shared" si="4"/>
        <v>17.073534234650658</v>
      </c>
      <c r="AB20" s="10">
        <f t="shared" si="20"/>
        <v>1.7144158662452984</v>
      </c>
      <c r="AC20" s="19">
        <f t="shared" si="21"/>
        <v>799571399.01240933</v>
      </c>
      <c r="AD20" s="19">
        <f t="shared" si="22"/>
        <v>672317820.2792325</v>
      </c>
      <c r="AE20" s="19">
        <f t="shared" si="23"/>
        <v>1471889219.2916417</v>
      </c>
      <c r="AF20" s="19">
        <f t="shared" si="24"/>
        <v>435477264.61830544</v>
      </c>
      <c r="AG20" s="19">
        <f t="shared" si="24"/>
        <v>355195428.49741507</v>
      </c>
      <c r="AH20" s="108">
        <f t="shared" si="25"/>
        <v>790672693.11572051</v>
      </c>
      <c r="AI20" s="19">
        <f t="shared" si="26"/>
        <v>475114244.48524642</v>
      </c>
      <c r="AJ20" s="19">
        <f t="shared" si="26"/>
        <v>381736647.87463218</v>
      </c>
      <c r="AK20" s="108">
        <f t="shared" si="27"/>
        <v>856850892.35987854</v>
      </c>
      <c r="AL20" s="19">
        <f t="shared" si="28"/>
        <v>494687521.04047155</v>
      </c>
      <c r="AM20" s="19">
        <f t="shared" si="28"/>
        <v>394843060.8437103</v>
      </c>
      <c r="AN20" s="108">
        <f t="shared" si="29"/>
        <v>889530581.88418186</v>
      </c>
      <c r="AO20" s="19">
        <f t="shared" si="30"/>
        <v>66178199.24415803</v>
      </c>
      <c r="AP20" s="19">
        <f t="shared" si="31"/>
        <v>98857888.768461347</v>
      </c>
      <c r="AQ20" s="19"/>
      <c r="AR20" s="19">
        <f>SUM(AO$14:AO20)</f>
        <v>462412459.11400068</v>
      </c>
      <c r="AS20" s="19">
        <f>SUM(AP$14:AP20)</f>
        <v>512479805.88676822</v>
      </c>
      <c r="AT20" s="22">
        <f t="shared" si="5"/>
        <v>1193670440.9326017</v>
      </c>
      <c r="AU20" s="22">
        <f t="shared" si="6"/>
        <v>1501725812.272975</v>
      </c>
      <c r="AV20" s="22">
        <f t="shared" si="7"/>
        <v>885615069.59222806</v>
      </c>
    </row>
    <row r="21" spans="1:48" ht="14.25" x14ac:dyDescent="0.45">
      <c r="A21" s="2" t="s">
        <v>77</v>
      </c>
      <c r="B21" s="119" t="s">
        <v>78</v>
      </c>
      <c r="C21" s="25">
        <f>IF(B21="Flat nominal cap",0,IF(B21="CPI cap",$C$28,IF(B21="CPI-X cap 2 periods",POWER($N$33/$T$23,1/10)-1,POWER($N$28/$T$23,1/$C$34)-1)))</f>
        <v>0</v>
      </c>
      <c r="D21" s="71"/>
      <c r="E21" s="39">
        <f t="shared" si="8"/>
        <v>0.57767587833394263</v>
      </c>
      <c r="F21" s="39">
        <f t="shared" si="9"/>
        <v>0.54428760280188138</v>
      </c>
      <c r="G21" s="9" t="s">
        <v>79</v>
      </c>
      <c r="H21" s="9">
        <f t="shared" si="32"/>
        <v>8</v>
      </c>
      <c r="I21" s="19">
        <f t="shared" si="0"/>
        <v>7208888.4000000004</v>
      </c>
      <c r="J21" s="19">
        <f t="shared" si="10"/>
        <v>802962.80000000075</v>
      </c>
      <c r="K21" s="19">
        <f t="shared" si="1"/>
        <v>4082666.52</v>
      </c>
      <c r="L21" s="19">
        <f>$C$31*'Fibre shortfall inputs'!$K$24-K21</f>
        <v>3850666.0800000005</v>
      </c>
      <c r="M21" s="58">
        <v>12.886326093143731</v>
      </c>
      <c r="N21" s="10">
        <f t="shared" si="2"/>
        <v>15.636326093143731</v>
      </c>
      <c r="O21" s="19">
        <f t="shared" si="11"/>
        <v>595451265.39224994</v>
      </c>
      <c r="P21" s="19">
        <f t="shared" si="12"/>
        <v>766054860.43536377</v>
      </c>
      <c r="Q21" s="19">
        <f t="shared" si="13"/>
        <v>1361506125.8276138</v>
      </c>
      <c r="R21" s="58">
        <v>13.894848922940165</v>
      </c>
      <c r="S21" s="10">
        <f t="shared" si="14"/>
        <v>1.0085228297964335</v>
      </c>
      <c r="T21" s="10">
        <f t="shared" si="3"/>
        <v>16.644848922940163</v>
      </c>
      <c r="U21" s="10">
        <f t="shared" si="15"/>
        <v>1.0085228297964317</v>
      </c>
      <c r="V21" s="19">
        <f t="shared" si="16"/>
        <v>642053081.21148288</v>
      </c>
      <c r="W21" s="19">
        <f t="shared" si="17"/>
        <v>815464409.13775039</v>
      </c>
      <c r="X21" s="19">
        <f t="shared" si="18"/>
        <v>1457517490.3492332</v>
      </c>
      <c r="Y21" s="58">
        <v>14.762271375342744</v>
      </c>
      <c r="Z21" s="10">
        <f t="shared" si="19"/>
        <v>1.8759452821990124</v>
      </c>
      <c r="AA21" s="10">
        <f t="shared" si="4"/>
        <v>17.512271375342742</v>
      </c>
      <c r="AB21" s="10">
        <f t="shared" si="20"/>
        <v>1.8759452821990106</v>
      </c>
      <c r="AC21" s="19">
        <f t="shared" si="21"/>
        <v>682134931.78544712</v>
      </c>
      <c r="AD21" s="19">
        <f t="shared" si="22"/>
        <v>857961168.399194</v>
      </c>
      <c r="AE21" s="19">
        <f t="shared" si="23"/>
        <v>1540096100.1846411</v>
      </c>
      <c r="AF21" s="19">
        <f t="shared" si="24"/>
        <v>343977832.74052554</v>
      </c>
      <c r="AG21" s="19">
        <f t="shared" si="24"/>
        <v>416954163.60109395</v>
      </c>
      <c r="AH21" s="108">
        <f t="shared" si="25"/>
        <v>760931996.34161949</v>
      </c>
      <c r="AI21" s="19">
        <f t="shared" si="26"/>
        <v>370898577.62585759</v>
      </c>
      <c r="AJ21" s="19">
        <f t="shared" si="26"/>
        <v>443847168.41983879</v>
      </c>
      <c r="AK21" s="108">
        <f t="shared" si="27"/>
        <v>814745746.04569638</v>
      </c>
      <c r="AL21" s="19">
        <f t="shared" si="28"/>
        <v>394052895.86142218</v>
      </c>
      <c r="AM21" s="19">
        <f t="shared" si="28"/>
        <v>466977627.64509857</v>
      </c>
      <c r="AN21" s="108">
        <f t="shared" si="29"/>
        <v>861030523.50652075</v>
      </c>
      <c r="AO21" s="19">
        <f t="shared" si="30"/>
        <v>53813749.704076886</v>
      </c>
      <c r="AP21" s="19">
        <f t="shared" si="31"/>
        <v>100098527.16490126</v>
      </c>
      <c r="AQ21" s="19"/>
      <c r="AR21" s="19">
        <f>SUM(AO$14:AO21)</f>
        <v>516226208.81807756</v>
      </c>
      <c r="AS21" s="19">
        <f>SUM(AP$14:AP21)</f>
        <v>612578333.05166948</v>
      </c>
      <c r="AT21" s="22">
        <f t="shared" si="5"/>
        <v>1193670440.9326017</v>
      </c>
      <c r="AU21" s="22">
        <f t="shared" si="6"/>
        <v>1501725812.272975</v>
      </c>
      <c r="AV21" s="22">
        <f t="shared" si="7"/>
        <v>885615069.59222806</v>
      </c>
    </row>
    <row r="22" spans="1:48" ht="14.25" x14ac:dyDescent="0.45">
      <c r="A22" s="2" t="s">
        <v>80</v>
      </c>
      <c r="B22" s="119" t="s">
        <v>78</v>
      </c>
      <c r="C22" s="25">
        <f>IF(B21="CPI-X cap 2 periods",C21,IF(B22="Flat nominal cap",C29,IF(B22="CPI cap",$C$28,POWER($N$33/$T$28,1/$C$34)-1)))</f>
        <v>0</v>
      </c>
      <c r="D22" s="71"/>
      <c r="E22" s="39">
        <f t="shared" si="8"/>
        <v>0.53937990507370936</v>
      </c>
      <c r="F22" s="39">
        <f t="shared" si="9"/>
        <v>0.50443707395911164</v>
      </c>
      <c r="G22" s="9" t="s">
        <v>81</v>
      </c>
      <c r="H22" s="9">
        <f t="shared" si="32"/>
        <v>9</v>
      </c>
      <c r="I22" s="19">
        <f t="shared" si="0"/>
        <v>8011851.2000000002</v>
      </c>
      <c r="J22" s="19">
        <f t="shared" si="10"/>
        <v>802962.79999999981</v>
      </c>
      <c r="K22" s="19">
        <f t="shared" si="1"/>
        <v>4389079.9769956628</v>
      </c>
      <c r="L22" s="19">
        <f>$C$31*'Fibre shortfall inputs'!$K$24-K22</f>
        <v>3544252.6230043378</v>
      </c>
      <c r="M22" s="58">
        <v>13.152546567478716</v>
      </c>
      <c r="N22" s="10">
        <f t="shared" si="2"/>
        <v>15.902546567478716</v>
      </c>
      <c r="O22" s="19">
        <f t="shared" si="11"/>
        <v>559391372.0516777</v>
      </c>
      <c r="P22" s="19">
        <f t="shared" si="12"/>
        <v>837570584.67074323</v>
      </c>
      <c r="Q22" s="19">
        <f t="shared" si="13"/>
        <v>1396961956.7224209</v>
      </c>
      <c r="R22" s="58">
        <v>13.953545232223753</v>
      </c>
      <c r="S22" s="10">
        <f t="shared" si="14"/>
        <v>0.80099866474503756</v>
      </c>
      <c r="T22" s="10">
        <f t="shared" si="3"/>
        <v>16.703545232223753</v>
      </c>
      <c r="U22" s="10">
        <f t="shared" si="15"/>
        <v>0.80099866474503756</v>
      </c>
      <c r="V22" s="19">
        <f t="shared" si="16"/>
        <v>593458671.47422445</v>
      </c>
      <c r="W22" s="19">
        <f t="shared" si="17"/>
        <v>879758351.0831356</v>
      </c>
      <c r="X22" s="19">
        <f t="shared" si="18"/>
        <v>1473217022.5573602</v>
      </c>
      <c r="Y22" s="58">
        <v>15.126915190467606</v>
      </c>
      <c r="Z22" s="10">
        <f t="shared" si="19"/>
        <v>1.9743686229888908</v>
      </c>
      <c r="AA22" s="10">
        <f t="shared" si="4"/>
        <v>17.876915190467606</v>
      </c>
      <c r="AB22" s="10">
        <f t="shared" si="20"/>
        <v>1.9743686229888908</v>
      </c>
      <c r="AC22" s="19">
        <f t="shared" si="21"/>
        <v>643363306.10134768</v>
      </c>
      <c r="AD22" s="19">
        <f t="shared" si="22"/>
        <v>941558526.15517163</v>
      </c>
      <c r="AE22" s="19">
        <f t="shared" si="23"/>
        <v>1584921832.2565193</v>
      </c>
      <c r="AF22" s="19">
        <f t="shared" si="24"/>
        <v>301724465.15628594</v>
      </c>
      <c r="AG22" s="19">
        <f t="shared" si="24"/>
        <v>422501654.96553206</v>
      </c>
      <c r="AH22" s="108">
        <f t="shared" si="25"/>
        <v>724226120.12181807</v>
      </c>
      <c r="AI22" s="19">
        <f t="shared" si="26"/>
        <v>320099681.88493687</v>
      </c>
      <c r="AJ22" s="19">
        <f t="shared" si="26"/>
        <v>443782728.41146976</v>
      </c>
      <c r="AK22" s="108">
        <f t="shared" si="27"/>
        <v>763882410.29640663</v>
      </c>
      <c r="AL22" s="19">
        <f t="shared" si="28"/>
        <v>347017238.97285271</v>
      </c>
      <c r="AM22" s="19">
        <f t="shared" si="28"/>
        <v>474957027.89496845</v>
      </c>
      <c r="AN22" s="108">
        <f t="shared" si="29"/>
        <v>821974266.86782122</v>
      </c>
      <c r="AO22" s="19">
        <f t="shared" si="30"/>
        <v>39656290.174588561</v>
      </c>
      <c r="AP22" s="19">
        <f t="shared" si="31"/>
        <v>97748146.746003151</v>
      </c>
      <c r="AQ22" s="19"/>
      <c r="AR22" s="19">
        <f>SUM(AO$14:AO22)</f>
        <v>555882498.99266613</v>
      </c>
      <c r="AS22" s="19">
        <f>SUM(AP$14:AP22)</f>
        <v>710326479.79767263</v>
      </c>
      <c r="AT22" s="22">
        <f t="shared" si="5"/>
        <v>1193670440.9326017</v>
      </c>
      <c r="AU22" s="22">
        <f t="shared" si="6"/>
        <v>1501725812.272975</v>
      </c>
      <c r="AV22" s="22">
        <f t="shared" si="7"/>
        <v>885615069.59222806</v>
      </c>
    </row>
    <row r="23" spans="1:48" x14ac:dyDescent="0.4">
      <c r="A23" s="2" t="s">
        <v>82</v>
      </c>
      <c r="C23" s="116">
        <v>1</v>
      </c>
      <c r="D23" s="71"/>
      <c r="E23" s="39">
        <f t="shared" si="8"/>
        <v>0.50362269381298719</v>
      </c>
      <c r="F23" s="39">
        <f t="shared" si="9"/>
        <v>0.46750423907239264</v>
      </c>
      <c r="G23" s="9" t="s">
        <v>83</v>
      </c>
      <c r="H23" s="9">
        <f t="shared" si="32"/>
        <v>10</v>
      </c>
      <c r="I23" s="19">
        <f t="shared" si="0"/>
        <v>8814814</v>
      </c>
      <c r="J23" s="19">
        <f t="shared" si="10"/>
        <v>802962.79999999981</v>
      </c>
      <c r="K23" s="19">
        <f t="shared" si="1"/>
        <v>4389079.9769956628</v>
      </c>
      <c r="L23" s="19">
        <f>$C$31*'Fibre shortfall inputs'!$K$24-K23</f>
        <v>3544252.6230043378</v>
      </c>
      <c r="M23" s="58">
        <v>13.500602936132481</v>
      </c>
      <c r="N23" s="10">
        <f t="shared" si="2"/>
        <v>16.250602936132481</v>
      </c>
      <c r="O23" s="19">
        <f t="shared" si="11"/>
        <v>574194568.42233133</v>
      </c>
      <c r="P23" s="19">
        <f t="shared" si="12"/>
        <v>855902351.53303206</v>
      </c>
      <c r="Q23" s="19">
        <f t="shared" si="13"/>
        <v>1430096919.9553633</v>
      </c>
      <c r="R23" s="58">
        <v>14.012821074363316</v>
      </c>
      <c r="S23" s="10">
        <f t="shared" si="14"/>
        <v>0.51221813823083551</v>
      </c>
      <c r="T23" s="10">
        <f t="shared" si="3"/>
        <v>16.762821074363316</v>
      </c>
      <c r="U23" s="10">
        <f t="shared" si="15"/>
        <v>0.51221813823083551</v>
      </c>
      <c r="V23" s="19">
        <f t="shared" si="16"/>
        <v>595979734.18203175</v>
      </c>
      <c r="W23" s="19">
        <f t="shared" si="17"/>
        <v>882880348.02538741</v>
      </c>
      <c r="X23" s="19">
        <f t="shared" si="18"/>
        <v>1478860082.2074192</v>
      </c>
      <c r="Y23" s="58">
        <v>15.500932889406828</v>
      </c>
      <c r="Z23" s="10">
        <f t="shared" si="19"/>
        <v>2.0003299532743473</v>
      </c>
      <c r="AA23" s="10">
        <f t="shared" si="4"/>
        <v>18.250932889406826</v>
      </c>
      <c r="AB23" s="10">
        <f t="shared" si="20"/>
        <v>2.0003299532743455</v>
      </c>
      <c r="AC23" s="19">
        <f t="shared" si="21"/>
        <v>659270664.62753224</v>
      </c>
      <c r="AD23" s="19">
        <f t="shared" si="22"/>
        <v>961257649.27664518</v>
      </c>
      <c r="AE23" s="19">
        <f t="shared" si="23"/>
        <v>1620528313.9041774</v>
      </c>
      <c r="AF23" s="19">
        <f t="shared" si="24"/>
        <v>289177415.32164007</v>
      </c>
      <c r="AG23" s="19">
        <f t="shared" si="24"/>
        <v>400137977.57372165</v>
      </c>
      <c r="AH23" s="108">
        <f t="shared" si="25"/>
        <v>689315392.89536166</v>
      </c>
      <c r="AI23" s="19">
        <f t="shared" si="26"/>
        <v>300148919.18670285</v>
      </c>
      <c r="AJ23" s="19">
        <f t="shared" si="26"/>
        <v>412750305.29557794</v>
      </c>
      <c r="AK23" s="108">
        <f t="shared" si="27"/>
        <v>712899224.48228073</v>
      </c>
      <c r="AL23" s="19">
        <f t="shared" si="28"/>
        <v>332023668.07159621</v>
      </c>
      <c r="AM23" s="19">
        <f t="shared" si="28"/>
        <v>449392025.87759489</v>
      </c>
      <c r="AN23" s="108">
        <f t="shared" si="29"/>
        <v>781415693.94919109</v>
      </c>
      <c r="AO23" s="19">
        <f t="shared" si="30"/>
        <v>23583831.586919069</v>
      </c>
      <c r="AP23" s="19">
        <f t="shared" si="31"/>
        <v>92100301.053829432</v>
      </c>
      <c r="AQ23" s="19"/>
      <c r="AR23" s="19">
        <f>SUM(AO$14:AO23)</f>
        <v>579466330.57958519</v>
      </c>
      <c r="AS23" s="19">
        <f>SUM(AP$14:AP23)</f>
        <v>802426780.85150206</v>
      </c>
      <c r="AT23" s="22">
        <f t="shared" si="5"/>
        <v>1193670440.9326017</v>
      </c>
      <c r="AU23" s="22">
        <f t="shared" si="6"/>
        <v>1501725812.272975</v>
      </c>
      <c r="AV23" s="22">
        <f t="shared" si="7"/>
        <v>885615069.59222806</v>
      </c>
    </row>
    <row r="24" spans="1:48" x14ac:dyDescent="0.4">
      <c r="A24" s="2" t="s">
        <v>84</v>
      </c>
      <c r="B24" s="52" t="str">
        <f>$B$17</f>
        <v>Central</v>
      </c>
      <c r="C24" s="105">
        <f>INDEX('Fibre shortfall inputs'!$B$18:$B$20,MATCH($B$24,'Fibre shortfall inputs'!$A$18:$A$20,0))</f>
        <v>2.75</v>
      </c>
      <c r="E24" s="39">
        <f t="shared" si="8"/>
        <v>0.4702359419355624</v>
      </c>
      <c r="F24" s="39">
        <f t="shared" si="9"/>
        <v>0.43327547643409886</v>
      </c>
      <c r="G24" s="9" t="s">
        <v>85</v>
      </c>
      <c r="H24" s="9">
        <f t="shared" si="32"/>
        <v>11</v>
      </c>
      <c r="I24" s="19">
        <f t="shared" si="0"/>
        <v>8814814</v>
      </c>
      <c r="J24" s="19">
        <f t="shared" si="10"/>
        <v>0</v>
      </c>
      <c r="K24" s="19">
        <f t="shared" si="1"/>
        <v>7933332.6000000006</v>
      </c>
      <c r="L24" s="19">
        <f>$C$31*'Fibre shortfall inputs'!$K$24-K24</f>
        <v>0</v>
      </c>
      <c r="M24" s="58">
        <f>M23</f>
        <v>13.500602936132481</v>
      </c>
      <c r="N24" s="10">
        <f t="shared" si="2"/>
        <v>15.175602936132481</v>
      </c>
      <c r="O24" s="19">
        <f t="shared" si="11"/>
        <v>0</v>
      </c>
      <c r="P24" s="19">
        <f t="shared" si="12"/>
        <v>1444717265.9745064</v>
      </c>
      <c r="Q24" s="19">
        <f t="shared" si="13"/>
        <v>1444717265.9745064</v>
      </c>
      <c r="R24" s="10"/>
      <c r="S24" s="10"/>
      <c r="T24" s="10">
        <f t="shared" si="3"/>
        <v>16.762821074363316</v>
      </c>
      <c r="U24" s="10">
        <f t="shared" si="15"/>
        <v>1.5872181382308348</v>
      </c>
      <c r="V24" s="19">
        <f t="shared" si="16"/>
        <v>0</v>
      </c>
      <c r="W24" s="19">
        <f t="shared" si="17"/>
        <v>1595820418.7665625</v>
      </c>
      <c r="X24" s="19">
        <f t="shared" si="18"/>
        <v>1595820418.7665625</v>
      </c>
      <c r="AA24" s="10">
        <f t="shared" si="4"/>
        <v>18.250932889406826</v>
      </c>
      <c r="AB24" s="10">
        <f t="shared" si="20"/>
        <v>3.0753299532743448</v>
      </c>
      <c r="AC24" s="19">
        <f t="shared" si="21"/>
        <v>0</v>
      </c>
      <c r="AD24" s="19">
        <f t="shared" si="22"/>
        <v>1737488650.4633207</v>
      </c>
      <c r="AE24" s="19">
        <f t="shared" si="23"/>
        <v>1737488650.4633207</v>
      </c>
      <c r="AF24" s="19">
        <f t="shared" si="24"/>
        <v>0</v>
      </c>
      <c r="AG24" s="19">
        <f t="shared" si="24"/>
        <v>625960561.72767293</v>
      </c>
      <c r="AH24" s="108">
        <f t="shared" si="25"/>
        <v>625960561.72767293</v>
      </c>
      <c r="AI24" s="19">
        <f t="shared" si="26"/>
        <v>0</v>
      </c>
      <c r="AJ24" s="19">
        <f t="shared" si="26"/>
        <v>691429852.24434555</v>
      </c>
      <c r="AK24" s="108">
        <f t="shared" si="27"/>
        <v>691429852.24434555</v>
      </c>
      <c r="AL24" s="19">
        <f t="shared" si="28"/>
        <v>0</v>
      </c>
      <c r="AM24" s="19">
        <f t="shared" si="28"/>
        <v>752811222.82833481</v>
      </c>
      <c r="AN24" s="108">
        <f t="shared" si="29"/>
        <v>752811222.82833481</v>
      </c>
      <c r="AO24" s="19">
        <f t="shared" si="30"/>
        <v>65469290.516672611</v>
      </c>
      <c r="AP24" s="19">
        <f t="shared" si="31"/>
        <v>126850661.10066187</v>
      </c>
      <c r="AQ24" s="19"/>
      <c r="AR24" s="19">
        <f>SUM(AO$14:AO24)</f>
        <v>644935621.09625781</v>
      </c>
      <c r="AS24" s="19">
        <f>SUM(AP$14:AP24)</f>
        <v>929277441.95216393</v>
      </c>
      <c r="AT24" s="22">
        <f t="shared" si="5"/>
        <v>1193670440.9326017</v>
      </c>
      <c r="AU24" s="22">
        <f t="shared" si="6"/>
        <v>1501725812.272975</v>
      </c>
      <c r="AV24" s="22">
        <f t="shared" si="7"/>
        <v>885615069.59222806</v>
      </c>
    </row>
    <row r="25" spans="1:48" x14ac:dyDescent="0.4">
      <c r="A25" s="2" t="s">
        <v>86</v>
      </c>
      <c r="B25" s="52" t="str">
        <f>$B$17</f>
        <v>Central</v>
      </c>
      <c r="C25" s="105">
        <f>INDEX('Fibre shortfall inputs'!$C$18:$C$20,MATCH($B$24,'Fibre shortfall inputs'!$A$18:$A$20,0))</f>
        <v>1.675</v>
      </c>
      <c r="E25" s="39">
        <f t="shared" si="8"/>
        <v>0.43906250414151476</v>
      </c>
      <c r="F25" s="39">
        <f t="shared" si="9"/>
        <v>0.40155280485087941</v>
      </c>
      <c r="G25" s="9" t="s">
        <v>87</v>
      </c>
      <c r="H25" s="9">
        <f t="shared" si="32"/>
        <v>12</v>
      </c>
      <c r="I25" s="19">
        <f t="shared" si="0"/>
        <v>8814814</v>
      </c>
      <c r="J25" s="19">
        <f t="shared" si="10"/>
        <v>0</v>
      </c>
      <c r="K25" s="19">
        <f t="shared" si="1"/>
        <v>7933332.6000000006</v>
      </c>
      <c r="L25" s="19">
        <f>$C$31*'Fibre shortfall inputs'!$K$24-K25</f>
        <v>0</v>
      </c>
      <c r="M25" s="58">
        <f t="shared" ref="M25:M33" si="33">M24</f>
        <v>13.500602936132481</v>
      </c>
      <c r="N25" s="10">
        <f t="shared" si="2"/>
        <v>15.175602936132481</v>
      </c>
      <c r="O25" s="19">
        <f t="shared" si="11"/>
        <v>0</v>
      </c>
      <c r="P25" s="19">
        <f t="shared" si="12"/>
        <v>1444717265.9745064</v>
      </c>
      <c r="Q25" s="19">
        <f t="shared" si="13"/>
        <v>1444717265.9745064</v>
      </c>
      <c r="R25" s="10"/>
      <c r="S25" s="10"/>
      <c r="T25" s="10">
        <f t="shared" si="3"/>
        <v>16.762821074363316</v>
      </c>
      <c r="U25" s="10">
        <f t="shared" si="15"/>
        <v>1.5872181382308348</v>
      </c>
      <c r="V25" s="19">
        <f t="shared" si="16"/>
        <v>0</v>
      </c>
      <c r="W25" s="19">
        <f t="shared" si="17"/>
        <v>1595820418.7665625</v>
      </c>
      <c r="X25" s="19">
        <f t="shared" si="18"/>
        <v>1595820418.7665625</v>
      </c>
      <c r="AA25" s="10">
        <f t="shared" si="4"/>
        <v>18.250932889406826</v>
      </c>
      <c r="AB25" s="10">
        <f t="shared" si="20"/>
        <v>3.0753299532743448</v>
      </c>
      <c r="AC25" s="19">
        <f t="shared" si="21"/>
        <v>0</v>
      </c>
      <c r="AD25" s="19">
        <f t="shared" si="22"/>
        <v>1737488650.4633207</v>
      </c>
      <c r="AE25" s="19">
        <f t="shared" si="23"/>
        <v>1737488650.4633207</v>
      </c>
      <c r="AF25" s="19">
        <f t="shared" si="24"/>
        <v>0</v>
      </c>
      <c r="AG25" s="19">
        <f t="shared" si="24"/>
        <v>580130270.36855698</v>
      </c>
      <c r="AH25" s="108">
        <f t="shared" si="25"/>
        <v>580130270.36855698</v>
      </c>
      <c r="AI25" s="19">
        <f t="shared" si="26"/>
        <v>0</v>
      </c>
      <c r="AJ25" s="19">
        <f t="shared" si="26"/>
        <v>640806165.19401813</v>
      </c>
      <c r="AK25" s="108">
        <f t="shared" si="27"/>
        <v>640806165.19401813</v>
      </c>
      <c r="AL25" s="19">
        <f t="shared" si="28"/>
        <v>0</v>
      </c>
      <c r="AM25" s="19">
        <f t="shared" si="28"/>
        <v>697693440.99011564</v>
      </c>
      <c r="AN25" s="108">
        <f t="shared" si="29"/>
        <v>697693440.99011564</v>
      </c>
      <c r="AO25" s="19">
        <f t="shared" si="30"/>
        <v>60675894.825461149</v>
      </c>
      <c r="AP25" s="19">
        <f t="shared" si="31"/>
        <v>117563170.62155867</v>
      </c>
      <c r="AQ25" s="19"/>
      <c r="AR25" s="19">
        <f>SUM(AO$14:AO25)</f>
        <v>705611515.92171896</v>
      </c>
      <c r="AS25" s="19">
        <f>SUM(AP$14:AP25)</f>
        <v>1046840612.5737226</v>
      </c>
      <c r="AT25" s="22">
        <f t="shared" si="5"/>
        <v>1193670440.9326017</v>
      </c>
      <c r="AU25" s="22">
        <f t="shared" si="6"/>
        <v>1501725812.272975</v>
      </c>
      <c r="AV25" s="22">
        <f t="shared" si="7"/>
        <v>885615069.59222806</v>
      </c>
    </row>
    <row r="26" spans="1:48" x14ac:dyDescent="0.4">
      <c r="A26" s="2" t="s">
        <v>88</v>
      </c>
      <c r="C26" s="106">
        <f>INDEX('CPI-X model inputs'!$C$38:$E$38,,MATCH('Copper price inputs'!$B$4,'CPI-X model inputs'!$C$35:$E$35,0))</f>
        <v>7.9000000000000001E-2</v>
      </c>
      <c r="E26" s="39">
        <f t="shared" si="8"/>
        <v>0.40995565279319773</v>
      </c>
      <c r="F26" s="39">
        <f t="shared" si="9"/>
        <v>0.37215273850869274</v>
      </c>
      <c r="G26" s="9" t="s">
        <v>89</v>
      </c>
      <c r="H26" s="9">
        <f t="shared" si="32"/>
        <v>13</v>
      </c>
      <c r="I26" s="19">
        <f t="shared" si="0"/>
        <v>8814814</v>
      </c>
      <c r="J26" s="19">
        <f t="shared" si="10"/>
        <v>0</v>
      </c>
      <c r="K26" s="19">
        <f t="shared" si="1"/>
        <v>7933332.6000000006</v>
      </c>
      <c r="L26" s="19">
        <f>$C$31*'Fibre shortfall inputs'!$K$24-K26</f>
        <v>0</v>
      </c>
      <c r="M26" s="58">
        <f t="shared" si="33"/>
        <v>13.500602936132481</v>
      </c>
      <c r="N26" s="10">
        <f t="shared" si="2"/>
        <v>15.175602936132481</v>
      </c>
      <c r="O26" s="19">
        <f t="shared" si="11"/>
        <v>0</v>
      </c>
      <c r="P26" s="19">
        <f t="shared" si="12"/>
        <v>1444717265.9745064</v>
      </c>
      <c r="Q26" s="19">
        <f t="shared" si="13"/>
        <v>1444717265.9745064</v>
      </c>
      <c r="R26" s="10"/>
      <c r="S26" s="10"/>
      <c r="T26" s="10">
        <f t="shared" si="3"/>
        <v>16.762821074363316</v>
      </c>
      <c r="U26" s="10">
        <f t="shared" si="15"/>
        <v>1.5872181382308348</v>
      </c>
      <c r="V26" s="19">
        <f t="shared" si="16"/>
        <v>0</v>
      </c>
      <c r="W26" s="19">
        <f t="shared" si="17"/>
        <v>1595820418.7665625</v>
      </c>
      <c r="X26" s="19">
        <f t="shared" si="18"/>
        <v>1595820418.7665625</v>
      </c>
      <c r="AA26" s="10">
        <f t="shared" si="4"/>
        <v>18.250932889406826</v>
      </c>
      <c r="AB26" s="10">
        <f t="shared" si="20"/>
        <v>3.0753299532743448</v>
      </c>
      <c r="AC26" s="19">
        <f t="shared" si="21"/>
        <v>0</v>
      </c>
      <c r="AD26" s="19">
        <f t="shared" si="22"/>
        <v>1737488650.4633207</v>
      </c>
      <c r="AE26" s="19">
        <f t="shared" si="23"/>
        <v>1737488650.4633207</v>
      </c>
      <c r="AF26" s="19">
        <f t="shared" si="24"/>
        <v>0</v>
      </c>
      <c r="AG26" s="19">
        <f t="shared" si="24"/>
        <v>537655486.90320396</v>
      </c>
      <c r="AH26" s="108">
        <f t="shared" si="25"/>
        <v>537655486.90320396</v>
      </c>
      <c r="AI26" s="19">
        <f t="shared" si="26"/>
        <v>0</v>
      </c>
      <c r="AJ26" s="19">
        <f t="shared" si="26"/>
        <v>593888939.01206505</v>
      </c>
      <c r="AK26" s="108">
        <f t="shared" si="27"/>
        <v>593888939.01206505</v>
      </c>
      <c r="AL26" s="19">
        <f t="shared" si="28"/>
        <v>0</v>
      </c>
      <c r="AM26" s="19">
        <f t="shared" si="28"/>
        <v>646611159.39769769</v>
      </c>
      <c r="AN26" s="108">
        <f t="shared" si="29"/>
        <v>646611159.39769769</v>
      </c>
      <c r="AO26" s="19">
        <f t="shared" si="30"/>
        <v>56233452.108861089</v>
      </c>
      <c r="AP26" s="19">
        <f t="shared" si="31"/>
        <v>108955672.49449372</v>
      </c>
      <c r="AQ26" s="19"/>
      <c r="AR26" s="19">
        <f>SUM(AO$14:AO26)</f>
        <v>761844968.03058004</v>
      </c>
      <c r="AS26" s="19">
        <f>SUM(AP$14:AP26)</f>
        <v>1155796285.0682163</v>
      </c>
      <c r="AT26" s="22">
        <f t="shared" si="5"/>
        <v>1193670440.9326017</v>
      </c>
      <c r="AU26" s="22">
        <f t="shared" si="6"/>
        <v>1501725812.272975</v>
      </c>
      <c r="AV26" s="22">
        <f t="shared" si="7"/>
        <v>885615069.59222806</v>
      </c>
    </row>
    <row r="27" spans="1:48" x14ac:dyDescent="0.4">
      <c r="A27" s="7" t="s">
        <v>90</v>
      </c>
      <c r="C27" s="106">
        <f>INDEX('CPI-X model inputs'!$C$37:$E$37,,MATCH('Copper price inputs'!$B$4,'CPI-X model inputs'!$C$35:$E$35,0))</f>
        <v>7.0999999999999994E-2</v>
      </c>
      <c r="E27" s="39">
        <f t="shared" si="8"/>
        <v>0.382778387295236</v>
      </c>
      <c r="F27" s="39">
        <f t="shared" si="9"/>
        <v>0.34490522567997478</v>
      </c>
      <c r="G27" s="9" t="s">
        <v>91</v>
      </c>
      <c r="H27" s="9">
        <f t="shared" si="32"/>
        <v>14</v>
      </c>
      <c r="I27" s="19">
        <f t="shared" si="0"/>
        <v>8814814</v>
      </c>
      <c r="J27" s="19">
        <f t="shared" si="10"/>
        <v>0</v>
      </c>
      <c r="K27" s="19">
        <f t="shared" si="1"/>
        <v>7933332.6000000006</v>
      </c>
      <c r="L27" s="19">
        <f>$C$31*'Fibre shortfall inputs'!$K$24-K27</f>
        <v>0</v>
      </c>
      <c r="M27" s="58">
        <f t="shared" si="33"/>
        <v>13.500602936132481</v>
      </c>
      <c r="N27" s="10">
        <f t="shared" si="2"/>
        <v>15.175602936132481</v>
      </c>
      <c r="O27" s="19">
        <f t="shared" si="11"/>
        <v>0</v>
      </c>
      <c r="P27" s="19">
        <f t="shared" si="12"/>
        <v>1444717265.9745064</v>
      </c>
      <c r="Q27" s="19">
        <f t="shared" si="13"/>
        <v>1444717265.9745064</v>
      </c>
      <c r="R27" s="10"/>
      <c r="S27" s="10"/>
      <c r="T27" s="10">
        <f t="shared" si="3"/>
        <v>16.762821074363316</v>
      </c>
      <c r="U27" s="10">
        <f t="shared" si="15"/>
        <v>1.5872181382308348</v>
      </c>
      <c r="V27" s="19">
        <f t="shared" si="16"/>
        <v>0</v>
      </c>
      <c r="W27" s="19">
        <f t="shared" si="17"/>
        <v>1595820418.7665625</v>
      </c>
      <c r="X27" s="19">
        <f t="shared" si="18"/>
        <v>1595820418.7665625</v>
      </c>
      <c r="AA27" s="10">
        <f t="shared" si="4"/>
        <v>18.250932889406826</v>
      </c>
      <c r="AB27" s="10">
        <f t="shared" si="20"/>
        <v>3.0753299532743448</v>
      </c>
      <c r="AC27" s="19">
        <f t="shared" si="21"/>
        <v>0</v>
      </c>
      <c r="AD27" s="19">
        <f t="shared" si="22"/>
        <v>1737488650.4633207</v>
      </c>
      <c r="AE27" s="19">
        <f t="shared" si="23"/>
        <v>1737488650.4633207</v>
      </c>
      <c r="AF27" s="19">
        <f t="shared" si="24"/>
        <v>0</v>
      </c>
      <c r="AG27" s="19">
        <f t="shared" si="24"/>
        <v>498290534.6646933</v>
      </c>
      <c r="AH27" s="108">
        <f t="shared" si="25"/>
        <v>498290534.6646933</v>
      </c>
      <c r="AI27" s="19">
        <f t="shared" si="26"/>
        <v>0</v>
      </c>
      <c r="AJ27" s="19">
        <f t="shared" si="26"/>
        <v>550406801.67939305</v>
      </c>
      <c r="AK27" s="108">
        <f t="shared" si="27"/>
        <v>550406801.67939305</v>
      </c>
      <c r="AL27" s="19">
        <f t="shared" si="28"/>
        <v>0</v>
      </c>
      <c r="AM27" s="19">
        <f t="shared" si="28"/>
        <v>599268915.10444641</v>
      </c>
      <c r="AN27" s="108">
        <f t="shared" si="29"/>
        <v>599268915.10444641</v>
      </c>
      <c r="AO27" s="19">
        <f t="shared" si="30"/>
        <v>52116267.014699757</v>
      </c>
      <c r="AP27" s="19">
        <f t="shared" si="31"/>
        <v>100978380.43975312</v>
      </c>
      <c r="AQ27" s="19"/>
      <c r="AR27" s="19">
        <f>SUM(AO$14:AO27)</f>
        <v>813961235.04527974</v>
      </c>
      <c r="AS27" s="19">
        <f>SUM(AP$14:AP27)</f>
        <v>1256774665.5079694</v>
      </c>
      <c r="AT27" s="22">
        <f t="shared" si="5"/>
        <v>1193670440.9326017</v>
      </c>
      <c r="AU27" s="22">
        <f t="shared" si="6"/>
        <v>1501725812.272975</v>
      </c>
      <c r="AV27" s="22">
        <f t="shared" si="7"/>
        <v>885615069.59222806</v>
      </c>
    </row>
    <row r="28" spans="1:48" x14ac:dyDescent="0.4">
      <c r="A28" s="7" t="s">
        <v>92</v>
      </c>
      <c r="C28" s="16">
        <v>0.02</v>
      </c>
      <c r="E28" s="39">
        <f t="shared" si="8"/>
        <v>0.35740278925792346</v>
      </c>
      <c r="F28" s="39">
        <f t="shared" si="9"/>
        <v>0.31965266513436025</v>
      </c>
      <c r="G28" s="9" t="s">
        <v>93</v>
      </c>
      <c r="H28" s="9">
        <f t="shared" si="32"/>
        <v>15</v>
      </c>
      <c r="I28" s="19">
        <f t="shared" si="0"/>
        <v>8814814</v>
      </c>
      <c r="J28" s="19">
        <f t="shared" si="10"/>
        <v>0</v>
      </c>
      <c r="K28" s="19">
        <f t="shared" si="1"/>
        <v>7933332.6000000006</v>
      </c>
      <c r="L28" s="19">
        <f>$C$31*'Fibre shortfall inputs'!$K$24-K28</f>
        <v>0</v>
      </c>
      <c r="M28" s="58">
        <f t="shared" si="33"/>
        <v>13.500602936132481</v>
      </c>
      <c r="N28" s="10">
        <f t="shared" si="2"/>
        <v>15.175602936132481</v>
      </c>
      <c r="O28" s="19">
        <f t="shared" si="11"/>
        <v>0</v>
      </c>
      <c r="P28" s="19">
        <f t="shared" si="12"/>
        <v>1444717265.9745064</v>
      </c>
      <c r="Q28" s="19">
        <f t="shared" si="13"/>
        <v>1444717265.9745064</v>
      </c>
      <c r="R28" s="10"/>
      <c r="S28" s="10"/>
      <c r="T28" s="10">
        <f t="shared" si="3"/>
        <v>16.762821074363316</v>
      </c>
      <c r="U28" s="10">
        <f t="shared" si="15"/>
        <v>1.5872181382308348</v>
      </c>
      <c r="V28" s="19">
        <f t="shared" si="16"/>
        <v>0</v>
      </c>
      <c r="W28" s="19">
        <f t="shared" si="17"/>
        <v>1595820418.7665625</v>
      </c>
      <c r="X28" s="19">
        <f t="shared" si="18"/>
        <v>1595820418.7665625</v>
      </c>
      <c r="AA28" s="10">
        <f t="shared" si="4"/>
        <v>18.250932889406826</v>
      </c>
      <c r="AB28" s="10">
        <f t="shared" si="20"/>
        <v>3.0753299532743448</v>
      </c>
      <c r="AC28" s="19">
        <f t="shared" si="21"/>
        <v>0</v>
      </c>
      <c r="AD28" s="19">
        <f t="shared" si="22"/>
        <v>1737488650.4633207</v>
      </c>
      <c r="AE28" s="19">
        <f t="shared" si="23"/>
        <v>1737488650.4633207</v>
      </c>
      <c r="AF28" s="19">
        <f t="shared" si="24"/>
        <v>0</v>
      </c>
      <c r="AG28" s="19">
        <f t="shared" si="24"/>
        <v>461807724.43437737</v>
      </c>
      <c r="AH28" s="108">
        <f t="shared" si="25"/>
        <v>461807724.43437737</v>
      </c>
      <c r="AI28" s="19">
        <f t="shared" si="26"/>
        <v>0</v>
      </c>
      <c r="AJ28" s="19">
        <f t="shared" si="26"/>
        <v>510108249.9345625</v>
      </c>
      <c r="AK28" s="108">
        <f t="shared" si="27"/>
        <v>510108249.9345625</v>
      </c>
      <c r="AL28" s="19">
        <f t="shared" si="28"/>
        <v>0</v>
      </c>
      <c r="AM28" s="19">
        <f t="shared" si="28"/>
        <v>555392877.76130331</v>
      </c>
      <c r="AN28" s="108">
        <f t="shared" si="29"/>
        <v>555392877.76130331</v>
      </c>
      <c r="AO28" s="19">
        <f t="shared" si="30"/>
        <v>48300525.500185132</v>
      </c>
      <c r="AP28" s="19">
        <f t="shared" si="31"/>
        <v>93585153.326925933</v>
      </c>
      <c r="AQ28" s="19"/>
      <c r="AR28" s="19">
        <f>SUM(AO$14:AO28)</f>
        <v>862261760.54546487</v>
      </c>
      <c r="AS28" s="19">
        <f>SUM(AP$14:AP28)</f>
        <v>1350359818.8348954</v>
      </c>
      <c r="AT28" s="22">
        <f t="shared" si="5"/>
        <v>1193670440.9326017</v>
      </c>
      <c r="AU28" s="22">
        <f t="shared" si="6"/>
        <v>1501725812.272975</v>
      </c>
      <c r="AV28" s="22">
        <f t="shared" si="7"/>
        <v>885615069.59222806</v>
      </c>
    </row>
    <row r="29" spans="1:48" x14ac:dyDescent="0.4">
      <c r="A29" s="7" t="s">
        <v>78</v>
      </c>
      <c r="B29" s="7"/>
      <c r="C29" s="16">
        <v>0</v>
      </c>
      <c r="E29" s="39">
        <f t="shared" si="8"/>
        <v>0.33370942040889212</v>
      </c>
      <c r="F29" s="39">
        <f t="shared" si="9"/>
        <v>0.29624899456381865</v>
      </c>
      <c r="G29" s="9" t="s">
        <v>94</v>
      </c>
      <c r="H29" s="9">
        <f t="shared" si="32"/>
        <v>16</v>
      </c>
      <c r="I29" s="19">
        <f t="shared" si="0"/>
        <v>8814814</v>
      </c>
      <c r="J29" s="19">
        <f t="shared" si="10"/>
        <v>0</v>
      </c>
      <c r="K29" s="19">
        <f t="shared" si="1"/>
        <v>7933332.6000000006</v>
      </c>
      <c r="L29" s="19">
        <f>$C$31*'Fibre shortfall inputs'!$K$24-K29</f>
        <v>0</v>
      </c>
      <c r="M29" s="58">
        <f t="shared" si="33"/>
        <v>13.500602936132481</v>
      </c>
      <c r="N29" s="10">
        <f t="shared" si="2"/>
        <v>15.175602936132481</v>
      </c>
      <c r="O29" s="19">
        <f t="shared" si="11"/>
        <v>0</v>
      </c>
      <c r="P29" s="19">
        <f t="shared" si="12"/>
        <v>1444717265.9745064</v>
      </c>
      <c r="Q29" s="19">
        <f t="shared" si="13"/>
        <v>1444717265.9745064</v>
      </c>
      <c r="R29" s="10"/>
      <c r="S29" s="10"/>
      <c r="T29" s="10">
        <f t="shared" si="3"/>
        <v>16.762821074363316</v>
      </c>
      <c r="U29" s="10">
        <f t="shared" si="15"/>
        <v>1.5872181382308348</v>
      </c>
      <c r="V29" s="19">
        <f t="shared" si="16"/>
        <v>0</v>
      </c>
      <c r="W29" s="19">
        <f t="shared" si="17"/>
        <v>1595820418.7665625</v>
      </c>
      <c r="X29" s="19">
        <f t="shared" si="18"/>
        <v>1595820418.7665625</v>
      </c>
      <c r="AA29" s="10">
        <f t="shared" si="4"/>
        <v>18.250932889406826</v>
      </c>
      <c r="AB29" s="10">
        <f t="shared" si="20"/>
        <v>3.0753299532743448</v>
      </c>
      <c r="AC29" s="19">
        <f t="shared" si="21"/>
        <v>0</v>
      </c>
      <c r="AD29" s="19">
        <f t="shared" si="22"/>
        <v>1737488650.4633207</v>
      </c>
      <c r="AE29" s="19">
        <f t="shared" si="23"/>
        <v>1737488650.4633207</v>
      </c>
      <c r="AF29" s="19">
        <f t="shared" si="24"/>
        <v>0</v>
      </c>
      <c r="AG29" s="19">
        <f t="shared" si="24"/>
        <v>427996037.4739365</v>
      </c>
      <c r="AH29" s="108">
        <f t="shared" si="25"/>
        <v>427996037.4739365</v>
      </c>
      <c r="AI29" s="19">
        <f t="shared" si="26"/>
        <v>0</v>
      </c>
      <c r="AJ29" s="19">
        <f t="shared" si="26"/>
        <v>472760194.56400615</v>
      </c>
      <c r="AK29" s="108">
        <f t="shared" si="27"/>
        <v>472760194.56400615</v>
      </c>
      <c r="AL29" s="19">
        <f t="shared" si="28"/>
        <v>0</v>
      </c>
      <c r="AM29" s="19">
        <f t="shared" si="28"/>
        <v>514729265.76580489</v>
      </c>
      <c r="AN29" s="108">
        <f t="shared" si="29"/>
        <v>514729265.76580489</v>
      </c>
      <c r="AO29" s="19">
        <f t="shared" si="30"/>
        <v>44764157.090069652</v>
      </c>
      <c r="AP29" s="19">
        <f t="shared" si="31"/>
        <v>86733228.291868389</v>
      </c>
      <c r="AQ29" s="19"/>
      <c r="AR29" s="19">
        <f>SUM(AO$14:AO29)</f>
        <v>907025917.63553452</v>
      </c>
      <c r="AS29" s="19">
        <f>SUM(AP$14:AP29)</f>
        <v>1437093047.1267638</v>
      </c>
      <c r="AT29" s="22">
        <f t="shared" si="5"/>
        <v>1193670440.9326017</v>
      </c>
      <c r="AU29" s="22">
        <f t="shared" si="6"/>
        <v>1501725812.272975</v>
      </c>
      <c r="AV29" s="22">
        <f t="shared" si="7"/>
        <v>885615069.59222806</v>
      </c>
    </row>
    <row r="30" spans="1:48" x14ac:dyDescent="0.4">
      <c r="E30" s="39">
        <f t="shared" si="8"/>
        <v>0.31158676041913363</v>
      </c>
      <c r="F30" s="39">
        <f t="shared" si="9"/>
        <v>0.27455884574960027</v>
      </c>
      <c r="G30" s="9" t="s">
        <v>95</v>
      </c>
      <c r="H30" s="9">
        <f t="shared" si="32"/>
        <v>17</v>
      </c>
      <c r="I30" s="19">
        <f t="shared" si="0"/>
        <v>8814814</v>
      </c>
      <c r="J30" s="19">
        <f t="shared" si="10"/>
        <v>0</v>
      </c>
      <c r="K30" s="19">
        <f t="shared" si="1"/>
        <v>7933332.6000000006</v>
      </c>
      <c r="L30" s="19">
        <f>$C$31*'Fibre shortfall inputs'!$K$24-K30</f>
        <v>0</v>
      </c>
      <c r="M30" s="58">
        <f t="shared" si="33"/>
        <v>13.500602936132481</v>
      </c>
      <c r="N30" s="10">
        <f t="shared" si="2"/>
        <v>15.175602936132481</v>
      </c>
      <c r="O30" s="19">
        <f t="shared" si="11"/>
        <v>0</v>
      </c>
      <c r="P30" s="19">
        <f t="shared" si="12"/>
        <v>1444717265.9745064</v>
      </c>
      <c r="Q30" s="19">
        <f t="shared" si="13"/>
        <v>1444717265.9745064</v>
      </c>
      <c r="R30" s="10"/>
      <c r="S30" s="10"/>
      <c r="T30" s="10">
        <f t="shared" si="3"/>
        <v>16.762821074363316</v>
      </c>
      <c r="U30" s="10">
        <f t="shared" si="15"/>
        <v>1.5872181382308348</v>
      </c>
      <c r="V30" s="19">
        <f t="shared" si="16"/>
        <v>0</v>
      </c>
      <c r="W30" s="19">
        <f t="shared" si="17"/>
        <v>1595820418.7665625</v>
      </c>
      <c r="X30" s="19">
        <f t="shared" si="18"/>
        <v>1595820418.7665625</v>
      </c>
      <c r="AA30" s="10">
        <f t="shared" si="4"/>
        <v>18.250932889406826</v>
      </c>
      <c r="AB30" s="10">
        <f t="shared" si="20"/>
        <v>3.0753299532743448</v>
      </c>
      <c r="AC30" s="19">
        <f t="shared" si="21"/>
        <v>0</v>
      </c>
      <c r="AD30" s="19">
        <f t="shared" si="22"/>
        <v>1737488650.4633207</v>
      </c>
      <c r="AE30" s="19">
        <f t="shared" si="23"/>
        <v>1737488650.4633207</v>
      </c>
      <c r="AF30" s="19">
        <f t="shared" si="24"/>
        <v>0</v>
      </c>
      <c r="AG30" s="19">
        <f t="shared" si="24"/>
        <v>396659904.9804787</v>
      </c>
      <c r="AH30" s="108">
        <f t="shared" si="25"/>
        <v>396659904.9804787</v>
      </c>
      <c r="AI30" s="19">
        <f t="shared" si="26"/>
        <v>0</v>
      </c>
      <c r="AJ30" s="19">
        <f t="shared" si="26"/>
        <v>438146612.20019114</v>
      </c>
      <c r="AK30" s="108">
        <f t="shared" si="27"/>
        <v>438146612.20019114</v>
      </c>
      <c r="AL30" s="19">
        <f t="shared" si="28"/>
        <v>0</v>
      </c>
      <c r="AM30" s="19">
        <f t="shared" si="28"/>
        <v>477042878.37423998</v>
      </c>
      <c r="AN30" s="108">
        <f t="shared" si="29"/>
        <v>477042878.37423998</v>
      </c>
      <c r="AO30" s="19">
        <f t="shared" si="30"/>
        <v>41486707.219712436</v>
      </c>
      <c r="AP30" s="19">
        <f t="shared" si="31"/>
        <v>80382973.393761277</v>
      </c>
      <c r="AQ30" s="19"/>
      <c r="AR30" s="19">
        <f>SUM(AO$14:AO30)</f>
        <v>948512624.85524702</v>
      </c>
      <c r="AS30" s="19">
        <f>SUM(AP$14:AP30)</f>
        <v>1517476020.520525</v>
      </c>
      <c r="AT30" s="22">
        <f t="shared" si="5"/>
        <v>1193670440.9326017</v>
      </c>
      <c r="AU30" s="22">
        <f t="shared" si="6"/>
        <v>1501725812.272975</v>
      </c>
      <c r="AV30" s="22">
        <f t="shared" si="7"/>
        <v>885615069.59222806</v>
      </c>
    </row>
    <row r="31" spans="1:48" ht="14.25" x14ac:dyDescent="0.45">
      <c r="A31" s="2" t="s">
        <v>96</v>
      </c>
      <c r="B31" s="32" t="s">
        <v>97</v>
      </c>
      <c r="C31" s="107">
        <v>8814814</v>
      </c>
      <c r="E31" s="39">
        <f t="shared" si="8"/>
        <v>0.29093068199732369</v>
      </c>
      <c r="F31" s="39">
        <f t="shared" si="9"/>
        <v>0.25445676158443026</v>
      </c>
      <c r="G31" s="9" t="s">
        <v>98</v>
      </c>
      <c r="H31" s="9">
        <f t="shared" si="32"/>
        <v>18</v>
      </c>
      <c r="I31" s="19">
        <f t="shared" si="0"/>
        <v>8814814</v>
      </c>
      <c r="J31" s="19">
        <f t="shared" si="10"/>
        <v>0</v>
      </c>
      <c r="K31" s="19">
        <f t="shared" si="1"/>
        <v>7933332.6000000006</v>
      </c>
      <c r="L31" s="19">
        <f>$C$31*'Fibre shortfall inputs'!$K$24-K31</f>
        <v>0</v>
      </c>
      <c r="M31" s="58">
        <f t="shared" si="33"/>
        <v>13.500602936132481</v>
      </c>
      <c r="N31" s="10">
        <f t="shared" si="2"/>
        <v>15.175602936132481</v>
      </c>
      <c r="O31" s="19">
        <f t="shared" si="11"/>
        <v>0</v>
      </c>
      <c r="P31" s="19">
        <f t="shared" si="12"/>
        <v>1444717265.9745064</v>
      </c>
      <c r="Q31" s="19">
        <f t="shared" si="13"/>
        <v>1444717265.9745064</v>
      </c>
      <c r="R31" s="10"/>
      <c r="S31" s="10"/>
      <c r="T31" s="10">
        <f t="shared" si="3"/>
        <v>16.762821074363316</v>
      </c>
      <c r="U31" s="10">
        <f t="shared" si="15"/>
        <v>1.5872181382308348</v>
      </c>
      <c r="V31" s="19">
        <f t="shared" si="16"/>
        <v>0</v>
      </c>
      <c r="W31" s="19">
        <f t="shared" si="17"/>
        <v>1595820418.7665625</v>
      </c>
      <c r="X31" s="19">
        <f t="shared" si="18"/>
        <v>1595820418.7665625</v>
      </c>
      <c r="AA31" s="10">
        <f t="shared" si="4"/>
        <v>18.250932889406826</v>
      </c>
      <c r="AB31" s="10">
        <f t="shared" si="20"/>
        <v>3.0753299532743448</v>
      </c>
      <c r="AC31" s="19">
        <f t="shared" si="21"/>
        <v>0</v>
      </c>
      <c r="AD31" s="19">
        <f t="shared" si="22"/>
        <v>1737488650.4633207</v>
      </c>
      <c r="AE31" s="19">
        <f t="shared" si="23"/>
        <v>1737488650.4633207</v>
      </c>
      <c r="AF31" s="19">
        <f t="shared" si="24"/>
        <v>0</v>
      </c>
      <c r="AG31" s="19">
        <f t="shared" si="24"/>
        <v>367618076.90498489</v>
      </c>
      <c r="AH31" s="108">
        <f t="shared" si="25"/>
        <v>367618076.90498489</v>
      </c>
      <c r="AI31" s="19">
        <f t="shared" si="26"/>
        <v>0</v>
      </c>
      <c r="AJ31" s="19">
        <f t="shared" si="26"/>
        <v>406067295.82964885</v>
      </c>
      <c r="AK31" s="108">
        <f t="shared" si="27"/>
        <v>406067295.82964885</v>
      </c>
      <c r="AL31" s="19">
        <f t="shared" si="28"/>
        <v>0</v>
      </c>
      <c r="AM31" s="19">
        <f t="shared" si="28"/>
        <v>442115735.28659868</v>
      </c>
      <c r="AN31" s="108">
        <f t="shared" si="29"/>
        <v>442115735.28659868</v>
      </c>
      <c r="AO31" s="19">
        <f t="shared" si="30"/>
        <v>38449218.924663961</v>
      </c>
      <c r="AP31" s="19">
        <f t="shared" si="31"/>
        <v>74497658.381613791</v>
      </c>
      <c r="AQ31" s="19"/>
      <c r="AR31" s="19">
        <f>SUM(AO$14:AO31)</f>
        <v>986961843.77991104</v>
      </c>
      <c r="AS31" s="19">
        <f>SUM(AP$14:AP31)</f>
        <v>1591973678.9021387</v>
      </c>
      <c r="AT31" s="22">
        <f t="shared" si="5"/>
        <v>1193670440.9326017</v>
      </c>
      <c r="AU31" s="22">
        <f t="shared" si="6"/>
        <v>1501725812.272975</v>
      </c>
      <c r="AV31" s="22">
        <f t="shared" si="7"/>
        <v>885615069.59222806</v>
      </c>
    </row>
    <row r="32" spans="1:48" x14ac:dyDescent="0.4">
      <c r="A32" s="2" t="s">
        <v>99</v>
      </c>
      <c r="C32" s="19">
        <f>C31*'Fibre shortfall inputs'!K24</f>
        <v>7933332.6000000006</v>
      </c>
      <c r="E32" s="39">
        <f t="shared" si="8"/>
        <v>0.27164396078181485</v>
      </c>
      <c r="F32" s="39">
        <f t="shared" si="9"/>
        <v>0.23582647042115873</v>
      </c>
      <c r="G32" s="9" t="s">
        <v>100</v>
      </c>
      <c r="H32" s="9">
        <f t="shared" si="32"/>
        <v>19</v>
      </c>
      <c r="I32" s="19">
        <f t="shared" si="0"/>
        <v>8814814</v>
      </c>
      <c r="J32" s="19">
        <f t="shared" si="10"/>
        <v>0</v>
      </c>
      <c r="K32" s="19">
        <f t="shared" si="1"/>
        <v>7933332.6000000006</v>
      </c>
      <c r="L32" s="19">
        <f>$C$31*'Fibre shortfall inputs'!$K$24-K32</f>
        <v>0</v>
      </c>
      <c r="M32" s="58">
        <f t="shared" si="33"/>
        <v>13.500602936132481</v>
      </c>
      <c r="N32" s="10">
        <f t="shared" si="2"/>
        <v>15.175602936132481</v>
      </c>
      <c r="O32" s="19">
        <f t="shared" si="11"/>
        <v>0</v>
      </c>
      <c r="P32" s="19">
        <f t="shared" si="12"/>
        <v>1444717265.9745064</v>
      </c>
      <c r="Q32" s="19">
        <f t="shared" si="13"/>
        <v>1444717265.9745064</v>
      </c>
      <c r="R32" s="10"/>
      <c r="S32" s="10"/>
      <c r="T32" s="10">
        <f t="shared" si="3"/>
        <v>16.762821074363316</v>
      </c>
      <c r="U32" s="10">
        <f t="shared" si="15"/>
        <v>1.5872181382308348</v>
      </c>
      <c r="V32" s="19">
        <f t="shared" si="16"/>
        <v>0</v>
      </c>
      <c r="W32" s="19">
        <f t="shared" si="17"/>
        <v>1595820418.7665625</v>
      </c>
      <c r="X32" s="19">
        <f t="shared" si="18"/>
        <v>1595820418.7665625</v>
      </c>
      <c r="AA32" s="10">
        <f t="shared" si="4"/>
        <v>18.250932889406826</v>
      </c>
      <c r="AB32" s="10">
        <f t="shared" si="20"/>
        <v>3.0753299532743448</v>
      </c>
      <c r="AC32" s="19">
        <f t="shared" si="21"/>
        <v>0</v>
      </c>
      <c r="AD32" s="19">
        <f t="shared" si="22"/>
        <v>1737488650.4633207</v>
      </c>
      <c r="AE32" s="19">
        <f t="shared" si="23"/>
        <v>1737488650.4633207</v>
      </c>
      <c r="AF32" s="19">
        <f t="shared" si="24"/>
        <v>0</v>
      </c>
      <c r="AG32" s="19">
        <f t="shared" si="24"/>
        <v>340702573.59127426</v>
      </c>
      <c r="AH32" s="108">
        <f t="shared" si="25"/>
        <v>340702573.59127426</v>
      </c>
      <c r="AI32" s="19">
        <f t="shared" si="26"/>
        <v>0</v>
      </c>
      <c r="AJ32" s="19">
        <f t="shared" si="26"/>
        <v>376336696.7837339</v>
      </c>
      <c r="AK32" s="108">
        <f t="shared" si="27"/>
        <v>376336696.7837339</v>
      </c>
      <c r="AL32" s="19">
        <f t="shared" si="28"/>
        <v>0</v>
      </c>
      <c r="AM32" s="19">
        <f t="shared" si="28"/>
        <v>409745815.83558732</v>
      </c>
      <c r="AN32" s="108">
        <f t="shared" si="29"/>
        <v>409745815.83558732</v>
      </c>
      <c r="AO32" s="19">
        <f t="shared" si="30"/>
        <v>35634123.192459643</v>
      </c>
      <c r="AP32" s="19">
        <f t="shared" si="31"/>
        <v>69043242.244313061</v>
      </c>
      <c r="AQ32" s="19"/>
      <c r="AR32" s="19">
        <f>SUM(AO$14:AO32)</f>
        <v>1022595966.9723706</v>
      </c>
      <c r="AS32" s="19">
        <f>SUM(AP$14:AP32)</f>
        <v>1661016921.1464517</v>
      </c>
      <c r="AT32" s="22">
        <f t="shared" si="5"/>
        <v>1193670440.9326017</v>
      </c>
      <c r="AU32" s="22">
        <f t="shared" si="6"/>
        <v>1501725812.272975</v>
      </c>
      <c r="AV32" s="22">
        <f t="shared" si="7"/>
        <v>885615069.59222806</v>
      </c>
    </row>
    <row r="33" spans="1:48" x14ac:dyDescent="0.4">
      <c r="A33" s="2" t="s">
        <v>101</v>
      </c>
      <c r="C33" s="107">
        <f>'Copper price inputs'!AC27</f>
        <v>3544252.6230043378</v>
      </c>
      <c r="E33" s="39">
        <f t="shared" si="8"/>
        <v>0.2536358177234499</v>
      </c>
      <c r="F33" s="39">
        <f t="shared" si="9"/>
        <v>0.21856021355065688</v>
      </c>
      <c r="G33" s="9" t="s">
        <v>102</v>
      </c>
      <c r="H33" s="9">
        <f t="shared" si="32"/>
        <v>20</v>
      </c>
      <c r="I33" s="19">
        <f t="shared" si="0"/>
        <v>8814814</v>
      </c>
      <c r="J33" s="19">
        <f t="shared" si="10"/>
        <v>0</v>
      </c>
      <c r="K33" s="19">
        <f t="shared" si="1"/>
        <v>7933332.6000000006</v>
      </c>
      <c r="L33" s="19">
        <f>$C$31*'Fibre shortfall inputs'!$K$24-K33</f>
        <v>0</v>
      </c>
      <c r="M33" s="58">
        <f t="shared" si="33"/>
        <v>13.500602936132481</v>
      </c>
      <c r="N33" s="10">
        <f t="shared" si="2"/>
        <v>15.175602936132481</v>
      </c>
      <c r="O33" s="19">
        <f t="shared" si="11"/>
        <v>0</v>
      </c>
      <c r="P33" s="19">
        <f t="shared" si="12"/>
        <v>1444717265.9745064</v>
      </c>
      <c r="Q33" s="19">
        <f t="shared" si="13"/>
        <v>1444717265.9745064</v>
      </c>
      <c r="R33" s="10"/>
      <c r="S33" s="10"/>
      <c r="T33" s="10">
        <f t="shared" si="3"/>
        <v>16.762821074363316</v>
      </c>
      <c r="U33" s="10">
        <f t="shared" si="15"/>
        <v>1.5872181382308348</v>
      </c>
      <c r="V33" s="19">
        <f t="shared" si="16"/>
        <v>0</v>
      </c>
      <c r="W33" s="19">
        <f t="shared" si="17"/>
        <v>1595820418.7665625</v>
      </c>
      <c r="X33" s="19">
        <f t="shared" si="18"/>
        <v>1595820418.7665625</v>
      </c>
      <c r="AA33" s="10">
        <f t="shared" si="4"/>
        <v>18.250932889406826</v>
      </c>
      <c r="AB33" s="10">
        <f t="shared" si="20"/>
        <v>3.0753299532743448</v>
      </c>
      <c r="AC33" s="19">
        <f t="shared" si="21"/>
        <v>0</v>
      </c>
      <c r="AD33" s="19">
        <f t="shared" si="22"/>
        <v>1737488650.4633207</v>
      </c>
      <c r="AE33" s="19">
        <f t="shared" si="23"/>
        <v>1737488650.4633207</v>
      </c>
      <c r="AF33" s="19">
        <f t="shared" si="24"/>
        <v>0</v>
      </c>
      <c r="AG33" s="19">
        <f t="shared" si="24"/>
        <v>315757714.1717093</v>
      </c>
      <c r="AH33" s="108">
        <f t="shared" si="25"/>
        <v>315757714.1717093</v>
      </c>
      <c r="AI33" s="19">
        <f t="shared" si="26"/>
        <v>0</v>
      </c>
      <c r="AJ33" s="19">
        <f t="shared" si="26"/>
        <v>348782851.51411861</v>
      </c>
      <c r="AK33" s="108">
        <f t="shared" si="27"/>
        <v>348782851.51411861</v>
      </c>
      <c r="AL33" s="19">
        <f t="shared" si="28"/>
        <v>0</v>
      </c>
      <c r="AM33" s="19">
        <f t="shared" si="28"/>
        <v>379745890.48710603</v>
      </c>
      <c r="AN33" s="108">
        <f t="shared" si="29"/>
        <v>379745890.48710603</v>
      </c>
      <c r="AO33" s="19">
        <f t="shared" si="30"/>
        <v>33025137.342409313</v>
      </c>
      <c r="AP33" s="19">
        <f t="shared" si="31"/>
        <v>63988176.315396726</v>
      </c>
      <c r="AQ33" s="19"/>
      <c r="AR33" s="110">
        <f>SUM(AO$14:AO33)</f>
        <v>1055621104.31478</v>
      </c>
      <c r="AS33" s="111">
        <f>SUM(AP$14:AP33)</f>
        <v>1725005097.4618485</v>
      </c>
      <c r="AT33" s="22">
        <f t="shared" si="5"/>
        <v>1193670440.9326017</v>
      </c>
      <c r="AU33" s="22">
        <f t="shared" si="6"/>
        <v>1501725812.272975</v>
      </c>
      <c r="AV33" s="22">
        <f t="shared" si="7"/>
        <v>885615069.59222806</v>
      </c>
    </row>
    <row r="34" spans="1:48" x14ac:dyDescent="0.4">
      <c r="A34" s="2" t="s">
        <v>103</v>
      </c>
      <c r="C34" s="20">
        <v>5</v>
      </c>
      <c r="D34" s="27"/>
      <c r="AT34" s="2"/>
      <c r="AU34" s="2"/>
      <c r="AV34" s="2"/>
    </row>
    <row r="35" spans="1:48" x14ac:dyDescent="0.4">
      <c r="A35" s="2" t="s">
        <v>104</v>
      </c>
      <c r="C35" s="20">
        <v>5</v>
      </c>
      <c r="E35" s="22"/>
      <c r="F35" s="22"/>
      <c r="H35" s="13" t="s">
        <v>105</v>
      </c>
      <c r="I35" s="14"/>
      <c r="J35" s="14"/>
      <c r="K35" s="14"/>
      <c r="L35" s="14"/>
      <c r="M35" s="13"/>
      <c r="N35" s="13"/>
      <c r="O35" s="14">
        <f t="shared" ref="O35:P35" si="34">SUM(O14:O33)</f>
        <v>8245055181.036274</v>
      </c>
      <c r="P35" s="14">
        <f t="shared" si="34"/>
        <v>18828815952.849174</v>
      </c>
      <c r="Q35" s="14">
        <f>SUM(Q14:Q33)</f>
        <v>27073871133.885448</v>
      </c>
      <c r="R35" s="13"/>
      <c r="S35" s="13"/>
      <c r="T35" s="13"/>
      <c r="U35" s="13"/>
      <c r="V35" s="14">
        <f>SUM(V14:V33)</f>
        <v>8837548363.5745583</v>
      </c>
      <c r="W35" s="14">
        <f t="shared" ref="W35:X35" si="35">SUM(W14:W33)</f>
        <v>20610170971.182652</v>
      </c>
      <c r="X35" s="14">
        <f t="shared" si="35"/>
        <v>29447719334.75721</v>
      </c>
      <c r="Y35" s="14"/>
      <c r="Z35" s="14"/>
      <c r="AA35" s="14"/>
      <c r="AB35" s="14"/>
      <c r="AC35" s="14">
        <f t="shared" ref="AC35:AN35" si="36">SUM(AC14:AC33)</f>
        <v>9040487698.2169609</v>
      </c>
      <c r="AD35" s="14">
        <f t="shared" si="36"/>
        <v>22240435109.035034</v>
      </c>
      <c r="AE35" s="14">
        <f t="shared" si="36"/>
        <v>31280922807.251995</v>
      </c>
      <c r="AF35" s="14">
        <f t="shared" si="36"/>
        <v>6031231347.4912252</v>
      </c>
      <c r="AG35" s="14">
        <f t="shared" si="36"/>
        <v>7077925483.320076</v>
      </c>
      <c r="AH35" s="14">
        <f t="shared" si="36"/>
        <v>13109156830.811304</v>
      </c>
      <c r="AI35" s="14">
        <f t="shared" si="36"/>
        <v>6449920468.905941</v>
      </c>
      <c r="AJ35" s="14">
        <f t="shared" si="36"/>
        <v>7714857466.2201414</v>
      </c>
      <c r="AK35" s="14">
        <f t="shared" si="36"/>
        <v>14164777935.126081</v>
      </c>
      <c r="AL35" s="14">
        <f t="shared" si="36"/>
        <v>6563384267.8060713</v>
      </c>
      <c r="AM35" s="14">
        <f t="shared" si="36"/>
        <v>8270777660.4670801</v>
      </c>
      <c r="AN35" s="14">
        <f t="shared" si="36"/>
        <v>14834161928.273151</v>
      </c>
      <c r="AO35" s="14">
        <f>SUM(AO14:AO33)</f>
        <v>1055621104.31478</v>
      </c>
      <c r="AP35" s="14">
        <f>SUM(AP14:AP33)</f>
        <v>1725005097.4618485</v>
      </c>
      <c r="AQ35" s="14"/>
      <c r="AR35" s="14"/>
      <c r="AS35" s="14"/>
      <c r="AT35" s="14"/>
      <c r="AU35" s="14"/>
      <c r="AV35" s="14"/>
    </row>
    <row r="36" spans="1:48" x14ac:dyDescent="0.4">
      <c r="A36" s="2" t="s">
        <v>106</v>
      </c>
      <c r="C36" s="20">
        <v>10</v>
      </c>
      <c r="D36" s="27"/>
    </row>
    <row r="37" spans="1:48" x14ac:dyDescent="0.4">
      <c r="I37" s="26"/>
      <c r="J37" s="26"/>
      <c r="V37" s="10"/>
      <c r="W37" s="21"/>
    </row>
    <row r="39" spans="1:48" x14ac:dyDescent="0.4">
      <c r="L39" s="10"/>
      <c r="W39" s="11"/>
      <c r="X39" s="10"/>
      <c r="Y39" s="10"/>
      <c r="Z39" s="10"/>
      <c r="AA39" s="10"/>
      <c r="AB39" s="10"/>
      <c r="AC39" s="10"/>
      <c r="AD39" s="10"/>
      <c r="AE39" s="10"/>
      <c r="AF39" s="10"/>
      <c r="AG39" s="10"/>
      <c r="AH39" s="10"/>
      <c r="AI39" s="10"/>
      <c r="AJ39" s="10"/>
      <c r="AK39" s="10"/>
      <c r="AL39" s="10"/>
      <c r="AM39" s="10"/>
      <c r="AN39" s="10"/>
      <c r="AO39" s="10"/>
      <c r="AP39" s="10"/>
      <c r="AQ39" s="10"/>
      <c r="AR39" s="10"/>
      <c r="AS39" s="10"/>
    </row>
    <row r="40" spans="1:48" x14ac:dyDescent="0.4">
      <c r="L40" s="10"/>
      <c r="X40" s="10"/>
      <c r="Y40" s="10"/>
      <c r="Z40" s="10"/>
      <c r="AA40" s="10"/>
      <c r="AB40" s="10"/>
      <c r="AC40" s="10"/>
      <c r="AD40" s="10"/>
      <c r="AE40" s="10"/>
      <c r="AF40" s="10"/>
      <c r="AG40" s="10"/>
      <c r="AH40" s="10"/>
      <c r="AI40" s="10"/>
      <c r="AJ40" s="10"/>
      <c r="AK40" s="10"/>
      <c r="AL40" s="10"/>
      <c r="AM40" s="10"/>
      <c r="AN40" s="10"/>
      <c r="AO40" s="10"/>
      <c r="AP40" s="10"/>
      <c r="AQ40" s="10"/>
      <c r="AR40" s="10"/>
      <c r="AS40" s="10"/>
    </row>
    <row r="41" spans="1:48" x14ac:dyDescent="0.4">
      <c r="L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1:48" x14ac:dyDescent="0.4">
      <c r="L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1:48" x14ac:dyDescent="0.4">
      <c r="I43" s="15"/>
      <c r="J43" s="15"/>
      <c r="L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1:48" x14ac:dyDescent="0.4">
      <c r="I44" s="15"/>
      <c r="J44" s="15"/>
      <c r="L44" s="10"/>
      <c r="Z44" s="10"/>
      <c r="AA44" s="10"/>
      <c r="AB44" s="10"/>
      <c r="AC44" s="10"/>
      <c r="AD44" s="10"/>
      <c r="AE44" s="10"/>
      <c r="AF44" s="10"/>
      <c r="AG44" s="10"/>
      <c r="AH44" s="10"/>
      <c r="AI44" s="10"/>
      <c r="AJ44" s="10"/>
      <c r="AK44" s="10"/>
      <c r="AL44" s="10"/>
      <c r="AM44" s="10"/>
      <c r="AN44" s="10"/>
      <c r="AO44" s="10"/>
      <c r="AP44" s="10"/>
      <c r="AQ44" s="10"/>
      <c r="AR44" s="10"/>
      <c r="AS44" s="10"/>
    </row>
    <row r="45" spans="1:48" x14ac:dyDescent="0.4">
      <c r="I45" s="15"/>
      <c r="J45" s="15"/>
      <c r="L45" s="10"/>
      <c r="Z45" s="10"/>
      <c r="AA45" s="10"/>
      <c r="AB45" s="10"/>
      <c r="AC45" s="10"/>
      <c r="AD45" s="10"/>
      <c r="AE45" s="10"/>
      <c r="AF45" s="10"/>
      <c r="AG45" s="10"/>
      <c r="AH45" s="10"/>
      <c r="AI45" s="10"/>
      <c r="AJ45" s="10"/>
      <c r="AK45" s="10"/>
      <c r="AL45" s="10"/>
      <c r="AM45" s="10"/>
      <c r="AN45" s="10"/>
      <c r="AO45" s="10"/>
      <c r="AP45" s="10"/>
      <c r="AQ45" s="10"/>
      <c r="AR45" s="10"/>
      <c r="AS45" s="10"/>
    </row>
    <row r="46" spans="1:48" x14ac:dyDescent="0.4">
      <c r="I46" s="15"/>
      <c r="J46" s="15"/>
      <c r="L46" s="10"/>
      <c r="Z46" s="10"/>
      <c r="AA46" s="10"/>
      <c r="AB46" s="10"/>
      <c r="AC46" s="10"/>
      <c r="AD46" s="10"/>
      <c r="AE46" s="10"/>
      <c r="AF46" s="10"/>
      <c r="AG46" s="10"/>
      <c r="AH46" s="10"/>
      <c r="AI46" s="10"/>
      <c r="AJ46" s="10"/>
      <c r="AK46" s="10"/>
      <c r="AL46" s="10"/>
      <c r="AM46" s="10"/>
      <c r="AN46" s="10"/>
      <c r="AO46" s="10"/>
      <c r="AP46" s="10"/>
      <c r="AQ46" s="10"/>
      <c r="AR46" s="10"/>
      <c r="AS46" s="10"/>
    </row>
    <row r="47" spans="1:48" x14ac:dyDescent="0.4">
      <c r="I47" s="15"/>
      <c r="J47" s="15"/>
      <c r="L47" s="10"/>
      <c r="Z47" s="10"/>
      <c r="AA47" s="10"/>
      <c r="AB47" s="10"/>
      <c r="AC47" s="10"/>
      <c r="AD47" s="10"/>
      <c r="AE47" s="10"/>
      <c r="AF47" s="10"/>
      <c r="AG47" s="10"/>
      <c r="AH47" s="10"/>
      <c r="AI47" s="10"/>
      <c r="AJ47" s="10"/>
      <c r="AK47" s="10"/>
      <c r="AL47" s="10"/>
      <c r="AM47" s="10"/>
      <c r="AN47" s="10"/>
      <c r="AO47" s="10"/>
      <c r="AP47" s="10"/>
      <c r="AQ47" s="10"/>
      <c r="AR47" s="10"/>
      <c r="AS47" s="10"/>
    </row>
    <row r="48" spans="1:48" x14ac:dyDescent="0.4">
      <c r="I48" s="15"/>
      <c r="J48" s="15"/>
      <c r="L48" s="10"/>
      <c r="Z48" s="10"/>
      <c r="AA48" s="10"/>
      <c r="AB48" s="10"/>
      <c r="AC48" s="10"/>
      <c r="AD48" s="10"/>
      <c r="AE48" s="10"/>
      <c r="AF48" s="10"/>
      <c r="AG48" s="10"/>
      <c r="AH48" s="10"/>
      <c r="AI48" s="10"/>
      <c r="AJ48" s="10"/>
      <c r="AK48" s="10"/>
      <c r="AL48" s="10"/>
      <c r="AM48" s="10"/>
      <c r="AN48" s="10"/>
      <c r="AO48" s="10"/>
      <c r="AP48" s="10"/>
      <c r="AQ48" s="10"/>
      <c r="AR48" s="10"/>
      <c r="AS48" s="10"/>
    </row>
    <row r="49" spans="12:45" x14ac:dyDescent="0.4">
      <c r="L49" s="10"/>
      <c r="Z49" s="10"/>
      <c r="AA49" s="10"/>
      <c r="AB49" s="10"/>
      <c r="AC49" s="10"/>
      <c r="AD49" s="10"/>
      <c r="AE49" s="10"/>
      <c r="AF49" s="10"/>
      <c r="AG49" s="10"/>
      <c r="AH49" s="10"/>
      <c r="AI49" s="10"/>
      <c r="AJ49" s="10"/>
      <c r="AK49" s="10"/>
      <c r="AL49" s="10"/>
      <c r="AM49" s="10"/>
      <c r="AN49" s="10"/>
      <c r="AO49" s="10"/>
      <c r="AP49" s="10"/>
      <c r="AQ49" s="10"/>
      <c r="AR49" s="10"/>
      <c r="AS49" s="10"/>
    </row>
    <row r="50" spans="12:45" x14ac:dyDescent="0.4">
      <c r="L50" s="10"/>
      <c r="Z50" s="10"/>
      <c r="AA50" s="10"/>
      <c r="AB50" s="10"/>
      <c r="AC50" s="10"/>
      <c r="AD50" s="10"/>
      <c r="AE50" s="10"/>
      <c r="AF50" s="10"/>
      <c r="AG50" s="10"/>
      <c r="AH50" s="10"/>
      <c r="AI50" s="10"/>
      <c r="AJ50" s="10"/>
      <c r="AK50" s="10"/>
      <c r="AL50" s="10"/>
      <c r="AM50" s="10"/>
      <c r="AN50" s="10"/>
      <c r="AO50" s="10"/>
      <c r="AP50" s="10"/>
      <c r="AQ50" s="10"/>
      <c r="AR50" s="10"/>
      <c r="AS50" s="10"/>
    </row>
    <row r="51" spans="12:45" x14ac:dyDescent="0.4">
      <c r="L51" s="10"/>
      <c r="Z51" s="10"/>
      <c r="AA51" s="10"/>
      <c r="AB51" s="10"/>
      <c r="AC51" s="10"/>
      <c r="AD51" s="10"/>
      <c r="AE51" s="10"/>
      <c r="AF51" s="10"/>
      <c r="AG51" s="10"/>
      <c r="AH51" s="10"/>
      <c r="AI51" s="10"/>
      <c r="AJ51" s="10"/>
      <c r="AK51" s="10"/>
      <c r="AL51" s="10"/>
      <c r="AM51" s="10"/>
      <c r="AN51" s="10"/>
      <c r="AO51" s="10"/>
      <c r="AP51" s="10"/>
      <c r="AQ51" s="10"/>
      <c r="AR51" s="10"/>
      <c r="AS51" s="10"/>
    </row>
    <row r="52" spans="12:45" x14ac:dyDescent="0.4">
      <c r="L52" s="10"/>
      <c r="Z52" s="10"/>
      <c r="AA52" s="10"/>
      <c r="AB52" s="10"/>
      <c r="AC52" s="10"/>
      <c r="AD52" s="10"/>
      <c r="AE52" s="10"/>
      <c r="AF52" s="10"/>
      <c r="AG52" s="10"/>
      <c r="AH52" s="10"/>
      <c r="AI52" s="10"/>
      <c r="AJ52" s="10"/>
      <c r="AK52" s="10"/>
      <c r="AL52" s="10"/>
      <c r="AM52" s="10"/>
      <c r="AN52" s="10"/>
      <c r="AO52" s="10"/>
      <c r="AP52" s="10"/>
      <c r="AQ52" s="10"/>
      <c r="AR52" s="10"/>
      <c r="AS52" s="10"/>
    </row>
    <row r="53" spans="12:45" x14ac:dyDescent="0.4">
      <c r="L53" s="10"/>
      <c r="Z53" s="10"/>
      <c r="AA53" s="10"/>
      <c r="AB53" s="10"/>
      <c r="AC53" s="10"/>
      <c r="AD53" s="10"/>
      <c r="AE53" s="10"/>
      <c r="AF53" s="10"/>
      <c r="AG53" s="10"/>
      <c r="AH53" s="10"/>
      <c r="AI53" s="10"/>
      <c r="AJ53" s="10"/>
      <c r="AK53" s="10"/>
      <c r="AL53" s="10"/>
      <c r="AM53" s="10"/>
      <c r="AN53" s="10"/>
      <c r="AO53" s="10"/>
      <c r="AP53" s="10"/>
      <c r="AQ53" s="10"/>
      <c r="AR53" s="10"/>
      <c r="AS53" s="10"/>
    </row>
    <row r="54" spans="12:45" x14ac:dyDescent="0.4">
      <c r="L54" s="10"/>
      <c r="Z54" s="10"/>
      <c r="AA54" s="10"/>
      <c r="AB54" s="10"/>
      <c r="AC54" s="10"/>
      <c r="AD54" s="10"/>
      <c r="AE54" s="10"/>
      <c r="AF54" s="10"/>
      <c r="AG54" s="10"/>
      <c r="AH54" s="10"/>
      <c r="AI54" s="10"/>
      <c r="AJ54" s="10"/>
      <c r="AK54" s="10"/>
      <c r="AL54" s="10"/>
      <c r="AM54" s="10"/>
      <c r="AN54" s="10"/>
      <c r="AO54" s="10"/>
      <c r="AP54" s="10"/>
      <c r="AQ54" s="10"/>
      <c r="AR54" s="10"/>
      <c r="AS54" s="10"/>
    </row>
    <row r="55" spans="12:45" x14ac:dyDescent="0.4">
      <c r="L55" s="10"/>
      <c r="Z55" s="10"/>
      <c r="AA55" s="10"/>
      <c r="AB55" s="10"/>
      <c r="AC55" s="10"/>
      <c r="AD55" s="10"/>
      <c r="AE55" s="10"/>
      <c r="AF55" s="10"/>
      <c r="AG55" s="10"/>
      <c r="AH55" s="10"/>
      <c r="AI55" s="10"/>
      <c r="AJ55" s="10"/>
      <c r="AK55" s="10"/>
      <c r="AL55" s="10"/>
      <c r="AM55" s="10"/>
      <c r="AN55" s="10"/>
      <c r="AO55" s="10"/>
      <c r="AP55" s="10"/>
      <c r="AQ55" s="10"/>
      <c r="AR55" s="10"/>
      <c r="AS55" s="10"/>
    </row>
    <row r="56" spans="12:45" x14ac:dyDescent="0.4">
      <c r="L56" s="10"/>
      <c r="Z56" s="10"/>
      <c r="AA56" s="10"/>
      <c r="AB56" s="10"/>
      <c r="AC56" s="10"/>
      <c r="AD56" s="10"/>
      <c r="AE56" s="10"/>
      <c r="AF56" s="10"/>
      <c r="AG56" s="10"/>
      <c r="AH56" s="10"/>
      <c r="AI56" s="10"/>
      <c r="AJ56" s="10"/>
      <c r="AK56" s="10"/>
      <c r="AL56" s="10"/>
      <c r="AM56" s="10"/>
      <c r="AN56" s="10"/>
      <c r="AO56" s="10"/>
      <c r="AP56" s="10"/>
      <c r="AQ56" s="10"/>
      <c r="AR56" s="10"/>
      <c r="AS56" s="10"/>
    </row>
    <row r="57" spans="12:45" x14ac:dyDescent="0.4">
      <c r="L57" s="10"/>
      <c r="Z57" s="10"/>
      <c r="AA57" s="10"/>
      <c r="AB57" s="10"/>
      <c r="AC57" s="10"/>
      <c r="AD57" s="10"/>
      <c r="AE57" s="10"/>
      <c r="AF57" s="10"/>
      <c r="AG57" s="10"/>
      <c r="AH57" s="10"/>
      <c r="AI57" s="10"/>
      <c r="AJ57" s="10"/>
      <c r="AK57" s="10"/>
      <c r="AL57" s="10"/>
      <c r="AM57" s="10"/>
      <c r="AN57" s="10"/>
      <c r="AO57" s="10"/>
      <c r="AP57" s="10"/>
      <c r="AQ57" s="10"/>
      <c r="AR57" s="10"/>
      <c r="AS57" s="10"/>
    </row>
    <row r="58" spans="12:45" x14ac:dyDescent="0.4">
      <c r="L58" s="10"/>
      <c r="Z58" s="10"/>
      <c r="AA58" s="10"/>
      <c r="AB58" s="10"/>
      <c r="AC58" s="10"/>
      <c r="AD58" s="10"/>
      <c r="AE58" s="10"/>
      <c r="AF58" s="10"/>
      <c r="AG58" s="10"/>
      <c r="AH58" s="10"/>
      <c r="AI58" s="10"/>
      <c r="AJ58" s="10"/>
      <c r="AK58" s="10"/>
      <c r="AL58" s="10"/>
      <c r="AM58" s="10"/>
      <c r="AN58" s="10"/>
      <c r="AO58" s="10"/>
      <c r="AP58" s="10"/>
      <c r="AQ58" s="10"/>
      <c r="AR58" s="10"/>
      <c r="AS58" s="10"/>
    </row>
    <row r="59" spans="12:45" x14ac:dyDescent="0.4">
      <c r="L59" s="10"/>
      <c r="Z59" s="10"/>
      <c r="AA59" s="10"/>
      <c r="AB59" s="10"/>
      <c r="AC59" s="10"/>
      <c r="AD59" s="10"/>
      <c r="AE59" s="10"/>
      <c r="AF59" s="10"/>
      <c r="AG59" s="10"/>
      <c r="AH59" s="10"/>
      <c r="AI59" s="10"/>
      <c r="AJ59" s="10"/>
      <c r="AK59" s="10"/>
      <c r="AL59" s="10"/>
      <c r="AM59" s="10"/>
      <c r="AN59" s="10"/>
      <c r="AO59" s="10"/>
      <c r="AP59" s="10"/>
      <c r="AQ59" s="10"/>
      <c r="AR59" s="10"/>
      <c r="AS59" s="10"/>
    </row>
    <row r="60" spans="12:45" x14ac:dyDescent="0.4">
      <c r="L60" s="10"/>
      <c r="Z60" s="10"/>
      <c r="AA60" s="10"/>
      <c r="AB60" s="10"/>
      <c r="AC60" s="10"/>
      <c r="AD60" s="10"/>
      <c r="AE60" s="10"/>
      <c r="AF60" s="10"/>
      <c r="AG60" s="10"/>
      <c r="AH60" s="10"/>
      <c r="AI60" s="10"/>
      <c r="AJ60" s="10"/>
      <c r="AK60" s="10"/>
      <c r="AL60" s="10"/>
      <c r="AM60" s="10"/>
      <c r="AN60" s="10"/>
      <c r="AO60" s="10"/>
      <c r="AP60" s="10"/>
      <c r="AQ60" s="10"/>
      <c r="AR60" s="10"/>
      <c r="AS60" s="10"/>
    </row>
    <row r="61" spans="12:45" x14ac:dyDescent="0.4">
      <c r="L61" s="10"/>
      <c r="Z61" s="10"/>
      <c r="AA61" s="10"/>
      <c r="AB61" s="10"/>
      <c r="AC61" s="10"/>
      <c r="AD61" s="10"/>
      <c r="AE61" s="10"/>
      <c r="AF61" s="10"/>
      <c r="AG61" s="10"/>
      <c r="AH61" s="10"/>
      <c r="AI61" s="10"/>
      <c r="AJ61" s="10"/>
      <c r="AK61" s="10"/>
      <c r="AL61" s="10"/>
      <c r="AM61" s="10"/>
      <c r="AN61" s="10"/>
      <c r="AO61" s="10"/>
      <c r="AP61" s="10"/>
      <c r="AQ61" s="10"/>
      <c r="AR61" s="10"/>
      <c r="AS61" s="10"/>
    </row>
    <row r="62" spans="12:45" x14ac:dyDescent="0.4">
      <c r="L62" s="10"/>
      <c r="Z62" s="10"/>
      <c r="AA62" s="10"/>
      <c r="AB62" s="10"/>
      <c r="AC62" s="10"/>
      <c r="AD62" s="10"/>
      <c r="AE62" s="10"/>
      <c r="AF62" s="10"/>
      <c r="AG62" s="10"/>
      <c r="AH62" s="10"/>
      <c r="AI62" s="10"/>
      <c r="AJ62" s="10"/>
      <c r="AK62" s="10"/>
      <c r="AL62" s="10"/>
      <c r="AM62" s="10"/>
      <c r="AN62" s="10"/>
      <c r="AO62" s="10"/>
      <c r="AP62" s="10"/>
      <c r="AQ62" s="10"/>
      <c r="AR62" s="10"/>
      <c r="AS62" s="10"/>
    </row>
    <row r="63" spans="12:45" x14ac:dyDescent="0.4">
      <c r="L63" s="10"/>
      <c r="Z63" s="10"/>
      <c r="AA63" s="10"/>
      <c r="AB63" s="10"/>
      <c r="AC63" s="10"/>
      <c r="AD63" s="10"/>
      <c r="AE63" s="10"/>
      <c r="AF63" s="10"/>
      <c r="AG63" s="10"/>
      <c r="AH63" s="10"/>
      <c r="AI63" s="10"/>
      <c r="AJ63" s="10"/>
      <c r="AK63" s="10"/>
      <c r="AL63" s="10"/>
      <c r="AM63" s="10"/>
      <c r="AN63" s="10"/>
      <c r="AO63" s="10"/>
      <c r="AP63" s="10"/>
      <c r="AQ63" s="10"/>
      <c r="AR63" s="10"/>
      <c r="AS63" s="10"/>
    </row>
    <row r="64" spans="12:45" x14ac:dyDescent="0.4">
      <c r="L64" s="10"/>
      <c r="Z64" s="10"/>
      <c r="AA64" s="10"/>
      <c r="AB64" s="10"/>
      <c r="AC64" s="10"/>
      <c r="AD64" s="10"/>
      <c r="AE64" s="10"/>
      <c r="AF64" s="10"/>
      <c r="AG64" s="10"/>
      <c r="AH64" s="10"/>
      <c r="AI64" s="10"/>
      <c r="AJ64" s="10"/>
      <c r="AK64" s="10"/>
      <c r="AL64" s="10"/>
      <c r="AM64" s="10"/>
      <c r="AN64" s="10"/>
      <c r="AO64" s="10"/>
      <c r="AP64" s="10"/>
      <c r="AQ64" s="10"/>
      <c r="AR64" s="10"/>
      <c r="AS64" s="10"/>
    </row>
    <row r="65" spans="12:45" x14ac:dyDescent="0.4">
      <c r="L65" s="10"/>
      <c r="Z65" s="10"/>
      <c r="AA65" s="10"/>
      <c r="AB65" s="10"/>
      <c r="AC65" s="10"/>
      <c r="AD65" s="10"/>
      <c r="AE65" s="10"/>
      <c r="AF65" s="10"/>
      <c r="AG65" s="10"/>
      <c r="AH65" s="10"/>
      <c r="AI65" s="10"/>
      <c r="AJ65" s="10"/>
      <c r="AK65" s="10"/>
      <c r="AL65" s="10"/>
      <c r="AM65" s="10"/>
      <c r="AN65" s="10"/>
      <c r="AO65" s="10"/>
      <c r="AP65" s="10"/>
      <c r="AQ65" s="10"/>
      <c r="AR65" s="10"/>
      <c r="AS65" s="10"/>
    </row>
    <row r="66" spans="12:45" x14ac:dyDescent="0.4">
      <c r="L66" s="10"/>
      <c r="Z66" s="10"/>
      <c r="AA66" s="10"/>
      <c r="AB66" s="10"/>
      <c r="AC66" s="10"/>
      <c r="AD66" s="10"/>
      <c r="AE66" s="10"/>
      <c r="AF66" s="10"/>
      <c r="AG66" s="10"/>
      <c r="AH66" s="10"/>
      <c r="AI66" s="10"/>
      <c r="AJ66" s="10"/>
      <c r="AK66" s="10"/>
      <c r="AL66" s="10"/>
      <c r="AM66" s="10"/>
      <c r="AN66" s="10"/>
      <c r="AO66" s="10"/>
      <c r="AP66" s="10"/>
      <c r="AQ66" s="10"/>
      <c r="AR66" s="10"/>
      <c r="AS66" s="10"/>
    </row>
    <row r="67" spans="12:45" x14ac:dyDescent="0.4">
      <c r="L67" s="10"/>
      <c r="Z67" s="10"/>
      <c r="AA67" s="10"/>
      <c r="AB67" s="10"/>
      <c r="AC67" s="10"/>
      <c r="AD67" s="10"/>
      <c r="AE67" s="10"/>
      <c r="AF67" s="10"/>
      <c r="AG67" s="10"/>
      <c r="AH67" s="10"/>
      <c r="AI67" s="10"/>
      <c r="AJ67" s="10"/>
      <c r="AK67" s="10"/>
      <c r="AL67" s="10"/>
      <c r="AM67" s="10"/>
      <c r="AN67" s="10"/>
      <c r="AO67" s="10"/>
      <c r="AP67" s="10"/>
      <c r="AQ67" s="10"/>
      <c r="AR67" s="10"/>
      <c r="AS67" s="10"/>
    </row>
    <row r="68" spans="12:45" x14ac:dyDescent="0.4">
      <c r="L68" s="10"/>
      <c r="Z68" s="10"/>
      <c r="AA68" s="10"/>
      <c r="AB68" s="10"/>
      <c r="AC68" s="10"/>
      <c r="AD68" s="10"/>
      <c r="AE68" s="10"/>
      <c r="AF68" s="10"/>
      <c r="AG68" s="10"/>
      <c r="AH68" s="10"/>
      <c r="AI68" s="10"/>
      <c r="AJ68" s="10"/>
      <c r="AK68" s="10"/>
      <c r="AL68" s="10"/>
      <c r="AM68" s="10"/>
      <c r="AN68" s="10"/>
      <c r="AO68" s="10"/>
      <c r="AP68" s="10"/>
      <c r="AQ68" s="10"/>
      <c r="AR68" s="10"/>
      <c r="AS68" s="10"/>
    </row>
    <row r="69" spans="12:45" x14ac:dyDescent="0.4">
      <c r="L69" s="10"/>
      <c r="Z69" s="10"/>
      <c r="AA69" s="10"/>
      <c r="AB69" s="10"/>
      <c r="AC69" s="10"/>
      <c r="AD69" s="10"/>
      <c r="AE69" s="10"/>
      <c r="AF69" s="10"/>
      <c r="AG69" s="10"/>
      <c r="AH69" s="10"/>
      <c r="AI69" s="10"/>
      <c r="AJ69" s="10"/>
      <c r="AK69" s="10"/>
      <c r="AL69" s="10"/>
      <c r="AM69" s="10"/>
      <c r="AN69" s="10"/>
      <c r="AO69" s="10"/>
      <c r="AP69" s="10"/>
      <c r="AQ69" s="10"/>
      <c r="AR69" s="10"/>
      <c r="AS69" s="10"/>
    </row>
  </sheetData>
  <phoneticPr fontId="11" type="noConversion"/>
  <conditionalFormatting sqref="D17">
    <cfRule type="cellIs" dxfId="1" priority="1" operator="lessThan">
      <formula>0</formula>
    </cfRule>
    <cfRule type="cellIs" dxfId="0" priority="2" operator="greaterThan">
      <formula>0</formula>
    </cfRule>
  </conditionalFormatting>
  <dataValidations count="1">
    <dataValidation type="list" allowBlank="1" showInputMessage="1" showErrorMessage="1" sqref="B20" xr:uid="{90A205FE-A26E-4297-9F74-F2A7DF93CDCF}">
      <formula1>$A$28:$A$29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E87D756-831D-490C-9A9B-6366F05B01F9}">
          <x14:formula1>
            <xm:f>'Fibre shortfall inputs'!$B$3:$AJ$3</xm:f>
          </x14:formula1>
          <xm:sqref>B14</xm:sqref>
        </x14:dataValidation>
        <x14:dataValidation type="list" allowBlank="1" showInputMessage="1" showErrorMessage="1" xr:uid="{95FF17C8-0C6A-4BF6-B52A-B9E966DBB149}">
          <x14:formula1>
            <xm:f>'Fibre shortfall inputs'!$B$14:$E$14</xm:f>
          </x14:formula1>
          <xm:sqref>B21:B22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694B-9806-41E5-9929-9CC23012B0D5}">
  <dimension ref="A1"/>
  <sheetViews>
    <sheetView zoomScale="80" zoomScaleNormal="80" workbookViewId="0">
      <selection activeCell="K30" sqref="K30"/>
    </sheetView>
  </sheetViews>
  <sheetFormatPr defaultRowHeight="14.25" x14ac:dyDescent="0.4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F4606-D315-4908-B423-C108DFB1F8CD}">
  <dimension ref="A1:AU42"/>
  <sheetViews>
    <sheetView zoomScale="80" zoomScaleNormal="80" workbookViewId="0">
      <selection activeCell="G14" sqref="G14"/>
    </sheetView>
  </sheetViews>
  <sheetFormatPr defaultRowHeight="14.25" x14ac:dyDescent="0.45"/>
  <cols>
    <col min="1" max="1" width="24.59765625" customWidth="1"/>
    <col min="2" max="2" width="15.73046875" customWidth="1"/>
    <col min="3" max="5" width="11.3984375" customWidth="1"/>
    <col min="6" max="46" width="11.59765625" customWidth="1"/>
  </cols>
  <sheetData>
    <row r="1" spans="1:47" ht="32.25" customHeight="1" x14ac:dyDescent="0.7">
      <c r="A1" s="28" t="s">
        <v>107</v>
      </c>
    </row>
    <row r="2" spans="1:47" ht="34.9" customHeight="1" x14ac:dyDescent="0.45">
      <c r="A2" s="23" t="s">
        <v>108</v>
      </c>
      <c r="B2" s="32" t="s">
        <v>97</v>
      </c>
    </row>
    <row r="3" spans="1:47" x14ac:dyDescent="0.45">
      <c r="B3" s="1">
        <v>200000</v>
      </c>
      <c r="C3" s="1">
        <v>400000</v>
      </c>
      <c r="D3" s="1">
        <v>600000</v>
      </c>
      <c r="E3" s="1">
        <v>800000</v>
      </c>
      <c r="F3" s="1">
        <v>1000000</v>
      </c>
      <c r="G3" s="1">
        <v>1200000</v>
      </c>
      <c r="H3" s="1">
        <v>1400000</v>
      </c>
      <c r="I3" s="1">
        <v>1600000</v>
      </c>
      <c r="J3" s="1">
        <v>1800000</v>
      </c>
      <c r="K3" s="1">
        <v>2000000</v>
      </c>
      <c r="L3" s="1">
        <v>2200000</v>
      </c>
      <c r="M3" s="1">
        <v>2400000</v>
      </c>
      <c r="N3" s="1">
        <v>2600000</v>
      </c>
      <c r="O3" s="1">
        <v>2800000</v>
      </c>
      <c r="P3" s="1">
        <v>3000000</v>
      </c>
      <c r="Q3" s="1">
        <v>3200000</v>
      </c>
      <c r="R3" s="1">
        <v>3400000</v>
      </c>
      <c r="S3" s="1">
        <v>3600000</v>
      </c>
      <c r="T3" s="1">
        <v>3800000</v>
      </c>
      <c r="U3" s="1">
        <v>4000000</v>
      </c>
      <c r="V3" s="1">
        <v>4200000</v>
      </c>
      <c r="W3" s="1">
        <v>4400000</v>
      </c>
      <c r="X3" s="1">
        <v>4600000</v>
      </c>
      <c r="Y3" s="1">
        <v>4800000</v>
      </c>
      <c r="Z3" s="1">
        <v>5000000</v>
      </c>
      <c r="AA3" s="1">
        <v>5200000</v>
      </c>
      <c r="AB3" s="1">
        <v>5400000</v>
      </c>
      <c r="AC3" s="1">
        <v>5600000</v>
      </c>
      <c r="AD3" s="1">
        <v>5800000</v>
      </c>
      <c r="AE3" s="1">
        <v>6000000</v>
      </c>
      <c r="AF3" s="1">
        <v>6200000</v>
      </c>
      <c r="AG3" s="1">
        <v>6400000</v>
      </c>
      <c r="AH3" s="1">
        <v>6600000</v>
      </c>
      <c r="AI3" s="1">
        <v>6800000</v>
      </c>
      <c r="AJ3" s="1">
        <v>7000000</v>
      </c>
      <c r="AK3" s="1">
        <v>7200000</v>
      </c>
      <c r="AL3" s="1">
        <v>7400000</v>
      </c>
      <c r="AM3" s="1">
        <v>7600000</v>
      </c>
      <c r="AN3" s="1">
        <v>7800000</v>
      </c>
      <c r="AO3" s="1">
        <v>8000000</v>
      </c>
      <c r="AP3" s="1">
        <v>8200000</v>
      </c>
      <c r="AQ3" s="1">
        <v>8400000</v>
      </c>
      <c r="AR3" s="1">
        <v>8600000</v>
      </c>
      <c r="AS3" s="1">
        <v>8800000</v>
      </c>
      <c r="AT3" s="1">
        <v>9000000</v>
      </c>
    </row>
    <row r="4" spans="1:47" x14ac:dyDescent="0.45">
      <c r="A4" t="s">
        <v>74</v>
      </c>
      <c r="B4" s="101">
        <v>43.661237097323649</v>
      </c>
      <c r="C4" s="101">
        <v>87.322474194647299</v>
      </c>
      <c r="D4" s="101">
        <v>130.98371129197096</v>
      </c>
      <c r="E4" s="101">
        <v>174.6449483892946</v>
      </c>
      <c r="F4" s="101">
        <v>218.30618548661823</v>
      </c>
      <c r="G4" s="101">
        <v>275.45316383945453</v>
      </c>
      <c r="H4" s="101">
        <v>332.60014219229089</v>
      </c>
      <c r="I4" s="101">
        <v>389.74712054512719</v>
      </c>
      <c r="J4" s="101">
        <v>446.89409889796354</v>
      </c>
      <c r="K4" s="101">
        <v>504.04107725079984</v>
      </c>
      <c r="L4" s="101">
        <v>565.93815055799644</v>
      </c>
      <c r="M4" s="101">
        <v>627.83522386519303</v>
      </c>
      <c r="N4" s="101">
        <v>689.73229717238951</v>
      </c>
      <c r="O4" s="101">
        <v>751.6293704795861</v>
      </c>
      <c r="P4" s="101">
        <v>813.52644378678269</v>
      </c>
      <c r="Q4" s="101">
        <v>885.61506959222811</v>
      </c>
      <c r="R4" s="101">
        <v>957.70369539767353</v>
      </c>
      <c r="S4" s="101">
        <v>1029.7923212031189</v>
      </c>
      <c r="T4" s="101">
        <v>1101.8809470085644</v>
      </c>
      <c r="U4" s="101">
        <v>1173.9695728140098</v>
      </c>
      <c r="V4" s="101">
        <v>1242.1883544639986</v>
      </c>
      <c r="W4" s="101">
        <v>1310.4071361139877</v>
      </c>
      <c r="X4" s="101">
        <v>1378.6259177639765</v>
      </c>
      <c r="Y4" s="101">
        <v>1446.8446994139654</v>
      </c>
      <c r="Z4" s="101">
        <v>1515.0634810639544</v>
      </c>
      <c r="AA4" s="101">
        <v>1594.1832151203848</v>
      </c>
      <c r="AB4" s="101">
        <v>1673.302949176815</v>
      </c>
      <c r="AC4" s="101">
        <v>1752.4226832332454</v>
      </c>
      <c r="AD4" s="101">
        <v>1831.5424172896755</v>
      </c>
      <c r="AE4" s="101">
        <v>1910.6621513461059</v>
      </c>
      <c r="AF4" s="101">
        <v>2002.2539977735546</v>
      </c>
      <c r="AG4" s="101">
        <v>2093.8458442010033</v>
      </c>
      <c r="AH4" s="101">
        <v>2185.4376906284519</v>
      </c>
      <c r="AI4" s="101">
        <v>2277.0295370559006</v>
      </c>
      <c r="AJ4" s="101">
        <v>2368.6213834833488</v>
      </c>
      <c r="AK4" s="101">
        <v>2480.6824206860451</v>
      </c>
      <c r="AL4" s="101">
        <v>2592.7434578887414</v>
      </c>
      <c r="AM4" s="101">
        <v>2704.8044950914382</v>
      </c>
      <c r="AN4" s="101">
        <v>2816.8655322941345</v>
      </c>
      <c r="AO4" s="101">
        <v>2928.9265694968308</v>
      </c>
      <c r="AP4" s="101">
        <v>3137.741333204186</v>
      </c>
      <c r="AQ4" s="101">
        <v>3346.5560969115413</v>
      </c>
      <c r="AR4" s="101">
        <v>3555.3708606188966</v>
      </c>
      <c r="AS4" s="101">
        <v>3764.1856243262519</v>
      </c>
      <c r="AT4" s="101">
        <v>3973.0003880336071</v>
      </c>
      <c r="AU4" s="18"/>
    </row>
    <row r="5" spans="1:47" x14ac:dyDescent="0.45">
      <c r="A5" t="s">
        <v>72</v>
      </c>
      <c r="B5" s="101">
        <v>76.023700919423206</v>
      </c>
      <c r="C5" s="101">
        <v>152.04740183884641</v>
      </c>
      <c r="D5" s="101">
        <v>228.0711027582696</v>
      </c>
      <c r="E5" s="101">
        <v>304.09480367769282</v>
      </c>
      <c r="F5" s="101">
        <v>380.11850459711604</v>
      </c>
      <c r="G5" s="101">
        <v>476.97407521192741</v>
      </c>
      <c r="H5" s="101">
        <v>573.82964582673878</v>
      </c>
      <c r="I5" s="101">
        <v>670.68521644155021</v>
      </c>
      <c r="J5" s="101">
        <v>767.54078705636152</v>
      </c>
      <c r="K5" s="101">
        <v>864.39635767117284</v>
      </c>
      <c r="L5" s="101">
        <v>968.62986107376662</v>
      </c>
      <c r="M5" s="101">
        <v>1072.8633644763604</v>
      </c>
      <c r="N5" s="101">
        <v>1177.0968678789541</v>
      </c>
      <c r="O5" s="101">
        <v>1281.3303712815477</v>
      </c>
      <c r="P5" s="101">
        <v>1385.5638746841416</v>
      </c>
      <c r="Q5" s="101">
        <v>1501.725812272975</v>
      </c>
      <c r="R5" s="101">
        <v>1617.8877498618083</v>
      </c>
      <c r="S5" s="101">
        <v>1734.0496874506416</v>
      </c>
      <c r="T5" s="101">
        <v>1850.2116250394749</v>
      </c>
      <c r="U5" s="101">
        <v>1966.3735626283083</v>
      </c>
      <c r="V5" s="101">
        <v>2084.5041600522522</v>
      </c>
      <c r="W5" s="101">
        <v>2202.6347574761967</v>
      </c>
      <c r="X5" s="101">
        <v>2320.7653549001407</v>
      </c>
      <c r="Y5" s="101">
        <v>2438.8959523240846</v>
      </c>
      <c r="Z5" s="101">
        <v>2557.0265497480286</v>
      </c>
      <c r="AA5" s="101">
        <v>2690.9881459529674</v>
      </c>
      <c r="AB5" s="101">
        <v>2824.9497421579063</v>
      </c>
      <c r="AC5" s="101">
        <v>2958.9113383628451</v>
      </c>
      <c r="AD5" s="101">
        <v>3092.8729345677839</v>
      </c>
      <c r="AE5" s="101">
        <v>3226.8345307727227</v>
      </c>
      <c r="AF5" s="101">
        <v>3358.3278981675703</v>
      </c>
      <c r="AG5" s="101">
        <v>3489.8212655624175</v>
      </c>
      <c r="AH5" s="101">
        <v>3621.3146329572651</v>
      </c>
      <c r="AI5" s="101">
        <v>3752.8080003521127</v>
      </c>
      <c r="AJ5" s="101">
        <v>3884.3013677469598</v>
      </c>
      <c r="AK5" s="101">
        <v>4101.7523646307518</v>
      </c>
      <c r="AL5" s="101">
        <v>4319.2033615145447</v>
      </c>
      <c r="AM5" s="101">
        <v>4536.6543583983366</v>
      </c>
      <c r="AN5" s="101">
        <v>4754.1053552821286</v>
      </c>
      <c r="AO5" s="101">
        <v>4971.5563521659205</v>
      </c>
      <c r="AP5" s="101">
        <v>5333.8521765932783</v>
      </c>
      <c r="AQ5" s="101">
        <v>5696.1480010206351</v>
      </c>
      <c r="AR5" s="101">
        <v>6058.4438254479928</v>
      </c>
      <c r="AS5" s="101">
        <v>6420.7396498753496</v>
      </c>
      <c r="AT5" s="101">
        <v>6783.0354743027074</v>
      </c>
      <c r="AU5" s="18"/>
    </row>
    <row r="6" spans="1:47" x14ac:dyDescent="0.45">
      <c r="A6" t="s">
        <v>70</v>
      </c>
      <c r="B6" s="101">
        <v>59.842469008373428</v>
      </c>
      <c r="C6" s="101">
        <v>119.68493801674686</v>
      </c>
      <c r="D6" s="101">
        <v>179.52740702512028</v>
      </c>
      <c r="E6" s="101">
        <v>239.36987603349371</v>
      </c>
      <c r="F6" s="101">
        <v>299.21234504186714</v>
      </c>
      <c r="G6" s="101">
        <v>376.213619525691</v>
      </c>
      <c r="H6" s="101">
        <v>453.21489400951486</v>
      </c>
      <c r="I6" s="101">
        <v>530.21616849333873</v>
      </c>
      <c r="J6" s="101">
        <v>607.21744297716259</v>
      </c>
      <c r="K6" s="101">
        <v>684.21871746098645</v>
      </c>
      <c r="L6" s="101">
        <v>767.28400581588164</v>
      </c>
      <c r="M6" s="101">
        <v>850.34929417077683</v>
      </c>
      <c r="N6" s="101">
        <v>933.4145825256719</v>
      </c>
      <c r="O6" s="101">
        <v>1016.4798708805671</v>
      </c>
      <c r="P6" s="101">
        <v>1099.5451592354623</v>
      </c>
      <c r="Q6" s="101">
        <v>1193.6704409326017</v>
      </c>
      <c r="R6" s="101">
        <v>1287.795722629741</v>
      </c>
      <c r="S6" s="101">
        <v>1381.9210043268804</v>
      </c>
      <c r="T6" s="101">
        <v>1476.0462860240198</v>
      </c>
      <c r="U6" s="101">
        <v>1570.1715677211591</v>
      </c>
      <c r="V6" s="101">
        <v>1663.3462572581257</v>
      </c>
      <c r="W6" s="101">
        <v>1756.5209467950922</v>
      </c>
      <c r="X6" s="101">
        <v>1849.6956363320587</v>
      </c>
      <c r="Y6" s="101">
        <v>1942.8703258690252</v>
      </c>
      <c r="Z6" s="101">
        <v>2036.0450154059918</v>
      </c>
      <c r="AA6" s="101">
        <v>2142.5856805366761</v>
      </c>
      <c r="AB6" s="101">
        <v>2249.126345667361</v>
      </c>
      <c r="AC6" s="101">
        <v>2355.6670107980453</v>
      </c>
      <c r="AD6" s="101">
        <v>2462.2076759287302</v>
      </c>
      <c r="AE6" s="101">
        <v>2568.7483410594145</v>
      </c>
      <c r="AF6" s="101">
        <v>2680.2909479705627</v>
      </c>
      <c r="AG6" s="101">
        <v>2791.8335548817104</v>
      </c>
      <c r="AH6" s="101">
        <v>2903.3761617928585</v>
      </c>
      <c r="AI6" s="101">
        <v>3014.9187687040067</v>
      </c>
      <c r="AJ6" s="101">
        <v>3126.4613756151548</v>
      </c>
      <c r="AK6" s="101">
        <v>3291.2173926583991</v>
      </c>
      <c r="AL6" s="101">
        <v>3455.9734097016435</v>
      </c>
      <c r="AM6" s="101">
        <v>3620.7294267448879</v>
      </c>
      <c r="AN6" s="101">
        <v>3785.4854437881322</v>
      </c>
      <c r="AO6" s="101">
        <v>3950.2414608313766</v>
      </c>
      <c r="AP6" s="101">
        <v>4235.7967548987326</v>
      </c>
      <c r="AQ6" s="101">
        <v>4521.3520489660896</v>
      </c>
      <c r="AR6" s="101">
        <v>4806.9073430334456</v>
      </c>
      <c r="AS6" s="101">
        <v>5092.4626371008017</v>
      </c>
      <c r="AT6" s="101">
        <v>5378.0179311681577</v>
      </c>
      <c r="AU6" s="18"/>
    </row>
    <row r="8" spans="1:47" x14ac:dyDescent="0.45">
      <c r="A8" t="s">
        <v>109</v>
      </c>
      <c r="B8" t="s">
        <v>110</v>
      </c>
    </row>
    <row r="9" spans="1:47" x14ac:dyDescent="0.45">
      <c r="B9" t="s">
        <v>111</v>
      </c>
    </row>
    <row r="10" spans="1:47" x14ac:dyDescent="0.45">
      <c r="B10" t="s">
        <v>112</v>
      </c>
    </row>
    <row r="12" spans="1:47" x14ac:dyDescent="0.45">
      <c r="A12" s="23" t="s">
        <v>113</v>
      </c>
      <c r="B12" s="115" t="s">
        <v>92</v>
      </c>
      <c r="C12" s="115" t="s">
        <v>78</v>
      </c>
    </row>
    <row r="14" spans="1:47" x14ac:dyDescent="0.45">
      <c r="A14" s="23" t="s">
        <v>114</v>
      </c>
      <c r="B14" s="115" t="s">
        <v>115</v>
      </c>
      <c r="C14" s="115" t="s">
        <v>116</v>
      </c>
      <c r="D14" s="115" t="s">
        <v>92</v>
      </c>
      <c r="E14" s="115" t="s">
        <v>78</v>
      </c>
    </row>
    <row r="17" spans="1:23" x14ac:dyDescent="0.45">
      <c r="A17" s="23" t="s">
        <v>117</v>
      </c>
      <c r="B17" t="s">
        <v>118</v>
      </c>
      <c r="C17" t="s">
        <v>119</v>
      </c>
      <c r="D17" s="32" t="s">
        <v>97</v>
      </c>
    </row>
    <row r="18" spans="1:23" x14ac:dyDescent="0.45">
      <c r="A18" t="s">
        <v>72</v>
      </c>
      <c r="B18" s="102">
        <v>4</v>
      </c>
      <c r="C18" s="102">
        <v>1.85</v>
      </c>
    </row>
    <row r="19" spans="1:23" x14ac:dyDescent="0.45">
      <c r="A19" t="s">
        <v>74</v>
      </c>
      <c r="B19" s="102">
        <v>1.5</v>
      </c>
      <c r="C19" s="102">
        <v>1.5</v>
      </c>
    </row>
    <row r="20" spans="1:23" x14ac:dyDescent="0.45">
      <c r="A20" t="s">
        <v>70</v>
      </c>
      <c r="B20" s="17">
        <f>(B18+B19)/2</f>
        <v>2.75</v>
      </c>
      <c r="C20" s="17">
        <f>(C18+C19)/2</f>
        <v>1.675</v>
      </c>
    </row>
    <row r="22" spans="1:23" x14ac:dyDescent="0.45">
      <c r="A22" s="23" t="s">
        <v>24</v>
      </c>
      <c r="B22" s="32" t="s">
        <v>120</v>
      </c>
    </row>
    <row r="23" spans="1:23" x14ac:dyDescent="0.45">
      <c r="A23" s="70"/>
      <c r="B23" s="70">
        <v>1</v>
      </c>
      <c r="C23" s="70">
        <v>2</v>
      </c>
      <c r="D23" s="70">
        <v>3</v>
      </c>
      <c r="E23" s="70">
        <v>4</v>
      </c>
      <c r="F23" s="70">
        <v>5</v>
      </c>
      <c r="G23" s="70">
        <v>6</v>
      </c>
      <c r="H23" s="70">
        <v>7</v>
      </c>
      <c r="I23" s="70">
        <v>8</v>
      </c>
      <c r="J23" s="70">
        <v>9</v>
      </c>
      <c r="K23" s="70">
        <v>10</v>
      </c>
      <c r="P23" s="68"/>
      <c r="Q23" s="68"/>
      <c r="R23" s="68"/>
      <c r="S23" s="68"/>
      <c r="T23" s="68"/>
      <c r="U23" s="68"/>
      <c r="V23" s="68"/>
      <c r="W23" s="68"/>
    </row>
    <row r="24" spans="1:23" x14ac:dyDescent="0.45">
      <c r="A24" s="70">
        <v>10</v>
      </c>
      <c r="B24" s="117"/>
      <c r="C24" s="117"/>
      <c r="D24" s="117"/>
      <c r="E24" s="117"/>
      <c r="F24" s="117"/>
      <c r="G24" s="117"/>
      <c r="H24" s="117"/>
      <c r="I24" s="117"/>
      <c r="J24" s="117"/>
      <c r="K24" s="118">
        <v>0.9</v>
      </c>
      <c r="L24" s="68"/>
      <c r="P24" s="68"/>
      <c r="Q24" s="68"/>
      <c r="R24" s="68"/>
      <c r="S24" s="68"/>
      <c r="T24" s="68"/>
      <c r="U24" s="68"/>
      <c r="V24" s="68"/>
      <c r="W24" s="68"/>
    </row>
    <row r="25" spans="1:23" x14ac:dyDescent="0.45">
      <c r="A25" s="70">
        <v>9</v>
      </c>
      <c r="B25" s="118"/>
      <c r="C25" s="117"/>
      <c r="D25" s="117"/>
      <c r="E25" s="117"/>
      <c r="F25" s="117"/>
      <c r="G25" s="117"/>
      <c r="H25" s="117"/>
      <c r="I25" s="117"/>
      <c r="J25" s="118">
        <v>0.9</v>
      </c>
      <c r="K25" s="118">
        <v>0.9</v>
      </c>
      <c r="L25" s="68"/>
      <c r="P25" s="68"/>
      <c r="Q25" s="68"/>
      <c r="R25" s="68"/>
      <c r="S25" s="68"/>
      <c r="T25" s="68"/>
      <c r="U25" s="68"/>
      <c r="V25" s="68"/>
      <c r="W25" s="68"/>
    </row>
    <row r="26" spans="1:23" x14ac:dyDescent="0.45">
      <c r="A26" s="70">
        <v>8</v>
      </c>
      <c r="B26" s="117"/>
      <c r="C26" s="117"/>
      <c r="D26" s="117"/>
      <c r="E26" s="117"/>
      <c r="F26" s="117"/>
      <c r="G26" s="117"/>
      <c r="H26" s="117"/>
      <c r="I26" s="118">
        <v>0.9</v>
      </c>
      <c r="J26" s="118">
        <v>0.9</v>
      </c>
      <c r="K26" s="118">
        <v>0.9</v>
      </c>
      <c r="L26" s="68"/>
      <c r="P26" s="68"/>
      <c r="Q26" s="68"/>
      <c r="R26" s="68"/>
      <c r="S26" s="68"/>
      <c r="T26" s="68"/>
      <c r="U26" s="68"/>
      <c r="V26" s="68"/>
      <c r="W26" s="68"/>
    </row>
    <row r="27" spans="1:23" x14ac:dyDescent="0.45">
      <c r="A27" s="70">
        <v>7</v>
      </c>
      <c r="B27" s="117"/>
      <c r="C27" s="117"/>
      <c r="D27" s="117"/>
      <c r="E27" s="117"/>
      <c r="F27" s="117"/>
      <c r="G27" s="117"/>
      <c r="H27" s="118">
        <v>0.8</v>
      </c>
      <c r="I27" s="118">
        <v>0.8</v>
      </c>
      <c r="J27" s="118">
        <v>0.8</v>
      </c>
      <c r="K27" s="118">
        <v>0.8</v>
      </c>
      <c r="L27" s="68"/>
      <c r="N27" s="37"/>
      <c r="P27" s="68"/>
      <c r="Q27" s="68"/>
      <c r="R27" s="68"/>
      <c r="S27" s="68"/>
      <c r="T27" s="68"/>
      <c r="U27" s="68"/>
      <c r="V27" s="68"/>
      <c r="W27" s="68"/>
    </row>
    <row r="28" spans="1:23" x14ac:dyDescent="0.45">
      <c r="A28" s="70">
        <v>6</v>
      </c>
      <c r="B28" s="117"/>
      <c r="C28" s="117"/>
      <c r="D28" s="117"/>
      <c r="E28" s="117"/>
      <c r="F28" s="117"/>
      <c r="G28" s="118">
        <v>0.7</v>
      </c>
      <c r="H28" s="118">
        <v>0.7</v>
      </c>
      <c r="I28" s="118">
        <v>0.7</v>
      </c>
      <c r="J28" s="118">
        <v>0.7</v>
      </c>
      <c r="K28" s="118">
        <v>0.7</v>
      </c>
      <c r="L28" s="68"/>
    </row>
    <row r="29" spans="1:23" x14ac:dyDescent="0.45">
      <c r="A29" s="70">
        <v>5</v>
      </c>
      <c r="B29" s="117"/>
      <c r="C29" s="117"/>
      <c r="D29" s="117"/>
      <c r="E29" s="117"/>
      <c r="F29" s="118">
        <v>0.6</v>
      </c>
      <c r="G29" s="118">
        <v>0.6</v>
      </c>
      <c r="H29" s="118">
        <v>0.6</v>
      </c>
      <c r="I29" s="118">
        <v>0.6</v>
      </c>
      <c r="J29" s="118">
        <v>0.6</v>
      </c>
      <c r="K29" s="118">
        <v>0.6</v>
      </c>
    </row>
    <row r="30" spans="1:23" x14ac:dyDescent="0.45">
      <c r="A30" s="70">
        <v>4</v>
      </c>
      <c r="B30" s="117"/>
      <c r="C30" s="117"/>
      <c r="D30" s="117"/>
      <c r="E30" s="118">
        <v>0.5</v>
      </c>
      <c r="F30" s="118">
        <v>0.5</v>
      </c>
      <c r="G30" s="118">
        <v>0.5</v>
      </c>
      <c r="H30" s="118">
        <v>0.5</v>
      </c>
      <c r="I30" s="118">
        <v>0.5</v>
      </c>
      <c r="J30" s="118">
        <v>0.5</v>
      </c>
      <c r="K30" s="118">
        <v>0.5</v>
      </c>
    </row>
    <row r="31" spans="1:23" x14ac:dyDescent="0.45">
      <c r="A31" s="70">
        <v>3</v>
      </c>
      <c r="B31" s="117"/>
      <c r="C31" s="117"/>
      <c r="D31" s="118">
        <v>0.4</v>
      </c>
      <c r="E31" s="118">
        <v>0.4</v>
      </c>
      <c r="F31" s="118">
        <v>0.4</v>
      </c>
      <c r="G31" s="118">
        <v>0.4</v>
      </c>
      <c r="H31" s="118">
        <v>0.4</v>
      </c>
      <c r="I31" s="118">
        <v>0.4</v>
      </c>
      <c r="J31" s="118">
        <v>0.4</v>
      </c>
      <c r="K31" s="118">
        <v>0.4</v>
      </c>
    </row>
    <row r="32" spans="1:23" x14ac:dyDescent="0.45">
      <c r="A32" s="70">
        <v>2</v>
      </c>
      <c r="B32" s="117"/>
      <c r="C32" s="118">
        <v>0.3</v>
      </c>
      <c r="D32" s="118">
        <v>0.3</v>
      </c>
      <c r="E32" s="118">
        <v>0.3</v>
      </c>
      <c r="F32" s="118">
        <v>0.3</v>
      </c>
      <c r="G32" s="118">
        <v>0.3</v>
      </c>
      <c r="H32" s="118">
        <v>0.3</v>
      </c>
      <c r="I32" s="118">
        <v>0.3</v>
      </c>
      <c r="J32" s="118">
        <v>0.3</v>
      </c>
      <c r="K32" s="118">
        <v>0.3</v>
      </c>
    </row>
    <row r="33" spans="1:14" x14ac:dyDescent="0.45">
      <c r="A33" s="70">
        <v>1</v>
      </c>
      <c r="B33" s="118">
        <v>0.2</v>
      </c>
      <c r="C33" s="118">
        <v>0.2</v>
      </c>
      <c r="D33" s="118">
        <v>0.2</v>
      </c>
      <c r="E33" s="118">
        <v>0.2</v>
      </c>
      <c r="F33" s="118">
        <v>0.2</v>
      </c>
      <c r="G33" s="118">
        <v>0.2</v>
      </c>
      <c r="H33" s="118">
        <v>0.2</v>
      </c>
      <c r="I33" s="118">
        <v>0.2</v>
      </c>
      <c r="J33" s="118">
        <v>0.2</v>
      </c>
      <c r="K33" s="118">
        <v>0.2</v>
      </c>
      <c r="L33" s="69" t="s">
        <v>121</v>
      </c>
      <c r="M33" s="70"/>
      <c r="N33" s="70"/>
    </row>
    <row r="34" spans="1:14" x14ac:dyDescent="0.45">
      <c r="A34" s="2"/>
      <c r="B34" s="24"/>
      <c r="D34" s="70"/>
      <c r="E34" s="70"/>
      <c r="F34" s="70"/>
      <c r="G34" s="70"/>
      <c r="H34" s="70"/>
      <c r="I34" s="70"/>
      <c r="J34" s="70"/>
      <c r="K34" s="70"/>
      <c r="L34" s="70"/>
      <c r="M34" s="70"/>
      <c r="N34" s="70"/>
    </row>
    <row r="35" spans="1:14" x14ac:dyDescent="0.45">
      <c r="A35" s="2"/>
      <c r="B35" s="24"/>
    </row>
    <row r="36" spans="1:14" x14ac:dyDescent="0.45">
      <c r="A36" s="2"/>
      <c r="B36" s="24"/>
    </row>
    <row r="37" spans="1:14" x14ac:dyDescent="0.45">
      <c r="A37" s="2"/>
      <c r="B37" s="24"/>
    </row>
    <row r="38" spans="1:14" x14ac:dyDescent="0.45">
      <c r="A38" s="2"/>
      <c r="B38" s="24"/>
    </row>
    <row r="39" spans="1:14" x14ac:dyDescent="0.45">
      <c r="A39" s="2"/>
      <c r="B39" s="24"/>
    </row>
    <row r="40" spans="1:14" x14ac:dyDescent="0.45">
      <c r="A40" s="2"/>
      <c r="B40" s="24"/>
    </row>
    <row r="41" spans="1:14" x14ac:dyDescent="0.45">
      <c r="A41" s="2"/>
      <c r="B41" s="24"/>
    </row>
    <row r="42" spans="1:14" x14ac:dyDescent="0.45">
      <c r="A42" s="2"/>
      <c r="B42" s="24"/>
    </row>
  </sheetData>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7008-8D6A-40CC-98F5-B28A34AA6DD9}">
  <dimension ref="A1:AO91"/>
  <sheetViews>
    <sheetView zoomScale="60" zoomScaleNormal="60" zoomScaleSheetLayoutView="70" workbookViewId="0">
      <pane ySplit="5" topLeftCell="A6" activePane="bottomLeft" state="frozen"/>
      <selection pane="bottomLeft" activeCell="B14" sqref="B14"/>
    </sheetView>
  </sheetViews>
  <sheetFormatPr defaultRowHeight="14.25" x14ac:dyDescent="0.45"/>
  <cols>
    <col min="1" max="1" width="23.86328125" bestFit="1" customWidth="1"/>
    <col min="2" max="2" width="46.59765625" customWidth="1"/>
    <col min="3" max="3" width="33.3984375" customWidth="1"/>
    <col min="4" max="4" width="21.86328125" customWidth="1"/>
    <col min="5" max="7" width="13.3984375" bestFit="1" customWidth="1"/>
    <col min="8" max="8" width="12.265625" customWidth="1"/>
    <col min="9" max="9" width="14.59765625" bestFit="1" customWidth="1"/>
    <col min="10" max="10" width="14.3984375" bestFit="1" customWidth="1"/>
    <col min="11" max="11" width="17" bestFit="1" customWidth="1"/>
    <col min="12" max="12" width="19.3984375" bestFit="1" customWidth="1"/>
    <col min="13" max="13" width="21.3984375" bestFit="1" customWidth="1"/>
    <col min="14" max="14" width="24" customWidth="1"/>
    <col min="18" max="18" width="13" customWidth="1"/>
    <col min="19" max="19" width="33" customWidth="1"/>
    <col min="20" max="29" width="14.86328125" customWidth="1"/>
    <col min="31" max="40" width="16" customWidth="1"/>
  </cols>
  <sheetData>
    <row r="1" spans="1:29" ht="28.5" customHeight="1" x14ac:dyDescent="0.85">
      <c r="A1" s="99" t="s">
        <v>122</v>
      </c>
    </row>
    <row r="2" spans="1:29" ht="21.4" thickBot="1" x14ac:dyDescent="0.7">
      <c r="A2" s="97" t="s">
        <v>123</v>
      </c>
      <c r="E2" s="40" t="s">
        <v>64</v>
      </c>
      <c r="F2" s="40" t="s">
        <v>66</v>
      </c>
      <c r="G2" s="41" t="s">
        <v>68</v>
      </c>
      <c r="H2" s="41" t="s">
        <v>71</v>
      </c>
      <c r="I2" s="40" t="s">
        <v>73</v>
      </c>
      <c r="J2" s="40" t="s">
        <v>75</v>
      </c>
      <c r="K2" s="40" t="s">
        <v>76</v>
      </c>
      <c r="L2" s="40" t="s">
        <v>79</v>
      </c>
      <c r="M2" s="40" t="s">
        <v>81</v>
      </c>
      <c r="N2" s="40" t="s">
        <v>83</v>
      </c>
      <c r="R2" s="97" t="s">
        <v>124</v>
      </c>
      <c r="T2" s="40" t="s">
        <v>64</v>
      </c>
      <c r="U2" s="40" t="s">
        <v>66</v>
      </c>
      <c r="V2" s="41" t="s">
        <v>68</v>
      </c>
      <c r="W2" s="41" t="s">
        <v>71</v>
      </c>
      <c r="X2" s="40" t="s">
        <v>73</v>
      </c>
      <c r="Y2" s="40" t="s">
        <v>75</v>
      </c>
      <c r="Z2" s="40" t="s">
        <v>76</v>
      </c>
      <c r="AA2" s="40" t="s">
        <v>79</v>
      </c>
      <c r="AB2" s="40" t="s">
        <v>81</v>
      </c>
      <c r="AC2" s="40" t="s">
        <v>83</v>
      </c>
    </row>
    <row r="3" spans="1:29" ht="14.65" thickBot="1" x14ac:dyDescent="0.5">
      <c r="A3" s="65" t="s">
        <v>125</v>
      </c>
      <c r="B3" s="61" t="s">
        <v>126</v>
      </c>
      <c r="C3" s="100" t="s">
        <v>127</v>
      </c>
      <c r="D3" t="s">
        <v>128</v>
      </c>
      <c r="E3" s="39">
        <f t="shared" ref="E3:N3" si="0">SUMPRODUCT(E$15:E$26,E$31:E$42)/E27</f>
        <v>81.15769069936745</v>
      </c>
      <c r="F3" s="39">
        <f t="shared" si="0"/>
        <v>80.630330975462144</v>
      </c>
      <c r="G3" s="39">
        <f t="shared" si="0"/>
        <v>80.251351539398769</v>
      </c>
      <c r="H3" s="39">
        <f t="shared" si="0"/>
        <v>80.063356231242949</v>
      </c>
      <c r="I3" s="39">
        <f t="shared" si="0"/>
        <v>79.8649288509896</v>
      </c>
      <c r="J3" s="39">
        <f t="shared" si="0"/>
        <v>80.885007817959632</v>
      </c>
      <c r="K3" s="39">
        <f t="shared" si="0"/>
        <v>82.327633759634026</v>
      </c>
      <c r="L3" s="39">
        <f t="shared" si="0"/>
        <v>83.35642160175081</v>
      </c>
      <c r="M3" s="39">
        <f t="shared" si="0"/>
        <v>84.843213619587004</v>
      </c>
      <c r="N3" s="39">
        <f t="shared" si="0"/>
        <v>86.846532440831936</v>
      </c>
      <c r="R3" s="100" t="s">
        <v>127</v>
      </c>
      <c r="S3" t="s">
        <v>128</v>
      </c>
      <c r="T3" s="103">
        <f t="shared" ref="T3:AC3" si="1">SUMPRODUCT(T31:T42,T15:T26)/SUM(T15:T26)</f>
        <v>141.5536792872941</v>
      </c>
      <c r="U3" s="103">
        <f t="shared" si="1"/>
        <v>143.77436155029145</v>
      </c>
      <c r="V3" s="103">
        <f t="shared" si="1"/>
        <v>144.22277368489375</v>
      </c>
      <c r="W3" s="103">
        <f t="shared" si="1"/>
        <v>144.74044023786342</v>
      </c>
      <c r="X3" s="103">
        <f t="shared" si="1"/>
        <v>145.3763719979973</v>
      </c>
      <c r="Y3" s="103">
        <f t="shared" si="1"/>
        <v>148.38586607555885</v>
      </c>
      <c r="Z3" s="103">
        <f t="shared" si="1"/>
        <v>151.30942042086431</v>
      </c>
      <c r="AA3" s="103">
        <f t="shared" si="1"/>
        <v>154.63591311772478</v>
      </c>
      <c r="AB3" s="103">
        <f t="shared" si="1"/>
        <v>157.83055880974459</v>
      </c>
      <c r="AC3" s="103">
        <f t="shared" si="1"/>
        <v>162.00723523358977</v>
      </c>
    </row>
    <row r="4" spans="1:29" ht="14.65" thickBot="1" x14ac:dyDescent="0.5">
      <c r="A4" s="65" t="s">
        <v>129</v>
      </c>
      <c r="B4" s="61" t="s">
        <v>130</v>
      </c>
      <c r="E4" s="42"/>
      <c r="F4" s="42"/>
      <c r="G4" s="43"/>
      <c r="H4" s="43"/>
      <c r="I4" s="42"/>
      <c r="J4" s="42"/>
      <c r="K4" s="42"/>
      <c r="L4" s="42"/>
      <c r="M4" s="42"/>
      <c r="N4" s="42"/>
      <c r="S4" t="s">
        <v>131</v>
      </c>
      <c r="T4" s="103">
        <f t="shared" ref="T4:AC4" si="2">SUMPRODUCT(T45:T56,T15:T26)/SUM(T15:T26)</f>
        <v>144.27706925923798</v>
      </c>
      <c r="U4" s="103">
        <f t="shared" si="2"/>
        <v>150.14120730070712</v>
      </c>
      <c r="V4" s="103">
        <f t="shared" si="2"/>
        <v>154.43107294156044</v>
      </c>
      <c r="W4" s="103">
        <f t="shared" si="2"/>
        <v>158.65717466530495</v>
      </c>
      <c r="X4" s="103">
        <f t="shared" si="2"/>
        <v>163.13789035777052</v>
      </c>
      <c r="Y4" s="103">
        <f t="shared" si="2"/>
        <v>164.5344893327856</v>
      </c>
      <c r="Z4" s="103">
        <f t="shared" si="2"/>
        <v>165.08154801093968</v>
      </c>
      <c r="AA4" s="103">
        <f t="shared" si="2"/>
        <v>166.73818707528199</v>
      </c>
      <c r="AB4" s="103">
        <f t="shared" si="2"/>
        <v>167.44254278668504</v>
      </c>
      <c r="AC4" s="103">
        <f t="shared" si="2"/>
        <v>168.15385289235979</v>
      </c>
    </row>
    <row r="5" spans="1:29" x14ac:dyDescent="0.45">
      <c r="S5" t="s">
        <v>132</v>
      </c>
      <c r="T5" s="103">
        <f>SUMPRODUCT(T45:T56,T15:T26)/SUM(T15:T26)</f>
        <v>144.27706925923798</v>
      </c>
      <c r="U5" s="103">
        <f t="shared" ref="U5:X5" si="3">SUMPRODUCT(U45:U56,U15:U26)/SUM(U15:U26)</f>
        <v>150.14120730070712</v>
      </c>
      <c r="V5" s="103">
        <f t="shared" si="3"/>
        <v>154.43107294156044</v>
      </c>
      <c r="W5" s="103">
        <f t="shared" si="3"/>
        <v>158.65717466530495</v>
      </c>
      <c r="X5" s="103">
        <f t="shared" si="3"/>
        <v>163.13789035777052</v>
      </c>
      <c r="Y5" s="103">
        <f>SUMPRODUCT(Y60:Y71,Y15:Y26)/SUM(Y15:Y26)</f>
        <v>167.88944733591896</v>
      </c>
      <c r="Z5" s="103">
        <f t="shared" ref="Z5:AC5" si="4">SUMPRODUCT(Z60:Z71,Z15:Z26)/SUM(Z15:Z26)</f>
        <v>171.88241081580793</v>
      </c>
      <c r="AA5" s="103">
        <f t="shared" si="4"/>
        <v>177.14725650411293</v>
      </c>
      <c r="AB5" s="103">
        <f t="shared" si="4"/>
        <v>181.52298228561128</v>
      </c>
      <c r="AC5" s="103">
        <f t="shared" si="4"/>
        <v>186.01119467288194</v>
      </c>
    </row>
    <row r="6" spans="1:29" x14ac:dyDescent="0.45">
      <c r="E6" s="47"/>
      <c r="F6" s="9"/>
      <c r="G6" s="12"/>
      <c r="H6" s="12"/>
      <c r="I6" s="9"/>
      <c r="J6" s="9"/>
      <c r="K6" s="9"/>
      <c r="L6" s="9"/>
      <c r="M6" s="9"/>
      <c r="N6" s="47"/>
    </row>
    <row r="7" spans="1:29" x14ac:dyDescent="0.45">
      <c r="A7" s="65" t="s">
        <v>133</v>
      </c>
      <c r="B7" s="63">
        <v>0.02</v>
      </c>
      <c r="D7" s="32" t="s">
        <v>134</v>
      </c>
      <c r="E7" s="47"/>
      <c r="F7" s="9"/>
      <c r="G7" s="12"/>
      <c r="H7" s="12"/>
      <c r="I7" s="9"/>
      <c r="J7" s="9"/>
      <c r="K7" s="9"/>
      <c r="L7" s="9"/>
      <c r="M7" s="9"/>
      <c r="N7" s="47"/>
      <c r="S7" s="34" t="s">
        <v>135</v>
      </c>
    </row>
    <row r="8" spans="1:29" x14ac:dyDescent="0.45">
      <c r="A8" s="66" t="s">
        <v>136</v>
      </c>
      <c r="B8" s="64">
        <f>AVERAGE(C81:C86)</f>
        <v>0.53862244242833812</v>
      </c>
      <c r="C8" t="s">
        <v>137</v>
      </c>
      <c r="D8" s="32" t="s">
        <v>138</v>
      </c>
      <c r="E8" s="47"/>
      <c r="F8" s="9"/>
      <c r="G8" s="12"/>
      <c r="H8" s="12"/>
      <c r="I8" s="9"/>
      <c r="J8" s="9"/>
      <c r="K8" s="9"/>
      <c r="L8" s="9"/>
      <c r="M8" s="9"/>
      <c r="N8" s="47"/>
      <c r="S8" t="s">
        <v>139</v>
      </c>
      <c r="T8" s="53">
        <f>SUM(T15:T22)</f>
        <v>1845084.5018597364</v>
      </c>
      <c r="U8" s="53">
        <f t="shared" ref="U8:AC8" si="5">SUM(U15:U22)</f>
        <v>1445545.6952595287</v>
      </c>
      <c r="V8" s="53">
        <f t="shared" si="5"/>
        <v>1256387.3510707535</v>
      </c>
      <c r="W8" s="53">
        <f t="shared" si="5"/>
        <v>1104565.9186010014</v>
      </c>
      <c r="X8" s="53">
        <f t="shared" si="5"/>
        <v>957306.12596005923</v>
      </c>
      <c r="Y8" s="53">
        <f t="shared" si="5"/>
        <v>814410.48971989495</v>
      </c>
      <c r="Z8" s="53">
        <f t="shared" si="5"/>
        <v>737189.69036134228</v>
      </c>
      <c r="AA8" s="53">
        <f t="shared" si="5"/>
        <v>607981.87714673835</v>
      </c>
      <c r="AB8" s="53">
        <f t="shared" si="5"/>
        <v>541346.27631469618</v>
      </c>
      <c r="AC8" s="53">
        <f t="shared" si="5"/>
        <v>476904.84833560733</v>
      </c>
    </row>
    <row r="9" spans="1:29" x14ac:dyDescent="0.45">
      <c r="A9" s="65" t="s">
        <v>140</v>
      </c>
      <c r="B9" s="64">
        <f>AVERAGE(C79:C80)</f>
        <v>0.16212351688398585</v>
      </c>
      <c r="C9" t="s">
        <v>141</v>
      </c>
      <c r="D9" s="32" t="s">
        <v>138</v>
      </c>
      <c r="E9" s="47"/>
      <c r="F9" s="9"/>
      <c r="G9" s="12"/>
      <c r="H9" s="12"/>
      <c r="I9" s="9"/>
      <c r="J9" s="9"/>
      <c r="K9" s="9"/>
      <c r="L9" s="9"/>
      <c r="M9" s="9"/>
      <c r="N9" s="47"/>
      <c r="S9" t="s">
        <v>142</v>
      </c>
      <c r="T9" s="53">
        <f>SUM(T23:T26)</f>
        <v>5367368.3361767186</v>
      </c>
      <c r="U9" s="53">
        <f t="shared" ref="U9:AC9" si="6">SUM(U23:U26)</f>
        <v>5219948.1587012745</v>
      </c>
      <c r="V9" s="53">
        <f t="shared" si="6"/>
        <v>4936930.8471143749</v>
      </c>
      <c r="W9" s="53">
        <f t="shared" si="6"/>
        <v>4643106.6385191288</v>
      </c>
      <c r="X9" s="53">
        <f t="shared" si="6"/>
        <v>4369287.5123508535</v>
      </c>
      <c r="Y9" s="53">
        <f t="shared" si="6"/>
        <v>4107351.5192103316</v>
      </c>
      <c r="Z9" s="53">
        <f t="shared" si="6"/>
        <v>3810373.4873035634</v>
      </c>
      <c r="AA9" s="53">
        <f t="shared" si="6"/>
        <v>3588382.0429651281</v>
      </c>
      <c r="AB9" s="53">
        <f t="shared" si="6"/>
        <v>3332647.2684792373</v>
      </c>
      <c r="AC9" s="53">
        <f t="shared" si="6"/>
        <v>3067347.7746687299</v>
      </c>
    </row>
    <row r="10" spans="1:29" x14ac:dyDescent="0.45">
      <c r="A10" s="65" t="s">
        <v>143</v>
      </c>
      <c r="B10" s="63">
        <v>4.8000000000000001E-2</v>
      </c>
      <c r="D10" s="32" t="s">
        <v>134</v>
      </c>
      <c r="E10" s="12"/>
      <c r="F10" s="12"/>
      <c r="G10" s="12"/>
      <c r="H10" s="12"/>
      <c r="I10" s="9"/>
      <c r="J10" s="9"/>
      <c r="K10" s="9"/>
      <c r="L10" s="9"/>
      <c r="M10" s="9"/>
      <c r="N10" s="47"/>
      <c r="S10" t="s">
        <v>144</v>
      </c>
      <c r="T10" s="38">
        <f t="array" ref="T10:AC10">TRANSPOSE('Cost recovery calculation'!K14:K23)</f>
        <v>192000</v>
      </c>
      <c r="U10" s="38">
        <v>480000</v>
      </c>
      <c r="V10" s="38">
        <v>864000</v>
      </c>
      <c r="W10" s="38">
        <v>1344000</v>
      </c>
      <c r="X10" s="38">
        <v>1920000</v>
      </c>
      <c r="Y10" s="38">
        <v>2560592.56</v>
      </c>
      <c r="Z10" s="38">
        <v>3281481.4</v>
      </c>
      <c r="AA10" s="38">
        <v>4082666.52</v>
      </c>
      <c r="AB10" s="38">
        <v>4389079.9769956628</v>
      </c>
      <c r="AC10" s="38">
        <v>4389079.9769956628</v>
      </c>
    </row>
    <row r="11" spans="1:29" x14ac:dyDescent="0.45">
      <c r="E11" s="47"/>
      <c r="F11" s="9"/>
      <c r="G11" s="12"/>
      <c r="H11" s="12"/>
      <c r="I11" s="9"/>
      <c r="J11" s="9"/>
      <c r="K11" s="9"/>
      <c r="L11" s="9"/>
      <c r="M11" s="9"/>
      <c r="N11" s="47"/>
    </row>
    <row r="12" spans="1:29" x14ac:dyDescent="0.45">
      <c r="E12" s="47"/>
      <c r="F12" s="9"/>
      <c r="G12" s="12"/>
      <c r="H12" s="12"/>
      <c r="I12" s="9"/>
      <c r="J12" s="9"/>
      <c r="K12" s="9"/>
      <c r="L12" s="9"/>
      <c r="M12" s="9"/>
      <c r="N12" s="47"/>
      <c r="R12" s="32" t="s">
        <v>145</v>
      </c>
    </row>
    <row r="13" spans="1:29" x14ac:dyDescent="0.45">
      <c r="C13" s="9"/>
      <c r="D13" s="9"/>
      <c r="E13" s="9"/>
      <c r="F13" s="9"/>
      <c r="G13" s="9"/>
      <c r="H13" s="9"/>
      <c r="I13" s="9"/>
      <c r="J13" s="9"/>
      <c r="K13" s="9"/>
      <c r="L13" s="9"/>
      <c r="M13" s="9"/>
      <c r="N13" s="47"/>
    </row>
    <row r="14" spans="1:29" x14ac:dyDescent="0.45">
      <c r="A14" s="34" t="s">
        <v>12</v>
      </c>
      <c r="B14" s="37" t="s">
        <v>120</v>
      </c>
      <c r="C14" s="37"/>
      <c r="D14" s="37"/>
      <c r="E14" s="9"/>
      <c r="F14" s="9"/>
      <c r="G14" s="12"/>
      <c r="H14" s="12"/>
      <c r="I14" s="9"/>
      <c r="J14" s="9"/>
      <c r="K14" s="9"/>
      <c r="L14" s="9"/>
      <c r="M14" s="9"/>
      <c r="N14" s="9"/>
      <c r="R14" s="34" t="s">
        <v>12</v>
      </c>
      <c r="S14" s="37" t="s">
        <v>120</v>
      </c>
    </row>
    <row r="15" spans="1:29" x14ac:dyDescent="0.45">
      <c r="A15" s="33" t="s">
        <v>146</v>
      </c>
      <c r="B15" s="33" t="s">
        <v>147</v>
      </c>
      <c r="C15" s="33"/>
      <c r="D15" s="33"/>
      <c r="E15" s="50">
        <f>INDEX('CPI-X model inputs'!$C$43:$Q$54,MATCH($A15,'CPI-X model inputs'!$A$43:$A$54,0),MATCH('Copper price inputs'!$B$4&amp;'Copper price inputs'!E$2,'CPI-X model inputs'!$C$42:$Q$42,0))</f>
        <v>3895295.5507677351</v>
      </c>
      <c r="F15" s="50">
        <f>INDEX('CPI-X model inputs'!$C$43:$Q$54,MATCH($A15,'CPI-X model inputs'!$A$43:$A$54,0),MATCH('Copper price inputs'!$B$4&amp;'Copper price inputs'!F$2,'CPI-X model inputs'!$C$42:$Q$42,0))</f>
        <v>3552240.1864024824</v>
      </c>
      <c r="G15" s="50">
        <f>INDEX('CPI-X model inputs'!$C$43:$Q$54,MATCH($A15,'CPI-X model inputs'!$A$43:$A$54,0),MATCH('Copper price inputs'!$B$4&amp;'Copper price inputs'!G$2,'CPI-X model inputs'!$C$42:$Q$42,0))</f>
        <v>3302860.6339364653</v>
      </c>
      <c r="H15" s="50">
        <f>INDEX('CPI-X model inputs'!$C$43:$Q$54,MATCH($A15,'CPI-X model inputs'!$A$43:$A$54,0),MATCH('Copper price inputs'!$B$4&amp;'Copper price inputs'!H$2,'CPI-X model inputs'!$C$42:$Q$42,0))</f>
        <v>3005920.3176850462</v>
      </c>
      <c r="I15" s="50">
        <f>INDEX('CPI-X model inputs'!$C$43:$Q$54,MATCH($A15,'CPI-X model inputs'!$A$43:$A$54,0),MATCH('Copper price inputs'!$B$4&amp;'Copper price inputs'!I$2,'CPI-X model inputs'!$C$42:$Q$42,0))</f>
        <v>2731952.1403886862</v>
      </c>
      <c r="J15" s="112">
        <f>I15*(1+'CPI-X model inputs'!D76)</f>
        <v>2476593.155960991</v>
      </c>
      <c r="K15" s="112">
        <f>J15*(1+'CPI-X model inputs'!E76)</f>
        <v>2230879.5248041656</v>
      </c>
      <c r="L15" s="112">
        <f>K15*(1+'CPI-X model inputs'!F76)</f>
        <v>2043311.722306967</v>
      </c>
      <c r="M15" s="112">
        <f>L15*(1+'CPI-X model inputs'!G76)</f>
        <v>1856512.1481813402</v>
      </c>
      <c r="N15" s="112">
        <f>M15*(1+'CPI-X model inputs'!H76)</f>
        <v>1670862.7799891969</v>
      </c>
      <c r="R15" s="33" t="s">
        <v>146</v>
      </c>
      <c r="S15" s="33" t="s">
        <v>147</v>
      </c>
      <c r="T15" s="55">
        <f t="shared" ref="T15:AC22" si="7">E15-SUM(E$23:E$26)*E15/SUM(E$15:E$22)</f>
        <v>996491.70847700024</v>
      </c>
      <c r="U15" s="55">
        <f t="shared" si="7"/>
        <v>770374.35222158581</v>
      </c>
      <c r="V15" s="55">
        <f t="shared" si="7"/>
        <v>670024.07918316126</v>
      </c>
      <c r="W15" s="55">
        <f t="shared" si="7"/>
        <v>577666.36911703274</v>
      </c>
      <c r="X15" s="55">
        <f t="shared" si="7"/>
        <v>490991.93544884585</v>
      </c>
      <c r="Y15" s="55">
        <f t="shared" si="7"/>
        <v>409805.15541456034</v>
      </c>
      <c r="Z15" s="55">
        <f t="shared" si="7"/>
        <v>361640.14041654393</v>
      </c>
      <c r="AA15" s="55">
        <f t="shared" si="7"/>
        <v>296041.17282826314</v>
      </c>
      <c r="AB15" s="55">
        <f t="shared" si="7"/>
        <v>259426.33273138944</v>
      </c>
      <c r="AC15" s="55">
        <f t="shared" si="7"/>
        <v>224826.68292558216</v>
      </c>
    </row>
    <row r="16" spans="1:29" x14ac:dyDescent="0.45">
      <c r="A16" s="33" t="s">
        <v>148</v>
      </c>
      <c r="B16" s="33" t="s">
        <v>149</v>
      </c>
      <c r="C16" s="33"/>
      <c r="D16" s="33"/>
      <c r="E16" s="50">
        <f>INDEX('CPI-X model inputs'!$C$43:$Q$54,MATCH($A16,'CPI-X model inputs'!$A$43:$A$54,0),MATCH('Copper price inputs'!$B$4&amp;'Copper price inputs'!E$2,'CPI-X model inputs'!$C$42:$Q$42,0))</f>
        <v>730017.4946391891</v>
      </c>
      <c r="F16" s="50">
        <f>INDEX('CPI-X model inputs'!$C$43:$Q$54,MATCH($A16,'CPI-X model inputs'!$A$43:$A$54,0),MATCH('Copper price inputs'!$B$4&amp;'Copper price inputs'!F$2,'CPI-X model inputs'!$C$42:$Q$42,0))</f>
        <v>662415.67499155493</v>
      </c>
      <c r="G16" s="50">
        <f>INDEX('CPI-X model inputs'!$C$43:$Q$54,MATCH($A16,'CPI-X model inputs'!$A$43:$A$54,0),MATCH('Copper price inputs'!$B$4&amp;'Copper price inputs'!G$2,'CPI-X model inputs'!$C$42:$Q$42,0))</f>
        <v>606446.35049128556</v>
      </c>
      <c r="H16" s="50">
        <f>INDEX('CPI-X model inputs'!$C$43:$Q$54,MATCH($A16,'CPI-X model inputs'!$A$43:$A$54,0),MATCH('Copper price inputs'!$B$4&amp;'Copper price inputs'!H$2,'CPI-X model inputs'!$C$42:$Q$42,0))</f>
        <v>552690.12264744274</v>
      </c>
      <c r="I16" s="50">
        <f>INDEX('CPI-X model inputs'!$C$43:$Q$54,MATCH($A16,'CPI-X model inputs'!$A$43:$A$54,0),MATCH('Copper price inputs'!$B$4&amp;'Copper price inputs'!I$2,'CPI-X model inputs'!$C$42:$Q$42,0))</f>
        <v>503092.62795010593</v>
      </c>
      <c r="J16" s="112">
        <f>I16*(1+'CPI-X model inputs'!D77)</f>
        <v>456864.0257779283</v>
      </c>
      <c r="K16" s="112">
        <f>J16*(1+'CPI-X model inputs'!E77)</f>
        <v>412381.55836646236</v>
      </c>
      <c r="L16" s="112">
        <f>K16*(1+'CPI-X model inputs'!F77)</f>
        <v>378425.45010034525</v>
      </c>
      <c r="M16" s="112">
        <f>L16*(1+'CPI-X model inputs'!G77)</f>
        <v>344608.41712012928</v>
      </c>
      <c r="N16" s="112">
        <f>M16*(1+'CPI-X model inputs'!H77)</f>
        <v>310999.61026766978</v>
      </c>
      <c r="R16" s="33" t="s">
        <v>148</v>
      </c>
      <c r="S16" s="33" t="s">
        <v>149</v>
      </c>
      <c r="T16" s="55">
        <f t="shared" si="7"/>
        <v>186752.55085784907</v>
      </c>
      <c r="U16" s="55">
        <f t="shared" si="7"/>
        <v>143658.09172376257</v>
      </c>
      <c r="V16" s="55">
        <f t="shared" si="7"/>
        <v>123024.76628498535</v>
      </c>
      <c r="W16" s="55">
        <f t="shared" si="7"/>
        <v>106213.89213752549</v>
      </c>
      <c r="X16" s="55">
        <f t="shared" si="7"/>
        <v>90416.819334223401</v>
      </c>
      <c r="Y16" s="55">
        <f t="shared" si="7"/>
        <v>75597.896504158271</v>
      </c>
      <c r="Z16" s="55">
        <f t="shared" si="7"/>
        <v>66849.743795973074</v>
      </c>
      <c r="AA16" s="55">
        <f t="shared" si="7"/>
        <v>54827.421999656828</v>
      </c>
      <c r="AB16" s="55">
        <f t="shared" si="7"/>
        <v>48155.083697901922</v>
      </c>
      <c r="AC16" s="55">
        <f t="shared" si="7"/>
        <v>41847.248981200682</v>
      </c>
    </row>
    <row r="17" spans="1:41" x14ac:dyDescent="0.45">
      <c r="A17" s="33" t="s">
        <v>150</v>
      </c>
      <c r="B17" s="33" t="s">
        <v>151</v>
      </c>
      <c r="C17" s="33"/>
      <c r="D17" s="33"/>
      <c r="E17" s="50">
        <f>INDEX('CPI-X model inputs'!$C$43:$Q$54,MATCH($A17,'CPI-X model inputs'!$A$43:$A$54,0),MATCH('Copper price inputs'!$B$4&amp;'Copper price inputs'!E$2,'CPI-X model inputs'!$C$42:$Q$42,0))</f>
        <v>95405.08167853432</v>
      </c>
      <c r="F17" s="50">
        <f>INDEX('CPI-X model inputs'!$C$43:$Q$54,MATCH($A17,'CPI-X model inputs'!$A$43:$A$54,0),MATCH('Copper price inputs'!$B$4&amp;'Copper price inputs'!F$2,'CPI-X model inputs'!$C$42:$Q$42,0))</f>
        <v>74289.287215902994</v>
      </c>
      <c r="G17" s="50">
        <f>INDEX('CPI-X model inputs'!$C$43:$Q$54,MATCH($A17,'CPI-X model inputs'!$A$43:$A$54,0),MATCH('Copper price inputs'!$B$4&amp;'Copper price inputs'!G$2,'CPI-X model inputs'!$C$42:$Q$42,0))</f>
        <v>32715.382578977438</v>
      </c>
      <c r="H17" s="50">
        <f>INDEX('CPI-X model inputs'!$C$43:$Q$54,MATCH($A17,'CPI-X model inputs'!$A$43:$A$54,0),MATCH('Copper price inputs'!$B$4&amp;'Copper price inputs'!H$2,'CPI-X model inputs'!$C$42:$Q$42,0))</f>
        <v>32715.382578977438</v>
      </c>
      <c r="I17" s="50">
        <f>INDEX('CPI-X model inputs'!$C$43:$Q$54,MATCH($A17,'CPI-X model inputs'!$A$43:$A$54,0),MATCH('Copper price inputs'!$B$4&amp;'Copper price inputs'!I$2,'CPI-X model inputs'!$C$42:$Q$42,0))</f>
        <v>32715.382578977438</v>
      </c>
      <c r="J17" s="112">
        <f>I17*(1+'CPI-X model inputs'!D78)</f>
        <v>32715.382578977438</v>
      </c>
      <c r="K17" s="112">
        <f>J17*(1+'CPI-X model inputs'!E78)</f>
        <v>32715.382578977438</v>
      </c>
      <c r="L17" s="112">
        <f>K17*(1+'CPI-X model inputs'!F78)</f>
        <v>32715.382578977438</v>
      </c>
      <c r="M17" s="112">
        <f>L17*(1+'CPI-X model inputs'!G78)</f>
        <v>32715.382578977438</v>
      </c>
      <c r="N17" s="112">
        <f>M17*(1+'CPI-X model inputs'!H78)</f>
        <v>32715.382578977438</v>
      </c>
      <c r="R17" s="33" t="s">
        <v>150</v>
      </c>
      <c r="S17" s="33" t="s">
        <v>151</v>
      </c>
      <c r="T17" s="55">
        <f t="shared" si="7"/>
        <v>24406.459432967211</v>
      </c>
      <c r="U17" s="55">
        <f t="shared" si="7"/>
        <v>16111.118199446588</v>
      </c>
      <c r="V17" s="55">
        <f t="shared" si="7"/>
        <v>6636.6996725135978</v>
      </c>
      <c r="W17" s="55">
        <f t="shared" si="7"/>
        <v>6287.1181772466007</v>
      </c>
      <c r="X17" s="55">
        <f t="shared" si="7"/>
        <v>5879.6743815271402</v>
      </c>
      <c r="Y17" s="55">
        <f t="shared" si="7"/>
        <v>5413.457761503978</v>
      </c>
      <c r="Z17" s="55">
        <f t="shared" si="7"/>
        <v>5303.377173933648</v>
      </c>
      <c r="AA17" s="55">
        <f t="shared" si="7"/>
        <v>4739.9034236787957</v>
      </c>
      <c r="AB17" s="55">
        <f t="shared" si="7"/>
        <v>4571.6004253905339</v>
      </c>
      <c r="AC17" s="55">
        <f t="shared" si="7"/>
        <v>4402.0915624923036</v>
      </c>
    </row>
    <row r="18" spans="1:41" x14ac:dyDescent="0.45">
      <c r="A18" s="33" t="s">
        <v>152</v>
      </c>
      <c r="B18" s="33" t="s">
        <v>153</v>
      </c>
      <c r="C18" s="33"/>
      <c r="D18" s="33"/>
      <c r="E18" s="50">
        <f>INDEX('CPI-X model inputs'!$C$43:$Q$54,MATCH($A18,'CPI-X model inputs'!$A$43:$A$54,0),MATCH('Copper price inputs'!$B$4&amp;'Copper price inputs'!E$2,'CPI-X model inputs'!$C$42:$Q$42,0))</f>
        <v>111705.05050065892</v>
      </c>
      <c r="F18" s="50">
        <f>INDEX('CPI-X model inputs'!$C$43:$Q$54,MATCH($A18,'CPI-X model inputs'!$A$43:$A$54,0),MATCH('Copper price inputs'!$B$4&amp;'Copper price inputs'!F$2,'CPI-X model inputs'!$C$42:$Q$42,0))</f>
        <v>86981.620204173232</v>
      </c>
      <c r="G18" s="50">
        <f>INDEX('CPI-X model inputs'!$C$43:$Q$54,MATCH($A18,'CPI-X model inputs'!$A$43:$A$54,0),MATCH('Copper price inputs'!$B$4&amp;'Copper price inputs'!G$2,'CPI-X model inputs'!$C$42:$Q$42,0))</f>
        <v>38304.809333393096</v>
      </c>
      <c r="H18" s="50">
        <f>INDEX('CPI-X model inputs'!$C$43:$Q$54,MATCH($A18,'CPI-X model inputs'!$A$43:$A$54,0),MATCH('Copper price inputs'!$B$4&amp;'Copper price inputs'!H$2,'CPI-X model inputs'!$C$42:$Q$42,0))</f>
        <v>38304.809333393096</v>
      </c>
      <c r="I18" s="50">
        <f>INDEX('CPI-X model inputs'!$C$43:$Q$54,MATCH($A18,'CPI-X model inputs'!$A$43:$A$54,0),MATCH('Copper price inputs'!$B$4&amp;'Copper price inputs'!I$2,'CPI-X model inputs'!$C$42:$Q$42,0))</f>
        <v>38304.809333393096</v>
      </c>
      <c r="J18" s="112">
        <f>I18*(1+'CPI-X model inputs'!D79)</f>
        <v>38304.809333393096</v>
      </c>
      <c r="K18" s="112">
        <f>J18*(1+'CPI-X model inputs'!E79)</f>
        <v>38304.809333393096</v>
      </c>
      <c r="L18" s="112">
        <f>K18*(1+'CPI-X model inputs'!F79)</f>
        <v>38304.809333393096</v>
      </c>
      <c r="M18" s="112">
        <f>L18*(1+'CPI-X model inputs'!G79)</f>
        <v>38304.809333393096</v>
      </c>
      <c r="N18" s="112">
        <f>M18*(1+'CPI-X model inputs'!H79)</f>
        <v>38304.809333393096</v>
      </c>
      <c r="R18" s="33" t="s">
        <v>152</v>
      </c>
      <c r="S18" s="33" t="s">
        <v>153</v>
      </c>
      <c r="T18" s="55">
        <f t="shared" si="7"/>
        <v>28576.305743211735</v>
      </c>
      <c r="U18" s="55">
        <f t="shared" si="7"/>
        <v>18863.704536780337</v>
      </c>
      <c r="V18" s="55">
        <f t="shared" si="7"/>
        <v>7770.5805501410614</v>
      </c>
      <c r="W18" s="55">
        <f t="shared" si="7"/>
        <v>7361.2730175038123</v>
      </c>
      <c r="X18" s="55">
        <f t="shared" si="7"/>
        <v>6884.217403942479</v>
      </c>
      <c r="Y18" s="55">
        <f t="shared" si="7"/>
        <v>6338.3476225045015</v>
      </c>
      <c r="Z18" s="55">
        <f t="shared" si="7"/>
        <v>6209.4597542972406</v>
      </c>
      <c r="AA18" s="55">
        <f t="shared" si="7"/>
        <v>5549.7164511040355</v>
      </c>
      <c r="AB18" s="55">
        <f t="shared" si="7"/>
        <v>5352.6588668282857</v>
      </c>
      <c r="AC18" s="55">
        <f t="shared" si="7"/>
        <v>5154.1893958397559</v>
      </c>
    </row>
    <row r="19" spans="1:41" x14ac:dyDescent="0.45">
      <c r="A19" s="33" t="s">
        <v>154</v>
      </c>
      <c r="B19" s="33" t="s">
        <v>155</v>
      </c>
      <c r="C19" s="33"/>
      <c r="D19" s="33"/>
      <c r="E19" s="50">
        <f>INDEX('CPI-X model inputs'!$C$43:$Q$54,MATCH($A19,'CPI-X model inputs'!$A$43:$A$54,0),MATCH('Copper price inputs'!$B$4&amp;'Copper price inputs'!E$2,'CPI-X model inputs'!$C$42:$Q$42,0))</f>
        <v>620.62551373980762</v>
      </c>
      <c r="F19" s="50">
        <f>INDEX('CPI-X model inputs'!$C$43:$Q$54,MATCH($A19,'CPI-X model inputs'!$A$43:$A$54,0),MATCH('Copper price inputs'!$B$4&amp;'Copper price inputs'!F$2,'CPI-X model inputs'!$C$42:$Q$42,0))</f>
        <v>597.0361513024385</v>
      </c>
      <c r="G19" s="50">
        <f>INDEX('CPI-X model inputs'!$C$43:$Q$54,MATCH($A19,'CPI-X model inputs'!$A$43:$A$54,0),MATCH('Copper price inputs'!$B$4&amp;'Copper price inputs'!G$2,'CPI-X model inputs'!$C$42:$Q$42,0))</f>
        <v>577.06788812634579</v>
      </c>
      <c r="H19" s="50">
        <f>INDEX('CPI-X model inputs'!$C$43:$Q$54,MATCH($A19,'CPI-X model inputs'!$A$43:$A$54,0),MATCH('Copper price inputs'!$B$4&amp;'Copper price inputs'!H$2,'CPI-X model inputs'!$C$42:$Q$42,0))</f>
        <v>552.30860337238016</v>
      </c>
      <c r="I19" s="50">
        <f>INDEX('CPI-X model inputs'!$C$43:$Q$54,MATCH($A19,'CPI-X model inputs'!$A$43:$A$54,0),MATCH('Copper price inputs'!$B$4&amp;'Copper price inputs'!I$2,'CPI-X model inputs'!$C$42:$Q$42,0))</f>
        <v>526.88068123049061</v>
      </c>
      <c r="J19" s="112">
        <f>I19*(1+'CPI-X model inputs'!D80)</f>
        <v>499.95837511129162</v>
      </c>
      <c r="K19" s="112">
        <f>J19*(1+'CPI-X model inputs'!E80)</f>
        <v>478.05350560400285</v>
      </c>
      <c r="L19" s="112">
        <f>K19*(1+'CPI-X model inputs'!F80)</f>
        <v>444.23887293025217</v>
      </c>
      <c r="M19" s="112">
        <f>L19*(1+'CPI-X model inputs'!G80)</f>
        <v>417.70517643016706</v>
      </c>
      <c r="N19" s="112">
        <f>M19*(1+'CPI-X model inputs'!H80)</f>
        <v>388.89527855476712</v>
      </c>
      <c r="R19" s="33" t="s">
        <v>154</v>
      </c>
      <c r="S19" s="33" t="s">
        <v>155</v>
      </c>
      <c r="T19" s="55">
        <f t="shared" si="7"/>
        <v>158.76797291776876</v>
      </c>
      <c r="U19" s="55">
        <f t="shared" si="7"/>
        <v>129.47923399805018</v>
      </c>
      <c r="V19" s="55">
        <f t="shared" si="7"/>
        <v>117.06500007758547</v>
      </c>
      <c r="W19" s="55">
        <f t="shared" si="7"/>
        <v>106.14057320984898</v>
      </c>
      <c r="X19" s="55">
        <f t="shared" si="7"/>
        <v>94.692056132125231</v>
      </c>
      <c r="Y19" s="55">
        <f t="shared" si="7"/>
        <v>82.728775665130399</v>
      </c>
      <c r="Z19" s="55">
        <f t="shared" si="7"/>
        <v>77.495595334055054</v>
      </c>
      <c r="AA19" s="55">
        <f t="shared" si="7"/>
        <v>64.362669446096618</v>
      </c>
      <c r="AB19" s="55">
        <f t="shared" si="7"/>
        <v>58.369519526360534</v>
      </c>
      <c r="AC19" s="55">
        <f t="shared" si="7"/>
        <v>52.328675059392879</v>
      </c>
    </row>
    <row r="20" spans="1:41" x14ac:dyDescent="0.45">
      <c r="A20" s="33" t="s">
        <v>156</v>
      </c>
      <c r="B20" s="33" t="s">
        <v>157</v>
      </c>
      <c r="C20" s="33"/>
      <c r="D20" s="33"/>
      <c r="E20" s="50">
        <f>INDEX('CPI-X model inputs'!$C$43:$Q$54,MATCH($A20,'CPI-X model inputs'!$A$43:$A$54,0),MATCH('Copper price inputs'!$B$4&amp;'Copper price inputs'!E$2,'CPI-X model inputs'!$C$42:$Q$42,0))</f>
        <v>2021783.0690929673</v>
      </c>
      <c r="F20" s="50">
        <f>INDEX('CPI-X model inputs'!$C$43:$Q$54,MATCH($A20,'CPI-X model inputs'!$A$43:$A$54,0),MATCH('Copper price inputs'!$B$4&amp;'Copper price inputs'!F$2,'CPI-X model inputs'!$C$42:$Q$42,0))</f>
        <v>1944937.0926857428</v>
      </c>
      <c r="G20" s="50">
        <f>INDEX('CPI-X model inputs'!$C$43:$Q$54,MATCH($A20,'CPI-X model inputs'!$A$43:$A$54,0),MATCH('Copper price inputs'!$B$4&amp;'Copper price inputs'!G$2,'CPI-X model inputs'!$C$42:$Q$42,0))</f>
        <v>1879887.4040815097</v>
      </c>
      <c r="H20" s="50">
        <f>INDEX('CPI-X model inputs'!$C$43:$Q$54,MATCH($A20,'CPI-X model inputs'!$A$43:$A$54,0),MATCH('Copper price inputs'!$B$4&amp;'Copper price inputs'!H$2,'CPI-X model inputs'!$C$42:$Q$42,0))</f>
        <v>1799230.2257828335</v>
      </c>
      <c r="I20" s="50">
        <f>INDEX('CPI-X model inputs'!$C$43:$Q$54,MATCH($A20,'CPI-X model inputs'!$A$43:$A$54,0),MATCH('Copper price inputs'!$B$4&amp;'Copper price inputs'!I$2,'CPI-X model inputs'!$C$42:$Q$42,0))</f>
        <v>1716394.8583502281</v>
      </c>
      <c r="J20" s="112">
        <f>I20*(1+'CPI-X model inputs'!D81)</f>
        <v>1628691.3052611197</v>
      </c>
      <c r="K20" s="112">
        <f>J20*(1+'CPI-X model inputs'!E81)</f>
        <v>1557332.8236646084</v>
      </c>
      <c r="L20" s="112">
        <f>K20*(1+'CPI-X model inputs'!F81)</f>
        <v>1447176.4567189065</v>
      </c>
      <c r="M20" s="112">
        <f>L20*(1+'CPI-X model inputs'!G81)</f>
        <v>1360738.8592359037</v>
      </c>
      <c r="N20" s="112">
        <f>M20*(1+'CPI-X model inputs'!H81)</f>
        <v>1266886.1856714701</v>
      </c>
      <c r="R20" s="33" t="s">
        <v>156</v>
      </c>
      <c r="S20" s="33" t="s">
        <v>157</v>
      </c>
      <c r="T20" s="55">
        <f t="shared" si="7"/>
        <v>517211.09179847548</v>
      </c>
      <c r="U20" s="55">
        <f t="shared" si="7"/>
        <v>421798.5198818834</v>
      </c>
      <c r="V20" s="55">
        <f t="shared" si="7"/>
        <v>381357.24345914554</v>
      </c>
      <c r="W20" s="55">
        <f t="shared" si="7"/>
        <v>345769.24265711359</v>
      </c>
      <c r="X20" s="55">
        <f t="shared" si="7"/>
        <v>308473.93738600658</v>
      </c>
      <c r="Y20" s="55">
        <f t="shared" si="7"/>
        <v>269501.71119886171</v>
      </c>
      <c r="Z20" s="55">
        <f t="shared" si="7"/>
        <v>252453.82135765534</v>
      </c>
      <c r="AA20" s="55">
        <f t="shared" si="7"/>
        <v>209671.29530917108</v>
      </c>
      <c r="AB20" s="55">
        <f t="shared" si="7"/>
        <v>190147.68764237757</v>
      </c>
      <c r="AC20" s="55">
        <f t="shared" si="7"/>
        <v>170468.70765210385</v>
      </c>
    </row>
    <row r="21" spans="1:41" x14ac:dyDescent="0.45">
      <c r="A21" s="33" t="s">
        <v>158</v>
      </c>
      <c r="B21" s="33" t="s">
        <v>159</v>
      </c>
      <c r="C21" s="33"/>
      <c r="D21" s="33"/>
      <c r="E21" s="50">
        <f>INDEX('CPI-X model inputs'!$C$43:$Q$54,MATCH($A21,'CPI-X model inputs'!$A$43:$A$54,0),MATCH('Copper price inputs'!$B$4&amp;'Copper price inputs'!E$2,'CPI-X model inputs'!$C$42:$Q$42,0))</f>
        <v>39183.903355944516</v>
      </c>
      <c r="F21" s="50">
        <f>INDEX('CPI-X model inputs'!$C$43:$Q$54,MATCH($A21,'CPI-X model inputs'!$A$43:$A$54,0),MATCH('Copper price inputs'!$B$4&amp;'Copper price inputs'!F$2,'CPI-X model inputs'!$C$42:$Q$42,0))</f>
        <v>37694.561913301644</v>
      </c>
      <c r="G21" s="50">
        <f>INDEX('CPI-X model inputs'!$C$43:$Q$54,MATCH($A21,'CPI-X model inputs'!$A$43:$A$54,0),MATCH('Copper price inputs'!$B$4&amp;'Copper price inputs'!G$2,'CPI-X model inputs'!$C$42:$Q$42,0))</f>
        <v>36433.842724102935</v>
      </c>
      <c r="H21" s="50">
        <f>INDEX('CPI-X model inputs'!$C$43:$Q$54,MATCH($A21,'CPI-X model inputs'!$A$43:$A$54,0),MATCH('Copper price inputs'!$B$4&amp;'Copper price inputs'!H$2,'CPI-X model inputs'!$C$42:$Q$42,0))</f>
        <v>34870.63689468801</v>
      </c>
      <c r="I21" s="50">
        <f>INDEX('CPI-X model inputs'!$C$43:$Q$54,MATCH($A21,'CPI-X model inputs'!$A$43:$A$54,0),MATCH('Copper price inputs'!$B$4&amp;'Copper price inputs'!I$2,'CPI-X model inputs'!$C$42:$Q$42,0))</f>
        <v>33265.215877195005</v>
      </c>
      <c r="J21" s="112">
        <f>I21*(1+'CPI-X model inputs'!D82)</f>
        <v>31565.445213986157</v>
      </c>
      <c r="K21" s="112">
        <f>J21*(1+'CPI-X model inputs'!E82)</f>
        <v>30182.456163751875</v>
      </c>
      <c r="L21" s="112">
        <f>K21*(1+'CPI-X model inputs'!F82)</f>
        <v>28047.530561481995</v>
      </c>
      <c r="M21" s="112">
        <f>L21*(1+'CPI-X model inputs'!G82)</f>
        <v>26372.2952121161</v>
      </c>
      <c r="N21" s="112">
        <f>M21*(1+'CPI-X model inputs'!H82)</f>
        <v>24553.349279259106</v>
      </c>
      <c r="R21" s="33" t="s">
        <v>158</v>
      </c>
      <c r="S21" s="33" t="s">
        <v>159</v>
      </c>
      <c r="T21" s="55">
        <f t="shared" si="7"/>
        <v>10023.997997345039</v>
      </c>
      <c r="U21" s="55">
        <f t="shared" si="7"/>
        <v>8174.8198861646415</v>
      </c>
      <c r="V21" s="55">
        <f t="shared" si="7"/>
        <v>7391.0329947003047</v>
      </c>
      <c r="W21" s="55">
        <f t="shared" si="7"/>
        <v>6701.3067795709503</v>
      </c>
      <c r="X21" s="55">
        <f t="shared" si="7"/>
        <v>5978.4915281656067</v>
      </c>
      <c r="Y21" s="55">
        <f t="shared" si="7"/>
        <v>5223.1761000033803</v>
      </c>
      <c r="Z21" s="55">
        <f t="shared" si="7"/>
        <v>4892.7732599695555</v>
      </c>
      <c r="AA21" s="55">
        <f t="shared" si="7"/>
        <v>4063.6109271585192</v>
      </c>
      <c r="AB21" s="55">
        <f t="shared" si="7"/>
        <v>3685.2265358408986</v>
      </c>
      <c r="AC21" s="55">
        <f t="shared" si="7"/>
        <v>3303.8308946021025</v>
      </c>
    </row>
    <row r="22" spans="1:41" x14ac:dyDescent="0.45">
      <c r="A22" s="33" t="s">
        <v>160</v>
      </c>
      <c r="B22" s="33" t="s">
        <v>161</v>
      </c>
      <c r="C22" s="33"/>
      <c r="D22" s="33"/>
      <c r="E22" s="50">
        <f>INDEX('CPI-X model inputs'!$C$43:$Q$54,MATCH($A22,'CPI-X model inputs'!$A$43:$A$54,0),MATCH('Copper price inputs'!$B$4&amp;'Copper price inputs'!E$2,'CPI-X model inputs'!$C$42:$Q$42,0))</f>
        <v>318442.06248768553</v>
      </c>
      <c r="F22" s="50">
        <f>INDEX('CPI-X model inputs'!$C$43:$Q$54,MATCH($A22,'CPI-X model inputs'!$A$43:$A$54,0),MATCH('Copper price inputs'!$B$4&amp;'Copper price inputs'!F$2,'CPI-X model inputs'!$C$42:$Q$42,0))</f>
        <v>306338.39439634327</v>
      </c>
      <c r="G22" s="50">
        <f>INDEX('CPI-X model inputs'!$C$43:$Q$54,MATCH($A22,'CPI-X model inputs'!$A$43:$A$54,0),MATCH('Copper price inputs'!$B$4&amp;'Copper price inputs'!G$2,'CPI-X model inputs'!$C$42:$Q$42,0))</f>
        <v>296092.70715126861</v>
      </c>
      <c r="H22" s="50">
        <f>INDEX('CPI-X model inputs'!$C$43:$Q$54,MATCH($A22,'CPI-X model inputs'!$A$43:$A$54,0),MATCH('Copper price inputs'!$B$4&amp;'Copper price inputs'!H$2,'CPI-X model inputs'!$C$42:$Q$42,0))</f>
        <v>283388.75359437667</v>
      </c>
      <c r="I22" s="50">
        <f>INDEX('CPI-X model inputs'!$C$43:$Q$54,MATCH($A22,'CPI-X model inputs'!$A$43:$A$54,0),MATCH('Copper price inputs'!$B$4&amp;'Copper price inputs'!I$2,'CPI-X model inputs'!$C$42:$Q$42,0))</f>
        <v>270341.72315109661</v>
      </c>
      <c r="J22" s="112">
        <f>I22*(1+'CPI-X model inputs'!D83)</f>
        <v>256527.92642871957</v>
      </c>
      <c r="K22" s="112">
        <f>J22*(1+'CPI-X model inputs'!E83)</f>
        <v>245288.56924794297</v>
      </c>
      <c r="L22" s="112">
        <f>K22*(1+'CPI-X model inputs'!F83)</f>
        <v>227938.32963886525</v>
      </c>
      <c r="M22" s="112">
        <f>L22*(1+'CPI-X model inputs'!G83)</f>
        <v>214323.92795564386</v>
      </c>
      <c r="N22" s="112">
        <f>M22*(1+'CPI-X model inputs'!H83)</f>
        <v>199541.61060581575</v>
      </c>
      <c r="R22" s="33" t="s">
        <v>160</v>
      </c>
      <c r="S22" s="33" t="s">
        <v>161</v>
      </c>
      <c r="T22" s="55">
        <f t="shared" si="7"/>
        <v>81463.619579970196</v>
      </c>
      <c r="U22" s="55">
        <f t="shared" si="7"/>
        <v>66435.609575907321</v>
      </c>
      <c r="V22" s="55">
        <f t="shared" si="7"/>
        <v>60065.883926028939</v>
      </c>
      <c r="W22" s="55">
        <f t="shared" si="7"/>
        <v>54460.576141798345</v>
      </c>
      <c r="X22" s="55">
        <f t="shared" si="7"/>
        <v>48586.358421216049</v>
      </c>
      <c r="Y22" s="55">
        <f t="shared" si="7"/>
        <v>42448.016342637537</v>
      </c>
      <c r="Z22" s="55">
        <f t="shared" si="7"/>
        <v>39762.879007635434</v>
      </c>
      <c r="AA22" s="55">
        <f t="shared" si="7"/>
        <v>33024.39353825993</v>
      </c>
      <c r="AB22" s="55">
        <f t="shared" si="7"/>
        <v>29949.316895441181</v>
      </c>
      <c r="AC22" s="55">
        <f t="shared" si="7"/>
        <v>26849.76824872705</v>
      </c>
    </row>
    <row r="23" spans="1:41" x14ac:dyDescent="0.45">
      <c r="A23" s="33" t="s">
        <v>162</v>
      </c>
      <c r="B23" s="33" t="s">
        <v>163</v>
      </c>
      <c r="C23" s="33"/>
      <c r="D23" s="33"/>
      <c r="E23" s="50">
        <f>INDEX('CPI-X model inputs'!$C$43:$Q$54,MATCH($A23,'CPI-X model inputs'!$A$43:$A$54,0),MATCH('Copper price inputs'!$B$4&amp;'Copper price inputs'!E$2,'CPI-X model inputs'!$C$42:$Q$42,0))</f>
        <v>458023.47952139808</v>
      </c>
      <c r="F23" s="50">
        <f>INDEX('CPI-X model inputs'!$C$43:$Q$54,MATCH($A23,'CPI-X model inputs'!$A$43:$A$54,0),MATCH('Copper price inputs'!$B$4&amp;'Copper price inputs'!F$2,'CPI-X model inputs'!$C$42:$Q$42,0))</f>
        <v>431534.56976648478</v>
      </c>
      <c r="G23" s="50">
        <f>INDEX('CPI-X model inputs'!$C$43:$Q$54,MATCH($A23,'CPI-X model inputs'!$A$43:$A$54,0),MATCH('Copper price inputs'!$B$4&amp;'Copper price inputs'!G$2,'CPI-X model inputs'!$C$42:$Q$42,0))</f>
        <v>382214.76265702408</v>
      </c>
      <c r="H23" s="50">
        <f>INDEX('CPI-X model inputs'!$C$43:$Q$54,MATCH($A23,'CPI-X model inputs'!$A$43:$A$54,0),MATCH('Copper price inputs'!$B$4&amp;'Copper price inputs'!H$2,'CPI-X model inputs'!$C$42:$Q$42,0))</f>
        <v>335757.29130266479</v>
      </c>
      <c r="I23" s="50">
        <f>INDEX('CPI-X model inputs'!$C$43:$Q$54,MATCH($A23,'CPI-X model inputs'!$A$43:$A$54,0),MATCH('Copper price inputs'!$B$4&amp;'Copper price inputs'!I$2,'CPI-X model inputs'!$C$42:$Q$42,0))</f>
        <v>293713.7599899972</v>
      </c>
      <c r="J23" s="112">
        <f>I23*(1+'CPI-X model inputs'!D84)</f>
        <v>255260.681284247</v>
      </c>
      <c r="K23" s="112">
        <f>J23*(1+'CPI-X model inputs'!E84)</f>
        <v>217525.70672910108</v>
      </c>
      <c r="L23" s="112">
        <f>K23*(1+'CPI-X model inputs'!F84)</f>
        <v>186752.90250277158</v>
      </c>
      <c r="M23" s="112">
        <f>L23*(1+'CPI-X model inputs'!G84)</f>
        <v>156685.04479581185</v>
      </c>
      <c r="N23" s="112">
        <f>M23*(1+'CPI-X model inputs'!H84)</f>
        <v>128834.67200086487</v>
      </c>
      <c r="R23" s="33" t="s">
        <v>162</v>
      </c>
      <c r="S23" s="33" t="s">
        <v>163</v>
      </c>
      <c r="T23" s="53">
        <f t="shared" ref="T23:AC26" si="8">E23</f>
        <v>458023.47952139808</v>
      </c>
      <c r="U23" s="53">
        <f t="shared" si="8"/>
        <v>431534.56976648478</v>
      </c>
      <c r="V23" s="53">
        <f t="shared" si="8"/>
        <v>382214.76265702408</v>
      </c>
      <c r="W23" s="53">
        <f t="shared" si="8"/>
        <v>335757.29130266479</v>
      </c>
      <c r="X23" s="53">
        <f t="shared" si="8"/>
        <v>293713.7599899972</v>
      </c>
      <c r="Y23" s="53">
        <f t="shared" si="8"/>
        <v>255260.681284247</v>
      </c>
      <c r="Z23" s="53">
        <f t="shared" si="8"/>
        <v>217525.70672910108</v>
      </c>
      <c r="AA23" s="53">
        <f t="shared" si="8"/>
        <v>186752.90250277158</v>
      </c>
      <c r="AB23" s="53">
        <f t="shared" si="8"/>
        <v>156685.04479581185</v>
      </c>
      <c r="AC23" s="53">
        <f t="shared" si="8"/>
        <v>128834.67200086487</v>
      </c>
    </row>
    <row r="24" spans="1:41" x14ac:dyDescent="0.45">
      <c r="A24" s="33" t="s">
        <v>164</v>
      </c>
      <c r="B24" s="33" t="s">
        <v>165</v>
      </c>
      <c r="C24" s="33"/>
      <c r="D24" s="33"/>
      <c r="E24" s="50">
        <f>INDEX('CPI-X model inputs'!$C$43:$Q$54,MATCH($A24,'CPI-X model inputs'!$A$43:$A$54,0),MATCH('Copper price inputs'!$B$4&amp;'Copper price inputs'!E$2,'CPI-X model inputs'!$C$42:$Q$42,0))</f>
        <v>1278297.9070091567</v>
      </c>
      <c r="F24" s="50">
        <f>INDEX('CPI-X model inputs'!$C$43:$Q$54,MATCH($A24,'CPI-X model inputs'!$A$43:$A$54,0),MATCH('Copper price inputs'!$B$4&amp;'Copper price inputs'!F$2,'CPI-X model inputs'!$C$42:$Q$42,0))</f>
        <v>1204369.9984791351</v>
      </c>
      <c r="G24" s="50">
        <f>INDEX('CPI-X model inputs'!$C$43:$Q$54,MATCH($A24,'CPI-X model inputs'!$A$43:$A$54,0),MATCH('Copper price inputs'!$B$4&amp;'Copper price inputs'!G$2,'CPI-X model inputs'!$C$42:$Q$42,0))</f>
        <v>1066723.3296489762</v>
      </c>
      <c r="H24" s="50">
        <f>INDEX('CPI-X model inputs'!$C$43:$Q$54,MATCH($A24,'CPI-X model inputs'!$A$43:$A$54,0),MATCH('Copper price inputs'!$B$4&amp;'Copper price inputs'!H$2,'CPI-X model inputs'!$C$42:$Q$42,0))</f>
        <v>937065.15479018958</v>
      </c>
      <c r="I24" s="50">
        <f>INDEX('CPI-X model inputs'!$C$43:$Q$54,MATCH($A24,'CPI-X model inputs'!$A$43:$A$54,0),MATCH('Copper price inputs'!$B$4&amp;'Copper price inputs'!I$2,'CPI-X model inputs'!$C$42:$Q$42,0))</f>
        <v>819725.84690925805</v>
      </c>
      <c r="J24" s="112">
        <f>I24*(1+'CPI-X model inputs'!D85)</f>
        <v>712407.13460441772</v>
      </c>
      <c r="K24" s="112">
        <f>J24*(1+'CPI-X model inputs'!E85)</f>
        <v>607092.57945259323</v>
      </c>
      <c r="L24" s="112">
        <f>K24*(1+'CPI-X model inputs'!F85)</f>
        <v>521208.74817734142</v>
      </c>
      <c r="M24" s="112">
        <f>L24*(1+'CPI-X model inputs'!G85)</f>
        <v>437292.35241697921</v>
      </c>
      <c r="N24" s="112">
        <f>M24*(1+'CPI-X model inputs'!H85)</f>
        <v>359564.73615938885</v>
      </c>
      <c r="R24" s="33" t="s">
        <v>164</v>
      </c>
      <c r="S24" s="33" t="s">
        <v>165</v>
      </c>
      <c r="T24" s="53">
        <f t="shared" si="8"/>
        <v>1278297.9070091567</v>
      </c>
      <c r="U24" s="53">
        <f t="shared" si="8"/>
        <v>1204369.9984791351</v>
      </c>
      <c r="V24" s="53">
        <f t="shared" si="8"/>
        <v>1066723.3296489762</v>
      </c>
      <c r="W24" s="53">
        <f t="shared" si="8"/>
        <v>937065.15479018958</v>
      </c>
      <c r="X24" s="53">
        <f t="shared" si="8"/>
        <v>819725.84690925805</v>
      </c>
      <c r="Y24" s="53">
        <f t="shared" si="8"/>
        <v>712407.13460441772</v>
      </c>
      <c r="Z24" s="53">
        <f t="shared" si="8"/>
        <v>607092.57945259323</v>
      </c>
      <c r="AA24" s="53">
        <f t="shared" si="8"/>
        <v>521208.74817734142</v>
      </c>
      <c r="AB24" s="53">
        <f t="shared" si="8"/>
        <v>437292.35241697921</v>
      </c>
      <c r="AC24" s="53">
        <f t="shared" si="8"/>
        <v>359564.73615938885</v>
      </c>
    </row>
    <row r="25" spans="1:41" x14ac:dyDescent="0.45">
      <c r="A25" s="33" t="s">
        <v>166</v>
      </c>
      <c r="B25" s="33" t="s">
        <v>167</v>
      </c>
      <c r="C25" s="33"/>
      <c r="D25" s="33"/>
      <c r="E25" s="50">
        <f>INDEX('CPI-X model inputs'!$C$43:$Q$54,MATCH($A25,'CPI-X model inputs'!$A$43:$A$54,0),MATCH('Copper price inputs'!$B$4&amp;'Copper price inputs'!E$2,'CPI-X model inputs'!$C$42:$Q$42,0))</f>
        <v>2204009.6508485884</v>
      </c>
      <c r="F25" s="50">
        <f>INDEX('CPI-X model inputs'!$C$43:$Q$54,MATCH($A25,'CPI-X model inputs'!$A$43:$A$54,0),MATCH('Copper price inputs'!$B$4&amp;'Copper price inputs'!F$2,'CPI-X model inputs'!$C$42:$Q$42,0))</f>
        <v>1995811.0288932156</v>
      </c>
      <c r="G25" s="50">
        <f>INDEX('CPI-X model inputs'!$C$43:$Q$54,MATCH($A25,'CPI-X model inputs'!$A$43:$A$54,0),MATCH('Copper price inputs'!$B$4&amp;'Copper price inputs'!G$2,'CPI-X model inputs'!$C$42:$Q$42,0))</f>
        <v>1810850.7443701362</v>
      </c>
      <c r="H25" s="50">
        <f>INDEX('CPI-X model inputs'!$C$43:$Q$54,MATCH($A25,'CPI-X model inputs'!$A$43:$A$54,0),MATCH('Copper price inputs'!$B$4&amp;'Copper price inputs'!H$2,'CPI-X model inputs'!$C$42:$Q$42,0))</f>
        <v>1630557.8441662721</v>
      </c>
      <c r="I25" s="50">
        <f>INDEX('CPI-X model inputs'!$C$43:$Q$54,MATCH($A25,'CPI-X model inputs'!$A$43:$A$54,0),MATCH('Copper price inputs'!$B$4&amp;'Copper price inputs'!I$2,'CPI-X model inputs'!$C$42:$Q$42,0))</f>
        <v>1466366.1701632533</v>
      </c>
      <c r="J25" s="112">
        <f>I25*(1+'CPI-X model inputs'!D86)</f>
        <v>1314701.1337650465</v>
      </c>
      <c r="K25" s="112">
        <f>J25*(1+'CPI-X model inputs'!E86)</f>
        <v>1160677.040076077</v>
      </c>
      <c r="L25" s="112">
        <f>K25*(1+'CPI-X model inputs'!F86)</f>
        <v>1074156.854113583</v>
      </c>
      <c r="M25" s="112">
        <f>L25*(1+'CPI-X model inputs'!G86)</f>
        <v>980105.64184129424</v>
      </c>
      <c r="N25" s="112">
        <f>M25*(1+'CPI-X model inputs'!H86)</f>
        <v>886026.52207357204</v>
      </c>
      <c r="R25" s="33" t="s">
        <v>166</v>
      </c>
      <c r="S25" s="33" t="s">
        <v>167</v>
      </c>
      <c r="T25" s="53">
        <f t="shared" si="8"/>
        <v>2204009.6508485884</v>
      </c>
      <c r="U25" s="53">
        <f t="shared" si="8"/>
        <v>1995811.0288932156</v>
      </c>
      <c r="V25" s="53">
        <f t="shared" si="8"/>
        <v>1810850.7443701362</v>
      </c>
      <c r="W25" s="53">
        <f t="shared" si="8"/>
        <v>1630557.8441662721</v>
      </c>
      <c r="X25" s="53">
        <f t="shared" si="8"/>
        <v>1466366.1701632533</v>
      </c>
      <c r="Y25" s="53">
        <f t="shared" si="8"/>
        <v>1314701.1337650465</v>
      </c>
      <c r="Z25" s="53">
        <f t="shared" si="8"/>
        <v>1160677.040076077</v>
      </c>
      <c r="AA25" s="53">
        <f t="shared" si="8"/>
        <v>1074156.854113583</v>
      </c>
      <c r="AB25" s="53">
        <f t="shared" si="8"/>
        <v>980105.64184129424</v>
      </c>
      <c r="AC25" s="53">
        <f t="shared" si="8"/>
        <v>886026.52207357204</v>
      </c>
    </row>
    <row r="26" spans="1:41" x14ac:dyDescent="0.45">
      <c r="A26" s="33" t="s">
        <v>168</v>
      </c>
      <c r="B26" s="33" t="s">
        <v>169</v>
      </c>
      <c r="C26" s="33"/>
      <c r="D26" s="33"/>
      <c r="E26" s="50">
        <f>INDEX('CPI-X model inputs'!$C$43:$Q$54,MATCH($A26,'CPI-X model inputs'!$A$43:$A$54,0),MATCH('Copper price inputs'!$B$4&amp;'Copper price inputs'!E$2,'CPI-X model inputs'!$C$42:$Q$42,0))</f>
        <v>1427037.2987975751</v>
      </c>
      <c r="F26" s="50">
        <f>INDEX('CPI-X model inputs'!$C$43:$Q$54,MATCH($A26,'CPI-X model inputs'!$A$43:$A$54,0),MATCH('Copper price inputs'!$B$4&amp;'Copper price inputs'!F$2,'CPI-X model inputs'!$C$42:$Q$42,0))</f>
        <v>1588232.561562439</v>
      </c>
      <c r="G26" s="50">
        <f>INDEX('CPI-X model inputs'!$C$43:$Q$54,MATCH($A26,'CPI-X model inputs'!$A$43:$A$54,0),MATCH('Copper price inputs'!$B$4&amp;'Copper price inputs'!G$2,'CPI-X model inputs'!$C$42:$Q$42,0))</f>
        <v>1677142.010438238</v>
      </c>
      <c r="H26" s="50">
        <f>INDEX('CPI-X model inputs'!$C$43:$Q$54,MATCH($A26,'CPI-X model inputs'!$A$43:$A$54,0),MATCH('Copper price inputs'!$B$4&amp;'Copper price inputs'!H$2,'CPI-X model inputs'!$C$42:$Q$42,0))</f>
        <v>1739726.3482600027</v>
      </c>
      <c r="I26" s="50">
        <f>INDEX('CPI-X model inputs'!$C$43:$Q$54,MATCH($A26,'CPI-X model inputs'!$A$43:$A$54,0),MATCH('Copper price inputs'!$B$4&amp;'Copper price inputs'!I$2,'CPI-X model inputs'!$C$42:$Q$42,0))</f>
        <v>1789481.7352883457</v>
      </c>
      <c r="J26" s="112">
        <f>I26*(1+'CPI-X model inputs'!D87)</f>
        <v>1824982.5695566204</v>
      </c>
      <c r="K26" s="112">
        <f>J26*(1+'CPI-X model inputs'!E87)</f>
        <v>1825078.1610457918</v>
      </c>
      <c r="L26" s="112">
        <f>K26*(1+'CPI-X model inputs'!F87)</f>
        <v>1806263.5381714322</v>
      </c>
      <c r="M26" s="112">
        <f>L26*(1+'CPI-X model inputs'!G87)</f>
        <v>1758564.2294251518</v>
      </c>
      <c r="N26" s="112">
        <f>M26*(1+'CPI-X model inputs'!H87)</f>
        <v>1692921.8444349044</v>
      </c>
      <c r="O26" s="32"/>
      <c r="R26" s="33" t="s">
        <v>168</v>
      </c>
      <c r="S26" s="33" t="s">
        <v>169</v>
      </c>
      <c r="T26" s="53">
        <f t="shared" si="8"/>
        <v>1427037.2987975751</v>
      </c>
      <c r="U26" s="53">
        <f t="shared" si="8"/>
        <v>1588232.561562439</v>
      </c>
      <c r="V26" s="53">
        <f t="shared" si="8"/>
        <v>1677142.010438238</v>
      </c>
      <c r="W26" s="53">
        <f t="shared" si="8"/>
        <v>1739726.3482600027</v>
      </c>
      <c r="X26" s="53">
        <f t="shared" si="8"/>
        <v>1789481.7352883457</v>
      </c>
      <c r="Y26" s="53">
        <f t="shared" si="8"/>
        <v>1824982.5695566204</v>
      </c>
      <c r="Z26" s="53">
        <f t="shared" si="8"/>
        <v>1825078.1610457918</v>
      </c>
      <c r="AA26" s="53">
        <f t="shared" si="8"/>
        <v>1806263.5381714322</v>
      </c>
      <c r="AB26" s="53">
        <f t="shared" si="8"/>
        <v>1758564.2294251518</v>
      </c>
      <c r="AC26" s="53">
        <f t="shared" si="8"/>
        <v>1692921.8444349044</v>
      </c>
    </row>
    <row r="27" spans="1:41" s="36" customFormat="1" ht="14.65" thickBot="1" x14ac:dyDescent="0.5">
      <c r="A27" s="33"/>
      <c r="B27" s="35"/>
      <c r="C27" s="35"/>
      <c r="E27" s="45">
        <f t="shared" ref="E27:N27" si="9">SUM(E15:E26)</f>
        <v>12579821.174213175</v>
      </c>
      <c r="F27" s="45">
        <f t="shared" si="9"/>
        <v>11885442.012662077</v>
      </c>
      <c r="G27" s="45">
        <f t="shared" si="9"/>
        <v>11130249.045299502</v>
      </c>
      <c r="H27" s="45">
        <f t="shared" si="9"/>
        <v>10390779.195639258</v>
      </c>
      <c r="I27" s="45">
        <f t="shared" si="9"/>
        <v>9695881.1506617684</v>
      </c>
      <c r="J27" s="45">
        <f t="shared" si="9"/>
        <v>9029113.5281405579</v>
      </c>
      <c r="K27" s="45">
        <f t="shared" si="9"/>
        <v>8357936.6649684682</v>
      </c>
      <c r="L27" s="45">
        <f t="shared" si="9"/>
        <v>7784745.9630769948</v>
      </c>
      <c r="M27" s="45">
        <f t="shared" si="9"/>
        <v>7206640.813273171</v>
      </c>
      <c r="N27" s="45">
        <f t="shared" si="9"/>
        <v>6611600.3976730667</v>
      </c>
      <c r="O27" s="46"/>
      <c r="P27"/>
      <c r="Q27"/>
      <c r="R27" s="33"/>
      <c r="S27" s="35"/>
      <c r="T27" s="45">
        <f>SUM(T15:T26)</f>
        <v>7212452.8380364543</v>
      </c>
      <c r="U27" s="45">
        <f t="shared" ref="U27:AC27" si="10">SUM(U15:U26)</f>
        <v>6665493.8539608028</v>
      </c>
      <c r="V27" s="45">
        <f t="shared" si="10"/>
        <v>6193318.1981851282</v>
      </c>
      <c r="W27" s="45">
        <f t="shared" si="10"/>
        <v>5747672.5571201313</v>
      </c>
      <c r="X27" s="45">
        <f t="shared" si="10"/>
        <v>5326593.638310913</v>
      </c>
      <c r="Y27" s="45">
        <f t="shared" si="10"/>
        <v>4921762.0089302268</v>
      </c>
      <c r="Z27" s="45">
        <f t="shared" si="10"/>
        <v>4547563.1776649058</v>
      </c>
      <c r="AA27" s="45">
        <f t="shared" si="10"/>
        <v>4196363.9201118667</v>
      </c>
      <c r="AB27" s="45">
        <f t="shared" si="10"/>
        <v>3873993.5447939336</v>
      </c>
      <c r="AC27" s="45">
        <f t="shared" si="10"/>
        <v>3544252.6230043378</v>
      </c>
      <c r="AE27"/>
      <c r="AF27"/>
      <c r="AG27"/>
      <c r="AH27"/>
      <c r="AI27"/>
      <c r="AJ27"/>
      <c r="AK27"/>
      <c r="AL27"/>
      <c r="AM27"/>
      <c r="AN27"/>
      <c r="AO27"/>
    </row>
    <row r="28" spans="1:41" ht="14.65" thickTop="1" x14ac:dyDescent="0.45">
      <c r="A28" s="7"/>
      <c r="C28" s="33"/>
      <c r="E28" s="24"/>
      <c r="F28" s="24"/>
      <c r="G28" s="24"/>
      <c r="H28" s="24"/>
      <c r="I28" s="24"/>
      <c r="J28" s="38"/>
      <c r="K28" s="38"/>
      <c r="L28" s="38"/>
      <c r="M28" s="38"/>
      <c r="N28" s="38"/>
      <c r="O28" s="38"/>
    </row>
    <row r="29" spans="1:41" x14ac:dyDescent="0.45">
      <c r="A29" s="7"/>
      <c r="C29" s="60"/>
      <c r="E29" s="24"/>
      <c r="F29" s="24"/>
      <c r="G29" s="24"/>
      <c r="H29" s="24"/>
      <c r="I29" s="24"/>
      <c r="J29" s="38"/>
      <c r="K29" s="38"/>
      <c r="L29" s="38"/>
      <c r="M29" s="38"/>
      <c r="N29" s="38"/>
      <c r="O29" s="38"/>
    </row>
    <row r="30" spans="1:41" x14ac:dyDescent="0.45">
      <c r="A30" s="34" t="s">
        <v>125</v>
      </c>
      <c r="C30" t="s">
        <v>170</v>
      </c>
      <c r="D30" t="s">
        <v>171</v>
      </c>
      <c r="R30" s="34" t="s">
        <v>172</v>
      </c>
    </row>
    <row r="31" spans="1:41" x14ac:dyDescent="0.45">
      <c r="A31" s="33" t="s">
        <v>146</v>
      </c>
      <c r="B31" s="33" t="s">
        <v>147</v>
      </c>
      <c r="C31" s="51">
        <f>IF($B$3="Discounted",INDEX('CPI-X model inputs'!$C$22:$E$33,MATCH($A31,'CPI-X model inputs'!$A$22:$A$33,0),MATCH('Copper price inputs'!$B$4,'CPI-X model inputs'!$C$19:$E$19,0)))</f>
        <v>-0.02</v>
      </c>
      <c r="D31" s="113">
        <f>IF($B$3="Headline",INDEX('CPI-X model inputs'!$I$5:$I$17,MATCH($A31,'CPI-X model inputs'!$G$5:$G$16,0)),INDEX('CPI-X model inputs'!$I$22:$I$33,MATCH($A31,'CPI-X model inputs'!$G$22:$G$33,0)))</f>
        <v>91.885359999999991</v>
      </c>
      <c r="E31" s="44">
        <f t="shared" ref="E31:I42" si="11">D31*(1+($C31+$B$7))</f>
        <v>91.885359999999991</v>
      </c>
      <c r="F31" s="44">
        <f t="shared" si="11"/>
        <v>91.885359999999991</v>
      </c>
      <c r="G31" s="44">
        <f t="shared" si="11"/>
        <v>91.885359999999991</v>
      </c>
      <c r="H31" s="44">
        <f t="shared" si="11"/>
        <v>91.885359999999991</v>
      </c>
      <c r="I31" s="44">
        <f t="shared" si="11"/>
        <v>91.885359999999991</v>
      </c>
      <c r="J31" s="56">
        <f t="shared" ref="J31:N42" si="12">(J62/J15)</f>
        <v>93.418477909458431</v>
      </c>
      <c r="K31" s="56">
        <f t="shared" si="12"/>
        <v>95.261913149923629</v>
      </c>
      <c r="L31" s="56">
        <f t="shared" si="12"/>
        <v>96.384319276688473</v>
      </c>
      <c r="M31" s="56">
        <f t="shared" si="12"/>
        <v>97.888476062112062</v>
      </c>
      <c r="N31" s="56">
        <f t="shared" si="12"/>
        <v>99.861176489907322</v>
      </c>
      <c r="R31" s="33" t="s">
        <v>146</v>
      </c>
      <c r="S31" s="33" t="s">
        <v>147</v>
      </c>
      <c r="T31" s="55">
        <f t="shared" ref="T31:AC38" si="13">E31</f>
        <v>91.885359999999991</v>
      </c>
      <c r="U31" s="55">
        <f t="shared" si="13"/>
        <v>91.885359999999991</v>
      </c>
      <c r="V31" s="55">
        <f t="shared" si="13"/>
        <v>91.885359999999991</v>
      </c>
      <c r="W31" s="55">
        <f t="shared" si="13"/>
        <v>91.885359999999991</v>
      </c>
      <c r="X31" s="55">
        <f t="shared" si="13"/>
        <v>91.885359999999991</v>
      </c>
      <c r="Y31" s="55">
        <f t="shared" si="13"/>
        <v>93.418477909458431</v>
      </c>
      <c r="Z31" s="55">
        <f t="shared" si="13"/>
        <v>95.261913149923629</v>
      </c>
      <c r="AA31" s="55">
        <f t="shared" si="13"/>
        <v>96.384319276688473</v>
      </c>
      <c r="AB31" s="55">
        <f t="shared" si="13"/>
        <v>97.888476062112062</v>
      </c>
      <c r="AC31" s="55">
        <f t="shared" si="13"/>
        <v>99.861176489907322</v>
      </c>
    </row>
    <row r="32" spans="1:41" x14ac:dyDescent="0.45">
      <c r="A32" s="33" t="s">
        <v>148</v>
      </c>
      <c r="B32" s="33" t="s">
        <v>149</v>
      </c>
      <c r="C32" s="51">
        <f>IF($B$3="Discounted",INDEX('CPI-X model inputs'!$C$22:$E$33,MATCH($A32,'CPI-X model inputs'!$A$22:$A$33,0),MATCH('Copper price inputs'!$B$4,'CPI-X model inputs'!$C$19:$E$19,0)))</f>
        <v>-0.02</v>
      </c>
      <c r="D32" s="113">
        <f>IF($B$3="Headline",INDEX('CPI-X model inputs'!$I$5:$I$17,MATCH($A32,'CPI-X model inputs'!$G$5:$G$16,0)),INDEX('CPI-X model inputs'!$I$22:$I$33,MATCH($A32,'CPI-X model inputs'!$G$22:$G$33,0)))</f>
        <v>91.885359999999991</v>
      </c>
      <c r="E32" s="44">
        <f t="shared" si="11"/>
        <v>91.885359999999991</v>
      </c>
      <c r="F32" s="44">
        <f t="shared" si="11"/>
        <v>91.885359999999991</v>
      </c>
      <c r="G32" s="44">
        <f t="shared" si="11"/>
        <v>91.885359999999991</v>
      </c>
      <c r="H32" s="44">
        <f t="shared" si="11"/>
        <v>91.885359999999991</v>
      </c>
      <c r="I32" s="44">
        <f t="shared" si="11"/>
        <v>91.885359999999991</v>
      </c>
      <c r="J32" s="56">
        <f t="shared" si="12"/>
        <v>93.341934256908218</v>
      </c>
      <c r="K32" s="56">
        <f t="shared" si="12"/>
        <v>95.091838670300348</v>
      </c>
      <c r="L32" s="56">
        <f t="shared" si="12"/>
        <v>96.127099695126489</v>
      </c>
      <c r="M32" s="56">
        <f t="shared" si="12"/>
        <v>97.523644351454223</v>
      </c>
      <c r="N32" s="56">
        <f t="shared" si="12"/>
        <v>99.360388011527107</v>
      </c>
      <c r="R32" s="33" t="s">
        <v>148</v>
      </c>
      <c r="S32" s="33" t="s">
        <v>149</v>
      </c>
      <c r="T32" s="55">
        <f t="shared" si="13"/>
        <v>91.885359999999991</v>
      </c>
      <c r="U32" s="55">
        <f t="shared" si="13"/>
        <v>91.885359999999991</v>
      </c>
      <c r="V32" s="55">
        <f t="shared" si="13"/>
        <v>91.885359999999991</v>
      </c>
      <c r="W32" s="55">
        <f t="shared" si="13"/>
        <v>91.885359999999991</v>
      </c>
      <c r="X32" s="55">
        <f t="shared" si="13"/>
        <v>91.885359999999991</v>
      </c>
      <c r="Y32" s="55">
        <f t="shared" si="13"/>
        <v>93.341934256908218</v>
      </c>
      <c r="Z32" s="55">
        <f t="shared" si="13"/>
        <v>95.091838670300348</v>
      </c>
      <c r="AA32" s="55">
        <f t="shared" si="13"/>
        <v>96.127099695126489</v>
      </c>
      <c r="AB32" s="55">
        <f t="shared" si="13"/>
        <v>97.523644351454223</v>
      </c>
      <c r="AC32" s="55">
        <f t="shared" si="13"/>
        <v>99.360388011527107</v>
      </c>
    </row>
    <row r="33" spans="1:40" x14ac:dyDescent="0.45">
      <c r="A33" s="33" t="s">
        <v>150</v>
      </c>
      <c r="B33" s="33" t="s">
        <v>151</v>
      </c>
      <c r="C33" s="51">
        <f>IF($B$3="Discounted",INDEX('CPI-X model inputs'!$C$22:$E$33,MATCH($A33,'CPI-X model inputs'!$A$22:$A$33,0),MATCH('Copper price inputs'!$B$4,'CPI-X model inputs'!$C$19:$E$19,0)))</f>
        <v>-0.02</v>
      </c>
      <c r="D33" s="113">
        <f>IF($B$3="Headline",INDEX('CPI-X model inputs'!$I$5:$I$17,MATCH($A33,'CPI-X model inputs'!$G$5:$G$16,0)),INDEX('CPI-X model inputs'!$I$22:$I$33,MATCH($A33,'CPI-X model inputs'!$G$22:$G$33,0)))</f>
        <v>113.316</v>
      </c>
      <c r="E33" s="44">
        <f t="shared" si="11"/>
        <v>113.316</v>
      </c>
      <c r="F33" s="44">
        <f t="shared" si="11"/>
        <v>113.316</v>
      </c>
      <c r="G33" s="44">
        <f t="shared" si="11"/>
        <v>113.316</v>
      </c>
      <c r="H33" s="44">
        <f t="shared" si="11"/>
        <v>113.316</v>
      </c>
      <c r="I33" s="44">
        <f t="shared" si="11"/>
        <v>113.316</v>
      </c>
      <c r="J33" s="56">
        <f t="shared" si="12"/>
        <v>110.143152</v>
      </c>
      <c r="K33" s="56">
        <f t="shared" si="12"/>
        <v>107.05914374400001</v>
      </c>
      <c r="L33" s="56">
        <f t="shared" si="12"/>
        <v>104.061487719168</v>
      </c>
      <c r="M33" s="56">
        <f t="shared" si="12"/>
        <v>101.1477660630313</v>
      </c>
      <c r="N33" s="56">
        <f t="shared" si="12"/>
        <v>98.315628613266412</v>
      </c>
      <c r="R33" s="33" t="s">
        <v>150</v>
      </c>
      <c r="S33" s="33" t="s">
        <v>151</v>
      </c>
      <c r="T33" s="55">
        <f t="shared" si="13"/>
        <v>113.316</v>
      </c>
      <c r="U33" s="55">
        <f t="shared" si="13"/>
        <v>113.316</v>
      </c>
      <c r="V33" s="55">
        <f t="shared" si="13"/>
        <v>113.316</v>
      </c>
      <c r="W33" s="55">
        <f t="shared" si="13"/>
        <v>113.316</v>
      </c>
      <c r="X33" s="55">
        <f t="shared" si="13"/>
        <v>113.316</v>
      </c>
      <c r="Y33" s="55">
        <f t="shared" si="13"/>
        <v>110.143152</v>
      </c>
      <c r="Z33" s="55">
        <f t="shared" si="13"/>
        <v>107.05914374400001</v>
      </c>
      <c r="AA33" s="55">
        <f t="shared" si="13"/>
        <v>104.061487719168</v>
      </c>
      <c r="AB33" s="55">
        <f t="shared" si="13"/>
        <v>101.1477660630313</v>
      </c>
      <c r="AC33" s="55">
        <f t="shared" si="13"/>
        <v>98.315628613266412</v>
      </c>
    </row>
    <row r="34" spans="1:40" x14ac:dyDescent="0.45">
      <c r="A34" s="33" t="s">
        <v>152</v>
      </c>
      <c r="B34" s="33" t="s">
        <v>153</v>
      </c>
      <c r="C34" s="51">
        <f>IF($B$3="Discounted",INDEX('CPI-X model inputs'!$C$22:$E$33,MATCH($A34,'CPI-X model inputs'!$A$22:$A$33,0),MATCH('Copper price inputs'!$B$4,'CPI-X model inputs'!$C$19:$E$19,0)))</f>
        <v>-0.02</v>
      </c>
      <c r="D34" s="113">
        <f>IF($B$3="Headline",INDEX('CPI-X model inputs'!$I$5:$I$17,MATCH($A34,'CPI-X model inputs'!$G$5:$G$16,0)),INDEX('CPI-X model inputs'!$I$22:$I$33,MATCH($A34,'CPI-X model inputs'!$G$22:$G$33,0)))</f>
        <v>113.316</v>
      </c>
      <c r="E34" s="44">
        <f t="shared" si="11"/>
        <v>113.316</v>
      </c>
      <c r="F34" s="44">
        <f t="shared" si="11"/>
        <v>113.316</v>
      </c>
      <c r="G34" s="44">
        <f t="shared" si="11"/>
        <v>113.316</v>
      </c>
      <c r="H34" s="44">
        <f t="shared" si="11"/>
        <v>113.316</v>
      </c>
      <c r="I34" s="44">
        <f t="shared" si="11"/>
        <v>113.316</v>
      </c>
      <c r="J34" s="56">
        <f t="shared" si="12"/>
        <v>110.143152</v>
      </c>
      <c r="K34" s="56">
        <f t="shared" si="12"/>
        <v>107.059143744</v>
      </c>
      <c r="L34" s="56">
        <f t="shared" si="12"/>
        <v>104.061487719168</v>
      </c>
      <c r="M34" s="56">
        <f t="shared" si="12"/>
        <v>101.14776606303128</v>
      </c>
      <c r="N34" s="56">
        <f t="shared" si="12"/>
        <v>98.315628613266398</v>
      </c>
      <c r="R34" s="33" t="s">
        <v>152</v>
      </c>
      <c r="S34" s="33" t="s">
        <v>153</v>
      </c>
      <c r="T34" s="55">
        <f t="shared" si="13"/>
        <v>113.316</v>
      </c>
      <c r="U34" s="55">
        <f t="shared" si="13"/>
        <v>113.316</v>
      </c>
      <c r="V34" s="55">
        <f t="shared" si="13"/>
        <v>113.316</v>
      </c>
      <c r="W34" s="55">
        <f t="shared" si="13"/>
        <v>113.316</v>
      </c>
      <c r="X34" s="55">
        <f t="shared" si="13"/>
        <v>113.316</v>
      </c>
      <c r="Y34" s="55">
        <f t="shared" si="13"/>
        <v>110.143152</v>
      </c>
      <c r="Z34" s="55">
        <f t="shared" si="13"/>
        <v>107.059143744</v>
      </c>
      <c r="AA34" s="55">
        <f t="shared" si="13"/>
        <v>104.061487719168</v>
      </c>
      <c r="AB34" s="55">
        <f t="shared" si="13"/>
        <v>101.14776606303128</v>
      </c>
      <c r="AC34" s="55">
        <f t="shared" si="13"/>
        <v>98.315628613266398</v>
      </c>
    </row>
    <row r="35" spans="1:40" x14ac:dyDescent="0.45">
      <c r="A35" s="33" t="s">
        <v>154</v>
      </c>
      <c r="B35" s="33" t="s">
        <v>155</v>
      </c>
      <c r="C35" s="51">
        <f>IF($B$3="Discounted",INDEX('CPI-X model inputs'!$C$22:$E$33,MATCH($A35,'CPI-X model inputs'!$A$22:$A$33,0),MATCH('Copper price inputs'!$B$4,'CPI-X model inputs'!$C$19:$E$19,0)))</f>
        <v>-0.02</v>
      </c>
      <c r="D35" s="113">
        <f>IF($B$3="Headline",INDEX('CPI-X model inputs'!$I$5:$I$17,MATCH($A35,'CPI-X model inputs'!$G$5:$G$16,0)),INDEX('CPI-X model inputs'!$I$22:$I$33,MATCH($A35,'CPI-X model inputs'!$G$22:$G$33,0)))</f>
        <v>84.867719999999991</v>
      </c>
      <c r="E35" s="44">
        <f t="shared" si="11"/>
        <v>84.867719999999991</v>
      </c>
      <c r="F35" s="44">
        <f t="shared" si="11"/>
        <v>84.867719999999991</v>
      </c>
      <c r="G35" s="44">
        <f t="shared" si="11"/>
        <v>84.867719999999991</v>
      </c>
      <c r="H35" s="44">
        <f t="shared" si="11"/>
        <v>84.867719999999991</v>
      </c>
      <c r="I35" s="44">
        <f t="shared" si="11"/>
        <v>84.867719999999991</v>
      </c>
      <c r="J35" s="56">
        <f t="shared" si="12"/>
        <v>84.47198091690241</v>
      </c>
      <c r="K35" s="56">
        <f t="shared" si="12"/>
        <v>83.784191023306803</v>
      </c>
      <c r="L35" s="56">
        <f t="shared" si="12"/>
        <v>84.202097322520956</v>
      </c>
      <c r="M35" s="56">
        <f t="shared" si="12"/>
        <v>84.162458853464798</v>
      </c>
      <c r="N35" s="56">
        <f t="shared" si="12"/>
        <v>84.507963115840283</v>
      </c>
      <c r="R35" s="33" t="s">
        <v>154</v>
      </c>
      <c r="S35" s="33" t="s">
        <v>155</v>
      </c>
      <c r="T35" s="55">
        <f t="shared" si="13"/>
        <v>84.867719999999991</v>
      </c>
      <c r="U35" s="55">
        <f t="shared" si="13"/>
        <v>84.867719999999991</v>
      </c>
      <c r="V35" s="55">
        <f t="shared" si="13"/>
        <v>84.867719999999991</v>
      </c>
      <c r="W35" s="55">
        <f t="shared" si="13"/>
        <v>84.867719999999991</v>
      </c>
      <c r="X35" s="55">
        <f t="shared" si="13"/>
        <v>84.867719999999991</v>
      </c>
      <c r="Y35" s="55">
        <f t="shared" si="13"/>
        <v>84.47198091690241</v>
      </c>
      <c r="Z35" s="55">
        <f t="shared" si="13"/>
        <v>83.784191023306803</v>
      </c>
      <c r="AA35" s="55">
        <f t="shared" si="13"/>
        <v>84.202097322520956</v>
      </c>
      <c r="AB35" s="55">
        <f t="shared" si="13"/>
        <v>84.162458853464798</v>
      </c>
      <c r="AC35" s="55">
        <f t="shared" si="13"/>
        <v>84.507963115840283</v>
      </c>
    </row>
    <row r="36" spans="1:40" x14ac:dyDescent="0.45">
      <c r="A36" s="33" t="s">
        <v>156</v>
      </c>
      <c r="B36" s="33" t="s">
        <v>157</v>
      </c>
      <c r="C36" s="51">
        <f>IF($B$3="Discounted",INDEX('CPI-X model inputs'!$C$22:$E$33,MATCH($A36,'CPI-X model inputs'!$A$22:$A$33,0),MATCH('Copper price inputs'!$B$4,'CPI-X model inputs'!$C$19:$E$19,0)))</f>
        <v>-0.02</v>
      </c>
      <c r="D36" s="113">
        <f>IF($B$3="Headline",INDEX('CPI-X model inputs'!$I$5:$I$17,MATCH($A36,'CPI-X model inputs'!$G$5:$G$16,0)),INDEX('CPI-X model inputs'!$I$22:$I$33,MATCH($A36,'CPI-X model inputs'!$G$22:$G$33,0)))</f>
        <v>84.867719999999991</v>
      </c>
      <c r="E36" s="44">
        <f t="shared" si="11"/>
        <v>84.867719999999991</v>
      </c>
      <c r="F36" s="44">
        <f t="shared" si="11"/>
        <v>84.867719999999991</v>
      </c>
      <c r="G36" s="44">
        <f t="shared" si="11"/>
        <v>84.867719999999991</v>
      </c>
      <c r="H36" s="44">
        <f t="shared" si="11"/>
        <v>84.867719999999991</v>
      </c>
      <c r="I36" s="44">
        <f t="shared" si="11"/>
        <v>84.867719999999991</v>
      </c>
      <c r="J36" s="56">
        <f t="shared" si="12"/>
        <v>84.47198091690241</v>
      </c>
      <c r="K36" s="56">
        <f t="shared" si="12"/>
        <v>83.784191023306803</v>
      </c>
      <c r="L36" s="56">
        <f t="shared" si="12"/>
        <v>84.202097322520956</v>
      </c>
      <c r="M36" s="56">
        <f t="shared" si="12"/>
        <v>84.162458853464798</v>
      </c>
      <c r="N36" s="56">
        <f t="shared" si="12"/>
        <v>84.507963115840283</v>
      </c>
      <c r="R36" s="33" t="s">
        <v>156</v>
      </c>
      <c r="S36" s="33" t="s">
        <v>157</v>
      </c>
      <c r="T36" s="55">
        <f t="shared" si="13"/>
        <v>84.867719999999991</v>
      </c>
      <c r="U36" s="55">
        <f t="shared" si="13"/>
        <v>84.867719999999991</v>
      </c>
      <c r="V36" s="55">
        <f t="shared" si="13"/>
        <v>84.867719999999991</v>
      </c>
      <c r="W36" s="55">
        <f t="shared" si="13"/>
        <v>84.867719999999991</v>
      </c>
      <c r="X36" s="55">
        <f t="shared" si="13"/>
        <v>84.867719999999991</v>
      </c>
      <c r="Y36" s="55">
        <f t="shared" si="13"/>
        <v>84.47198091690241</v>
      </c>
      <c r="Z36" s="55">
        <f t="shared" si="13"/>
        <v>83.784191023306803</v>
      </c>
      <c r="AA36" s="55">
        <f t="shared" si="13"/>
        <v>84.202097322520956</v>
      </c>
      <c r="AB36" s="55">
        <f t="shared" si="13"/>
        <v>84.162458853464798</v>
      </c>
      <c r="AC36" s="55">
        <f t="shared" si="13"/>
        <v>84.507963115840283</v>
      </c>
    </row>
    <row r="37" spans="1:40" x14ac:dyDescent="0.45">
      <c r="A37" s="33" t="s">
        <v>158</v>
      </c>
      <c r="B37" s="33" t="s">
        <v>159</v>
      </c>
      <c r="C37" s="51">
        <f>IF($B$3="Discounted",INDEX('CPI-X model inputs'!$C$22:$E$33,MATCH($A37,'CPI-X model inputs'!$A$22:$A$33,0),MATCH('Copper price inputs'!$B$4,'CPI-X model inputs'!$C$19:$E$19,0)))</f>
        <v>-0.02</v>
      </c>
      <c r="D37" s="113">
        <f>IF($B$3="Headline",INDEX('CPI-X model inputs'!$I$5:$I$17,MATCH($A37,'CPI-X model inputs'!$G$5:$G$16,0)),INDEX('CPI-X model inputs'!$I$22:$I$33,MATCH($A37,'CPI-X model inputs'!$G$22:$G$33,0)))</f>
        <v>89.877480000000006</v>
      </c>
      <c r="E37" s="44">
        <f t="shared" si="11"/>
        <v>89.877480000000006</v>
      </c>
      <c r="F37" s="44">
        <f t="shared" si="11"/>
        <v>89.877480000000006</v>
      </c>
      <c r="G37" s="44">
        <f t="shared" si="11"/>
        <v>89.877480000000006</v>
      </c>
      <c r="H37" s="44">
        <f t="shared" si="11"/>
        <v>89.877480000000006</v>
      </c>
      <c r="I37" s="44">
        <f t="shared" si="11"/>
        <v>89.877480000000006</v>
      </c>
      <c r="J37" s="56">
        <f t="shared" si="12"/>
        <v>89.458380352615563</v>
      </c>
      <c r="K37" s="56">
        <f t="shared" si="12"/>
        <v>88.729990071766238</v>
      </c>
      <c r="L37" s="56">
        <f t="shared" si="12"/>
        <v>89.172565470863731</v>
      </c>
      <c r="M37" s="56">
        <f t="shared" si="12"/>
        <v>89.130587134343969</v>
      </c>
      <c r="N37" s="56">
        <f t="shared" si="12"/>
        <v>89.496486588595474</v>
      </c>
      <c r="R37" s="33" t="s">
        <v>158</v>
      </c>
      <c r="S37" s="33" t="s">
        <v>159</v>
      </c>
      <c r="T37" s="55">
        <f t="shared" si="13"/>
        <v>89.877480000000006</v>
      </c>
      <c r="U37" s="55">
        <f t="shared" si="13"/>
        <v>89.877480000000006</v>
      </c>
      <c r="V37" s="55">
        <f t="shared" si="13"/>
        <v>89.877480000000006</v>
      </c>
      <c r="W37" s="55">
        <f t="shared" si="13"/>
        <v>89.877480000000006</v>
      </c>
      <c r="X37" s="55">
        <f t="shared" si="13"/>
        <v>89.877480000000006</v>
      </c>
      <c r="Y37" s="55">
        <f t="shared" si="13"/>
        <v>89.458380352615563</v>
      </c>
      <c r="Z37" s="55">
        <f t="shared" si="13"/>
        <v>88.729990071766238</v>
      </c>
      <c r="AA37" s="55">
        <f t="shared" si="13"/>
        <v>89.172565470863731</v>
      </c>
      <c r="AB37" s="55">
        <f t="shared" si="13"/>
        <v>89.130587134343969</v>
      </c>
      <c r="AC37" s="55">
        <f t="shared" si="13"/>
        <v>89.496486588595474</v>
      </c>
    </row>
    <row r="38" spans="1:40" x14ac:dyDescent="0.45">
      <c r="A38" s="33" t="s">
        <v>160</v>
      </c>
      <c r="B38" s="33" t="s">
        <v>161</v>
      </c>
      <c r="C38" s="51">
        <f>IF($B$3="Discounted",INDEX('CPI-X model inputs'!$C$22:$E$33,MATCH($A38,'CPI-X model inputs'!$A$22:$A$33,0),MATCH('Copper price inputs'!$B$4,'CPI-X model inputs'!$C$19:$E$19,0)))</f>
        <v>-0.02</v>
      </c>
      <c r="D38" s="113">
        <f>IF($B$3="Headline",INDEX('CPI-X model inputs'!$I$5:$I$17,MATCH($A38,'CPI-X model inputs'!$G$5:$G$16,0)),INDEX('CPI-X model inputs'!$I$22:$I$33,MATCH($A38,'CPI-X model inputs'!$G$22:$G$33,0)))</f>
        <v>89.877480000000006</v>
      </c>
      <c r="E38" s="44">
        <f t="shared" si="11"/>
        <v>89.877480000000006</v>
      </c>
      <c r="F38" s="44">
        <f t="shared" si="11"/>
        <v>89.877480000000006</v>
      </c>
      <c r="G38" s="44">
        <f t="shared" si="11"/>
        <v>89.877480000000006</v>
      </c>
      <c r="H38" s="44">
        <f t="shared" si="11"/>
        <v>89.877480000000006</v>
      </c>
      <c r="I38" s="44">
        <f t="shared" si="11"/>
        <v>89.877480000000006</v>
      </c>
      <c r="J38" s="56">
        <f t="shared" si="12"/>
        <v>89.458380352615563</v>
      </c>
      <c r="K38" s="56">
        <f t="shared" si="12"/>
        <v>88.729990071766238</v>
      </c>
      <c r="L38" s="56">
        <f t="shared" si="12"/>
        <v>89.172565470863731</v>
      </c>
      <c r="M38" s="56">
        <f t="shared" si="12"/>
        <v>89.130587134343955</v>
      </c>
      <c r="N38" s="56">
        <f t="shared" si="12"/>
        <v>89.496486588595445</v>
      </c>
      <c r="R38" s="33" t="s">
        <v>160</v>
      </c>
      <c r="S38" s="33" t="s">
        <v>161</v>
      </c>
      <c r="T38" s="55">
        <f t="shared" si="13"/>
        <v>89.877480000000006</v>
      </c>
      <c r="U38" s="55">
        <f t="shared" si="13"/>
        <v>89.877480000000006</v>
      </c>
      <c r="V38" s="55">
        <f t="shared" si="13"/>
        <v>89.877480000000006</v>
      </c>
      <c r="W38" s="55">
        <f t="shared" si="13"/>
        <v>89.877480000000006</v>
      </c>
      <c r="X38" s="55">
        <f t="shared" si="13"/>
        <v>89.877480000000006</v>
      </c>
      <c r="Y38" s="55">
        <f t="shared" si="13"/>
        <v>89.458380352615563</v>
      </c>
      <c r="Z38" s="55">
        <f t="shared" si="13"/>
        <v>88.729990071766238</v>
      </c>
      <c r="AA38" s="55">
        <f t="shared" si="13"/>
        <v>89.172565470863731</v>
      </c>
      <c r="AB38" s="55">
        <f t="shared" si="13"/>
        <v>89.130587134343955</v>
      </c>
      <c r="AC38" s="55">
        <f t="shared" si="13"/>
        <v>89.496486588595445</v>
      </c>
    </row>
    <row r="39" spans="1:40" x14ac:dyDescent="0.45">
      <c r="A39" s="33" t="s">
        <v>162</v>
      </c>
      <c r="B39" s="33" t="s">
        <v>163</v>
      </c>
      <c r="C39" s="51">
        <f>IF($B$3="Discounted",INDEX('CPI-X model inputs'!$C$22:$E$33,MATCH($A39,'CPI-X model inputs'!$A$22:$A$33,0),MATCH('Copper price inputs'!$B$4,'CPI-X model inputs'!$C$19:$E$19,0)))</f>
        <v>-2.75E-2</v>
      </c>
      <c r="D39" s="113">
        <f>IF($B$3="Headline",INDEX('CPI-X model inputs'!$I$5:$I$17,MATCH($A39,'CPI-X model inputs'!$G$5:$G$16,0)),INDEX('CPI-X model inputs'!$I$22:$I$33,MATCH($A39,'CPI-X model inputs'!$G$22:$G$33,0)))</f>
        <v>57.917961304179862</v>
      </c>
      <c r="E39" s="44">
        <f t="shared" si="11"/>
        <v>57.483576594398514</v>
      </c>
      <c r="F39" s="44">
        <f t="shared" si="11"/>
        <v>57.05244976994053</v>
      </c>
      <c r="G39" s="44">
        <f t="shared" si="11"/>
        <v>56.62455639666598</v>
      </c>
      <c r="H39" s="44">
        <f t="shared" si="11"/>
        <v>56.199872223690988</v>
      </c>
      <c r="I39" s="44">
        <f t="shared" si="11"/>
        <v>55.778373182013311</v>
      </c>
      <c r="J39" s="56">
        <f t="shared" si="12"/>
        <v>61.021636633053802</v>
      </c>
      <c r="K39" s="56">
        <f t="shared" si="12"/>
        <v>67.886095736004108</v>
      </c>
      <c r="L39" s="56">
        <f t="shared" si="12"/>
        <v>75.04468294045391</v>
      </c>
      <c r="M39" s="56">
        <f t="shared" si="12"/>
        <v>84.606522587021786</v>
      </c>
      <c r="N39" s="56">
        <f t="shared" si="12"/>
        <v>97.049785078971738</v>
      </c>
      <c r="R39" s="33" t="s">
        <v>162</v>
      </c>
      <c r="S39" s="33" t="s">
        <v>163</v>
      </c>
      <c r="T39" s="55">
        <f t="shared" ref="T39:AC42" si="14">E39+SUMPRODUCT(T$31:T$38,T$15:T$22)/SUM(T$15:T$22)</f>
        <v>147.91699387258183</v>
      </c>
      <c r="U39" s="55">
        <f t="shared" si="14"/>
        <v>147.3043679732244</v>
      </c>
      <c r="V39" s="55">
        <f t="shared" si="14"/>
        <v>146.51710938344834</v>
      </c>
      <c r="W39" s="55">
        <f t="shared" si="14"/>
        <v>146.04140591186882</v>
      </c>
      <c r="X39" s="55">
        <f t="shared" si="14"/>
        <v>145.5730280214523</v>
      </c>
      <c r="Y39" s="55">
        <f t="shared" si="14"/>
        <v>151.48109030508465</v>
      </c>
      <c r="Z39" s="55">
        <f t="shared" si="14"/>
        <v>158.98934870210996</v>
      </c>
      <c r="AA39" s="55">
        <f t="shared" si="14"/>
        <v>166.89330215803631</v>
      </c>
      <c r="AB39" s="55">
        <f t="shared" si="14"/>
        <v>177.15541879377162</v>
      </c>
      <c r="AC39" s="55">
        <f t="shared" si="14"/>
        <v>190.69105233485712</v>
      </c>
    </row>
    <row r="40" spans="1:40" x14ac:dyDescent="0.45">
      <c r="A40" s="33" t="s">
        <v>164</v>
      </c>
      <c r="B40" s="33" t="s">
        <v>165</v>
      </c>
      <c r="C40" s="51">
        <f>IF($B$3="Discounted",INDEX('CPI-X model inputs'!$C$22:$E$33,MATCH($A40,'CPI-X model inputs'!$A$22:$A$33,0),MATCH('Copper price inputs'!$B$4,'CPI-X model inputs'!$C$19:$E$19,0)))</f>
        <v>-2.75E-2</v>
      </c>
      <c r="D40" s="113">
        <f>IF($B$3="Headline",INDEX('CPI-X model inputs'!$I$5:$I$17,MATCH($A40,'CPI-X model inputs'!$G$5:$G$16,0)),INDEX('CPI-X model inputs'!$I$22:$I$33,MATCH($A40,'CPI-X model inputs'!$G$22:$G$33,0)))</f>
        <v>57.917961304179862</v>
      </c>
      <c r="E40" s="44">
        <f t="shared" si="11"/>
        <v>57.483576594398514</v>
      </c>
      <c r="F40" s="44">
        <f t="shared" si="11"/>
        <v>57.05244976994053</v>
      </c>
      <c r="G40" s="44">
        <f t="shared" si="11"/>
        <v>56.62455639666598</v>
      </c>
      <c r="H40" s="44">
        <f t="shared" si="11"/>
        <v>56.199872223690988</v>
      </c>
      <c r="I40" s="44">
        <f t="shared" si="11"/>
        <v>55.778373182013311</v>
      </c>
      <c r="J40" s="56">
        <f t="shared" si="12"/>
        <v>61.021636633053795</v>
      </c>
      <c r="K40" s="56">
        <f t="shared" si="12"/>
        <v>67.886095736004108</v>
      </c>
      <c r="L40" s="56">
        <f t="shared" si="12"/>
        <v>75.044682940453896</v>
      </c>
      <c r="M40" s="56">
        <f t="shared" si="12"/>
        <v>84.606522587021786</v>
      </c>
      <c r="N40" s="56">
        <f t="shared" si="12"/>
        <v>97.049785078971766</v>
      </c>
      <c r="R40" s="33" t="s">
        <v>164</v>
      </c>
      <c r="S40" s="33" t="s">
        <v>165</v>
      </c>
      <c r="T40" s="55">
        <f t="shared" si="14"/>
        <v>147.91699387258183</v>
      </c>
      <c r="U40" s="55">
        <f t="shared" si="14"/>
        <v>147.3043679732244</v>
      </c>
      <c r="V40" s="55">
        <f t="shared" si="14"/>
        <v>146.51710938344834</v>
      </c>
      <c r="W40" s="55">
        <f t="shared" si="14"/>
        <v>146.04140591186882</v>
      </c>
      <c r="X40" s="55">
        <f t="shared" si="14"/>
        <v>145.5730280214523</v>
      </c>
      <c r="Y40" s="55">
        <f t="shared" si="14"/>
        <v>151.48109030508465</v>
      </c>
      <c r="Z40" s="55">
        <f t="shared" si="14"/>
        <v>158.98934870210996</v>
      </c>
      <c r="AA40" s="55">
        <f t="shared" si="14"/>
        <v>166.89330215803631</v>
      </c>
      <c r="AB40" s="55">
        <f t="shared" si="14"/>
        <v>177.15541879377162</v>
      </c>
      <c r="AC40" s="55">
        <f t="shared" si="14"/>
        <v>190.69105233485715</v>
      </c>
    </row>
    <row r="41" spans="1:40" x14ac:dyDescent="0.45">
      <c r="A41" s="33" t="s">
        <v>166</v>
      </c>
      <c r="B41" s="33" t="s">
        <v>167</v>
      </c>
      <c r="C41" s="51">
        <f>IF($B$3="Discounted",INDEX('CPI-X model inputs'!$C$22:$E$33,MATCH($A41,'CPI-X model inputs'!$A$22:$A$33,0),MATCH('Copper price inputs'!$B$4,'CPI-X model inputs'!$C$19:$E$19,0)))</f>
        <v>-2.75E-2</v>
      </c>
      <c r="D41" s="113">
        <f>IF($B$3="Headline",INDEX('CPI-X model inputs'!$I$5:$I$17,MATCH($A41,'CPI-X model inputs'!$G$5:$G$16,0)),INDEX('CPI-X model inputs'!$I$22:$I$33,MATCH($A41,'CPI-X model inputs'!$G$22:$G$33,0)))</f>
        <v>74.613314704111147</v>
      </c>
      <c r="E41" s="44">
        <f t="shared" si="11"/>
        <v>74.053714843830321</v>
      </c>
      <c r="F41" s="44">
        <f t="shared" si="11"/>
        <v>73.49831198250159</v>
      </c>
      <c r="G41" s="44">
        <f t="shared" si="11"/>
        <v>72.947074642632828</v>
      </c>
      <c r="H41" s="44">
        <f t="shared" si="11"/>
        <v>72.39997158281308</v>
      </c>
      <c r="I41" s="44">
        <f t="shared" si="11"/>
        <v>71.856971795941988</v>
      </c>
      <c r="J41" s="56">
        <f t="shared" si="12"/>
        <v>76.55843241190091</v>
      </c>
      <c r="K41" s="56">
        <f t="shared" si="12"/>
        <v>82.642697902651747</v>
      </c>
      <c r="L41" s="56">
        <f t="shared" si="12"/>
        <v>85.719748081083694</v>
      </c>
      <c r="M41" s="56">
        <f t="shared" si="12"/>
        <v>89.981388887263961</v>
      </c>
      <c r="N41" s="56">
        <f t="shared" si="12"/>
        <v>95.199718970617681</v>
      </c>
      <c r="R41" s="33" t="s">
        <v>166</v>
      </c>
      <c r="S41" s="33" t="s">
        <v>167</v>
      </c>
      <c r="T41" s="55">
        <f t="shared" si="14"/>
        <v>164.48713212201363</v>
      </c>
      <c r="U41" s="55">
        <f t="shared" si="14"/>
        <v>163.75023018578545</v>
      </c>
      <c r="V41" s="55">
        <f t="shared" si="14"/>
        <v>162.83962762941519</v>
      </c>
      <c r="W41" s="55">
        <f t="shared" si="14"/>
        <v>162.2415052709909</v>
      </c>
      <c r="X41" s="55">
        <f t="shared" si="14"/>
        <v>161.65162663538098</v>
      </c>
      <c r="Y41" s="55">
        <f t="shared" si="14"/>
        <v>167.01788608393178</v>
      </c>
      <c r="Z41" s="55">
        <f t="shared" si="14"/>
        <v>173.74595086875757</v>
      </c>
      <c r="AA41" s="55">
        <f t="shared" si="14"/>
        <v>177.56836729866609</v>
      </c>
      <c r="AB41" s="55">
        <f t="shared" si="14"/>
        <v>182.53028509401378</v>
      </c>
      <c r="AC41" s="55">
        <f t="shared" si="14"/>
        <v>188.84098622650305</v>
      </c>
    </row>
    <row r="42" spans="1:40" x14ac:dyDescent="0.45">
      <c r="A42" s="33" t="s">
        <v>168</v>
      </c>
      <c r="B42" s="33" t="s">
        <v>169</v>
      </c>
      <c r="C42" s="51">
        <f>IF($B$3="Discounted",INDEX('CPI-X model inputs'!$C$22:$E$33,MATCH($A42,'CPI-X model inputs'!$A$22:$A$33,0),MATCH('Copper price inputs'!$B$4,'CPI-X model inputs'!$C$19:$E$19,0)))</f>
        <v>-2.75E-2</v>
      </c>
      <c r="D42" s="113">
        <f>IF($B$3="Headline",INDEX('CPI-X model inputs'!$I$5:$I$17,MATCH($A42,'CPI-X model inputs'!$G$5:$G$16,0)),INDEX('CPI-X model inputs'!$I$22:$I$33,MATCH($A42,'CPI-X model inputs'!$G$22:$G$33,0)))</f>
        <v>74.613314704111147</v>
      </c>
      <c r="E42" s="44">
        <f t="shared" si="11"/>
        <v>74.053714843830321</v>
      </c>
      <c r="F42" s="44">
        <f t="shared" si="11"/>
        <v>73.49831198250159</v>
      </c>
      <c r="G42" s="44">
        <f t="shared" si="11"/>
        <v>72.947074642632828</v>
      </c>
      <c r="H42" s="44">
        <f t="shared" si="11"/>
        <v>72.39997158281308</v>
      </c>
      <c r="I42" s="44">
        <f t="shared" si="11"/>
        <v>71.856971795941988</v>
      </c>
      <c r="J42" s="56">
        <f t="shared" si="12"/>
        <v>68.712921558431574</v>
      </c>
      <c r="K42" s="56">
        <f t="shared" si="12"/>
        <v>66.786045047408408</v>
      </c>
      <c r="L42" s="56">
        <f t="shared" si="12"/>
        <v>65.479438476777233</v>
      </c>
      <c r="M42" s="56">
        <f t="shared" si="12"/>
        <v>65.084407279365436</v>
      </c>
      <c r="N42" s="56">
        <f t="shared" si="12"/>
        <v>65.305866420281234</v>
      </c>
      <c r="R42" s="33" t="s">
        <v>168</v>
      </c>
      <c r="S42" s="33" t="s">
        <v>169</v>
      </c>
      <c r="T42" s="55">
        <f t="shared" si="14"/>
        <v>164.48713212201363</v>
      </c>
      <c r="U42" s="55">
        <f t="shared" si="14"/>
        <v>163.75023018578545</v>
      </c>
      <c r="V42" s="55">
        <f t="shared" si="14"/>
        <v>162.83962762941519</v>
      </c>
      <c r="W42" s="55">
        <f t="shared" si="14"/>
        <v>162.2415052709909</v>
      </c>
      <c r="X42" s="55">
        <f t="shared" si="14"/>
        <v>161.65162663538098</v>
      </c>
      <c r="Y42" s="55">
        <f t="shared" si="14"/>
        <v>159.17237523046242</v>
      </c>
      <c r="Z42" s="55">
        <f t="shared" si="14"/>
        <v>157.88929801351424</v>
      </c>
      <c r="AA42" s="55">
        <f t="shared" si="14"/>
        <v>157.32805769435964</v>
      </c>
      <c r="AB42" s="55">
        <f t="shared" si="14"/>
        <v>157.63330348611527</v>
      </c>
      <c r="AC42" s="55">
        <f t="shared" si="14"/>
        <v>158.94713367616663</v>
      </c>
    </row>
    <row r="43" spans="1:40" x14ac:dyDescent="0.45">
      <c r="A43" s="33"/>
      <c r="Y43" t="s">
        <v>131</v>
      </c>
    </row>
    <row r="44" spans="1:40" x14ac:dyDescent="0.45">
      <c r="R44" s="34" t="s">
        <v>173</v>
      </c>
      <c r="T44" s="57">
        <f>'CPI-X model inputs'!C90</f>
        <v>1.9239273649797325E-2</v>
      </c>
      <c r="U44" s="57">
        <f>'CPI-X model inputs'!D90</f>
        <v>2.0691206388117535E-2</v>
      </c>
      <c r="V44" s="57">
        <f>'CPI-X model inputs'!E90</f>
        <v>2.0390606350913176E-2</v>
      </c>
      <c r="W44" s="57">
        <f>'CPI-X model inputs'!F90</f>
        <v>2.0390606350913176E-2</v>
      </c>
      <c r="X44" s="57">
        <f>'CPI-X model inputs'!G90</f>
        <v>2.0390606350913176E-2</v>
      </c>
      <c r="Y44" s="59">
        <f>'Cost recovery calculation'!$C$29</f>
        <v>0</v>
      </c>
      <c r="Z44" s="59">
        <f>'Cost recovery calculation'!$C$29</f>
        <v>0</v>
      </c>
      <c r="AA44" s="59">
        <f>'Cost recovery calculation'!$C$29</f>
        <v>0</v>
      </c>
      <c r="AB44" s="59">
        <f>'Cost recovery calculation'!$C$29</f>
        <v>0</v>
      </c>
      <c r="AC44" s="59">
        <f>'Cost recovery calculation'!$C$29</f>
        <v>0</v>
      </c>
    </row>
    <row r="45" spans="1:40" x14ac:dyDescent="0.45">
      <c r="H45" s="33"/>
      <c r="I45" s="38"/>
      <c r="J45" t="s">
        <v>174</v>
      </c>
      <c r="R45" s="33" t="s">
        <v>146</v>
      </c>
      <c r="S45" s="33" t="s">
        <v>147</v>
      </c>
      <c r="T45" s="55">
        <f>T31*(1+T$44)</f>
        <v>93.653167585450134</v>
      </c>
      <c r="U45" s="55">
        <f>T45*(1+U$44)</f>
        <v>95.590964604861639</v>
      </c>
      <c r="V45" s="55">
        <f t="shared" ref="V45:X45" si="15">U45*(1+V$44)</f>
        <v>97.540122334823451</v>
      </c>
      <c r="W45" s="55">
        <f t="shared" si="15"/>
        <v>99.529024572772755</v>
      </c>
      <c r="X45" s="55">
        <f t="shared" si="15"/>
        <v>101.55848173332653</v>
      </c>
      <c r="Y45" s="55">
        <f t="shared" ref="Y45:AC56" si="16">X45*(1+Y$44)</f>
        <v>101.55848173332653</v>
      </c>
      <c r="Z45" s="55">
        <f t="shared" si="16"/>
        <v>101.55848173332653</v>
      </c>
      <c r="AA45" s="55">
        <f t="shared" si="16"/>
        <v>101.55848173332653</v>
      </c>
      <c r="AB45" s="55">
        <f t="shared" si="16"/>
        <v>101.55848173332653</v>
      </c>
      <c r="AC45" s="55">
        <f t="shared" si="16"/>
        <v>101.55848173332653</v>
      </c>
    </row>
    <row r="46" spans="1:40" x14ac:dyDescent="0.45">
      <c r="A46" s="49" t="s">
        <v>175</v>
      </c>
      <c r="H46" s="33"/>
      <c r="J46" t="s">
        <v>176</v>
      </c>
      <c r="R46" s="33" t="s">
        <v>148</v>
      </c>
      <c r="S46" s="33" t="s">
        <v>149</v>
      </c>
      <c r="T46" s="55">
        <f t="shared" ref="T46:T56" si="17">T32*(1+T$44)</f>
        <v>93.653167585450134</v>
      </c>
      <c r="U46" s="55">
        <f t="shared" ref="U46:X56" si="18">T46*(1+U$44)</f>
        <v>95.590964604861639</v>
      </c>
      <c r="V46" s="55">
        <f t="shared" si="18"/>
        <v>97.540122334823451</v>
      </c>
      <c r="W46" s="55">
        <f t="shared" si="18"/>
        <v>99.529024572772755</v>
      </c>
      <c r="X46" s="55">
        <f t="shared" si="18"/>
        <v>101.55848173332653</v>
      </c>
      <c r="Y46" s="55">
        <f t="shared" si="16"/>
        <v>101.55848173332653</v>
      </c>
      <c r="Z46" s="55">
        <f t="shared" si="16"/>
        <v>101.55848173332653</v>
      </c>
      <c r="AA46" s="55">
        <f t="shared" si="16"/>
        <v>101.55848173332653</v>
      </c>
      <c r="AB46" s="55">
        <f t="shared" si="16"/>
        <v>101.55848173332653</v>
      </c>
      <c r="AC46" s="55">
        <f t="shared" si="16"/>
        <v>101.55848173332653</v>
      </c>
    </row>
    <row r="47" spans="1:40" x14ac:dyDescent="0.45">
      <c r="A47" s="33" t="s">
        <v>146</v>
      </c>
      <c r="B47" s="33" t="s">
        <v>147</v>
      </c>
      <c r="C47" t="s">
        <v>137</v>
      </c>
      <c r="H47" s="33"/>
      <c r="J47" s="48">
        <f>(-$B$10)+($B$7)+(((J15-I15)/I15)*IF($C47="Legacy",$B$8,$B$9))</f>
        <v>-7.8345713548589629E-2</v>
      </c>
      <c r="K47" s="48">
        <f t="shared" ref="K47:N47" si="19">(-$B$10)+($B$7)+(((K15-J15)/J15)*IF($C47="Legacy",$B$8,$B$9))</f>
        <v>-8.1439086606968622E-2</v>
      </c>
      <c r="L47" s="48">
        <f t="shared" si="19"/>
        <v>-7.3286276904991468E-2</v>
      </c>
      <c r="M47" s="48">
        <f t="shared" si="19"/>
        <v>-7.7240868028947363E-2</v>
      </c>
      <c r="N47" s="48">
        <f t="shared" si="19"/>
        <v>-8.1861708488622689E-2</v>
      </c>
      <c r="R47" s="33" t="s">
        <v>150</v>
      </c>
      <c r="S47" s="33" t="s">
        <v>151</v>
      </c>
      <c r="T47" s="55">
        <f t="shared" si="17"/>
        <v>115.49611753290043</v>
      </c>
      <c r="U47" s="55">
        <f t="shared" si="18"/>
        <v>117.88587153779994</v>
      </c>
      <c r="V47" s="55">
        <f t="shared" si="18"/>
        <v>120.28963593866155</v>
      </c>
      <c r="W47" s="55">
        <f t="shared" si="18"/>
        <v>122.74241455318145</v>
      </c>
      <c r="X47" s="55">
        <f t="shared" si="18"/>
        <v>125.24520681089597</v>
      </c>
      <c r="Y47" s="55">
        <f t="shared" si="16"/>
        <v>125.24520681089597</v>
      </c>
      <c r="Z47" s="55">
        <f t="shared" si="16"/>
        <v>125.24520681089597</v>
      </c>
      <c r="AA47" s="55">
        <f t="shared" si="16"/>
        <v>125.24520681089597</v>
      </c>
      <c r="AB47" s="55">
        <f t="shared" si="16"/>
        <v>125.24520681089597</v>
      </c>
      <c r="AC47" s="55">
        <f t="shared" si="16"/>
        <v>125.24520681089597</v>
      </c>
    </row>
    <row r="48" spans="1:40" x14ac:dyDescent="0.45">
      <c r="A48" s="33" t="s">
        <v>148</v>
      </c>
      <c r="B48" s="33" t="s">
        <v>149</v>
      </c>
      <c r="C48" t="s">
        <v>137</v>
      </c>
      <c r="H48" s="33"/>
      <c r="J48" s="48">
        <f t="shared" ref="J48:N58" si="20">(-$B$10)+($B$7)+(((J16-I16)/I16)*IF($C48="Legacy",$B$8,$B$9))</f>
        <v>-7.7493395905009602E-2</v>
      </c>
      <c r="K48" s="48">
        <f t="shared" si="20"/>
        <v>-8.0442858028941897E-2</v>
      </c>
      <c r="L48" s="48">
        <f t="shared" si="20"/>
        <v>-7.2350969626542125E-2</v>
      </c>
      <c r="M48" s="48">
        <f t="shared" si="20"/>
        <v>-7.6132631921700056E-2</v>
      </c>
      <c r="N48" s="48">
        <f t="shared" si="20"/>
        <v>-8.0530515027041699E-2</v>
      </c>
      <c r="R48" s="33" t="s">
        <v>152</v>
      </c>
      <c r="S48" s="33" t="s">
        <v>153</v>
      </c>
      <c r="T48" s="55">
        <f t="shared" si="17"/>
        <v>115.49611753290043</v>
      </c>
      <c r="U48" s="55">
        <f t="shared" si="18"/>
        <v>117.88587153779994</v>
      </c>
      <c r="V48" s="55">
        <f t="shared" si="18"/>
        <v>120.28963593866155</v>
      </c>
      <c r="W48" s="55">
        <f t="shared" si="18"/>
        <v>122.74241455318145</v>
      </c>
      <c r="X48" s="55">
        <f t="shared" si="18"/>
        <v>125.24520681089597</v>
      </c>
      <c r="Y48" s="55">
        <f t="shared" si="16"/>
        <v>125.24520681089597</v>
      </c>
      <c r="Z48" s="55">
        <f t="shared" si="16"/>
        <v>125.24520681089597</v>
      </c>
      <c r="AA48" s="55">
        <f t="shared" si="16"/>
        <v>125.24520681089597</v>
      </c>
      <c r="AB48" s="55">
        <f t="shared" si="16"/>
        <v>125.24520681089597</v>
      </c>
      <c r="AC48" s="55">
        <f t="shared" si="16"/>
        <v>125.24520681089597</v>
      </c>
      <c r="AE48" s="38"/>
      <c r="AF48" s="38"/>
      <c r="AG48" s="38"/>
      <c r="AH48" s="38"/>
      <c r="AI48" s="38"/>
      <c r="AJ48" s="38"/>
      <c r="AK48" s="38"/>
      <c r="AL48" s="38"/>
      <c r="AM48" s="38"/>
      <c r="AN48" s="38"/>
    </row>
    <row r="49" spans="1:40" x14ac:dyDescent="0.45">
      <c r="A49" s="33" t="s">
        <v>150</v>
      </c>
      <c r="B49" s="33" t="s">
        <v>151</v>
      </c>
      <c r="C49" t="s">
        <v>137</v>
      </c>
      <c r="H49" s="33"/>
      <c r="J49" s="48">
        <f t="shared" si="20"/>
        <v>-2.8000000000000001E-2</v>
      </c>
      <c r="K49" s="48">
        <f t="shared" si="20"/>
        <v>-2.8000000000000001E-2</v>
      </c>
      <c r="L49" s="48">
        <f t="shared" si="20"/>
        <v>-2.8000000000000001E-2</v>
      </c>
      <c r="M49" s="48">
        <f t="shared" si="20"/>
        <v>-2.8000000000000001E-2</v>
      </c>
      <c r="N49" s="48">
        <f t="shared" si="20"/>
        <v>-2.8000000000000001E-2</v>
      </c>
      <c r="R49" s="33" t="s">
        <v>154</v>
      </c>
      <c r="S49" s="33" t="s">
        <v>155</v>
      </c>
      <c r="T49" s="55">
        <f t="shared" si="17"/>
        <v>86.500513289114366</v>
      </c>
      <c r="U49" s="55">
        <f t="shared" si="18"/>
        <v>88.290313262257527</v>
      </c>
      <c r="V49" s="55">
        <f t="shared" si="18"/>
        <v>90.090606284587025</v>
      </c>
      <c r="W49" s="55">
        <f t="shared" si="18"/>
        <v>91.927608373251147</v>
      </c>
      <c r="X49" s="55">
        <f t="shared" si="18"/>
        <v>93.802068048371027</v>
      </c>
      <c r="Y49" s="55">
        <f t="shared" si="16"/>
        <v>93.802068048371027</v>
      </c>
      <c r="Z49" s="55">
        <f t="shared" si="16"/>
        <v>93.802068048371027</v>
      </c>
      <c r="AA49" s="55">
        <f t="shared" si="16"/>
        <v>93.802068048371027</v>
      </c>
      <c r="AB49" s="55">
        <f t="shared" si="16"/>
        <v>93.802068048371027</v>
      </c>
      <c r="AC49" s="55">
        <f t="shared" si="16"/>
        <v>93.802068048371027</v>
      </c>
    </row>
    <row r="50" spans="1:40" x14ac:dyDescent="0.45">
      <c r="A50" s="33" t="s">
        <v>152</v>
      </c>
      <c r="B50" s="33" t="s">
        <v>153</v>
      </c>
      <c r="C50" t="s">
        <v>137</v>
      </c>
      <c r="H50" s="33"/>
      <c r="J50" s="48">
        <f t="shared" si="20"/>
        <v>-2.8000000000000001E-2</v>
      </c>
      <c r="K50" s="48">
        <f t="shared" si="20"/>
        <v>-2.8000000000000001E-2</v>
      </c>
      <c r="L50" s="48">
        <f t="shared" si="20"/>
        <v>-2.8000000000000001E-2</v>
      </c>
      <c r="M50" s="48">
        <f t="shared" si="20"/>
        <v>-2.8000000000000001E-2</v>
      </c>
      <c r="N50" s="48">
        <f t="shared" si="20"/>
        <v>-2.8000000000000001E-2</v>
      </c>
      <c r="R50" s="33" t="s">
        <v>156</v>
      </c>
      <c r="S50" s="33" t="s">
        <v>157</v>
      </c>
      <c r="T50" s="55">
        <f t="shared" si="17"/>
        <v>86.500513289114366</v>
      </c>
      <c r="U50" s="55">
        <f t="shared" si="18"/>
        <v>88.290313262257527</v>
      </c>
      <c r="V50" s="55">
        <f t="shared" si="18"/>
        <v>90.090606284587025</v>
      </c>
      <c r="W50" s="55">
        <f t="shared" si="18"/>
        <v>91.927608373251147</v>
      </c>
      <c r="X50" s="55">
        <f t="shared" si="18"/>
        <v>93.802068048371027</v>
      </c>
      <c r="Y50" s="55">
        <f t="shared" si="16"/>
        <v>93.802068048371027</v>
      </c>
      <c r="Z50" s="55">
        <f t="shared" si="16"/>
        <v>93.802068048371027</v>
      </c>
      <c r="AA50" s="55">
        <f t="shared" si="16"/>
        <v>93.802068048371027</v>
      </c>
      <c r="AB50" s="55">
        <f t="shared" si="16"/>
        <v>93.802068048371027</v>
      </c>
      <c r="AC50" s="55">
        <f t="shared" si="16"/>
        <v>93.802068048371027</v>
      </c>
      <c r="AE50" s="53"/>
      <c r="AF50" s="53"/>
      <c r="AG50" s="53"/>
      <c r="AH50" s="53"/>
      <c r="AI50" s="53"/>
      <c r="AJ50" s="53"/>
      <c r="AK50" s="53"/>
      <c r="AL50" s="53"/>
      <c r="AM50" s="53"/>
      <c r="AN50" s="53"/>
    </row>
    <row r="51" spans="1:40" x14ac:dyDescent="0.45">
      <c r="A51" s="33" t="s">
        <v>154</v>
      </c>
      <c r="B51" s="33" t="s">
        <v>155</v>
      </c>
      <c r="C51" t="s">
        <v>137</v>
      </c>
      <c r="H51" s="33"/>
      <c r="J51" s="48">
        <f t="shared" si="20"/>
        <v>-5.5522281219080663E-2</v>
      </c>
      <c r="K51" s="48">
        <f t="shared" si="20"/>
        <v>-5.1598873231123582E-2</v>
      </c>
      <c r="L51" s="48">
        <f t="shared" si="20"/>
        <v>-6.6098915345345746E-2</v>
      </c>
      <c r="M51" s="48">
        <f t="shared" si="20"/>
        <v>-6.0171080214702313E-2</v>
      </c>
      <c r="N51" s="48">
        <f t="shared" si="20"/>
        <v>-6.5149785148408815E-2</v>
      </c>
      <c r="R51" s="33" t="s">
        <v>158</v>
      </c>
      <c r="S51" s="33" t="s">
        <v>159</v>
      </c>
      <c r="T51" s="55">
        <f t="shared" si="17"/>
        <v>91.606657432674183</v>
      </c>
      <c r="U51" s="55">
        <f t="shared" si="18"/>
        <v>93.502109688139228</v>
      </c>
      <c r="V51" s="55">
        <f t="shared" si="18"/>
        <v>95.408674399769978</v>
      </c>
      <c r="W51" s="55">
        <f t="shared" si="18"/>
        <v>97.354115121918142</v>
      </c>
      <c r="X51" s="55">
        <f t="shared" si="18"/>
        <v>99.339224560010663</v>
      </c>
      <c r="Y51" s="55">
        <f t="shared" si="16"/>
        <v>99.339224560010663</v>
      </c>
      <c r="Z51" s="55">
        <f t="shared" si="16"/>
        <v>99.339224560010663</v>
      </c>
      <c r="AA51" s="55">
        <f t="shared" si="16"/>
        <v>99.339224560010663</v>
      </c>
      <c r="AB51" s="55">
        <f t="shared" si="16"/>
        <v>99.339224560010663</v>
      </c>
      <c r="AC51" s="55">
        <f t="shared" si="16"/>
        <v>99.339224560010663</v>
      </c>
    </row>
    <row r="52" spans="1:40" x14ac:dyDescent="0.45">
      <c r="A52" s="33" t="s">
        <v>156</v>
      </c>
      <c r="B52" s="33" t="s">
        <v>157</v>
      </c>
      <c r="C52" t="s">
        <v>137</v>
      </c>
      <c r="H52" s="33"/>
      <c r="J52" s="48">
        <f t="shared" si="20"/>
        <v>-5.5522281219080573E-2</v>
      </c>
      <c r="K52" s="48">
        <f t="shared" si="20"/>
        <v>-5.1598873231123693E-2</v>
      </c>
      <c r="L52" s="48">
        <f t="shared" si="20"/>
        <v>-6.609891534534576E-2</v>
      </c>
      <c r="M52" s="48">
        <f t="shared" si="20"/>
        <v>-6.0171080214702272E-2</v>
      </c>
      <c r="N52" s="48">
        <f t="shared" si="20"/>
        <v>-6.5149785148408829E-2</v>
      </c>
      <c r="R52" s="33" t="s">
        <v>160</v>
      </c>
      <c r="S52" s="33" t="s">
        <v>161</v>
      </c>
      <c r="T52" s="55">
        <f t="shared" si="17"/>
        <v>91.606657432674183</v>
      </c>
      <c r="U52" s="55">
        <f t="shared" si="18"/>
        <v>93.502109688139228</v>
      </c>
      <c r="V52" s="55">
        <f t="shared" si="18"/>
        <v>95.408674399769978</v>
      </c>
      <c r="W52" s="55">
        <f t="shared" si="18"/>
        <v>97.354115121918142</v>
      </c>
      <c r="X52" s="55">
        <f t="shared" si="18"/>
        <v>99.339224560010663</v>
      </c>
      <c r="Y52" s="55">
        <f t="shared" si="16"/>
        <v>99.339224560010663</v>
      </c>
      <c r="Z52" s="55">
        <f t="shared" si="16"/>
        <v>99.339224560010663</v>
      </c>
      <c r="AA52" s="55">
        <f t="shared" si="16"/>
        <v>99.339224560010663</v>
      </c>
      <c r="AB52" s="55">
        <f t="shared" si="16"/>
        <v>99.339224560010663</v>
      </c>
      <c r="AC52" s="55">
        <f t="shared" si="16"/>
        <v>99.339224560010663</v>
      </c>
    </row>
    <row r="53" spans="1:40" x14ac:dyDescent="0.45">
      <c r="A53" s="33" t="s">
        <v>158</v>
      </c>
      <c r="B53" s="33" t="s">
        <v>159</v>
      </c>
      <c r="C53" t="s">
        <v>137</v>
      </c>
      <c r="H53" s="33"/>
      <c r="J53" s="48">
        <f t="shared" si="20"/>
        <v>-5.5522281219080608E-2</v>
      </c>
      <c r="K53" s="48">
        <f t="shared" si="20"/>
        <v>-5.159887323112361E-2</v>
      </c>
      <c r="L53" s="48">
        <f t="shared" si="20"/>
        <v>-6.6098915345345802E-2</v>
      </c>
      <c r="M53" s="48">
        <f t="shared" si="20"/>
        <v>-6.0171080214702216E-2</v>
      </c>
      <c r="N53" s="48">
        <f t="shared" si="20"/>
        <v>-6.5149785148408912E-2</v>
      </c>
      <c r="R53" s="33" t="s">
        <v>162</v>
      </c>
      <c r="S53" s="33" t="s">
        <v>163</v>
      </c>
      <c r="T53" s="55">
        <f t="shared" si="17"/>
        <v>150.76280939515181</v>
      </c>
      <c r="U53" s="55">
        <f t="shared" si="18"/>
        <v>153.88227379999933</v>
      </c>
      <c r="V53" s="55">
        <f t="shared" si="18"/>
        <v>157.02002666943855</v>
      </c>
      <c r="W53" s="55">
        <f t="shared" si="18"/>
        <v>160.22176022246495</v>
      </c>
      <c r="X53" s="55">
        <f t="shared" si="18"/>
        <v>163.48877906401162</v>
      </c>
      <c r="Y53" s="55">
        <f t="shared" si="16"/>
        <v>163.48877906401162</v>
      </c>
      <c r="Z53" s="55">
        <f t="shared" si="16"/>
        <v>163.48877906401162</v>
      </c>
      <c r="AA53" s="55">
        <f t="shared" si="16"/>
        <v>163.48877906401162</v>
      </c>
      <c r="AB53" s="55">
        <f t="shared" si="16"/>
        <v>163.48877906401162</v>
      </c>
      <c r="AC53" s="55">
        <f t="shared" si="16"/>
        <v>163.48877906401162</v>
      </c>
    </row>
    <row r="54" spans="1:40" x14ac:dyDescent="0.45">
      <c r="A54" s="33" t="s">
        <v>160</v>
      </c>
      <c r="B54" s="33" t="s">
        <v>161</v>
      </c>
      <c r="C54" t="s">
        <v>137</v>
      </c>
      <c r="H54" s="33"/>
      <c r="J54" s="48">
        <f t="shared" si="20"/>
        <v>-5.5522281219080524E-2</v>
      </c>
      <c r="K54" s="48">
        <f t="shared" si="20"/>
        <v>-5.1598873231123665E-2</v>
      </c>
      <c r="L54" s="48">
        <f t="shared" si="20"/>
        <v>-6.6098915345345649E-2</v>
      </c>
      <c r="M54" s="48">
        <f t="shared" si="20"/>
        <v>-6.0171080214702286E-2</v>
      </c>
      <c r="N54" s="48">
        <f t="shared" si="20"/>
        <v>-6.5149785148408801E-2</v>
      </c>
      <c r="R54" s="33" t="s">
        <v>164</v>
      </c>
      <c r="S54" s="33" t="s">
        <v>165</v>
      </c>
      <c r="T54" s="55">
        <f t="shared" si="17"/>
        <v>150.76280939515181</v>
      </c>
      <c r="U54" s="55">
        <f t="shared" si="18"/>
        <v>153.88227379999933</v>
      </c>
      <c r="V54" s="55">
        <f t="shared" si="18"/>
        <v>157.02002666943855</v>
      </c>
      <c r="W54" s="55">
        <f t="shared" si="18"/>
        <v>160.22176022246495</v>
      </c>
      <c r="X54" s="55">
        <f t="shared" si="18"/>
        <v>163.48877906401162</v>
      </c>
      <c r="Y54" s="55">
        <f t="shared" si="16"/>
        <v>163.48877906401162</v>
      </c>
      <c r="Z54" s="55">
        <f t="shared" si="16"/>
        <v>163.48877906401162</v>
      </c>
      <c r="AA54" s="55">
        <f t="shared" si="16"/>
        <v>163.48877906401162</v>
      </c>
      <c r="AB54" s="55">
        <f t="shared" si="16"/>
        <v>163.48877906401162</v>
      </c>
      <c r="AC54" s="55">
        <f t="shared" si="16"/>
        <v>163.48877906401162</v>
      </c>
    </row>
    <row r="55" spans="1:40" x14ac:dyDescent="0.45">
      <c r="A55" s="33" t="s">
        <v>162</v>
      </c>
      <c r="B55" s="33" t="s">
        <v>163</v>
      </c>
      <c r="C55" s="36" t="s">
        <v>141</v>
      </c>
      <c r="H55" s="33"/>
      <c r="J55" s="48">
        <f t="shared" si="20"/>
        <v>-4.9225251261654349E-2</v>
      </c>
      <c r="K55" s="48">
        <f t="shared" si="20"/>
        <v>-5.1966584879539465E-2</v>
      </c>
      <c r="L55" s="48">
        <f t="shared" si="20"/>
        <v>-5.0935198421251618E-2</v>
      </c>
      <c r="M55" s="48">
        <f t="shared" si="20"/>
        <v>-5.4102442164438255E-2</v>
      </c>
      <c r="N55" s="48">
        <f t="shared" si="20"/>
        <v>-5.6817047535908646E-2</v>
      </c>
      <c r="R55" s="33" t="s">
        <v>166</v>
      </c>
      <c r="S55" s="33" t="s">
        <v>167</v>
      </c>
      <c r="T55" s="55">
        <f t="shared" si="17"/>
        <v>167.65174506877941</v>
      </c>
      <c r="U55" s="55">
        <f t="shared" si="18"/>
        <v>171.12066192732559</v>
      </c>
      <c r="V55" s="55">
        <f t="shared" si="18"/>
        <v>174.60991598319339</v>
      </c>
      <c r="W55" s="55">
        <f t="shared" si="18"/>
        <v>178.1703180449727</v>
      </c>
      <c r="X55" s="55">
        <f t="shared" si="18"/>
        <v>181.80331886364473</v>
      </c>
      <c r="Y55" s="55">
        <f t="shared" si="16"/>
        <v>181.80331886364473</v>
      </c>
      <c r="Z55" s="55">
        <f t="shared" si="16"/>
        <v>181.80331886364473</v>
      </c>
      <c r="AA55" s="55">
        <f t="shared" si="16"/>
        <v>181.80331886364473</v>
      </c>
      <c r="AB55" s="55">
        <f t="shared" si="16"/>
        <v>181.80331886364473</v>
      </c>
      <c r="AC55" s="55">
        <f t="shared" si="16"/>
        <v>181.80331886364473</v>
      </c>
    </row>
    <row r="56" spans="1:40" x14ac:dyDescent="0.45">
      <c r="A56" s="33" t="s">
        <v>164</v>
      </c>
      <c r="B56" s="33" t="s">
        <v>165</v>
      </c>
      <c r="C56" s="36" t="s">
        <v>141</v>
      </c>
      <c r="H56" s="33"/>
      <c r="J56" s="48">
        <f t="shared" si="20"/>
        <v>-4.9225251261654335E-2</v>
      </c>
      <c r="K56" s="48">
        <f t="shared" si="20"/>
        <v>-5.1966584879539465E-2</v>
      </c>
      <c r="L56" s="48">
        <f t="shared" si="20"/>
        <v>-5.0935198421251604E-2</v>
      </c>
      <c r="M56" s="48">
        <f t="shared" si="20"/>
        <v>-5.4102442164438262E-2</v>
      </c>
      <c r="N56" s="48">
        <f t="shared" si="20"/>
        <v>-5.6817047535908688E-2</v>
      </c>
      <c r="R56" s="33" t="s">
        <v>168</v>
      </c>
      <c r="S56" s="33" t="s">
        <v>169</v>
      </c>
      <c r="T56" s="55">
        <f t="shared" si="17"/>
        <v>167.65174506877941</v>
      </c>
      <c r="U56" s="55">
        <f t="shared" si="18"/>
        <v>171.12066192732559</v>
      </c>
      <c r="V56" s="55">
        <f t="shared" si="18"/>
        <v>174.60991598319339</v>
      </c>
      <c r="W56" s="55">
        <f t="shared" si="18"/>
        <v>178.1703180449727</v>
      </c>
      <c r="X56" s="55">
        <f t="shared" si="18"/>
        <v>181.80331886364473</v>
      </c>
      <c r="Y56" s="55">
        <f t="shared" si="16"/>
        <v>181.80331886364473</v>
      </c>
      <c r="Z56" s="55">
        <f t="shared" si="16"/>
        <v>181.80331886364473</v>
      </c>
      <c r="AA56" s="55">
        <f t="shared" si="16"/>
        <v>181.80331886364473</v>
      </c>
      <c r="AB56" s="55">
        <f t="shared" si="16"/>
        <v>181.80331886364473</v>
      </c>
      <c r="AC56" s="55">
        <f t="shared" si="16"/>
        <v>181.80331886364473</v>
      </c>
    </row>
    <row r="57" spans="1:40" x14ac:dyDescent="0.45">
      <c r="A57" s="33" t="s">
        <v>166</v>
      </c>
      <c r="B57" s="33" t="s">
        <v>167</v>
      </c>
      <c r="C57" s="36" t="s">
        <v>141</v>
      </c>
      <c r="H57" s="33"/>
      <c r="J57" s="48">
        <f t="shared" si="20"/>
        <v>-4.4768300844309258E-2</v>
      </c>
      <c r="K57" s="48">
        <f t="shared" si="20"/>
        <v>-4.6993615440349107E-2</v>
      </c>
      <c r="L57" s="48">
        <f t="shared" si="20"/>
        <v>-4.0085150602080136E-2</v>
      </c>
      <c r="M57" s="48">
        <f t="shared" si="20"/>
        <v>-4.2195239030866347E-2</v>
      </c>
      <c r="N57" s="48">
        <f t="shared" si="20"/>
        <v>-4.3562034449101381E-2</v>
      </c>
    </row>
    <row r="58" spans="1:40" x14ac:dyDescent="0.45">
      <c r="A58" s="33" t="s">
        <v>168</v>
      </c>
      <c r="B58" s="33" t="s">
        <v>169</v>
      </c>
      <c r="C58" s="36" t="s">
        <v>141</v>
      </c>
      <c r="H58" s="33"/>
      <c r="J58" s="48">
        <f t="shared" si="20"/>
        <v>-2.4783694412527316E-2</v>
      </c>
      <c r="K58" s="48">
        <f t="shared" si="20"/>
        <v>-2.7991508067711352E-2</v>
      </c>
      <c r="L58" s="48">
        <f t="shared" si="20"/>
        <v>-2.9671321751770462E-2</v>
      </c>
      <c r="M58" s="48">
        <f t="shared" si="20"/>
        <v>-3.2281313066149092E-2</v>
      </c>
      <c r="N58" s="48">
        <f>(-$B$10)+($B$7)+(((N26-M26)/M26)*IF($C58="Legacy",$B$8,$B$9))</f>
        <v>-3.4051626737995375E-2</v>
      </c>
      <c r="Y58" t="s">
        <v>132</v>
      </c>
    </row>
    <row r="59" spans="1:40" x14ac:dyDescent="0.45">
      <c r="Y59" s="59">
        <f>'CPI-X model inputs'!H90</f>
        <v>2.0390606350913176E-2</v>
      </c>
      <c r="Z59" s="59">
        <f>'CPI-X model inputs'!I90</f>
        <v>2.0390606350913176E-2</v>
      </c>
      <c r="AA59" s="59">
        <f>'CPI-X model inputs'!J90</f>
        <v>2.0390606350913176E-2</v>
      </c>
      <c r="AB59" s="59">
        <f>'CPI-X model inputs'!K90</f>
        <v>2.0390606350913176E-2</v>
      </c>
      <c r="AC59" s="59">
        <f>'CPI-X model inputs'!L90</f>
        <v>2.0390606350913176E-2</v>
      </c>
    </row>
    <row r="60" spans="1:40" x14ac:dyDescent="0.45">
      <c r="Y60" s="55">
        <f>X45*(1+Y$59)</f>
        <v>103.62932075594719</v>
      </c>
      <c r="Z60" s="55">
        <f>Y60*(1+Z$59)</f>
        <v>105.74238544189423</v>
      </c>
      <c r="AA60" s="55">
        <f t="shared" ref="AA60:AC60" si="21">Z60*(1+AA$59)</f>
        <v>107.89853679804642</v>
      </c>
      <c r="AB60" s="55">
        <f t="shared" si="21"/>
        <v>110.0986533877349</v>
      </c>
      <c r="AC60" s="55">
        <f t="shared" si="21"/>
        <v>112.34363168872983</v>
      </c>
    </row>
    <row r="61" spans="1:40" x14ac:dyDescent="0.45">
      <c r="A61" s="49" t="s">
        <v>175</v>
      </c>
      <c r="I61" s="54" t="s">
        <v>177</v>
      </c>
      <c r="Y61" s="55">
        <f t="shared" ref="Y61:Y71" si="22">X46*(1+Y$59)</f>
        <v>103.62932075594719</v>
      </c>
      <c r="Z61" s="55">
        <f t="shared" ref="Z61:AC71" si="23">Y61*(1+Z$59)</f>
        <v>105.74238544189423</v>
      </c>
      <c r="AA61" s="55">
        <f t="shared" si="23"/>
        <v>107.89853679804642</v>
      </c>
      <c r="AB61" s="55">
        <f t="shared" si="23"/>
        <v>110.0986533877349</v>
      </c>
      <c r="AC61" s="55">
        <f t="shared" si="23"/>
        <v>112.34363168872983</v>
      </c>
    </row>
    <row r="62" spans="1:40" x14ac:dyDescent="0.45">
      <c r="A62" s="33" t="s">
        <v>146</v>
      </c>
      <c r="B62" s="33" t="s">
        <v>147</v>
      </c>
      <c r="I62" s="50">
        <f t="shared" ref="I62:I73" si="24">I31*I15</f>
        <v>251026405.92238495</v>
      </c>
      <c r="J62" s="50">
        <f t="shared" ref="J62:N73" si="25">(1+J47)*I62</f>
        <v>231359563.03085777</v>
      </c>
      <c r="K62" s="50">
        <f t="shared" si="25"/>
        <v>212517851.53983733</v>
      </c>
      <c r="L62" s="50">
        <f t="shared" si="25"/>
        <v>196943209.42463493</v>
      </c>
      <c r="M62" s="50">
        <f t="shared" si="25"/>
        <v>181731144.97626936</v>
      </c>
      <c r="N62" s="50">
        <f t="shared" si="25"/>
        <v>166854322.96291837</v>
      </c>
      <c r="Y62" s="55">
        <f t="shared" si="22"/>
        <v>127.79903252031565</v>
      </c>
      <c r="Z62" s="55">
        <f t="shared" si="23"/>
        <v>130.40493228446496</v>
      </c>
      <c r="AA62" s="55">
        <f t="shared" si="23"/>
        <v>133.06396792489497</v>
      </c>
      <c r="AB62" s="55">
        <f t="shared" si="23"/>
        <v>135.77722291434205</v>
      </c>
      <c r="AC62" s="55">
        <f t="shared" si="23"/>
        <v>138.54580281820859</v>
      </c>
    </row>
    <row r="63" spans="1:40" x14ac:dyDescent="0.45">
      <c r="A63" s="33" t="s">
        <v>148</v>
      </c>
      <c r="B63" s="33" t="s">
        <v>149</v>
      </c>
      <c r="I63" s="50">
        <f t="shared" si="24"/>
        <v>46226847.232541539</v>
      </c>
      <c r="J63" s="50">
        <f t="shared" si="25"/>
        <v>42644571.858509801</v>
      </c>
      <c r="K63" s="50">
        <f t="shared" si="25"/>
        <v>39214120.618790686</v>
      </c>
      <c r="L63" s="50">
        <f t="shared" si="25"/>
        <v>36376940.968969002</v>
      </c>
      <c r="M63" s="50">
        <f t="shared" si="25"/>
        <v>33607468.711741075</v>
      </c>
      <c r="N63" s="50">
        <f t="shared" si="25"/>
        <v>30901041.947629377</v>
      </c>
      <c r="Y63" s="55">
        <f t="shared" si="22"/>
        <v>127.79903252031565</v>
      </c>
      <c r="Z63" s="55">
        <f t="shared" si="23"/>
        <v>130.40493228446496</v>
      </c>
      <c r="AA63" s="55">
        <f t="shared" si="23"/>
        <v>133.06396792489497</v>
      </c>
      <c r="AB63" s="55">
        <f t="shared" si="23"/>
        <v>135.77722291434205</v>
      </c>
      <c r="AC63" s="55">
        <f t="shared" si="23"/>
        <v>138.54580281820859</v>
      </c>
    </row>
    <row r="64" spans="1:40" x14ac:dyDescent="0.45">
      <c r="A64" s="33" t="s">
        <v>150</v>
      </c>
      <c r="B64" s="33" t="s">
        <v>151</v>
      </c>
      <c r="I64" s="50">
        <f t="shared" si="24"/>
        <v>3707176.2923194077</v>
      </c>
      <c r="J64" s="50">
        <f t="shared" si="25"/>
        <v>3603375.356134464</v>
      </c>
      <c r="K64" s="50">
        <f t="shared" si="25"/>
        <v>3502480.8461626992</v>
      </c>
      <c r="L64" s="50">
        <f t="shared" si="25"/>
        <v>3404411.3824701435</v>
      </c>
      <c r="M64" s="50">
        <f t="shared" si="25"/>
        <v>3309087.8637609794</v>
      </c>
      <c r="N64" s="50">
        <f t="shared" si="25"/>
        <v>3216433.4035756718</v>
      </c>
      <c r="Y64" s="55">
        <f t="shared" si="22"/>
        <v>95.71474909284693</v>
      </c>
      <c r="Z64" s="55">
        <f t="shared" si="23"/>
        <v>97.666430863575599</v>
      </c>
      <c r="AA64" s="55">
        <f t="shared" si="23"/>
        <v>99.657908609013447</v>
      </c>
      <c r="AB64" s="55">
        <f t="shared" si="23"/>
        <v>101.68999379321512</v>
      </c>
      <c r="AC64" s="55">
        <f t="shared" si="23"/>
        <v>103.76351442647938</v>
      </c>
    </row>
    <row r="65" spans="1:29" x14ac:dyDescent="0.45">
      <c r="A65" s="33" t="s">
        <v>152</v>
      </c>
      <c r="B65" s="33" t="s">
        <v>153</v>
      </c>
      <c r="I65" s="50">
        <f t="shared" si="24"/>
        <v>4340547.7744227722</v>
      </c>
      <c r="J65" s="50">
        <f t="shared" si="25"/>
        <v>4219012.4367389344</v>
      </c>
      <c r="K65" s="50">
        <f t="shared" si="25"/>
        <v>4100880.0885102442</v>
      </c>
      <c r="L65" s="50">
        <f t="shared" si="25"/>
        <v>3986055.4460319574</v>
      </c>
      <c r="M65" s="50">
        <f t="shared" si="25"/>
        <v>3874445.8935430623</v>
      </c>
      <c r="N65" s="50">
        <f t="shared" si="25"/>
        <v>3765961.4085238562</v>
      </c>
      <c r="Y65" s="55">
        <f t="shared" si="22"/>
        <v>95.71474909284693</v>
      </c>
      <c r="Z65" s="55">
        <f t="shared" si="23"/>
        <v>97.666430863575599</v>
      </c>
      <c r="AA65" s="55">
        <f t="shared" si="23"/>
        <v>99.657908609013447</v>
      </c>
      <c r="AB65" s="55">
        <f t="shared" si="23"/>
        <v>101.68999379321512</v>
      </c>
      <c r="AC65" s="55">
        <f t="shared" si="23"/>
        <v>103.76351442647938</v>
      </c>
    </row>
    <row r="66" spans="1:29" x14ac:dyDescent="0.45">
      <c r="A66" s="33" t="s">
        <v>154</v>
      </c>
      <c r="B66" s="33" t="s">
        <v>155</v>
      </c>
      <c r="I66" s="50">
        <f t="shared" si="24"/>
        <v>44715.162128078526</v>
      </c>
      <c r="J66" s="50">
        <f t="shared" si="25"/>
        <v>42232.474321646565</v>
      </c>
      <c r="K66" s="50">
        <f t="shared" si="25"/>
        <v>40053.326232887244</v>
      </c>
      <c r="L66" s="50">
        <f t="shared" si="25"/>
        <v>37405.844812920113</v>
      </c>
      <c r="M66" s="50">
        <f t="shared" si="25"/>
        <v>35155.094724183189</v>
      </c>
      <c r="N66" s="50">
        <f t="shared" si="25"/>
        <v>32864.747856030692</v>
      </c>
      <c r="Y66" s="55">
        <f t="shared" si="22"/>
        <v>101.36481158321881</v>
      </c>
      <c r="Z66" s="55">
        <f t="shared" si="23"/>
        <v>103.43170155404671</v>
      </c>
      <c r="AA66" s="55">
        <f t="shared" si="23"/>
        <v>105.54073666464041</v>
      </c>
      <c r="AB66" s="55">
        <f t="shared" si="23"/>
        <v>107.69277627995447</v>
      </c>
      <c r="AC66" s="55">
        <f t="shared" si="23"/>
        <v>109.88869728791599</v>
      </c>
    </row>
    <row r="67" spans="1:29" x14ac:dyDescent="0.45">
      <c r="A67" s="33" t="s">
        <v>156</v>
      </c>
      <c r="B67" s="33" t="s">
        <v>157</v>
      </c>
      <c r="I67" s="50">
        <f t="shared" si="24"/>
        <v>145666518.2479068</v>
      </c>
      <c r="J67" s="50">
        <f t="shared" si="25"/>
        <v>137578780.85754219</v>
      </c>
      <c r="K67" s="50">
        <f t="shared" si="25"/>
        <v>130479870.78478132</v>
      </c>
      <c r="L67" s="50">
        <f t="shared" si="25"/>
        <v>121855292.85150641</v>
      </c>
      <c r="M67" s="50">
        <f t="shared" si="25"/>
        <v>114523128.25075237</v>
      </c>
      <c r="N67" s="50">
        <f t="shared" si="25"/>
        <v>107061971.05069219</v>
      </c>
      <c r="Y67" s="55">
        <f t="shared" si="22"/>
        <v>101.36481158321881</v>
      </c>
      <c r="Z67" s="55">
        <f t="shared" si="23"/>
        <v>103.43170155404671</v>
      </c>
      <c r="AA67" s="55">
        <f t="shared" si="23"/>
        <v>105.54073666464041</v>
      </c>
      <c r="AB67" s="55">
        <f t="shared" si="23"/>
        <v>107.69277627995447</v>
      </c>
      <c r="AC67" s="55">
        <f t="shared" si="23"/>
        <v>109.88869728791599</v>
      </c>
    </row>
    <row r="68" spans="1:29" x14ac:dyDescent="0.45">
      <c r="A68" s="33" t="s">
        <v>158</v>
      </c>
      <c r="B68" s="33" t="s">
        <v>159</v>
      </c>
      <c r="I68" s="50">
        <f t="shared" si="24"/>
        <v>2989793.7746982765</v>
      </c>
      <c r="J68" s="50">
        <f t="shared" si="25"/>
        <v>2823793.6039524223</v>
      </c>
      <c r="K68" s="50">
        <f t="shared" si="25"/>
        <v>2678089.0357512236</v>
      </c>
      <c r="L68" s="50">
        <f t="shared" si="25"/>
        <v>2501070.2552898047</v>
      </c>
      <c r="M68" s="50">
        <f t="shared" si="25"/>
        <v>2350578.1563361562</v>
      </c>
      <c r="N68" s="50">
        <f t="shared" si="25"/>
        <v>2197438.4944763128</v>
      </c>
      <c r="Y68" s="55">
        <f t="shared" si="22"/>
        <v>166.82241440069731</v>
      </c>
      <c r="Z68" s="55">
        <f t="shared" si="23"/>
        <v>170.22402458325084</v>
      </c>
      <c r="AA68" s="55">
        <f t="shared" si="23"/>
        <v>173.69499565999607</v>
      </c>
      <c r="AB68" s="55">
        <f t="shared" si="23"/>
        <v>177.23674194162263</v>
      </c>
      <c r="AC68" s="55">
        <f t="shared" si="23"/>
        <v>180.85070657747264</v>
      </c>
    </row>
    <row r="69" spans="1:29" x14ac:dyDescent="0.45">
      <c r="A69" s="33" t="s">
        <v>160</v>
      </c>
      <c r="B69" s="33" t="s">
        <v>161</v>
      </c>
      <c r="I69" s="50">
        <f t="shared" si="24"/>
        <v>24297632.815678224</v>
      </c>
      <c r="J69" s="50">
        <f t="shared" si="25"/>
        <v>22948572.813528176</v>
      </c>
      <c r="K69" s="50">
        <f t="shared" si="25"/>
        <v>21764452.314087726</v>
      </c>
      <c r="L69" s="50">
        <f t="shared" si="25"/>
        <v>20325845.62304103</v>
      </c>
      <c r="M69" s="50">
        <f t="shared" si="25"/>
        <v>19102817.535625372</v>
      </c>
      <c r="N69" s="50">
        <f t="shared" si="25"/>
        <v>17858273.077450123</v>
      </c>
      <c r="Y69" s="55">
        <f t="shared" si="22"/>
        <v>166.82241440069731</v>
      </c>
      <c r="Z69" s="55">
        <f t="shared" si="23"/>
        <v>170.22402458325084</v>
      </c>
      <c r="AA69" s="55">
        <f t="shared" si="23"/>
        <v>173.69499565999607</v>
      </c>
      <c r="AB69" s="55">
        <f t="shared" si="23"/>
        <v>177.23674194162263</v>
      </c>
      <c r="AC69" s="55">
        <f t="shared" si="23"/>
        <v>180.85070657747264</v>
      </c>
    </row>
    <row r="70" spans="1:29" x14ac:dyDescent="0.45">
      <c r="A70" s="33" t="s">
        <v>162</v>
      </c>
      <c r="B70" s="33" t="s">
        <v>163</v>
      </c>
      <c r="I70" s="50">
        <f t="shared" si="24"/>
        <v>16382875.713414354</v>
      </c>
      <c r="J70" s="50">
        <f t="shared" si="25"/>
        <v>15576424.540033078</v>
      </c>
      <c r="K70" s="50">
        <f t="shared" si="25"/>
        <v>14766970.952053709</v>
      </c>
      <c r="L70" s="50">
        <f t="shared" si="25"/>
        <v>14014812.356529994</v>
      </c>
      <c r="M70" s="50">
        <f t="shared" si="25"/>
        <v>13256576.781565376</v>
      </c>
      <c r="N70" s="50">
        <f t="shared" si="25"/>
        <v>12503377.228403753</v>
      </c>
      <c r="Y70" s="55">
        <f t="shared" si="22"/>
        <v>185.51039877188285</v>
      </c>
      <c r="Z70" s="55">
        <f t="shared" si="23"/>
        <v>189.29306828724123</v>
      </c>
      <c r="AA70" s="55">
        <f t="shared" si="23"/>
        <v>193.1528687276429</v>
      </c>
      <c r="AB70" s="55">
        <f t="shared" si="23"/>
        <v>197.09137283941786</v>
      </c>
      <c r="AC70" s="55">
        <f t="shared" si="23"/>
        <v>201.11018543814748</v>
      </c>
    </row>
    <row r="71" spans="1:29" x14ac:dyDescent="0.45">
      <c r="A71" s="33" t="s">
        <v>164</v>
      </c>
      <c r="B71" s="33" t="s">
        <v>165</v>
      </c>
      <c r="I71" s="50">
        <f t="shared" si="24"/>
        <v>45722974.195846505</v>
      </c>
      <c r="J71" s="50">
        <f t="shared" si="25"/>
        <v>43472249.30262582</v>
      </c>
      <c r="K71" s="50">
        <f t="shared" si="25"/>
        <v>41213144.96933642</v>
      </c>
      <c r="L71" s="50">
        <f t="shared" si="25"/>
        <v>39113945.252759464</v>
      </c>
      <c r="M71" s="50">
        <f t="shared" si="25"/>
        <v>36997785.29189904</v>
      </c>
      <c r="N71" s="50">
        <f t="shared" si="25"/>
        <v>34895680.366245873</v>
      </c>
      <c r="Y71" s="55">
        <f t="shared" si="22"/>
        <v>185.51039877188285</v>
      </c>
      <c r="Z71" s="55">
        <f t="shared" si="23"/>
        <v>189.29306828724123</v>
      </c>
      <c r="AA71" s="55">
        <f t="shared" si="23"/>
        <v>193.1528687276429</v>
      </c>
      <c r="AB71" s="55">
        <f t="shared" si="23"/>
        <v>197.09137283941786</v>
      </c>
      <c r="AC71" s="55">
        <f t="shared" si="23"/>
        <v>201.11018543814748</v>
      </c>
    </row>
    <row r="72" spans="1:29" x14ac:dyDescent="0.45">
      <c r="A72" s="33" t="s">
        <v>166</v>
      </c>
      <c r="B72" s="33" t="s">
        <v>167</v>
      </c>
      <c r="I72" s="50">
        <f t="shared" si="24"/>
        <v>105368632.53194436</v>
      </c>
      <c r="J72" s="50">
        <f t="shared" si="25"/>
        <v>100651457.89120081</v>
      </c>
      <c r="K72" s="50">
        <f t="shared" si="25"/>
        <v>95921481.985551238</v>
      </c>
      <c r="L72" s="50">
        <f t="shared" si="25"/>
        <v>92076454.934185699</v>
      </c>
      <c r="M72" s="50">
        <f t="shared" si="25"/>
        <v>88191266.909122944</v>
      </c>
      <c r="N72" s="50">
        <f t="shared" si="25"/>
        <v>84349475.901917845</v>
      </c>
    </row>
    <row r="73" spans="1:29" x14ac:dyDescent="0.45">
      <c r="A73" s="33" t="s">
        <v>168</v>
      </c>
      <c r="B73" s="33" t="s">
        <v>169</v>
      </c>
      <c r="I73" s="50">
        <f t="shared" si="24"/>
        <v>128586738.58196798</v>
      </c>
      <c r="J73" s="50">
        <f t="shared" si="25"/>
        <v>125399884.14744894</v>
      </c>
      <c r="K73" s="50">
        <f t="shared" si="25"/>
        <v>121889752.27864556</v>
      </c>
      <c r="L73" s="50">
        <f t="shared" si="25"/>
        <v>118273122.22054227</v>
      </c>
      <c r="M73" s="50">
        <f t="shared" si="25"/>
        <v>114455110.53483002</v>
      </c>
      <c r="N73" s="50">
        <f t="shared" si="25"/>
        <v>110557727.83264199</v>
      </c>
    </row>
    <row r="78" spans="1:29" x14ac:dyDescent="0.45">
      <c r="A78" s="49" t="s">
        <v>178</v>
      </c>
      <c r="C78" s="37" t="s">
        <v>179</v>
      </c>
    </row>
    <row r="79" spans="1:29" x14ac:dyDescent="0.45">
      <c r="A79" s="33" t="s">
        <v>180</v>
      </c>
      <c r="B79" s="33" t="s">
        <v>181</v>
      </c>
      <c r="C79" s="51">
        <v>0.16310110713857515</v>
      </c>
      <c r="I79" s="23" t="s">
        <v>182</v>
      </c>
    </row>
    <row r="80" spans="1:29" x14ac:dyDescent="0.45">
      <c r="A80" s="33" t="s">
        <v>183</v>
      </c>
      <c r="B80" s="33" t="s">
        <v>184</v>
      </c>
      <c r="C80" s="51">
        <v>0.16114592662939656</v>
      </c>
      <c r="I80" s="50">
        <f t="shared" ref="I80:N91" si="26">I62/I15</f>
        <v>91.885359999999991</v>
      </c>
      <c r="J80" s="50">
        <f t="shared" si="26"/>
        <v>93.418477909458431</v>
      </c>
      <c r="K80" s="50">
        <f t="shared" si="26"/>
        <v>95.261913149923629</v>
      </c>
      <c r="L80" s="50">
        <f t="shared" si="26"/>
        <v>96.384319276688473</v>
      </c>
      <c r="M80" s="50">
        <f t="shared" si="26"/>
        <v>97.888476062112062</v>
      </c>
      <c r="N80" s="50">
        <f t="shared" si="26"/>
        <v>99.861176489907322</v>
      </c>
    </row>
    <row r="81" spans="1:14" x14ac:dyDescent="0.45">
      <c r="A81" s="33" t="s">
        <v>146</v>
      </c>
      <c r="B81" s="33" t="s">
        <v>147</v>
      </c>
      <c r="C81" s="51">
        <v>0.53667128844210499</v>
      </c>
      <c r="I81" s="50">
        <f t="shared" si="26"/>
        <v>91.885359999999991</v>
      </c>
      <c r="J81" s="50">
        <f t="shared" si="26"/>
        <v>93.341934256908218</v>
      </c>
      <c r="K81" s="50">
        <f t="shared" si="26"/>
        <v>95.091838670300348</v>
      </c>
      <c r="L81" s="50">
        <f t="shared" si="26"/>
        <v>96.127099695126489</v>
      </c>
      <c r="M81" s="50">
        <f t="shared" si="26"/>
        <v>97.523644351454223</v>
      </c>
      <c r="N81" s="50">
        <f t="shared" si="26"/>
        <v>99.360388011527107</v>
      </c>
    </row>
    <row r="82" spans="1:14" x14ac:dyDescent="0.45">
      <c r="A82" s="33" t="s">
        <v>148</v>
      </c>
      <c r="B82" s="33" t="s">
        <v>149</v>
      </c>
      <c r="C82" s="51">
        <v>0.53667124847987613</v>
      </c>
      <c r="I82" s="50">
        <f t="shared" si="26"/>
        <v>113.316</v>
      </c>
      <c r="J82" s="50">
        <f t="shared" si="26"/>
        <v>110.143152</v>
      </c>
      <c r="K82" s="50">
        <f t="shared" si="26"/>
        <v>107.05914374400001</v>
      </c>
      <c r="L82" s="50">
        <f t="shared" si="26"/>
        <v>104.061487719168</v>
      </c>
      <c r="M82" s="50">
        <f t="shared" si="26"/>
        <v>101.1477660630313</v>
      </c>
      <c r="N82" s="50">
        <f t="shared" si="26"/>
        <v>98.315628613266412</v>
      </c>
    </row>
    <row r="83" spans="1:14" x14ac:dyDescent="0.45">
      <c r="A83" s="33" t="s">
        <v>150</v>
      </c>
      <c r="B83" s="33" t="s">
        <v>151</v>
      </c>
      <c r="C83" s="51">
        <v>0.53961926507327562</v>
      </c>
      <c r="I83" s="50">
        <f t="shared" si="26"/>
        <v>113.316</v>
      </c>
      <c r="J83" s="50">
        <f t="shared" si="26"/>
        <v>110.143152</v>
      </c>
      <c r="K83" s="50">
        <f t="shared" si="26"/>
        <v>107.059143744</v>
      </c>
      <c r="L83" s="50">
        <f t="shared" si="26"/>
        <v>104.061487719168</v>
      </c>
      <c r="M83" s="50">
        <f t="shared" si="26"/>
        <v>101.14776606303128</v>
      </c>
      <c r="N83" s="50">
        <f t="shared" si="26"/>
        <v>98.315628613266398</v>
      </c>
    </row>
    <row r="84" spans="1:14" x14ac:dyDescent="0.45">
      <c r="A84" s="33" t="s">
        <v>152</v>
      </c>
      <c r="B84" s="33" t="s">
        <v>153</v>
      </c>
      <c r="C84" s="51">
        <v>0.53961923057320316</v>
      </c>
      <c r="I84" s="50">
        <f t="shared" si="26"/>
        <v>84.867719999999991</v>
      </c>
      <c r="J84" s="50">
        <f t="shared" si="26"/>
        <v>84.47198091690241</v>
      </c>
      <c r="K84" s="50">
        <f t="shared" si="26"/>
        <v>83.784191023306803</v>
      </c>
      <c r="L84" s="50">
        <f t="shared" si="26"/>
        <v>84.202097322520956</v>
      </c>
      <c r="M84" s="50">
        <f t="shared" si="26"/>
        <v>84.162458853464798</v>
      </c>
      <c r="N84" s="50">
        <f t="shared" si="26"/>
        <v>84.507963115840283</v>
      </c>
    </row>
    <row r="85" spans="1:14" x14ac:dyDescent="0.45">
      <c r="A85" s="33" t="s">
        <v>158</v>
      </c>
      <c r="B85" s="33" t="s">
        <v>159</v>
      </c>
      <c r="C85" s="51">
        <v>0.53955767498596741</v>
      </c>
      <c r="I85" s="50">
        <f t="shared" si="26"/>
        <v>84.867719999999991</v>
      </c>
      <c r="J85" s="50">
        <f t="shared" si="26"/>
        <v>84.47198091690241</v>
      </c>
      <c r="K85" s="50">
        <f t="shared" si="26"/>
        <v>83.784191023306803</v>
      </c>
      <c r="L85" s="50">
        <f t="shared" si="26"/>
        <v>84.202097322520956</v>
      </c>
      <c r="M85" s="50">
        <f t="shared" si="26"/>
        <v>84.162458853464798</v>
      </c>
      <c r="N85" s="50">
        <f t="shared" si="26"/>
        <v>84.507963115840283</v>
      </c>
    </row>
    <row r="86" spans="1:14" x14ac:dyDescent="0.45">
      <c r="A86" s="33" t="s">
        <v>160</v>
      </c>
      <c r="B86" s="33" t="s">
        <v>161</v>
      </c>
      <c r="C86" s="51">
        <v>0.53959594701560132</v>
      </c>
      <c r="I86" s="50">
        <f t="shared" si="26"/>
        <v>89.877480000000006</v>
      </c>
      <c r="J86" s="50">
        <f t="shared" si="26"/>
        <v>89.458380352615563</v>
      </c>
      <c r="K86" s="50">
        <f t="shared" si="26"/>
        <v>88.729990071766238</v>
      </c>
      <c r="L86" s="50">
        <f t="shared" si="26"/>
        <v>89.172565470863731</v>
      </c>
      <c r="M86" s="50">
        <f t="shared" si="26"/>
        <v>89.130587134343969</v>
      </c>
      <c r="N86" s="50">
        <f t="shared" si="26"/>
        <v>89.496486588595474</v>
      </c>
    </row>
    <row r="87" spans="1:14" x14ac:dyDescent="0.45">
      <c r="I87" s="50">
        <f t="shared" si="26"/>
        <v>89.877480000000006</v>
      </c>
      <c r="J87" s="50">
        <f t="shared" si="26"/>
        <v>89.458380352615563</v>
      </c>
      <c r="K87" s="50">
        <f t="shared" si="26"/>
        <v>88.729990071766238</v>
      </c>
      <c r="L87" s="50">
        <f t="shared" si="26"/>
        <v>89.172565470863731</v>
      </c>
      <c r="M87" s="50">
        <f t="shared" si="26"/>
        <v>89.130587134343955</v>
      </c>
      <c r="N87" s="50">
        <f t="shared" si="26"/>
        <v>89.496486588595445</v>
      </c>
    </row>
    <row r="88" spans="1:14" x14ac:dyDescent="0.45">
      <c r="I88" s="50">
        <f t="shared" si="26"/>
        <v>55.778373182013311</v>
      </c>
      <c r="J88" s="50">
        <f t="shared" si="26"/>
        <v>61.021636633053802</v>
      </c>
      <c r="K88" s="50">
        <f t="shared" si="26"/>
        <v>67.886095736004108</v>
      </c>
      <c r="L88" s="50">
        <f t="shared" si="26"/>
        <v>75.04468294045391</v>
      </c>
      <c r="M88" s="50">
        <f t="shared" si="26"/>
        <v>84.606522587021786</v>
      </c>
      <c r="N88" s="50">
        <f t="shared" si="26"/>
        <v>97.049785078971738</v>
      </c>
    </row>
    <row r="89" spans="1:14" x14ac:dyDescent="0.45">
      <c r="I89" s="50">
        <f t="shared" si="26"/>
        <v>55.778373182013311</v>
      </c>
      <c r="J89" s="50">
        <f t="shared" si="26"/>
        <v>61.021636633053795</v>
      </c>
      <c r="K89" s="50">
        <f t="shared" si="26"/>
        <v>67.886095736004108</v>
      </c>
      <c r="L89" s="50">
        <f t="shared" si="26"/>
        <v>75.044682940453896</v>
      </c>
      <c r="M89" s="50">
        <f t="shared" si="26"/>
        <v>84.606522587021786</v>
      </c>
      <c r="N89" s="50">
        <f t="shared" si="26"/>
        <v>97.049785078971766</v>
      </c>
    </row>
    <row r="90" spans="1:14" x14ac:dyDescent="0.45">
      <c r="I90" s="50">
        <f t="shared" si="26"/>
        <v>71.856971795941988</v>
      </c>
      <c r="J90" s="50">
        <f t="shared" si="26"/>
        <v>76.55843241190091</v>
      </c>
      <c r="K90" s="50">
        <f t="shared" si="26"/>
        <v>82.642697902651747</v>
      </c>
      <c r="L90" s="50">
        <f t="shared" si="26"/>
        <v>85.719748081083694</v>
      </c>
      <c r="M90" s="50">
        <f t="shared" si="26"/>
        <v>89.981388887263961</v>
      </c>
      <c r="N90" s="50">
        <f t="shared" si="26"/>
        <v>95.199718970617681</v>
      </c>
    </row>
    <row r="91" spans="1:14" x14ac:dyDescent="0.45">
      <c r="I91" s="50">
        <f t="shared" si="26"/>
        <v>71.856971795941988</v>
      </c>
      <c r="J91" s="50">
        <f t="shared" si="26"/>
        <v>68.712921558431574</v>
      </c>
      <c r="K91" s="50">
        <f t="shared" si="26"/>
        <v>66.786045047408408</v>
      </c>
      <c r="L91" s="50">
        <f t="shared" si="26"/>
        <v>65.479438476777233</v>
      </c>
      <c r="M91" s="50">
        <f t="shared" si="26"/>
        <v>65.084407279365436</v>
      </c>
      <c r="N91" s="50">
        <f t="shared" si="26"/>
        <v>65.305866420281234</v>
      </c>
    </row>
  </sheetData>
  <dataValidations count="2">
    <dataValidation type="list" allowBlank="1" showInputMessage="1" showErrorMessage="1" sqref="B3" xr:uid="{F8D20F08-0DEF-450B-A4D2-95A648467C89}">
      <formula1>#REF!</formula1>
    </dataValidation>
    <dataValidation type="list" allowBlank="1" showInputMessage="1" showErrorMessage="1" sqref="C47:C58" xr:uid="{19A473F2-5B6C-4AB8-8802-15EBAC684D7E}">
      <formula1>$C$8:$C$9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B2F323-48EA-4477-BAA3-C3E70176E792}">
          <x14:formula1>
            <xm:f>'CPI-X model inputs'!$C$2:$E$2</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539A-D1D2-4AA6-B566-46CC3E556094}">
  <dimension ref="A1:Q90"/>
  <sheetViews>
    <sheetView tabSelected="1" zoomScale="60" zoomScaleNormal="60" workbookViewId="0">
      <selection activeCell="L13" sqref="L13"/>
    </sheetView>
  </sheetViews>
  <sheetFormatPr defaultRowHeight="14.25" x14ac:dyDescent="0.45"/>
  <cols>
    <col min="1" max="1" width="13.6640625" customWidth="1"/>
    <col min="2" max="2" width="49.1328125" bestFit="1" customWidth="1"/>
    <col min="3" max="6" width="12.265625" bestFit="1" customWidth="1"/>
    <col min="7" max="7" width="15.73046875" bestFit="1" customWidth="1"/>
    <col min="8" max="8" width="49.1328125" bestFit="1" customWidth="1"/>
    <col min="9" max="13" width="14" customWidth="1"/>
    <col min="14" max="17" width="19" customWidth="1"/>
  </cols>
  <sheetData>
    <row r="1" spans="1:9" ht="31.5" customHeight="1" x14ac:dyDescent="0.85">
      <c r="A1" s="99" t="s">
        <v>185</v>
      </c>
    </row>
    <row r="2" spans="1:9" x14ac:dyDescent="0.45">
      <c r="A2" s="49" t="s">
        <v>186</v>
      </c>
      <c r="C2" t="s">
        <v>130</v>
      </c>
      <c r="D2" t="s">
        <v>187</v>
      </c>
      <c r="E2" t="s">
        <v>188</v>
      </c>
      <c r="G2" s="49" t="s">
        <v>189</v>
      </c>
      <c r="I2" t="s">
        <v>130</v>
      </c>
    </row>
    <row r="4" spans="1:9" x14ac:dyDescent="0.45">
      <c r="A4" s="34"/>
    </row>
    <row r="5" spans="1:9" x14ac:dyDescent="0.45">
      <c r="A5" s="33" t="s">
        <v>146</v>
      </c>
      <c r="B5" s="33" t="s">
        <v>147</v>
      </c>
      <c r="C5" s="62">
        <f>C$12</f>
        <v>-0.02</v>
      </c>
      <c r="D5" s="62">
        <f t="shared" ref="D5:E5" si="0">D$12</f>
        <v>-0.02</v>
      </c>
      <c r="E5" s="62">
        <f t="shared" si="0"/>
        <v>-0.02</v>
      </c>
      <c r="G5" s="33" t="s">
        <v>146</v>
      </c>
      <c r="H5" s="33" t="s">
        <v>147</v>
      </c>
      <c r="I5" s="113">
        <v>92.44</v>
      </c>
    </row>
    <row r="6" spans="1:9" x14ac:dyDescent="0.45">
      <c r="A6" s="33" t="s">
        <v>148</v>
      </c>
      <c r="B6" s="33" t="s">
        <v>149</v>
      </c>
      <c r="C6" s="62">
        <f t="shared" ref="C6:E11" si="1">C$12</f>
        <v>-0.02</v>
      </c>
      <c r="D6" s="62">
        <f t="shared" si="1"/>
        <v>-0.02</v>
      </c>
      <c r="E6" s="62">
        <f t="shared" si="1"/>
        <v>-0.02</v>
      </c>
      <c r="G6" s="33" t="s">
        <v>148</v>
      </c>
      <c r="H6" s="33" t="s">
        <v>149</v>
      </c>
      <c r="I6" s="113">
        <v>92.44</v>
      </c>
    </row>
    <row r="7" spans="1:9" x14ac:dyDescent="0.45">
      <c r="A7" s="33" t="s">
        <v>150</v>
      </c>
      <c r="B7" s="33" t="s">
        <v>151</v>
      </c>
      <c r="C7" s="62">
        <f t="shared" si="1"/>
        <v>-0.02</v>
      </c>
      <c r="D7" s="62">
        <f t="shared" si="1"/>
        <v>-0.02</v>
      </c>
      <c r="E7" s="62">
        <f t="shared" si="1"/>
        <v>-0.02</v>
      </c>
      <c r="G7" s="33" t="s">
        <v>150</v>
      </c>
      <c r="H7" s="33" t="s">
        <v>151</v>
      </c>
      <c r="I7" s="113">
        <v>114</v>
      </c>
    </row>
    <row r="8" spans="1:9" x14ac:dyDescent="0.45">
      <c r="A8" s="33" t="s">
        <v>152</v>
      </c>
      <c r="B8" s="33" t="s">
        <v>153</v>
      </c>
      <c r="C8" s="62">
        <f t="shared" si="1"/>
        <v>-0.02</v>
      </c>
      <c r="D8" s="62">
        <f t="shared" si="1"/>
        <v>-0.02</v>
      </c>
      <c r="E8" s="62">
        <f t="shared" si="1"/>
        <v>-0.02</v>
      </c>
      <c r="G8" s="33" t="s">
        <v>152</v>
      </c>
      <c r="H8" s="33" t="s">
        <v>153</v>
      </c>
      <c r="I8" s="113">
        <v>114</v>
      </c>
    </row>
    <row r="9" spans="1:9" x14ac:dyDescent="0.45">
      <c r="A9" s="33" t="s">
        <v>154</v>
      </c>
      <c r="B9" s="33" t="s">
        <v>155</v>
      </c>
      <c r="C9" s="62">
        <f t="shared" si="1"/>
        <v>-0.02</v>
      </c>
      <c r="D9" s="62">
        <f t="shared" si="1"/>
        <v>-0.02</v>
      </c>
      <c r="E9" s="62">
        <f t="shared" si="1"/>
        <v>-0.02</v>
      </c>
      <c r="G9" s="33" t="s">
        <v>154</v>
      </c>
      <c r="H9" s="33" t="s">
        <v>155</v>
      </c>
      <c r="I9" s="113">
        <v>85.38</v>
      </c>
    </row>
    <row r="10" spans="1:9" x14ac:dyDescent="0.45">
      <c r="A10" s="33" t="s">
        <v>156</v>
      </c>
      <c r="B10" s="33" t="s">
        <v>157</v>
      </c>
      <c r="C10" s="62">
        <f t="shared" si="1"/>
        <v>-0.02</v>
      </c>
      <c r="D10" s="62">
        <f t="shared" si="1"/>
        <v>-0.02</v>
      </c>
      <c r="E10" s="62">
        <f t="shared" si="1"/>
        <v>-0.02</v>
      </c>
      <c r="G10" s="33" t="s">
        <v>156</v>
      </c>
      <c r="H10" s="33" t="s">
        <v>157</v>
      </c>
      <c r="I10" s="113">
        <v>85.38</v>
      </c>
    </row>
    <row r="11" spans="1:9" x14ac:dyDescent="0.45">
      <c r="A11" s="33" t="s">
        <v>158</v>
      </c>
      <c r="B11" s="33" t="s">
        <v>159</v>
      </c>
      <c r="C11" s="62">
        <f t="shared" si="1"/>
        <v>-0.02</v>
      </c>
      <c r="D11" s="62">
        <f t="shared" si="1"/>
        <v>-0.02</v>
      </c>
      <c r="E11" s="62">
        <f t="shared" si="1"/>
        <v>-0.02</v>
      </c>
      <c r="G11" s="33" t="s">
        <v>158</v>
      </c>
      <c r="H11" s="33" t="s">
        <v>159</v>
      </c>
      <c r="I11" s="113">
        <v>90.42</v>
      </c>
    </row>
    <row r="12" spans="1:9" x14ac:dyDescent="0.45">
      <c r="A12" s="33" t="s">
        <v>160</v>
      </c>
      <c r="B12" s="33" t="s">
        <v>161</v>
      </c>
      <c r="C12" s="51">
        <v>-0.02</v>
      </c>
      <c r="D12" s="51">
        <v>-0.02</v>
      </c>
      <c r="E12" s="51">
        <v>-0.02</v>
      </c>
      <c r="F12" s="32" t="s">
        <v>190</v>
      </c>
      <c r="G12" s="33" t="s">
        <v>160</v>
      </c>
      <c r="H12" s="33" t="s">
        <v>161</v>
      </c>
      <c r="I12" s="113">
        <v>90.42</v>
      </c>
    </row>
    <row r="13" spans="1:9" x14ac:dyDescent="0.45">
      <c r="A13" s="33" t="s">
        <v>162</v>
      </c>
      <c r="B13" s="33" t="s">
        <v>163</v>
      </c>
      <c r="C13" s="51">
        <v>-9.7500000000000003E-2</v>
      </c>
      <c r="D13" s="51">
        <v>-5.7500000000000002E-2</v>
      </c>
      <c r="E13" s="51">
        <v>-0.13500000000000001</v>
      </c>
      <c r="F13" s="32" t="s">
        <v>190</v>
      </c>
      <c r="G13" s="33" t="s">
        <v>162</v>
      </c>
      <c r="H13" s="33" t="s">
        <v>163</v>
      </c>
      <c r="I13" s="113">
        <v>59.97</v>
      </c>
    </row>
    <row r="14" spans="1:9" x14ac:dyDescent="0.45">
      <c r="A14" s="33" t="s">
        <v>164</v>
      </c>
      <c r="B14" s="33" t="s">
        <v>165</v>
      </c>
      <c r="C14" s="62">
        <f>C$13</f>
        <v>-9.7500000000000003E-2</v>
      </c>
      <c r="D14" s="62">
        <f t="shared" ref="D14:E14" si="2">D$13</f>
        <v>-5.7500000000000002E-2</v>
      </c>
      <c r="E14" s="62">
        <f t="shared" si="2"/>
        <v>-0.13500000000000001</v>
      </c>
      <c r="G14" s="33" t="s">
        <v>164</v>
      </c>
      <c r="H14" s="33" t="s">
        <v>165</v>
      </c>
      <c r="I14" s="113">
        <v>59.97</v>
      </c>
    </row>
    <row r="15" spans="1:9" x14ac:dyDescent="0.45">
      <c r="A15" s="33" t="s">
        <v>166</v>
      </c>
      <c r="B15" s="33" t="s">
        <v>167</v>
      </c>
      <c r="C15" s="62">
        <f t="shared" ref="C15:E16" si="3">C$13</f>
        <v>-9.7500000000000003E-2</v>
      </c>
      <c r="D15" s="62">
        <f t="shared" si="3"/>
        <v>-5.7500000000000002E-2</v>
      </c>
      <c r="E15" s="62">
        <f t="shared" si="3"/>
        <v>-0.13500000000000001</v>
      </c>
      <c r="G15" s="33" t="s">
        <v>166</v>
      </c>
      <c r="H15" s="33" t="s">
        <v>167</v>
      </c>
      <c r="I15" s="113">
        <v>113.08583692709949</v>
      </c>
    </row>
    <row r="16" spans="1:9" x14ac:dyDescent="0.45">
      <c r="A16" s="33" t="s">
        <v>168</v>
      </c>
      <c r="B16" s="33" t="s">
        <v>169</v>
      </c>
      <c r="C16" s="62">
        <f t="shared" si="3"/>
        <v>-9.7500000000000003E-2</v>
      </c>
      <c r="D16" s="62">
        <f t="shared" si="3"/>
        <v>-5.7500000000000002E-2</v>
      </c>
      <c r="E16" s="62">
        <f t="shared" si="3"/>
        <v>-0.13500000000000001</v>
      </c>
      <c r="G16" s="33" t="s">
        <v>168</v>
      </c>
      <c r="H16" s="33" t="s">
        <v>169</v>
      </c>
      <c r="I16" s="113">
        <v>118.21062708092752</v>
      </c>
    </row>
    <row r="19" spans="1:9" x14ac:dyDescent="0.45">
      <c r="A19" s="49" t="s">
        <v>191</v>
      </c>
      <c r="B19" s="37" t="s">
        <v>201</v>
      </c>
      <c r="C19" t="s">
        <v>130</v>
      </c>
      <c r="D19" t="s">
        <v>187</v>
      </c>
      <c r="E19" t="s">
        <v>188</v>
      </c>
      <c r="G19" s="49" t="s">
        <v>192</v>
      </c>
      <c r="H19" s="37" t="s">
        <v>201</v>
      </c>
      <c r="I19" t="s">
        <v>130</v>
      </c>
    </row>
    <row r="21" spans="1:9" x14ac:dyDescent="0.45">
      <c r="A21" s="34"/>
    </row>
    <row r="22" spans="1:9" x14ac:dyDescent="0.45">
      <c r="A22" s="33" t="s">
        <v>146</v>
      </c>
      <c r="B22" s="33" t="s">
        <v>147</v>
      </c>
      <c r="C22" s="62">
        <f>C$29</f>
        <v>-0.02</v>
      </c>
      <c r="D22" s="62">
        <f t="shared" ref="D22:E22" si="4">D$29</f>
        <v>-0.02</v>
      </c>
      <c r="E22" s="62">
        <f t="shared" si="4"/>
        <v>-0.02</v>
      </c>
      <c r="G22" s="33" t="s">
        <v>146</v>
      </c>
      <c r="H22" s="33" t="s">
        <v>147</v>
      </c>
      <c r="I22" s="113">
        <v>91.885359999999991</v>
      </c>
    </row>
    <row r="23" spans="1:9" x14ac:dyDescent="0.45">
      <c r="A23" s="33" t="s">
        <v>148</v>
      </c>
      <c r="B23" s="33" t="s">
        <v>149</v>
      </c>
      <c r="C23" s="62">
        <f t="shared" ref="C23:E28" si="5">C$29</f>
        <v>-0.02</v>
      </c>
      <c r="D23" s="62">
        <f t="shared" si="5"/>
        <v>-0.02</v>
      </c>
      <c r="E23" s="62">
        <f t="shared" si="5"/>
        <v>-0.02</v>
      </c>
      <c r="G23" s="33" t="s">
        <v>148</v>
      </c>
      <c r="H23" s="33" t="s">
        <v>149</v>
      </c>
      <c r="I23" s="113">
        <v>91.885359999999991</v>
      </c>
    </row>
    <row r="24" spans="1:9" x14ac:dyDescent="0.45">
      <c r="A24" s="33" t="s">
        <v>150</v>
      </c>
      <c r="B24" s="33" t="s">
        <v>151</v>
      </c>
      <c r="C24" s="62">
        <f t="shared" si="5"/>
        <v>-0.02</v>
      </c>
      <c r="D24" s="62">
        <f t="shared" si="5"/>
        <v>-0.02</v>
      </c>
      <c r="E24" s="62">
        <f t="shared" si="5"/>
        <v>-0.02</v>
      </c>
      <c r="G24" s="33" t="s">
        <v>150</v>
      </c>
      <c r="H24" s="33" t="s">
        <v>151</v>
      </c>
      <c r="I24" s="113">
        <v>113.316</v>
      </c>
    </row>
    <row r="25" spans="1:9" x14ac:dyDescent="0.45">
      <c r="A25" s="33" t="s">
        <v>152</v>
      </c>
      <c r="B25" s="33" t="s">
        <v>153</v>
      </c>
      <c r="C25" s="62">
        <f t="shared" si="5"/>
        <v>-0.02</v>
      </c>
      <c r="D25" s="62">
        <f t="shared" si="5"/>
        <v>-0.02</v>
      </c>
      <c r="E25" s="62">
        <f t="shared" si="5"/>
        <v>-0.02</v>
      </c>
      <c r="G25" s="33" t="s">
        <v>152</v>
      </c>
      <c r="H25" s="33" t="s">
        <v>153</v>
      </c>
      <c r="I25" s="113">
        <v>113.316</v>
      </c>
    </row>
    <row r="26" spans="1:9" x14ac:dyDescent="0.45">
      <c r="A26" s="33" t="s">
        <v>154</v>
      </c>
      <c r="B26" s="33" t="s">
        <v>155</v>
      </c>
      <c r="C26" s="62">
        <f t="shared" si="5"/>
        <v>-0.02</v>
      </c>
      <c r="D26" s="62">
        <f t="shared" si="5"/>
        <v>-0.02</v>
      </c>
      <c r="E26" s="62">
        <f t="shared" si="5"/>
        <v>-0.02</v>
      </c>
      <c r="G26" s="33" t="s">
        <v>154</v>
      </c>
      <c r="H26" s="33" t="s">
        <v>155</v>
      </c>
      <c r="I26" s="113">
        <v>84.867719999999991</v>
      </c>
    </row>
    <row r="27" spans="1:9" x14ac:dyDescent="0.45">
      <c r="A27" s="33" t="s">
        <v>156</v>
      </c>
      <c r="B27" s="33" t="s">
        <v>157</v>
      </c>
      <c r="C27" s="62">
        <f t="shared" si="5"/>
        <v>-0.02</v>
      </c>
      <c r="D27" s="62">
        <f t="shared" si="5"/>
        <v>-0.02</v>
      </c>
      <c r="E27" s="62">
        <f t="shared" si="5"/>
        <v>-0.02</v>
      </c>
      <c r="G27" s="33" t="s">
        <v>156</v>
      </c>
      <c r="H27" s="33" t="s">
        <v>157</v>
      </c>
      <c r="I27" s="113">
        <v>84.867719999999991</v>
      </c>
    </row>
    <row r="28" spans="1:9" x14ac:dyDescent="0.45">
      <c r="A28" s="33" t="s">
        <v>158</v>
      </c>
      <c r="B28" s="33" t="s">
        <v>159</v>
      </c>
      <c r="C28" s="62">
        <f t="shared" si="5"/>
        <v>-0.02</v>
      </c>
      <c r="D28" s="62">
        <f t="shared" si="5"/>
        <v>-0.02</v>
      </c>
      <c r="E28" s="62">
        <f t="shared" si="5"/>
        <v>-0.02</v>
      </c>
      <c r="G28" s="33" t="s">
        <v>158</v>
      </c>
      <c r="H28" s="33" t="s">
        <v>159</v>
      </c>
      <c r="I28" s="113">
        <v>89.877480000000006</v>
      </c>
    </row>
    <row r="29" spans="1:9" x14ac:dyDescent="0.45">
      <c r="A29" s="33" t="s">
        <v>160</v>
      </c>
      <c r="B29" s="33" t="s">
        <v>161</v>
      </c>
      <c r="C29" s="51">
        <v>-0.02</v>
      </c>
      <c r="D29" s="51">
        <v>-0.02</v>
      </c>
      <c r="E29" s="51">
        <v>-0.02</v>
      </c>
      <c r="F29" s="32" t="s">
        <v>190</v>
      </c>
      <c r="G29" s="33" t="s">
        <v>160</v>
      </c>
      <c r="H29" s="33" t="s">
        <v>161</v>
      </c>
      <c r="I29" s="113">
        <v>89.877480000000006</v>
      </c>
    </row>
    <row r="30" spans="1:9" x14ac:dyDescent="0.45">
      <c r="A30" s="33" t="s">
        <v>162</v>
      </c>
      <c r="B30" s="33" t="s">
        <v>163</v>
      </c>
      <c r="C30" s="51">
        <v>-2.75E-2</v>
      </c>
      <c r="D30" s="51">
        <v>1.4999999999999999E-2</v>
      </c>
      <c r="E30" s="51">
        <v>-6.7500000000000004E-2</v>
      </c>
      <c r="F30" s="32" t="s">
        <v>190</v>
      </c>
      <c r="G30" s="33" t="s">
        <v>162</v>
      </c>
      <c r="H30" s="33" t="s">
        <v>163</v>
      </c>
      <c r="I30" s="113">
        <v>57.917961304179862</v>
      </c>
    </row>
    <row r="31" spans="1:9" x14ac:dyDescent="0.45">
      <c r="A31" s="33" t="s">
        <v>164</v>
      </c>
      <c r="B31" s="33" t="s">
        <v>165</v>
      </c>
      <c r="C31" s="62">
        <f>C$30</f>
        <v>-2.75E-2</v>
      </c>
      <c r="D31" s="62">
        <f t="shared" ref="D31:E31" si="6">D$30</f>
        <v>1.4999999999999999E-2</v>
      </c>
      <c r="E31" s="62">
        <f t="shared" si="6"/>
        <v>-6.7500000000000004E-2</v>
      </c>
      <c r="G31" s="33" t="s">
        <v>164</v>
      </c>
      <c r="H31" s="33" t="s">
        <v>165</v>
      </c>
      <c r="I31" s="113">
        <v>57.917961304179862</v>
      </c>
    </row>
    <row r="32" spans="1:9" x14ac:dyDescent="0.45">
      <c r="A32" s="33" t="s">
        <v>166</v>
      </c>
      <c r="B32" s="33" t="s">
        <v>167</v>
      </c>
      <c r="C32" s="62">
        <f t="shared" ref="C32:E33" si="7">C$30</f>
        <v>-2.75E-2</v>
      </c>
      <c r="D32" s="62">
        <f t="shared" si="7"/>
        <v>1.4999999999999999E-2</v>
      </c>
      <c r="E32" s="62">
        <f t="shared" si="7"/>
        <v>-6.7500000000000004E-2</v>
      </c>
      <c r="G32" s="33" t="s">
        <v>166</v>
      </c>
      <c r="H32" s="33" t="s">
        <v>167</v>
      </c>
      <c r="I32" s="113">
        <v>74.613314704111147</v>
      </c>
    </row>
    <row r="33" spans="1:17" x14ac:dyDescent="0.45">
      <c r="A33" s="33" t="s">
        <v>168</v>
      </c>
      <c r="B33" s="33" t="s">
        <v>169</v>
      </c>
      <c r="C33" s="62">
        <f t="shared" si="7"/>
        <v>-2.75E-2</v>
      </c>
      <c r="D33" s="62">
        <f t="shared" si="7"/>
        <v>1.4999999999999999E-2</v>
      </c>
      <c r="E33" s="62">
        <f t="shared" si="7"/>
        <v>-6.7500000000000004E-2</v>
      </c>
      <c r="G33" s="33" t="s">
        <v>168</v>
      </c>
      <c r="H33" s="33" t="s">
        <v>169</v>
      </c>
      <c r="I33" s="113">
        <v>74.613314704111147</v>
      </c>
    </row>
    <row r="35" spans="1:17" x14ac:dyDescent="0.45">
      <c r="C35" t="s">
        <v>130</v>
      </c>
      <c r="D35" t="s">
        <v>187</v>
      </c>
      <c r="E35" t="s">
        <v>188</v>
      </c>
    </row>
    <row r="36" spans="1:17" x14ac:dyDescent="0.45">
      <c r="A36" s="67" t="s">
        <v>193</v>
      </c>
      <c r="C36" s="51">
        <v>4.8000000000000001E-2</v>
      </c>
      <c r="D36" s="51">
        <v>3.5000000000000003E-2</v>
      </c>
      <c r="E36" s="51">
        <v>6.5000000000000002E-2</v>
      </c>
      <c r="F36" s="32"/>
    </row>
    <row r="37" spans="1:17" x14ac:dyDescent="0.45">
      <c r="A37" s="67" t="s">
        <v>194</v>
      </c>
      <c r="B37" t="s">
        <v>195</v>
      </c>
      <c r="C37" s="51">
        <v>7.0999999999999994E-2</v>
      </c>
      <c r="D37" s="51">
        <v>8.0999999999999989E-2</v>
      </c>
      <c r="E37" s="51">
        <v>6.0999999999999992E-2</v>
      </c>
      <c r="F37" s="32"/>
    </row>
    <row r="38" spans="1:17" x14ac:dyDescent="0.45">
      <c r="A38" s="35"/>
      <c r="B38" t="s">
        <v>144</v>
      </c>
      <c r="C38" s="51">
        <v>7.9000000000000001E-2</v>
      </c>
      <c r="D38" s="51">
        <v>8.8999999999999996E-2</v>
      </c>
      <c r="E38" s="51">
        <v>6.9000000000000006E-2</v>
      </c>
      <c r="F38" s="32"/>
    </row>
    <row r="40" spans="1:17" x14ac:dyDescent="0.45">
      <c r="A40" s="49" t="s">
        <v>12</v>
      </c>
      <c r="B40" s="32" t="s">
        <v>190</v>
      </c>
      <c r="C40" s="40" t="s">
        <v>64</v>
      </c>
      <c r="D40" s="40" t="s">
        <v>66</v>
      </c>
      <c r="E40" s="41" t="s">
        <v>68</v>
      </c>
      <c r="F40" s="41" t="s">
        <v>71</v>
      </c>
      <c r="G40" s="40" t="s">
        <v>73</v>
      </c>
      <c r="H40" s="40" t="s">
        <v>64</v>
      </c>
      <c r="I40" s="40" t="s">
        <v>66</v>
      </c>
      <c r="J40" s="41" t="s">
        <v>68</v>
      </c>
      <c r="K40" s="41" t="s">
        <v>71</v>
      </c>
      <c r="L40" s="40" t="s">
        <v>73</v>
      </c>
      <c r="M40" s="40" t="s">
        <v>64</v>
      </c>
      <c r="N40" s="40" t="s">
        <v>66</v>
      </c>
      <c r="O40" s="41" t="s">
        <v>68</v>
      </c>
      <c r="P40" s="41" t="s">
        <v>71</v>
      </c>
      <c r="Q40" s="40" t="s">
        <v>73</v>
      </c>
    </row>
    <row r="41" spans="1:17" x14ac:dyDescent="0.45">
      <c r="A41" s="37" t="s">
        <v>201</v>
      </c>
      <c r="C41" t="s">
        <v>130</v>
      </c>
      <c r="D41" t="s">
        <v>130</v>
      </c>
      <c r="E41" t="s">
        <v>130</v>
      </c>
      <c r="F41" t="s">
        <v>130</v>
      </c>
      <c r="G41" t="s">
        <v>130</v>
      </c>
      <c r="H41" t="s">
        <v>187</v>
      </c>
      <c r="I41" t="s">
        <v>187</v>
      </c>
      <c r="J41" t="s">
        <v>187</v>
      </c>
      <c r="K41" t="s">
        <v>187</v>
      </c>
      <c r="L41" t="s">
        <v>187</v>
      </c>
      <c r="M41" t="s">
        <v>188</v>
      </c>
      <c r="N41" t="s">
        <v>188</v>
      </c>
      <c r="O41" t="s">
        <v>188</v>
      </c>
      <c r="P41" t="s">
        <v>188</v>
      </c>
      <c r="Q41" t="s">
        <v>188</v>
      </c>
    </row>
    <row r="42" spans="1:17" x14ac:dyDescent="0.45">
      <c r="C42" t="str">
        <f>C41&amp;C40</f>
        <v>Base2021/22</v>
      </c>
      <c r="D42" t="str">
        <f t="shared" ref="D42:Q42" si="8">D41&amp;D40</f>
        <v>Base2022/23</v>
      </c>
      <c r="E42" t="str">
        <f t="shared" si="8"/>
        <v>Base2023/24</v>
      </c>
      <c r="F42" t="str">
        <f t="shared" si="8"/>
        <v>Base2024/25</v>
      </c>
      <c r="G42" t="str">
        <f t="shared" si="8"/>
        <v>Base2025/26</v>
      </c>
      <c r="H42" t="str">
        <f t="shared" si="8"/>
        <v>High Costs2021/22</v>
      </c>
      <c r="I42" t="str">
        <f t="shared" si="8"/>
        <v>High Costs2022/23</v>
      </c>
      <c r="J42" t="str">
        <f t="shared" si="8"/>
        <v>High Costs2023/24</v>
      </c>
      <c r="K42" t="str">
        <f t="shared" si="8"/>
        <v>High Costs2024/25</v>
      </c>
      <c r="L42" t="str">
        <f t="shared" si="8"/>
        <v>High Costs2025/26</v>
      </c>
      <c r="M42" t="str">
        <f t="shared" si="8"/>
        <v>Low Costs2021/22</v>
      </c>
      <c r="N42" t="str">
        <f t="shared" si="8"/>
        <v>Low Costs2022/23</v>
      </c>
      <c r="O42" t="str">
        <f t="shared" si="8"/>
        <v>Low Costs2023/24</v>
      </c>
      <c r="P42" t="str">
        <f t="shared" si="8"/>
        <v>Low Costs2024/25</v>
      </c>
      <c r="Q42" t="str">
        <f t="shared" si="8"/>
        <v>Low Costs2025/26</v>
      </c>
    </row>
    <row r="43" spans="1:17" x14ac:dyDescent="0.45">
      <c r="A43" s="33" t="s">
        <v>146</v>
      </c>
      <c r="B43" s="33" t="s">
        <v>147</v>
      </c>
      <c r="C43" s="112">
        <v>3895295.5507677351</v>
      </c>
      <c r="D43" s="112">
        <v>3552240.1864024824</v>
      </c>
      <c r="E43" s="112">
        <v>3302860.6339364653</v>
      </c>
      <c r="F43" s="112">
        <v>3005920.3176850462</v>
      </c>
      <c r="G43" s="112">
        <v>2731952.1403886862</v>
      </c>
      <c r="H43" s="112">
        <v>3886901.4718202827</v>
      </c>
      <c r="I43" s="112">
        <v>3549782.5710981111</v>
      </c>
      <c r="J43" s="112">
        <v>3314462.0008276491</v>
      </c>
      <c r="K43" s="112">
        <v>3030025.8283703797</v>
      </c>
      <c r="L43" s="112">
        <v>2774012.2526545017</v>
      </c>
      <c r="M43" s="112">
        <v>3891661.8292508097</v>
      </c>
      <c r="N43" s="112">
        <v>3533734.4023552737</v>
      </c>
      <c r="O43" s="112">
        <v>3260908.1937000444</v>
      </c>
      <c r="P43" s="112">
        <v>2940445.5357925822</v>
      </c>
      <c r="Q43" s="112">
        <v>2637385.1561852144</v>
      </c>
    </row>
    <row r="44" spans="1:17" x14ac:dyDescent="0.45">
      <c r="A44" s="33" t="s">
        <v>148</v>
      </c>
      <c r="B44" s="33" t="s">
        <v>149</v>
      </c>
      <c r="C44" s="112">
        <v>730017.4946391891</v>
      </c>
      <c r="D44" s="112">
        <v>662415.67499155493</v>
      </c>
      <c r="E44" s="112">
        <v>606446.35049128556</v>
      </c>
      <c r="F44" s="112">
        <v>552690.12264744274</v>
      </c>
      <c r="G44" s="112">
        <v>503092.62795010593</v>
      </c>
      <c r="H44" s="112">
        <v>728497.88279888791</v>
      </c>
      <c r="I44" s="112">
        <v>661970.76360356226</v>
      </c>
      <c r="J44" s="112">
        <v>608546.58979114017</v>
      </c>
      <c r="K44" s="112">
        <v>557054.03436226642</v>
      </c>
      <c r="L44" s="112">
        <v>510706.92905492568</v>
      </c>
      <c r="M44" s="112">
        <v>729359.66829802119</v>
      </c>
      <c r="N44" s="112">
        <v>659065.50295621424</v>
      </c>
      <c r="O44" s="112">
        <v>598851.54166093189</v>
      </c>
      <c r="P44" s="112">
        <v>540836.9753959357</v>
      </c>
      <c r="Q44" s="112">
        <v>485972.80934978276</v>
      </c>
    </row>
    <row r="45" spans="1:17" x14ac:dyDescent="0.45">
      <c r="A45" s="33" t="s">
        <v>150</v>
      </c>
      <c r="B45" s="33" t="s">
        <v>151</v>
      </c>
      <c r="C45" s="112">
        <v>95405.08167853432</v>
      </c>
      <c r="D45" s="112">
        <v>74289.287215902994</v>
      </c>
      <c r="E45" s="112">
        <v>32715.382578977438</v>
      </c>
      <c r="F45" s="112">
        <v>32715.382578977438</v>
      </c>
      <c r="G45" s="112">
        <v>32715.382578977438</v>
      </c>
      <c r="H45" s="112">
        <v>95405.08167853432</v>
      </c>
      <c r="I45" s="112">
        <v>74289.287215902994</v>
      </c>
      <c r="J45" s="112">
        <v>32715.382578977438</v>
      </c>
      <c r="K45" s="112">
        <v>32715.382578977438</v>
      </c>
      <c r="L45" s="112">
        <v>32715.382578977438</v>
      </c>
      <c r="M45" s="112">
        <v>95405.08167853432</v>
      </c>
      <c r="N45" s="112">
        <v>74289.287215902994</v>
      </c>
      <c r="O45" s="112">
        <v>32715.382578977438</v>
      </c>
      <c r="P45" s="112">
        <v>32715.382578977438</v>
      </c>
      <c r="Q45" s="112">
        <v>32715.382578977438</v>
      </c>
    </row>
    <row r="46" spans="1:17" x14ac:dyDescent="0.45">
      <c r="A46" s="33" t="s">
        <v>152</v>
      </c>
      <c r="B46" s="33" t="s">
        <v>153</v>
      </c>
      <c r="C46" s="112">
        <v>111705.05050065892</v>
      </c>
      <c r="D46" s="112">
        <v>86981.620204173232</v>
      </c>
      <c r="E46" s="112">
        <v>38304.809333393096</v>
      </c>
      <c r="F46" s="112">
        <v>38304.809333393096</v>
      </c>
      <c r="G46" s="112">
        <v>38304.809333393096</v>
      </c>
      <c r="H46" s="112">
        <v>111705.05050065892</v>
      </c>
      <c r="I46" s="112">
        <v>86981.620204173232</v>
      </c>
      <c r="J46" s="112">
        <v>38304.809333393096</v>
      </c>
      <c r="K46" s="112">
        <v>38304.809333393096</v>
      </c>
      <c r="L46" s="112">
        <v>38304.809333393096</v>
      </c>
      <c r="M46" s="112">
        <v>111705.05050065892</v>
      </c>
      <c r="N46" s="112">
        <v>86981.620204173232</v>
      </c>
      <c r="O46" s="112">
        <v>38304.809333393096</v>
      </c>
      <c r="P46" s="112">
        <v>38304.809333393096</v>
      </c>
      <c r="Q46" s="112">
        <v>38304.809333393096</v>
      </c>
    </row>
    <row r="47" spans="1:17" x14ac:dyDescent="0.45">
      <c r="A47" s="33" t="s">
        <v>154</v>
      </c>
      <c r="B47" s="33" t="s">
        <v>155</v>
      </c>
      <c r="C47" s="112">
        <v>620.62551373980762</v>
      </c>
      <c r="D47" s="112">
        <v>597.0361513024385</v>
      </c>
      <c r="E47" s="112">
        <v>577.06788812634579</v>
      </c>
      <c r="F47" s="112">
        <v>552.30860337238016</v>
      </c>
      <c r="G47" s="112">
        <v>526.88068123049061</v>
      </c>
      <c r="H47" s="112">
        <v>614.64820655814935</v>
      </c>
      <c r="I47" s="112">
        <v>592.33216702345317</v>
      </c>
      <c r="J47" s="112">
        <v>575.60647693687224</v>
      </c>
      <c r="K47" s="112">
        <v>554.3175156986166</v>
      </c>
      <c r="L47" s="112">
        <v>535.14999310035523</v>
      </c>
      <c r="M47" s="112">
        <v>623.77279272956446</v>
      </c>
      <c r="N47" s="112">
        <v>596.17689185462893</v>
      </c>
      <c r="O47" s="112">
        <v>569.79677395100998</v>
      </c>
      <c r="P47" s="112">
        <v>537.38491069431359</v>
      </c>
      <c r="Q47" s="112">
        <v>500.80653833770111</v>
      </c>
    </row>
    <row r="48" spans="1:17" x14ac:dyDescent="0.45">
      <c r="A48" s="33" t="s">
        <v>156</v>
      </c>
      <c r="B48" s="33" t="s">
        <v>157</v>
      </c>
      <c r="C48" s="112">
        <v>2021783.0690929673</v>
      </c>
      <c r="D48" s="112">
        <v>1944937.0926857428</v>
      </c>
      <c r="E48" s="112">
        <v>1879887.4040815097</v>
      </c>
      <c r="F48" s="112">
        <v>1799230.2257828335</v>
      </c>
      <c r="G48" s="112">
        <v>1716394.8583502281</v>
      </c>
      <c r="H48" s="112">
        <v>2002311.0715822252</v>
      </c>
      <c r="I48" s="112">
        <v>1929613.1403795879</v>
      </c>
      <c r="J48" s="112">
        <v>1875126.6323529093</v>
      </c>
      <c r="K48" s="112">
        <v>1805774.5666753023</v>
      </c>
      <c r="L48" s="112">
        <v>1743333.4136648439</v>
      </c>
      <c r="M48" s="112">
        <v>2032035.8144834351</v>
      </c>
      <c r="N48" s="112">
        <v>1942137.9228722577</v>
      </c>
      <c r="O48" s="112">
        <v>1856200.6312890865</v>
      </c>
      <c r="P48" s="112">
        <v>1750614.0014786692</v>
      </c>
      <c r="Q48" s="112">
        <v>1631454.3274266906</v>
      </c>
    </row>
    <row r="49" spans="1:17" x14ac:dyDescent="0.45">
      <c r="A49" s="33" t="s">
        <v>158</v>
      </c>
      <c r="B49" s="33" t="s">
        <v>159</v>
      </c>
      <c r="C49" s="112">
        <v>39183.903355944516</v>
      </c>
      <c r="D49" s="112">
        <v>37694.561913301644</v>
      </c>
      <c r="E49" s="112">
        <v>36433.842724102935</v>
      </c>
      <c r="F49" s="112">
        <v>34870.63689468801</v>
      </c>
      <c r="G49" s="112">
        <v>33265.215877195005</v>
      </c>
      <c r="H49" s="112">
        <v>38806.519214059103</v>
      </c>
      <c r="I49" s="112">
        <v>37397.5704727388</v>
      </c>
      <c r="J49" s="112">
        <v>36341.574853150349</v>
      </c>
      <c r="K49" s="112">
        <v>34997.471877619144</v>
      </c>
      <c r="L49" s="112">
        <v>33787.308362849384</v>
      </c>
      <c r="M49" s="112">
        <v>39382.610423312261</v>
      </c>
      <c r="N49" s="112">
        <v>37640.311582924856</v>
      </c>
      <c r="O49" s="112">
        <v>35974.772594324422</v>
      </c>
      <c r="P49" s="112">
        <v>33928.412447472758</v>
      </c>
      <c r="Q49" s="112">
        <v>31618.994971703058</v>
      </c>
    </row>
    <row r="50" spans="1:17" x14ac:dyDescent="0.45">
      <c r="A50" s="33" t="s">
        <v>160</v>
      </c>
      <c r="B50" s="33" t="s">
        <v>161</v>
      </c>
      <c r="C50" s="112">
        <v>318442.06248768553</v>
      </c>
      <c r="D50" s="112">
        <v>306338.39439634327</v>
      </c>
      <c r="E50" s="112">
        <v>296092.70715126861</v>
      </c>
      <c r="F50" s="112">
        <v>283388.75359437667</v>
      </c>
      <c r="G50" s="112">
        <v>270341.72315109661</v>
      </c>
      <c r="H50" s="112">
        <v>315375.11473109078</v>
      </c>
      <c r="I50" s="112">
        <v>303924.78679796518</v>
      </c>
      <c r="J50" s="112">
        <v>295342.85916239966</v>
      </c>
      <c r="K50" s="112">
        <v>284419.52363260597</v>
      </c>
      <c r="L50" s="112">
        <v>274584.69523151545</v>
      </c>
      <c r="M50" s="112">
        <v>320056.92683105276</v>
      </c>
      <c r="N50" s="112">
        <v>305897.50960396079</v>
      </c>
      <c r="O50" s="112">
        <v>292361.90887869213</v>
      </c>
      <c r="P50" s="112">
        <v>275731.42824901833</v>
      </c>
      <c r="Q50" s="112">
        <v>256963.11776578933</v>
      </c>
    </row>
    <row r="51" spans="1:17" x14ac:dyDescent="0.45">
      <c r="A51" s="33" t="s">
        <v>162</v>
      </c>
      <c r="B51" s="33" t="s">
        <v>163</v>
      </c>
      <c r="C51" s="112">
        <v>458023.47952139808</v>
      </c>
      <c r="D51" s="112">
        <v>431534.56976648478</v>
      </c>
      <c r="E51" s="112">
        <v>382214.76265702408</v>
      </c>
      <c r="F51" s="112">
        <v>335757.29130266479</v>
      </c>
      <c r="G51" s="112">
        <v>293713.7599899972</v>
      </c>
      <c r="H51" s="112">
        <v>458965.79488090012</v>
      </c>
      <c r="I51" s="112">
        <v>433342.90623860672</v>
      </c>
      <c r="J51" s="112">
        <v>386749.98431803589</v>
      </c>
      <c r="K51" s="112">
        <v>342510.88472948177</v>
      </c>
      <c r="L51" s="112">
        <v>303522.05209777091</v>
      </c>
      <c r="M51" s="112">
        <v>454662.78636049863</v>
      </c>
      <c r="N51" s="112">
        <v>425373.02392703196</v>
      </c>
      <c r="O51" s="112">
        <v>371499.15144681721</v>
      </c>
      <c r="P51" s="112">
        <v>320747.89422485401</v>
      </c>
      <c r="Q51" s="112">
        <v>273661.86586469488</v>
      </c>
    </row>
    <row r="52" spans="1:17" x14ac:dyDescent="0.45">
      <c r="A52" s="33" t="s">
        <v>164</v>
      </c>
      <c r="B52" s="33" t="s">
        <v>165</v>
      </c>
      <c r="C52" s="112">
        <v>1278297.9070091567</v>
      </c>
      <c r="D52" s="112">
        <v>1204369.9984791351</v>
      </c>
      <c r="E52" s="112">
        <v>1066723.3296489762</v>
      </c>
      <c r="F52" s="112">
        <v>937065.15479018958</v>
      </c>
      <c r="G52" s="112">
        <v>819725.84690925805</v>
      </c>
      <c r="H52" s="112">
        <v>1280927.8153122261</v>
      </c>
      <c r="I52" s="112">
        <v>1209416.8854419987</v>
      </c>
      <c r="J52" s="112">
        <v>1079380.6815453288</v>
      </c>
      <c r="K52" s="112">
        <v>955913.76130990789</v>
      </c>
      <c r="L52" s="112">
        <v>847099.81316488062</v>
      </c>
      <c r="M52" s="112">
        <v>1268918.5471602539</v>
      </c>
      <c r="N52" s="112">
        <v>1187173.7378010938</v>
      </c>
      <c r="O52" s="112">
        <v>1036817.1261577395</v>
      </c>
      <c r="P52" s="112">
        <v>895175.42265225772</v>
      </c>
      <c r="Q52" s="112">
        <v>763763.00780169282</v>
      </c>
    </row>
    <row r="53" spans="1:17" x14ac:dyDescent="0.45">
      <c r="A53" s="33" t="s">
        <v>166</v>
      </c>
      <c r="B53" s="33" t="s">
        <v>167</v>
      </c>
      <c r="C53" s="112">
        <v>2204009.6508485884</v>
      </c>
      <c r="D53" s="112">
        <v>1995811.0288932156</v>
      </c>
      <c r="E53" s="112">
        <v>1810850.7443701362</v>
      </c>
      <c r="F53" s="112">
        <v>1630557.8441662721</v>
      </c>
      <c r="G53" s="112">
        <v>1466366.1701632533</v>
      </c>
      <c r="H53" s="112">
        <v>2208544.0737315719</v>
      </c>
      <c r="I53" s="112">
        <v>2004174.4327265725</v>
      </c>
      <c r="J53" s="112">
        <v>1832337.6421122223</v>
      </c>
      <c r="K53" s="112">
        <v>1663355.7163902284</v>
      </c>
      <c r="L53" s="112">
        <v>1515334.075971985</v>
      </c>
      <c r="M53" s="112">
        <v>2187837.9904614333</v>
      </c>
      <c r="N53" s="112">
        <v>1967314.3984886908</v>
      </c>
      <c r="O53" s="112">
        <v>1760082.4998327156</v>
      </c>
      <c r="P53" s="112">
        <v>1557666.8280204188</v>
      </c>
      <c r="Q53" s="112">
        <v>1366257.0734902199</v>
      </c>
    </row>
    <row r="54" spans="1:17" x14ac:dyDescent="0.45">
      <c r="A54" s="33" t="s">
        <v>168</v>
      </c>
      <c r="B54" s="33" t="s">
        <v>169</v>
      </c>
      <c r="C54" s="112">
        <v>1427037.2987975751</v>
      </c>
      <c r="D54" s="112">
        <v>1588232.561562439</v>
      </c>
      <c r="E54" s="112">
        <v>1677142.010438238</v>
      </c>
      <c r="F54" s="112">
        <v>1739726.3482600027</v>
      </c>
      <c r="G54" s="112">
        <v>1789481.7352883457</v>
      </c>
      <c r="H54" s="112">
        <v>1429973.2163331655</v>
      </c>
      <c r="I54" s="112">
        <v>1594888.0164633973</v>
      </c>
      <c r="J54" s="112">
        <v>1697042.3688688141</v>
      </c>
      <c r="K54" s="112">
        <v>1774720.0914620764</v>
      </c>
      <c r="L54" s="112">
        <v>1849239.7785677332</v>
      </c>
      <c r="M54" s="112">
        <v>1416566.5812364824</v>
      </c>
      <c r="N54" s="112">
        <v>1565555.4264789766</v>
      </c>
      <c r="O54" s="112">
        <v>1630122.3673369912</v>
      </c>
      <c r="P54" s="112">
        <v>1661955.1598326291</v>
      </c>
      <c r="Q54" s="112">
        <v>1667313.4776745853</v>
      </c>
    </row>
    <row r="60" spans="1:17" x14ac:dyDescent="0.45">
      <c r="A60" s="49" t="s">
        <v>196</v>
      </c>
      <c r="C60" s="40" t="s">
        <v>73</v>
      </c>
      <c r="D60" s="40" t="s">
        <v>75</v>
      </c>
      <c r="E60" s="40" t="s">
        <v>76</v>
      </c>
      <c r="F60" s="40" t="s">
        <v>79</v>
      </c>
      <c r="G60" s="40" t="s">
        <v>81</v>
      </c>
      <c r="H60" s="40" t="s">
        <v>83</v>
      </c>
    </row>
    <row r="61" spans="1:17" x14ac:dyDescent="0.45">
      <c r="A61" s="37" t="s">
        <v>201</v>
      </c>
      <c r="C61" s="42" t="s">
        <v>197</v>
      </c>
      <c r="D61" s="42" t="s">
        <v>197</v>
      </c>
      <c r="E61" s="42" t="s">
        <v>197</v>
      </c>
      <c r="F61" s="42" t="s">
        <v>197</v>
      </c>
      <c r="G61" s="42" t="s">
        <v>197</v>
      </c>
      <c r="H61" s="42" t="s">
        <v>197</v>
      </c>
    </row>
    <row r="62" spans="1:17" x14ac:dyDescent="0.45">
      <c r="C62" s="129" t="s">
        <v>198</v>
      </c>
      <c r="D62" s="129"/>
      <c r="E62" s="129"/>
      <c r="F62" s="129"/>
      <c r="G62" s="129"/>
      <c r="H62" s="129"/>
    </row>
    <row r="63" spans="1:17" x14ac:dyDescent="0.45">
      <c r="A63" s="33" t="s">
        <v>146</v>
      </c>
      <c r="B63" s="33" t="s">
        <v>147</v>
      </c>
      <c r="C63" s="112">
        <v>2731952.1403886862</v>
      </c>
      <c r="D63" s="112">
        <v>2476593.155960991</v>
      </c>
      <c r="E63" s="112">
        <v>2230879.5248041656</v>
      </c>
      <c r="F63" s="112">
        <v>2043311.722306967</v>
      </c>
      <c r="G63" s="112">
        <v>1856512.1481813402</v>
      </c>
      <c r="H63" s="112">
        <v>1670862.7799891969</v>
      </c>
    </row>
    <row r="64" spans="1:17" x14ac:dyDescent="0.45">
      <c r="A64" s="33" t="s">
        <v>148</v>
      </c>
      <c r="B64" s="33" t="s">
        <v>149</v>
      </c>
      <c r="C64" s="112">
        <v>503092.62795010593</v>
      </c>
      <c r="D64" s="112">
        <v>456864.0257779283</v>
      </c>
      <c r="E64" s="112">
        <v>412381.55836646236</v>
      </c>
      <c r="F64" s="112">
        <v>378425.45010034525</v>
      </c>
      <c r="G64" s="112">
        <v>344608.41712012928</v>
      </c>
      <c r="H64" s="112">
        <v>310999.61026766978</v>
      </c>
    </row>
    <row r="65" spans="1:8" x14ac:dyDescent="0.45">
      <c r="A65" s="33" t="s">
        <v>150</v>
      </c>
      <c r="B65" s="33" t="s">
        <v>151</v>
      </c>
      <c r="C65" s="112">
        <v>32715.382578977438</v>
      </c>
      <c r="D65" s="112">
        <v>32715.382578977438</v>
      </c>
      <c r="E65" s="112">
        <v>32715.382578977438</v>
      </c>
      <c r="F65" s="112">
        <v>32715.382578977438</v>
      </c>
      <c r="G65" s="112">
        <v>32715.382578977438</v>
      </c>
      <c r="H65" s="112">
        <v>32715.382578977438</v>
      </c>
    </row>
    <row r="66" spans="1:8" x14ac:dyDescent="0.45">
      <c r="A66" s="33" t="s">
        <v>152</v>
      </c>
      <c r="B66" s="33" t="s">
        <v>153</v>
      </c>
      <c r="C66" s="112">
        <v>38304.809333393096</v>
      </c>
      <c r="D66" s="112">
        <v>38304.809333393096</v>
      </c>
      <c r="E66" s="112">
        <v>38304.809333393096</v>
      </c>
      <c r="F66" s="112">
        <v>38304.809333393096</v>
      </c>
      <c r="G66" s="112">
        <v>38304.809333393096</v>
      </c>
      <c r="H66" s="112">
        <v>38304.809333393096</v>
      </c>
    </row>
    <row r="67" spans="1:8" x14ac:dyDescent="0.45">
      <c r="A67" s="33" t="s">
        <v>154</v>
      </c>
      <c r="B67" s="33" t="s">
        <v>155</v>
      </c>
      <c r="C67" s="112">
        <v>526.88068123049061</v>
      </c>
      <c r="D67" s="112">
        <v>499.95837511129162</v>
      </c>
      <c r="E67" s="112">
        <v>478.05350560400285</v>
      </c>
      <c r="F67" s="112">
        <v>444.23887293025217</v>
      </c>
      <c r="G67" s="112">
        <v>417.70517643016706</v>
      </c>
      <c r="H67" s="112">
        <v>388.89527855476712</v>
      </c>
    </row>
    <row r="68" spans="1:8" x14ac:dyDescent="0.45">
      <c r="A68" s="33" t="s">
        <v>156</v>
      </c>
      <c r="B68" s="33" t="s">
        <v>157</v>
      </c>
      <c r="C68" s="112">
        <v>1716394.8583502281</v>
      </c>
      <c r="D68" s="112">
        <v>1628691.3052611197</v>
      </c>
      <c r="E68" s="112">
        <v>1557332.8236646084</v>
      </c>
      <c r="F68" s="112">
        <v>1447176.4567189065</v>
      </c>
      <c r="G68" s="112">
        <v>1360738.8592359037</v>
      </c>
      <c r="H68" s="112">
        <v>1266886.1856714701</v>
      </c>
    </row>
    <row r="69" spans="1:8" x14ac:dyDescent="0.45">
      <c r="A69" s="33" t="s">
        <v>158</v>
      </c>
      <c r="B69" s="33" t="s">
        <v>159</v>
      </c>
      <c r="C69" s="112">
        <v>33265.215877195005</v>
      </c>
      <c r="D69" s="112">
        <v>31565.445213986157</v>
      </c>
      <c r="E69" s="112">
        <v>30182.456163751875</v>
      </c>
      <c r="F69" s="112">
        <v>28047.530561481995</v>
      </c>
      <c r="G69" s="112">
        <v>26372.2952121161</v>
      </c>
      <c r="H69" s="112">
        <v>24553.349279259106</v>
      </c>
    </row>
    <row r="70" spans="1:8" x14ac:dyDescent="0.45">
      <c r="A70" s="33" t="s">
        <v>160</v>
      </c>
      <c r="B70" s="33" t="s">
        <v>161</v>
      </c>
      <c r="C70" s="112">
        <v>270341.72315109661</v>
      </c>
      <c r="D70" s="112">
        <v>256527.92642871954</v>
      </c>
      <c r="E70" s="112">
        <v>245288.56924794294</v>
      </c>
      <c r="F70" s="112">
        <v>227938.32963886522</v>
      </c>
      <c r="G70" s="112">
        <v>214323.92795564383</v>
      </c>
      <c r="H70" s="112">
        <v>199541.61060581572</v>
      </c>
    </row>
    <row r="71" spans="1:8" x14ac:dyDescent="0.45">
      <c r="A71" s="33" t="s">
        <v>162</v>
      </c>
      <c r="B71" s="33" t="s">
        <v>163</v>
      </c>
      <c r="C71" s="112">
        <v>293713.7599899972</v>
      </c>
      <c r="D71" s="112">
        <v>255260.681284247</v>
      </c>
      <c r="E71" s="112">
        <v>217525.70672910108</v>
      </c>
      <c r="F71" s="112">
        <v>186752.90250277158</v>
      </c>
      <c r="G71" s="112">
        <v>156685.04479581185</v>
      </c>
      <c r="H71" s="112">
        <v>128834.67200086487</v>
      </c>
    </row>
    <row r="72" spans="1:8" x14ac:dyDescent="0.45">
      <c r="A72" s="33" t="s">
        <v>164</v>
      </c>
      <c r="B72" s="33" t="s">
        <v>165</v>
      </c>
      <c r="C72" s="112">
        <v>819725.84690925805</v>
      </c>
      <c r="D72" s="112">
        <v>712407.13460441772</v>
      </c>
      <c r="E72" s="112">
        <v>607092.57945259323</v>
      </c>
      <c r="F72" s="112">
        <v>521208.74817734142</v>
      </c>
      <c r="G72" s="112">
        <v>437292.35241697921</v>
      </c>
      <c r="H72" s="112">
        <v>359564.73615938885</v>
      </c>
    </row>
    <row r="73" spans="1:8" x14ac:dyDescent="0.45">
      <c r="A73" s="33" t="s">
        <v>166</v>
      </c>
      <c r="B73" s="33" t="s">
        <v>167</v>
      </c>
      <c r="C73" s="112">
        <v>1466366.1701632533</v>
      </c>
      <c r="D73" s="112">
        <v>1314701.1337650465</v>
      </c>
      <c r="E73" s="112">
        <v>1160677.040076077</v>
      </c>
      <c r="F73" s="112">
        <v>1074156.854113583</v>
      </c>
      <c r="G73" s="112">
        <v>980105.64184129424</v>
      </c>
      <c r="H73" s="112">
        <v>886026.52207357204</v>
      </c>
    </row>
    <row r="74" spans="1:8" x14ac:dyDescent="0.45">
      <c r="A74" s="33" t="s">
        <v>168</v>
      </c>
      <c r="B74" s="33" t="s">
        <v>169</v>
      </c>
      <c r="C74" s="112">
        <v>1789481.7352883457</v>
      </c>
      <c r="D74" s="112">
        <v>1824982.5695566202</v>
      </c>
      <c r="E74" s="112">
        <v>1825078.1610457916</v>
      </c>
      <c r="F74" s="112">
        <v>1806263.538171432</v>
      </c>
      <c r="G74" s="112">
        <v>1758564.2294251516</v>
      </c>
      <c r="H74" s="112">
        <v>1692921.8444349042</v>
      </c>
    </row>
    <row r="76" spans="1:8" x14ac:dyDescent="0.45">
      <c r="A76" s="33" t="s">
        <v>146</v>
      </c>
      <c r="B76" s="33" t="s">
        <v>147</v>
      </c>
      <c r="D76" s="114">
        <f>(D63-C63)/C63</f>
        <v>-9.3471251070805422E-2</v>
      </c>
      <c r="E76" s="114">
        <f t="shared" ref="E76:H76" si="9">(E63-D63)/D63</f>
        <v>-9.9214370582188474E-2</v>
      </c>
      <c r="F76" s="114">
        <f t="shared" si="9"/>
        <v>-8.4077961365333673E-2</v>
      </c>
      <c r="G76" s="114">
        <f t="shared" si="9"/>
        <v>-9.1420008061581459E-2</v>
      </c>
      <c r="H76" s="114">
        <f t="shared" si="9"/>
        <v>-9.9999005325124027E-2</v>
      </c>
    </row>
    <row r="77" spans="1:8" x14ac:dyDescent="0.45">
      <c r="A77" s="33" t="s">
        <v>148</v>
      </c>
      <c r="B77" s="33" t="s">
        <v>149</v>
      </c>
      <c r="D77" s="114">
        <f t="shared" ref="D77:H77" si="10">(D64-C64)/C64</f>
        <v>-9.188884830322408E-2</v>
      </c>
      <c r="E77" s="114">
        <f t="shared" si="10"/>
        <v>-9.7364784490797066E-2</v>
      </c>
      <c r="F77" s="114">
        <f t="shared" si="10"/>
        <v>-8.2341481031850738E-2</v>
      </c>
      <c r="G77" s="114">
        <f t="shared" si="10"/>
        <v>-8.9362470127864996E-2</v>
      </c>
      <c r="H77" s="114">
        <f t="shared" si="10"/>
        <v>-9.7527527427583374E-2</v>
      </c>
    </row>
    <row r="78" spans="1:8" x14ac:dyDescent="0.45">
      <c r="A78" s="33" t="s">
        <v>150</v>
      </c>
      <c r="B78" s="33" t="s">
        <v>151</v>
      </c>
      <c r="D78" s="114">
        <f t="shared" ref="D78:H78" si="11">(D65-C65)/C65</f>
        <v>0</v>
      </c>
      <c r="E78" s="114">
        <f t="shared" si="11"/>
        <v>0</v>
      </c>
      <c r="F78" s="114">
        <f t="shared" si="11"/>
        <v>0</v>
      </c>
      <c r="G78" s="114">
        <f t="shared" si="11"/>
        <v>0</v>
      </c>
      <c r="H78" s="114">
        <f t="shared" si="11"/>
        <v>0</v>
      </c>
    </row>
    <row r="79" spans="1:8" x14ac:dyDescent="0.45">
      <c r="A79" s="33" t="s">
        <v>152</v>
      </c>
      <c r="B79" s="33" t="s">
        <v>153</v>
      </c>
      <c r="D79" s="114">
        <f t="shared" ref="D79:H79" si="12">(D66-C66)/C66</f>
        <v>0</v>
      </c>
      <c r="E79" s="114">
        <f t="shared" si="12"/>
        <v>0</v>
      </c>
      <c r="F79" s="114">
        <f t="shared" si="12"/>
        <v>0</v>
      </c>
      <c r="G79" s="114">
        <f t="shared" si="12"/>
        <v>0</v>
      </c>
      <c r="H79" s="114">
        <f t="shared" si="12"/>
        <v>0</v>
      </c>
    </row>
    <row r="80" spans="1:8" x14ac:dyDescent="0.45">
      <c r="A80" s="33" t="s">
        <v>154</v>
      </c>
      <c r="B80" s="33" t="s">
        <v>155</v>
      </c>
      <c r="D80" s="114">
        <f t="shared" ref="D80:H80" si="13">(D67-C67)/C67</f>
        <v>-5.1097538927265186E-2</v>
      </c>
      <c r="E80" s="114">
        <f t="shared" si="13"/>
        <v>-4.3813386469248969E-2</v>
      </c>
      <c r="F80" s="114">
        <f t="shared" si="13"/>
        <v>-7.0733991650217362E-2</v>
      </c>
      <c r="G80" s="114">
        <f t="shared" si="13"/>
        <v>-5.972844367505642E-2</v>
      </c>
      <c r="H80" s="114">
        <f t="shared" si="13"/>
        <v>-6.897184785119953E-2</v>
      </c>
    </row>
    <row r="81" spans="1:12" x14ac:dyDescent="0.45">
      <c r="A81" s="33" t="s">
        <v>156</v>
      </c>
      <c r="B81" s="33" t="s">
        <v>157</v>
      </c>
      <c r="D81" s="114">
        <f t="shared" ref="D81:H81" si="14">(D68-C68)/C68</f>
        <v>-5.1097538927265027E-2</v>
      </c>
      <c r="E81" s="114">
        <f t="shared" si="14"/>
        <v>-4.3813386469249177E-2</v>
      </c>
      <c r="F81" s="114">
        <f t="shared" si="14"/>
        <v>-7.073399165021739E-2</v>
      </c>
      <c r="G81" s="114">
        <f t="shared" si="14"/>
        <v>-5.9728443675056336E-2</v>
      </c>
      <c r="H81" s="114">
        <f t="shared" si="14"/>
        <v>-6.8971847851199544E-2</v>
      </c>
    </row>
    <row r="82" spans="1:12" x14ac:dyDescent="0.45">
      <c r="A82" s="33" t="s">
        <v>158</v>
      </c>
      <c r="B82" s="33" t="s">
        <v>159</v>
      </c>
      <c r="D82" s="114">
        <f t="shared" ref="D82:H82" si="15">(D69-C69)/C69</f>
        <v>-5.1097538927265089E-2</v>
      </c>
      <c r="E82" s="114">
        <f t="shared" si="15"/>
        <v>-4.3813386469249017E-2</v>
      </c>
      <c r="F82" s="114">
        <f t="shared" si="15"/>
        <v>-7.0733991650217445E-2</v>
      </c>
      <c r="G82" s="114">
        <f t="shared" si="15"/>
        <v>-5.9728443675056232E-2</v>
      </c>
      <c r="H82" s="114">
        <f t="shared" si="15"/>
        <v>-6.8971847851199697E-2</v>
      </c>
    </row>
    <row r="83" spans="1:12" x14ac:dyDescent="0.45">
      <c r="A83" s="33" t="s">
        <v>160</v>
      </c>
      <c r="B83" s="33" t="s">
        <v>161</v>
      </c>
      <c r="D83" s="114">
        <f t="shared" ref="D83:H83" si="16">(D70-C70)/C70</f>
        <v>-5.109753892726504E-2</v>
      </c>
      <c r="E83" s="114">
        <f t="shared" si="16"/>
        <v>-4.3813386469249135E-2</v>
      </c>
      <c r="F83" s="114">
        <f t="shared" si="16"/>
        <v>-7.0733991650217196E-2</v>
      </c>
      <c r="G83" s="114">
        <f t="shared" si="16"/>
        <v>-5.9728443675056385E-2</v>
      </c>
      <c r="H83" s="114">
        <f t="shared" si="16"/>
        <v>-6.8971847851199503E-2</v>
      </c>
    </row>
    <row r="84" spans="1:12" x14ac:dyDescent="0.45">
      <c r="A84" s="33" t="s">
        <v>162</v>
      </c>
      <c r="B84" s="33" t="s">
        <v>163</v>
      </c>
      <c r="D84" s="114">
        <f t="shared" ref="D84:H84" si="17">(D71-C71)/C71</f>
        <v>-0.13092024938518296</v>
      </c>
      <c r="E84" s="114">
        <f t="shared" si="17"/>
        <v>-0.14782916963668966</v>
      </c>
      <c r="F84" s="114">
        <f t="shared" si="17"/>
        <v>-0.14146743706321049</v>
      </c>
      <c r="G84" s="114">
        <f t="shared" si="17"/>
        <v>-0.16100342915159513</v>
      </c>
      <c r="H84" s="114">
        <f t="shared" si="17"/>
        <v>-0.17774748592784273</v>
      </c>
    </row>
    <row r="85" spans="1:12" x14ac:dyDescent="0.45">
      <c r="A85" s="33" t="s">
        <v>164</v>
      </c>
      <c r="B85" s="33" t="s">
        <v>165</v>
      </c>
      <c r="D85" s="114">
        <f t="shared" ref="D85:H85" si="18">(D72-C72)/C72</f>
        <v>-0.1309202493851829</v>
      </c>
      <c r="E85" s="114">
        <f t="shared" si="18"/>
        <v>-0.14782916963668968</v>
      </c>
      <c r="F85" s="114">
        <f t="shared" si="18"/>
        <v>-0.14146743706321044</v>
      </c>
      <c r="G85" s="114">
        <f t="shared" si="18"/>
        <v>-0.16100342915159518</v>
      </c>
      <c r="H85" s="114">
        <f t="shared" si="18"/>
        <v>-0.17774748592784295</v>
      </c>
    </row>
    <row r="86" spans="1:12" x14ac:dyDescent="0.45">
      <c r="A86" s="33" t="s">
        <v>166</v>
      </c>
      <c r="B86" s="33" t="s">
        <v>167</v>
      </c>
      <c r="D86" s="114">
        <f t="shared" ref="D86:H86" si="19">(D73-C73)/C73</f>
        <v>-0.10342917034244024</v>
      </c>
      <c r="E86" s="114">
        <f t="shared" si="19"/>
        <v>-0.11715521477331861</v>
      </c>
      <c r="F86" s="114">
        <f t="shared" si="19"/>
        <v>-7.4542859878423198E-2</v>
      </c>
      <c r="G86" s="114">
        <f t="shared" si="19"/>
        <v>-8.7558173568516487E-2</v>
      </c>
      <c r="H86" s="114">
        <f t="shared" si="19"/>
        <v>-9.5988754427511175E-2</v>
      </c>
    </row>
    <row r="87" spans="1:12" x14ac:dyDescent="0.45">
      <c r="A87" s="33" t="s">
        <v>168</v>
      </c>
      <c r="B87" s="33" t="s">
        <v>169</v>
      </c>
      <c r="D87" s="114">
        <f t="shared" ref="D87:H87" si="20">(D74-C74)/C74</f>
        <v>1.983861224632958E-2</v>
      </c>
      <c r="E87" s="114">
        <f t="shared" si="20"/>
        <v>5.2379398447953628E-5</v>
      </c>
      <c r="F87" s="114">
        <f t="shared" si="20"/>
        <v>-1.0308940885895318E-2</v>
      </c>
      <c r="G87" s="114">
        <f t="shared" si="20"/>
        <v>-2.6407723866567499E-2</v>
      </c>
      <c r="H87" s="114">
        <f t="shared" si="20"/>
        <v>-3.7327260438877997E-2</v>
      </c>
    </row>
    <row r="89" spans="1:12" x14ac:dyDescent="0.45">
      <c r="A89" s="49" t="s">
        <v>199</v>
      </c>
      <c r="C89" s="40" t="s">
        <v>64</v>
      </c>
      <c r="D89" s="40" t="s">
        <v>66</v>
      </c>
      <c r="E89" s="40" t="s">
        <v>68</v>
      </c>
      <c r="F89" s="40" t="s">
        <v>71</v>
      </c>
      <c r="G89" s="40" t="s">
        <v>73</v>
      </c>
      <c r="H89" s="40" t="s">
        <v>75</v>
      </c>
      <c r="I89" s="40" t="s">
        <v>76</v>
      </c>
      <c r="J89" s="40" t="s">
        <v>79</v>
      </c>
      <c r="K89" s="40" t="s">
        <v>81</v>
      </c>
      <c r="L89" s="40" t="s">
        <v>83</v>
      </c>
    </row>
    <row r="90" spans="1:12" x14ac:dyDescent="0.45">
      <c r="B90" s="96" t="s">
        <v>200</v>
      </c>
      <c r="C90" s="94">
        <v>1.9239273649797325E-2</v>
      </c>
      <c r="D90" s="94">
        <v>2.0691206388117535E-2</v>
      </c>
      <c r="E90" s="94">
        <v>2.0390606350913176E-2</v>
      </c>
      <c r="F90" s="94">
        <v>2.0390606350913176E-2</v>
      </c>
      <c r="G90" s="94">
        <v>2.0390606350913176E-2</v>
      </c>
      <c r="H90" s="94">
        <v>2.0390606350913176E-2</v>
      </c>
      <c r="I90" s="94">
        <v>2.0390606350913176E-2</v>
      </c>
      <c r="J90" s="95">
        <v>2.0390606350913176E-2</v>
      </c>
      <c r="K90" s="95">
        <v>2.0390606350913176E-2</v>
      </c>
      <c r="L90" s="95">
        <v>2.0390606350913176E-2</v>
      </c>
    </row>
  </sheetData>
  <mergeCells count="1">
    <mergeCell ref="C62:H6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Terms and Conditions</vt:lpstr>
      <vt:lpstr>Cost recovery calculation</vt:lpstr>
      <vt:lpstr>INPUTS&gt;&gt;</vt:lpstr>
      <vt:lpstr>Fibre shortfall inputs</vt:lpstr>
      <vt:lpstr>Copper price inputs</vt:lpstr>
      <vt:lpstr>CPI-X model inputs</vt:lpstr>
      <vt:lpstr>Fibre_takeup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2020-08-11T10:09:27Z</dcterms:created>
  <dcterms:modified xsi:type="dcterms:W3CDTF">2020-08-11T10:12:27Z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Jack.Procter-Blain@ofcom.org.uk</vt:lpwstr>
  </property>
  <property fmtid="{D5CDD505-2E9C-101B-9397-08002B2CF9AE}" pid="5" name="MSIP_Label_5a50d26f-5c2c-4137-8396-1b24eb24286c_SetDate">
    <vt:lpwstr>2020-08-11T10:12:27.0014962Z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0d8f423a-91ca-448a-abe3-51eb27f40ed8</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ies>
</file>