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chartsheets/sheet1.xml" ContentType="application/vnd.openxmlformats-officedocument.spreadsheetml.chartsheet+xml"/>
  <Override PartName="/xl/worksheets/sheet2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queryTables/queryTable1.xml" ContentType="application/vnd.openxmlformats-officedocument.spreadsheetml.queryTable+xml"/>
  <Override PartName="/xl/tables/table11.xml" ContentType="application/vnd.openxmlformats-officedocument.spreadsheetml.table+xml"/>
  <Override PartName="/xl/tables/table12.xml" ContentType="application/vnd.openxmlformats-officedocument.spreadsheetml.table+xml"/>
  <Override PartName="/xl/queryTables/queryTable2.xml" ContentType="application/vnd.openxmlformats-officedocument.spreadsheetml.queryTable+xml"/>
  <Override PartName="/xl/tables/table13.xml" ContentType="application/vnd.openxmlformats-officedocument.spreadsheetml.table+xml"/>
  <Override PartName="/xl/queryTables/queryTable3.xml" ContentType="application/vnd.openxmlformats-officedocument.spreadsheetml.queryTable+xml"/>
  <Override PartName="/xl/tables/table14.xml" ContentType="application/vnd.openxmlformats-officedocument.spreadsheetml.table+xml"/>
  <Override PartName="/xl/tables/table15.xml" ContentType="application/vnd.openxmlformats-officedocument.spreadsheetml.table+xml"/>
  <Override PartName="/xl/queryTables/queryTable4.xml" ContentType="application/vnd.openxmlformats-officedocument.spreadsheetml.queryTable+xml"/>
  <Override PartName="/xl/tables/table16.xml" ContentType="application/vnd.openxmlformats-officedocument.spreadsheetml.table+xml"/>
  <Override PartName="/xl/queryTables/queryTable5.xml" ContentType="application/vnd.openxmlformats-officedocument.spreadsheetml.queryTable+xml"/>
  <Override PartName="/xl/tables/table17.xml" ContentType="application/vnd.openxmlformats-officedocument.spreadsheetml.table+xml"/>
  <Override PartName="/xl/queryTables/queryTable6.xml" ContentType="application/vnd.openxmlformats-officedocument.spreadsheetml.queryTable+xml"/>
  <Override PartName="/xl/tables/table18.xml" ContentType="application/vnd.openxmlformats-officedocument.spreadsheetml.table+xml"/>
  <Override PartName="/xl/queryTables/queryTable7.xml" ContentType="application/vnd.openxmlformats-officedocument.spreadsheetml.queryTable+xml"/>
  <Override PartName="/xl/tables/table19.xml" ContentType="application/vnd.openxmlformats-officedocument.spreadsheetml.table+xml"/>
  <Override PartName="/xl/queryTables/queryTable8.xml" ContentType="application/vnd.openxmlformats-officedocument.spreadsheetml.queryTable+xml"/>
  <Override PartName="/xl/tables/table20.xml" ContentType="application/vnd.openxmlformats-officedocument.spreadsheetml.table+xml"/>
  <Override PartName="/xl/queryTables/queryTable9.xml" ContentType="application/vnd.openxmlformats-officedocument.spreadsheetml.queryTable+xml"/>
  <Override PartName="/xl/tables/table21.xml" ContentType="application/vnd.openxmlformats-officedocument.spreadsheetml.table+xml"/>
  <Override PartName="/xl/queryTables/queryTable10.xml" ContentType="application/vnd.openxmlformats-officedocument.spreadsheetml.queryTable+xml"/>
  <Override PartName="/xl/tables/table22.xml" ContentType="application/vnd.openxmlformats-officedocument.spreadsheetml.table+xml"/>
  <Override PartName="/xl/queryTables/queryTable11.xml" ContentType="application/vnd.openxmlformats-officedocument.spreadsheetml.queryTable+xml"/>
  <Override PartName="/xl/tables/table23.xml" ContentType="application/vnd.openxmlformats-officedocument.spreadsheetml.table+xml"/>
  <Override PartName="/xl/queryTables/queryTable12.xml" ContentType="application/vnd.openxmlformats-officedocument.spreadsheetml.queryTable+xml"/>
  <Override PartName="/xl/tables/table24.xml" ContentType="application/vnd.openxmlformats-officedocument.spreadsheetml.table+xml"/>
  <Override PartName="/xl/queryTables/queryTable13.xml" ContentType="application/vnd.openxmlformats-officedocument.spreadsheetml.queryTable+xml"/>
  <Override PartName="/xl/tables/table25.xml" ContentType="application/vnd.openxmlformats-officedocument.spreadsheetml.table+xml"/>
  <Override PartName="/xl/queryTables/queryTable14.xml" ContentType="application/vnd.openxmlformats-officedocument.spreadsheetml.queryTable+xml"/>
  <Override PartName="/xl/tables/table26.xml" ContentType="application/vnd.openxmlformats-officedocument.spreadsheetml.table+xml"/>
  <Override PartName="/xl/queryTables/queryTable15.xml" ContentType="application/vnd.openxmlformats-officedocument.spreadsheetml.queryTable+xml"/>
  <Override PartName="/xl/tables/table27.xml" ContentType="application/vnd.openxmlformats-officedocument.spreadsheetml.table+xml"/>
  <Override PartName="/xl/queryTables/queryTable16.xml" ContentType="application/vnd.openxmlformats-officedocument.spreadsheetml.queryTable+xml"/>
  <Override PartName="/xl/pivotTables/pivotTable1.xml" ContentType="application/vnd.openxmlformats-officedocument.spreadsheetml.pivotTable+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28.xml" ContentType="application/vnd.openxmlformats-officedocument.spreadsheetml.table+xml"/>
  <Override PartName="/xl/queryTables/queryTable17.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xl/attachedToolbars.bin" ContentType="application/vnd.ms-excel.attachedToolbars"/>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filterPrivacy="1" codeName="ThisWorkbook"/>
  <xr:revisionPtr revIDLastSave="35" documentId="8_{1EE0544A-56D9-4E8F-86EF-2C058B96229A}" xr6:coauthVersionLast="45" xr6:coauthVersionMax="45" xr10:uidLastSave="{619BF637-998A-477F-B03C-8E42DFB579C6}"/>
  <bookViews>
    <workbookView xWindow="2543" yWindow="2543" windowWidth="15390" windowHeight="9532" tabRatio="679" xr2:uid="{00000000-000D-0000-FFFF-FFFF00000000}"/>
  </bookViews>
  <sheets>
    <sheet name="Contents" sheetId="50" r:id="rId1"/>
    <sheet name="Version History" sheetId="48" r:id="rId2"/>
    <sheet name="Style Guidelines" sheetId="47" r:id="rId3"/>
    <sheet name="Control" sheetId="58" r:id="rId4"/>
    <sheet name="I_Timeline" sheetId="81" r:id="rId5"/>
    <sheet name="I_Award" sheetId="57" r:id="rId6"/>
    <sheet name="I_UKComp" sheetId="72" r:id="rId7"/>
    <sheet name="I_PPP" sheetId="61" r:id="rId8"/>
    <sheet name="I_Population" sheetId="63" r:id="rId9"/>
    <sheet name="I_CoD_WACC" sheetId="69" r:id="rId10"/>
    <sheet name="I_CPI_UK" sheetId="62" r:id="rId11"/>
    <sheet name="C_UKEq_detail" sheetId="64" r:id="rId12"/>
    <sheet name="C_UKEqComp" sheetId="65" r:id="rId13"/>
    <sheet name="C_UKComp" sheetId="73" r:id="rId14"/>
    <sheet name="C_UKEq_UKComp" sheetId="77" r:id="rId15"/>
    <sheet name="C_Proxy_sample" sheetId="66" r:id="rId16"/>
    <sheet name="C_ProxyComp" sheetId="79" r:id="rId17"/>
    <sheet name="C_AllComp" sheetId="80" r:id="rId18"/>
    <sheet name="C_Paired" sheetId="67" r:id="rId19"/>
    <sheet name="C_Distance" sheetId="68" r:id="rId20"/>
    <sheet name="O_Proxy_sample" sheetId="84" r:id="rId21"/>
    <sheet name="O_Paired" sheetId="82" r:id="rId22"/>
    <sheet name="O_Distance" sheetId="83" r:id="rId23"/>
    <sheet name="O_Results" sheetId="104" r:id="rId24"/>
    <sheet name="G_Results" sheetId="105" r:id="rId25"/>
    <sheet name="E_Results" sheetId="110" r:id="rId26"/>
  </sheets>
  <definedNames>
    <definedName name="cod_liquidity_premium">Control!$F$12</definedName>
    <definedName name="delay_adj">Control!$F$14</definedName>
    <definedName name="delay_threshold">Control!$F$15</definedName>
    <definedName name="eff_cpi_uk">Control!$F$9</definedName>
    <definedName name="eff_pop_uk">Control!$F$10</definedName>
    <definedName name="effective_date">Control!$F$6</definedName>
    <definedName name="ExternalData_1" localSheetId="17" hidden="1">C_AllComp!$A$4:$B$68</definedName>
    <definedName name="ExternalData_1" localSheetId="19" hidden="1">C_Distance!$A$4:$M$46</definedName>
    <definedName name="ExternalData_1" localSheetId="18" hidden="1">C_Paired!$A$4:$K$21</definedName>
    <definedName name="ExternalData_1" localSheetId="15" hidden="1">C_Proxy_sample!$A$4:$C$25</definedName>
    <definedName name="ExternalData_1" localSheetId="16" hidden="1">C_ProxyComp!$A$4:$C$17</definedName>
    <definedName name="ExternalData_1" localSheetId="13" hidden="1">C_UKComp!$A$4:$G$13</definedName>
    <definedName name="ExternalData_1" localSheetId="11" hidden="1">C_UKEq_detail!$A$4:$P$133</definedName>
    <definedName name="ExternalData_1" localSheetId="14" hidden="1">C_UKEq_UKComp!$A$4:$C$55</definedName>
    <definedName name="ExternalData_1" localSheetId="12" hidden="1">C_UKEqComp!$A$4:$A$46</definedName>
    <definedName name="ExternalData_1" localSheetId="25" hidden="1">E_Results!$A$4:$T$63</definedName>
    <definedName name="ExternalData_1" localSheetId="5" hidden="1">I_Award!$A$4:$M$133</definedName>
    <definedName name="ExternalData_1" localSheetId="10" hidden="1">I_CPI_UK!$A$4:$B$140</definedName>
    <definedName name="ExternalData_1" localSheetId="8" hidden="1">I_Population!$A$4:$M$267</definedName>
    <definedName name="ExternalData_1" localSheetId="7" hidden="1">I_PPP!$A$4:$M$204</definedName>
    <definedName name="ExternalData_1" localSheetId="22" hidden="1">O_Distance!$A$4:$J$46</definedName>
    <definedName name="ExternalData_1" localSheetId="21" hidden="1">O_Paired!$A$4:$J$21</definedName>
    <definedName name="ExternalData_1" localSheetId="20" hidden="1">O_Proxy_sample!$A$4:$E$25</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44085.5208217593</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notional_term">Control!$F$7</definedName>
    <definedName name="Workbook.Author">Contents!$B$11</definedName>
    <definedName name="Workbook.Objective">Contents!$B$8</definedName>
    <definedName name="Workbook.Status">Contents!$B$10</definedName>
    <definedName name="Workbook.Title">Contents!$B$6</definedName>
    <definedName name="Workbook.Version">Contents!$B$9</definedName>
  </definedNames>
  <calcPr calcId="191029" iterateCount="250" iterateDelta="9.9999999999999995E-8"/>
  <pivotCaches>
    <pivotCache cacheId="0" r:id="rId27"/>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 i="65" l="1"/>
  <c r="B6" i="65"/>
  <c r="B7" i="65"/>
  <c r="B8" i="65"/>
  <c r="B9" i="65"/>
  <c r="B10" i="65"/>
  <c r="B11" i="65"/>
  <c r="B12" i="65"/>
  <c r="B13" i="65"/>
  <c r="B14" i="65"/>
  <c r="B15" i="65"/>
  <c r="B16" i="65"/>
  <c r="B17" i="65"/>
  <c r="B18" i="65"/>
  <c r="B19" i="65"/>
  <c r="B20" i="65"/>
  <c r="B21" i="65"/>
  <c r="B22" i="65"/>
  <c r="B23" i="65"/>
  <c r="B24" i="65"/>
  <c r="B25" i="65"/>
  <c r="B26" i="65"/>
  <c r="B27" i="65"/>
  <c r="B28" i="65"/>
  <c r="B29" i="65"/>
  <c r="B30" i="65"/>
  <c r="B31" i="65"/>
  <c r="B32" i="65"/>
  <c r="B33" i="65"/>
  <c r="B34" i="65"/>
  <c r="B35" i="65"/>
  <c r="B36" i="65"/>
  <c r="B37" i="65"/>
  <c r="B38" i="65"/>
  <c r="B39" i="65"/>
  <c r="B40" i="65"/>
  <c r="B41" i="65"/>
  <c r="B42" i="65"/>
  <c r="B43" i="65"/>
  <c r="B44" i="65"/>
  <c r="B45" i="65"/>
  <c r="B46" i="65"/>
  <c r="C5" i="65"/>
  <c r="C6" i="65"/>
  <c r="C7" i="65"/>
  <c r="C8" i="65"/>
  <c r="C9" i="65"/>
  <c r="C10" i="65"/>
  <c r="C11" i="65"/>
  <c r="C12" i="65"/>
  <c r="C13" i="65"/>
  <c r="C14" i="65"/>
  <c r="C15" i="65"/>
  <c r="C16" i="65"/>
  <c r="C17" i="65"/>
  <c r="C18" i="65"/>
  <c r="C19" i="65"/>
  <c r="C20" i="65"/>
  <c r="C21" i="65"/>
  <c r="C22" i="65"/>
  <c r="C23" i="65"/>
  <c r="C24" i="65"/>
  <c r="C25" i="65"/>
  <c r="C26" i="65"/>
  <c r="C27" i="65"/>
  <c r="C28" i="65"/>
  <c r="C29" i="65"/>
  <c r="C30" i="65"/>
  <c r="C31" i="65"/>
  <c r="C32" i="65"/>
  <c r="C33" i="65"/>
  <c r="C34" i="65"/>
  <c r="C35" i="65"/>
  <c r="C36" i="65"/>
  <c r="C37" i="65"/>
  <c r="C38" i="65"/>
  <c r="C39" i="65"/>
  <c r="C40" i="65"/>
  <c r="C41" i="65"/>
  <c r="C42" i="65"/>
  <c r="C43" i="65"/>
  <c r="C44" i="65"/>
  <c r="C45" i="65"/>
  <c r="C46" i="65"/>
  <c r="N5" i="68"/>
  <c r="N6" i="68"/>
  <c r="N7" i="68"/>
  <c r="N8" i="68"/>
  <c r="N9" i="68"/>
  <c r="N10" i="68"/>
  <c r="N11" i="68"/>
  <c r="N12" i="68"/>
  <c r="N13" i="68"/>
  <c r="N14" i="68"/>
  <c r="N15" i="68"/>
  <c r="N16" i="68"/>
  <c r="N17" i="68"/>
  <c r="N18" i="68"/>
  <c r="N19" i="68"/>
  <c r="N20" i="68"/>
  <c r="N21" i="68"/>
  <c r="N22" i="68"/>
  <c r="N23" i="68"/>
  <c r="N24" i="68"/>
  <c r="N25" i="68"/>
  <c r="N26" i="68"/>
  <c r="N27" i="68"/>
  <c r="N28" i="68"/>
  <c r="N29" i="68"/>
  <c r="N30" i="68"/>
  <c r="N31" i="68"/>
  <c r="N32" i="68"/>
  <c r="N33" i="68"/>
  <c r="N34" i="68"/>
  <c r="N35" i="68"/>
  <c r="N36" i="68"/>
  <c r="N37" i="68"/>
  <c r="N38" i="68"/>
  <c r="N39" i="68"/>
  <c r="N40" i="68"/>
  <c r="N41" i="68"/>
  <c r="N42" i="68"/>
  <c r="N43" i="68"/>
  <c r="N44" i="68"/>
  <c r="N45" i="68"/>
  <c r="N46" i="68"/>
  <c r="O5" i="68"/>
  <c r="O6" i="68"/>
  <c r="R6" i="68" s="1"/>
  <c r="O7" i="68"/>
  <c r="O8" i="68"/>
  <c r="O9" i="68"/>
  <c r="O10" i="68"/>
  <c r="R10" i="68" s="1"/>
  <c r="S10" i="68" s="1"/>
  <c r="O11" i="68"/>
  <c r="O12" i="68"/>
  <c r="O13" i="68"/>
  <c r="O14" i="68"/>
  <c r="R14" i="68" s="1"/>
  <c r="O15" i="68"/>
  <c r="O16" i="68"/>
  <c r="O17" i="68"/>
  <c r="O18" i="68"/>
  <c r="R18" i="68" s="1"/>
  <c r="S18" i="68" s="1"/>
  <c r="O19" i="68"/>
  <c r="O20" i="68"/>
  <c r="O21" i="68"/>
  <c r="O22" i="68"/>
  <c r="R22" i="68" s="1"/>
  <c r="O23" i="68"/>
  <c r="O24" i="68"/>
  <c r="O25" i="68"/>
  <c r="O26" i="68"/>
  <c r="R26" i="68" s="1"/>
  <c r="S26" i="68" s="1"/>
  <c r="O27" i="68"/>
  <c r="O28" i="68"/>
  <c r="O29" i="68"/>
  <c r="O30" i="68"/>
  <c r="R30" i="68" s="1"/>
  <c r="O31" i="68"/>
  <c r="O32" i="68"/>
  <c r="O33" i="68"/>
  <c r="O34" i="68"/>
  <c r="R34" i="68" s="1"/>
  <c r="S34" i="68" s="1"/>
  <c r="O35" i="68"/>
  <c r="O36" i="68"/>
  <c r="O37" i="68"/>
  <c r="O38" i="68"/>
  <c r="R38" i="68" s="1"/>
  <c r="O39" i="68"/>
  <c r="O40" i="68"/>
  <c r="O41" i="68"/>
  <c r="O42" i="68"/>
  <c r="R42" i="68" s="1"/>
  <c r="S42" i="68" s="1"/>
  <c r="O43" i="68"/>
  <c r="O44" i="68"/>
  <c r="O45" i="68"/>
  <c r="O46" i="68"/>
  <c r="R46" i="68" s="1"/>
  <c r="P5" i="68"/>
  <c r="P6" i="68"/>
  <c r="P7" i="68"/>
  <c r="P8" i="68"/>
  <c r="R8" i="68" s="1"/>
  <c r="P9" i="68"/>
  <c r="P10" i="68"/>
  <c r="P11" i="68"/>
  <c r="P12" i="68"/>
  <c r="R12" i="68" s="1"/>
  <c r="P13" i="68"/>
  <c r="P14" i="68"/>
  <c r="P15" i="68"/>
  <c r="P16" i="68"/>
  <c r="R16" i="68" s="1"/>
  <c r="P17" i="68"/>
  <c r="P18" i="68"/>
  <c r="P19" i="68"/>
  <c r="R19" i="68" s="1"/>
  <c r="P20" i="68"/>
  <c r="R20" i="68" s="1"/>
  <c r="P21" i="68"/>
  <c r="P22" i="68"/>
  <c r="P23" i="68"/>
  <c r="P24" i="68"/>
  <c r="R24" i="68" s="1"/>
  <c r="P25" i="68"/>
  <c r="P26" i="68"/>
  <c r="P27" i="68"/>
  <c r="P28" i="68"/>
  <c r="R28" i="68" s="1"/>
  <c r="P29" i="68"/>
  <c r="P30" i="68"/>
  <c r="P31" i="68"/>
  <c r="R31" i="68" s="1"/>
  <c r="P32" i="68"/>
  <c r="R32" i="68" s="1"/>
  <c r="P33" i="68"/>
  <c r="P34" i="68"/>
  <c r="P35" i="68"/>
  <c r="P36" i="68"/>
  <c r="P37" i="68"/>
  <c r="P38" i="68"/>
  <c r="P39" i="68"/>
  <c r="R39" i="68" s="1"/>
  <c r="P40" i="68"/>
  <c r="R40" i="68" s="1"/>
  <c r="P41" i="68"/>
  <c r="P42" i="68"/>
  <c r="P43" i="68"/>
  <c r="R43" i="68" s="1"/>
  <c r="P44" i="68"/>
  <c r="R44" i="68" s="1"/>
  <c r="P45" i="68"/>
  <c r="P46" i="68"/>
  <c r="Q5" i="68"/>
  <c r="Q6" i="68"/>
  <c r="Q9" i="68"/>
  <c r="Q10" i="68"/>
  <c r="Q13" i="68"/>
  <c r="Q14" i="68"/>
  <c r="Q17" i="68"/>
  <c r="Q18" i="68"/>
  <c r="Q21" i="68"/>
  <c r="Q22" i="68"/>
  <c r="Q25" i="68"/>
  <c r="Q26" i="68"/>
  <c r="Q29" i="68"/>
  <c r="Q30" i="68"/>
  <c r="Q33" i="68"/>
  <c r="Q34" i="68"/>
  <c r="Q37" i="68"/>
  <c r="Q38" i="68"/>
  <c r="Q41" i="68"/>
  <c r="Q42" i="68"/>
  <c r="Q45" i="68"/>
  <c r="Q46" i="68"/>
  <c r="R7" i="68"/>
  <c r="R11" i="68"/>
  <c r="R15" i="68"/>
  <c r="R23" i="68"/>
  <c r="R27" i="68"/>
  <c r="R35" i="68"/>
  <c r="R36" i="68"/>
  <c r="T5" i="68"/>
  <c r="T6" i="68"/>
  <c r="T7" i="68"/>
  <c r="T8" i="68"/>
  <c r="T9" i="68"/>
  <c r="T10" i="68"/>
  <c r="T11" i="68"/>
  <c r="T12" i="68"/>
  <c r="T13" i="68"/>
  <c r="T14" i="68"/>
  <c r="T15" i="68"/>
  <c r="T16" i="68"/>
  <c r="T17" i="68"/>
  <c r="T18" i="68"/>
  <c r="T19" i="68"/>
  <c r="T20" i="68"/>
  <c r="T21" i="68"/>
  <c r="T22" i="68"/>
  <c r="T23" i="68"/>
  <c r="T24" i="68"/>
  <c r="T25" i="68"/>
  <c r="T26" i="68"/>
  <c r="T27" i="68"/>
  <c r="T28" i="68"/>
  <c r="T29" i="68"/>
  <c r="T30" i="68"/>
  <c r="T31" i="68"/>
  <c r="T32" i="68"/>
  <c r="T33" i="68"/>
  <c r="T34" i="68"/>
  <c r="T35" i="68"/>
  <c r="T36" i="68"/>
  <c r="T37" i="68"/>
  <c r="T38" i="68"/>
  <c r="T39" i="68"/>
  <c r="T40" i="68"/>
  <c r="T41" i="68"/>
  <c r="T42" i="68"/>
  <c r="T43" i="68"/>
  <c r="T44" i="68"/>
  <c r="T45" i="68"/>
  <c r="T46" i="68"/>
  <c r="U5" i="68"/>
  <c r="U6" i="68"/>
  <c r="U7" i="68"/>
  <c r="U8" i="68"/>
  <c r="U9" i="68"/>
  <c r="U10" i="68"/>
  <c r="U11" i="68"/>
  <c r="U12" i="68"/>
  <c r="U13" i="68"/>
  <c r="U14" i="68"/>
  <c r="U15" i="68"/>
  <c r="U16" i="68"/>
  <c r="U17" i="68"/>
  <c r="U18" i="68"/>
  <c r="U19" i="68"/>
  <c r="U20" i="68"/>
  <c r="U21" i="68"/>
  <c r="U22" i="68"/>
  <c r="U23" i="68"/>
  <c r="U24" i="68"/>
  <c r="U25" i="68"/>
  <c r="U26" i="68"/>
  <c r="U27" i="68"/>
  <c r="U28" i="68"/>
  <c r="U29" i="68"/>
  <c r="U30" i="68"/>
  <c r="U31" i="68"/>
  <c r="U32" i="68"/>
  <c r="U33" i="68"/>
  <c r="U34" i="68"/>
  <c r="U35" i="68"/>
  <c r="U36" i="68"/>
  <c r="U37" i="68"/>
  <c r="U38" i="68"/>
  <c r="U39" i="68"/>
  <c r="U40" i="68"/>
  <c r="U41" i="68"/>
  <c r="U42" i="68"/>
  <c r="U43" i="68"/>
  <c r="U44" i="68"/>
  <c r="U45" i="68"/>
  <c r="U46" i="68"/>
  <c r="L5" i="67"/>
  <c r="L6" i="67"/>
  <c r="L7" i="67"/>
  <c r="L8" i="67"/>
  <c r="O8" i="67" s="1"/>
  <c r="P8" i="67" s="1"/>
  <c r="L9" i="67"/>
  <c r="L10" i="67"/>
  <c r="L11" i="67"/>
  <c r="L12" i="67"/>
  <c r="O12" i="67" s="1"/>
  <c r="P12" i="67" s="1"/>
  <c r="L13" i="67"/>
  <c r="L14" i="67"/>
  <c r="L15" i="67"/>
  <c r="L16" i="67"/>
  <c r="O16" i="67" s="1"/>
  <c r="P16" i="67" s="1"/>
  <c r="L17" i="67"/>
  <c r="L18" i="67"/>
  <c r="L19" i="67"/>
  <c r="L20" i="67"/>
  <c r="O20" i="67" s="1"/>
  <c r="P20" i="67" s="1"/>
  <c r="L21" i="67"/>
  <c r="M5" i="67"/>
  <c r="M6" i="67"/>
  <c r="O6" i="67" s="1"/>
  <c r="M7" i="67"/>
  <c r="O7" i="67" s="1"/>
  <c r="P7" i="67" s="1"/>
  <c r="M8" i="67"/>
  <c r="M9" i="67"/>
  <c r="M10" i="67"/>
  <c r="O10" i="67" s="1"/>
  <c r="M11" i="67"/>
  <c r="O11" i="67" s="1"/>
  <c r="P11" i="67" s="1"/>
  <c r="M12" i="67"/>
  <c r="M13" i="67"/>
  <c r="M14" i="67"/>
  <c r="O14" i="67" s="1"/>
  <c r="M15" i="67"/>
  <c r="O15" i="67" s="1"/>
  <c r="P15" i="67" s="1"/>
  <c r="M16" i="67"/>
  <c r="M17" i="67"/>
  <c r="M18" i="67"/>
  <c r="O18" i="67" s="1"/>
  <c r="M19" i="67"/>
  <c r="O19" i="67" s="1"/>
  <c r="P19" i="67" s="1"/>
  <c r="M20" i="67"/>
  <c r="M21" i="67"/>
  <c r="N5" i="67"/>
  <c r="N6" i="67"/>
  <c r="P6" i="67" s="1"/>
  <c r="N7" i="67"/>
  <c r="N8" i="67"/>
  <c r="N9" i="67"/>
  <c r="N10" i="67"/>
  <c r="P10" i="67" s="1"/>
  <c r="N11" i="67"/>
  <c r="N12" i="67"/>
  <c r="N13" i="67"/>
  <c r="N14" i="67"/>
  <c r="P14" i="67" s="1"/>
  <c r="N15" i="67"/>
  <c r="N16" i="67"/>
  <c r="N17" i="67"/>
  <c r="N18" i="67"/>
  <c r="P18" i="67" s="1"/>
  <c r="N19" i="67"/>
  <c r="N20" i="67"/>
  <c r="N21" i="67"/>
  <c r="O5" i="67"/>
  <c r="O9" i="67"/>
  <c r="O13" i="67"/>
  <c r="O17" i="67"/>
  <c r="O21" i="67"/>
  <c r="D5" i="79"/>
  <c r="D6" i="79"/>
  <c r="D7" i="79"/>
  <c r="D8" i="79"/>
  <c r="D9" i="79"/>
  <c r="D10" i="79"/>
  <c r="D11" i="79"/>
  <c r="D12" i="79"/>
  <c r="D13" i="79"/>
  <c r="D14" i="79"/>
  <c r="D15" i="79"/>
  <c r="D16" i="79"/>
  <c r="D17" i="79"/>
  <c r="E5" i="79"/>
  <c r="E6" i="79"/>
  <c r="E7" i="79"/>
  <c r="F7" i="79" s="1"/>
  <c r="E8" i="79"/>
  <c r="E9" i="79"/>
  <c r="E10" i="79"/>
  <c r="E11" i="79"/>
  <c r="F11" i="79" s="1"/>
  <c r="E12" i="79"/>
  <c r="E13" i="79"/>
  <c r="E14" i="79"/>
  <c r="E15" i="79"/>
  <c r="F15" i="79" s="1"/>
  <c r="E16" i="79"/>
  <c r="E17" i="79"/>
  <c r="F17" i="79" s="1"/>
  <c r="F5" i="79"/>
  <c r="F6" i="79"/>
  <c r="F9" i="79"/>
  <c r="F10" i="79"/>
  <c r="F13" i="79"/>
  <c r="F14" i="79"/>
  <c r="D5" i="66"/>
  <c r="D6" i="66"/>
  <c r="D7" i="66"/>
  <c r="D8" i="66"/>
  <c r="F8" i="66" s="1"/>
  <c r="D9" i="66"/>
  <c r="D10" i="66"/>
  <c r="D11" i="66"/>
  <c r="D12" i="66"/>
  <c r="F12" i="66" s="1"/>
  <c r="D13" i="66"/>
  <c r="D14" i="66"/>
  <c r="D15" i="66"/>
  <c r="D16" i="66"/>
  <c r="F16" i="66" s="1"/>
  <c r="D17" i="66"/>
  <c r="D18" i="66"/>
  <c r="D19" i="66"/>
  <c r="D20" i="66"/>
  <c r="F20" i="66" s="1"/>
  <c r="D21" i="66"/>
  <c r="D22" i="66"/>
  <c r="D23" i="66"/>
  <c r="D24" i="66"/>
  <c r="F24" i="66" s="1"/>
  <c r="D25" i="66"/>
  <c r="E5" i="66"/>
  <c r="E6" i="66"/>
  <c r="E7" i="66"/>
  <c r="F7" i="66" s="1"/>
  <c r="E8" i="66"/>
  <c r="E9" i="66"/>
  <c r="E10" i="66"/>
  <c r="F10" i="66" s="1"/>
  <c r="E11" i="66"/>
  <c r="F11" i="66" s="1"/>
  <c r="E12" i="66"/>
  <c r="E13" i="66"/>
  <c r="E14" i="66"/>
  <c r="E15" i="66"/>
  <c r="F15" i="66" s="1"/>
  <c r="E16" i="66"/>
  <c r="E17" i="66"/>
  <c r="E18" i="66"/>
  <c r="F18" i="66" s="1"/>
  <c r="E19" i="66"/>
  <c r="F19" i="66" s="1"/>
  <c r="E20" i="66"/>
  <c r="E21" i="66"/>
  <c r="E22" i="66"/>
  <c r="E23" i="66"/>
  <c r="F23" i="66" s="1"/>
  <c r="E24" i="66"/>
  <c r="E25" i="66"/>
  <c r="F5" i="66"/>
  <c r="F6" i="66"/>
  <c r="F9" i="66"/>
  <c r="F13" i="66"/>
  <c r="F14" i="66"/>
  <c r="F17" i="66"/>
  <c r="F21" i="66"/>
  <c r="F22" i="66"/>
  <c r="F25" i="66"/>
  <c r="D5" i="77"/>
  <c r="D6" i="77"/>
  <c r="D7" i="77"/>
  <c r="D8" i="77"/>
  <c r="D9" i="77"/>
  <c r="D10" i="77"/>
  <c r="D11" i="77"/>
  <c r="D12" i="77"/>
  <c r="D13" i="77"/>
  <c r="D14" i="77"/>
  <c r="D15" i="77"/>
  <c r="D16" i="77"/>
  <c r="D17" i="77"/>
  <c r="D18" i="77"/>
  <c r="D19" i="77"/>
  <c r="D20" i="77"/>
  <c r="D21" i="77"/>
  <c r="D22" i="77"/>
  <c r="D23" i="77"/>
  <c r="D24" i="77"/>
  <c r="D25" i="77"/>
  <c r="D26" i="77"/>
  <c r="D27" i="77"/>
  <c r="D28" i="77"/>
  <c r="D29" i="77"/>
  <c r="D30" i="77"/>
  <c r="D31" i="77"/>
  <c r="D32" i="77"/>
  <c r="D33" i="77"/>
  <c r="D34" i="77"/>
  <c r="D35" i="77"/>
  <c r="D36" i="77"/>
  <c r="D37" i="77"/>
  <c r="D38" i="77"/>
  <c r="D39" i="77"/>
  <c r="D40" i="77"/>
  <c r="D41" i="77"/>
  <c r="D42" i="77"/>
  <c r="D43" i="77"/>
  <c r="D44" i="77"/>
  <c r="D45" i="77"/>
  <c r="D46" i="77"/>
  <c r="D47" i="77"/>
  <c r="D48" i="77"/>
  <c r="D49" i="77"/>
  <c r="D50" i="77"/>
  <c r="D51" i="77"/>
  <c r="D52" i="77"/>
  <c r="D53" i="77"/>
  <c r="D54" i="77"/>
  <c r="D55" i="77"/>
  <c r="H5" i="73"/>
  <c r="H6" i="73"/>
  <c r="H7" i="73"/>
  <c r="H8" i="73"/>
  <c r="I8" i="73" s="1"/>
  <c r="H9" i="73"/>
  <c r="H10" i="73"/>
  <c r="H11" i="73"/>
  <c r="H12" i="73"/>
  <c r="I12" i="73" s="1"/>
  <c r="H13" i="73"/>
  <c r="I5" i="73"/>
  <c r="I6" i="73"/>
  <c r="I7" i="73"/>
  <c r="I9" i="73"/>
  <c r="I10" i="73"/>
  <c r="I11" i="73"/>
  <c r="I13" i="73"/>
  <c r="J5" i="73"/>
  <c r="J6" i="73"/>
  <c r="J7" i="73"/>
  <c r="J8" i="73"/>
  <c r="J9" i="73"/>
  <c r="J10" i="73"/>
  <c r="K10" i="73" s="1"/>
  <c r="J11" i="73"/>
  <c r="J12" i="73"/>
  <c r="J13" i="73"/>
  <c r="K13" i="73" s="1"/>
  <c r="K5" i="73"/>
  <c r="K6" i="73"/>
  <c r="K7" i="73"/>
  <c r="K9" i="73"/>
  <c r="K11" i="73"/>
  <c r="Q5" i="64"/>
  <c r="Q6" i="64"/>
  <c r="Q7" i="64"/>
  <c r="Q8" i="64"/>
  <c r="R8" i="64" s="1"/>
  <c r="S8" i="64" s="1"/>
  <c r="T8" i="64" s="1"/>
  <c r="Q9" i="64"/>
  <c r="Q10" i="64"/>
  <c r="Q11" i="64"/>
  <c r="Q12" i="64"/>
  <c r="R12" i="64" s="1"/>
  <c r="S12" i="64" s="1"/>
  <c r="T12" i="64" s="1"/>
  <c r="Q13" i="64"/>
  <c r="Q14" i="64"/>
  <c r="Q15" i="64"/>
  <c r="Q16" i="64"/>
  <c r="R16" i="64" s="1"/>
  <c r="S16" i="64" s="1"/>
  <c r="T16" i="64" s="1"/>
  <c r="Q17" i="64"/>
  <c r="Q18" i="64"/>
  <c r="Q19" i="64"/>
  <c r="Q20" i="64"/>
  <c r="R20" i="64" s="1"/>
  <c r="S20" i="64" s="1"/>
  <c r="T20" i="64" s="1"/>
  <c r="Q21" i="64"/>
  <c r="Q22" i="64"/>
  <c r="Q23" i="64"/>
  <c r="Q24" i="64"/>
  <c r="R24" i="64" s="1"/>
  <c r="S24" i="64" s="1"/>
  <c r="T24" i="64" s="1"/>
  <c r="Q25" i="64"/>
  <c r="Q26" i="64"/>
  <c r="Q27" i="64"/>
  <c r="Q28" i="64"/>
  <c r="R28" i="64" s="1"/>
  <c r="S28" i="64" s="1"/>
  <c r="T28" i="64" s="1"/>
  <c r="Q29" i="64"/>
  <c r="Q30" i="64"/>
  <c r="Q31" i="64"/>
  <c r="Q32" i="64"/>
  <c r="R32" i="64" s="1"/>
  <c r="S32" i="64" s="1"/>
  <c r="T32" i="64" s="1"/>
  <c r="Q33" i="64"/>
  <c r="Q34" i="64"/>
  <c r="Q35" i="64"/>
  <c r="Q36" i="64"/>
  <c r="R36" i="64" s="1"/>
  <c r="S36" i="64" s="1"/>
  <c r="T36" i="64" s="1"/>
  <c r="Q37" i="64"/>
  <c r="Q38" i="64"/>
  <c r="Q39" i="64"/>
  <c r="Q40" i="64"/>
  <c r="R40" i="64" s="1"/>
  <c r="S40" i="64" s="1"/>
  <c r="T40" i="64" s="1"/>
  <c r="Q41" i="64"/>
  <c r="Q42" i="64"/>
  <c r="Q43" i="64"/>
  <c r="Q44" i="64"/>
  <c r="R44" i="64" s="1"/>
  <c r="S44" i="64" s="1"/>
  <c r="T44" i="64" s="1"/>
  <c r="Q45" i="64"/>
  <c r="Q46" i="64"/>
  <c r="Q47" i="64"/>
  <c r="Q48" i="64"/>
  <c r="R48" i="64" s="1"/>
  <c r="S48" i="64" s="1"/>
  <c r="T48" i="64" s="1"/>
  <c r="Q49" i="64"/>
  <c r="Q50" i="64"/>
  <c r="Q51" i="64"/>
  <c r="Q52" i="64"/>
  <c r="R52" i="64" s="1"/>
  <c r="S52" i="64" s="1"/>
  <c r="T52" i="64" s="1"/>
  <c r="Q53" i="64"/>
  <c r="Q54" i="64"/>
  <c r="Q55" i="64"/>
  <c r="Q56" i="64"/>
  <c r="R56" i="64" s="1"/>
  <c r="S56" i="64" s="1"/>
  <c r="T56" i="64" s="1"/>
  <c r="Q57" i="64"/>
  <c r="Q58" i="64"/>
  <c r="Q59" i="64"/>
  <c r="Q60" i="64"/>
  <c r="R60" i="64" s="1"/>
  <c r="S60" i="64" s="1"/>
  <c r="T60" i="64" s="1"/>
  <c r="Q61" i="64"/>
  <c r="Q62" i="64"/>
  <c r="Q63" i="64"/>
  <c r="Q64" i="64"/>
  <c r="R64" i="64" s="1"/>
  <c r="S64" i="64" s="1"/>
  <c r="T64" i="64" s="1"/>
  <c r="Q65" i="64"/>
  <c r="Q66" i="64"/>
  <c r="Q67" i="64"/>
  <c r="Q68" i="64"/>
  <c r="R68" i="64" s="1"/>
  <c r="S68" i="64" s="1"/>
  <c r="T68" i="64" s="1"/>
  <c r="Q69" i="64"/>
  <c r="Q70" i="64"/>
  <c r="Q71" i="64"/>
  <c r="Q72" i="64"/>
  <c r="R72" i="64" s="1"/>
  <c r="S72" i="64" s="1"/>
  <c r="T72" i="64" s="1"/>
  <c r="Q73" i="64"/>
  <c r="Q74" i="64"/>
  <c r="Q75" i="64"/>
  <c r="Q76" i="64"/>
  <c r="R76" i="64" s="1"/>
  <c r="S76" i="64" s="1"/>
  <c r="T76" i="64" s="1"/>
  <c r="Q77" i="64"/>
  <c r="Q78" i="64"/>
  <c r="Q79" i="64"/>
  <c r="Q80" i="64"/>
  <c r="R80" i="64" s="1"/>
  <c r="S80" i="64" s="1"/>
  <c r="T80" i="64" s="1"/>
  <c r="Q81" i="64"/>
  <c r="Q82" i="64"/>
  <c r="Q83" i="64"/>
  <c r="Q84" i="64"/>
  <c r="R84" i="64" s="1"/>
  <c r="S84" i="64" s="1"/>
  <c r="T84" i="64" s="1"/>
  <c r="Q85" i="64"/>
  <c r="Q86" i="64"/>
  <c r="Q87" i="64"/>
  <c r="Q88" i="64"/>
  <c r="R88" i="64" s="1"/>
  <c r="S88" i="64" s="1"/>
  <c r="T88" i="64" s="1"/>
  <c r="Q89" i="64"/>
  <c r="Q90" i="64"/>
  <c r="Q91" i="64"/>
  <c r="Q92" i="64"/>
  <c r="R92" i="64" s="1"/>
  <c r="S92" i="64" s="1"/>
  <c r="T92" i="64" s="1"/>
  <c r="Q93" i="64"/>
  <c r="Q94" i="64"/>
  <c r="Q95" i="64"/>
  <c r="Q96" i="64"/>
  <c r="R96" i="64" s="1"/>
  <c r="S96" i="64" s="1"/>
  <c r="T96" i="64" s="1"/>
  <c r="Q97" i="64"/>
  <c r="Q98" i="64"/>
  <c r="Q99" i="64"/>
  <c r="Q100" i="64"/>
  <c r="R100" i="64" s="1"/>
  <c r="S100" i="64" s="1"/>
  <c r="T100" i="64" s="1"/>
  <c r="Q101" i="64"/>
  <c r="Q102" i="64"/>
  <c r="Q103" i="64"/>
  <c r="Q104" i="64"/>
  <c r="R104" i="64" s="1"/>
  <c r="S104" i="64" s="1"/>
  <c r="T104" i="64" s="1"/>
  <c r="Q105" i="64"/>
  <c r="Q106" i="64"/>
  <c r="Q107" i="64"/>
  <c r="Q108" i="64"/>
  <c r="R108" i="64" s="1"/>
  <c r="S108" i="64" s="1"/>
  <c r="T108" i="64" s="1"/>
  <c r="Q109" i="64"/>
  <c r="Q110" i="64"/>
  <c r="Q111" i="64"/>
  <c r="Q112" i="64"/>
  <c r="R112" i="64" s="1"/>
  <c r="S112" i="64" s="1"/>
  <c r="T112" i="64" s="1"/>
  <c r="Q113" i="64"/>
  <c r="Q114" i="64"/>
  <c r="Q115" i="64"/>
  <c r="Q116" i="64"/>
  <c r="R116" i="64" s="1"/>
  <c r="S116" i="64" s="1"/>
  <c r="T116" i="64" s="1"/>
  <c r="Q117" i="64"/>
  <c r="Q118" i="64"/>
  <c r="Q119" i="64"/>
  <c r="Q120" i="64"/>
  <c r="R120" i="64" s="1"/>
  <c r="S120" i="64" s="1"/>
  <c r="T120" i="64" s="1"/>
  <c r="Q121" i="64"/>
  <c r="Q122" i="64"/>
  <c r="Q123" i="64"/>
  <c r="Q124" i="64"/>
  <c r="R124" i="64" s="1"/>
  <c r="S124" i="64" s="1"/>
  <c r="T124" i="64" s="1"/>
  <c r="Q125" i="64"/>
  <c r="Q126" i="64"/>
  <c r="Q127" i="64"/>
  <c r="Q128" i="64"/>
  <c r="R128" i="64" s="1"/>
  <c r="S128" i="64" s="1"/>
  <c r="T128" i="64" s="1"/>
  <c r="Q129" i="64"/>
  <c r="Q130" i="64"/>
  <c r="Q131" i="64"/>
  <c r="Q132" i="64"/>
  <c r="R132" i="64" s="1"/>
  <c r="S132" i="64" s="1"/>
  <c r="T132" i="64" s="1"/>
  <c r="Q133" i="64"/>
  <c r="R5" i="64"/>
  <c r="R6" i="64"/>
  <c r="R7" i="64"/>
  <c r="S7" i="64" s="1"/>
  <c r="T7" i="64" s="1"/>
  <c r="R9" i="64"/>
  <c r="R10" i="64"/>
  <c r="R11" i="64"/>
  <c r="S11" i="64" s="1"/>
  <c r="R13" i="64"/>
  <c r="R14" i="64"/>
  <c r="R15" i="64"/>
  <c r="S15" i="64" s="1"/>
  <c r="R17" i="64"/>
  <c r="R18" i="64"/>
  <c r="S18" i="64" s="1"/>
  <c r="T18" i="64" s="1"/>
  <c r="W18" i="64" s="1"/>
  <c r="R19" i="64"/>
  <c r="S19" i="64" s="1"/>
  <c r="R21" i="64"/>
  <c r="R22" i="64"/>
  <c r="R23" i="64"/>
  <c r="S23" i="64" s="1"/>
  <c r="T23" i="64" s="1"/>
  <c r="R25" i="64"/>
  <c r="R26" i="64"/>
  <c r="R27" i="64"/>
  <c r="S27" i="64" s="1"/>
  <c r="R29" i="64"/>
  <c r="R30" i="64"/>
  <c r="R31" i="64"/>
  <c r="S31" i="64" s="1"/>
  <c r="R33" i="64"/>
  <c r="R34" i="64"/>
  <c r="S34" i="64" s="1"/>
  <c r="T34" i="64" s="1"/>
  <c r="W34" i="64" s="1"/>
  <c r="R35" i="64"/>
  <c r="S35" i="64" s="1"/>
  <c r="R37" i="64"/>
  <c r="R38" i="64"/>
  <c r="R39" i="64"/>
  <c r="S39" i="64" s="1"/>
  <c r="T39" i="64" s="1"/>
  <c r="R41" i="64"/>
  <c r="R42" i="64"/>
  <c r="R43" i="64"/>
  <c r="S43" i="64" s="1"/>
  <c r="R45" i="64"/>
  <c r="R46" i="64"/>
  <c r="R47" i="64"/>
  <c r="S47" i="64" s="1"/>
  <c r="R49" i="64"/>
  <c r="R50" i="64"/>
  <c r="S50" i="64" s="1"/>
  <c r="T50" i="64" s="1"/>
  <c r="W50" i="64" s="1"/>
  <c r="R51" i="64"/>
  <c r="S51" i="64" s="1"/>
  <c r="R53" i="64"/>
  <c r="R54" i="64"/>
  <c r="R55" i="64"/>
  <c r="S55" i="64" s="1"/>
  <c r="T55" i="64" s="1"/>
  <c r="R57" i="64"/>
  <c r="R58" i="64"/>
  <c r="R59" i="64"/>
  <c r="S59" i="64" s="1"/>
  <c r="R61" i="64"/>
  <c r="R62" i="64"/>
  <c r="R63" i="64"/>
  <c r="S63" i="64" s="1"/>
  <c r="R65" i="64"/>
  <c r="R66" i="64"/>
  <c r="S66" i="64" s="1"/>
  <c r="T66" i="64" s="1"/>
  <c r="W66" i="64" s="1"/>
  <c r="R67" i="64"/>
  <c r="S67" i="64" s="1"/>
  <c r="R69" i="64"/>
  <c r="R70" i="64"/>
  <c r="R71" i="64"/>
  <c r="S71" i="64" s="1"/>
  <c r="T71" i="64" s="1"/>
  <c r="R73" i="64"/>
  <c r="R74" i="64"/>
  <c r="R75" i="64"/>
  <c r="S75" i="64" s="1"/>
  <c r="R77" i="64"/>
  <c r="R78" i="64"/>
  <c r="R79" i="64"/>
  <c r="S79" i="64" s="1"/>
  <c r="R81" i="64"/>
  <c r="R82" i="64"/>
  <c r="S82" i="64" s="1"/>
  <c r="T82" i="64" s="1"/>
  <c r="R83" i="64"/>
  <c r="S83" i="64" s="1"/>
  <c r="R85" i="64"/>
  <c r="R86" i="64"/>
  <c r="R87" i="64"/>
  <c r="S87" i="64" s="1"/>
  <c r="T87" i="64" s="1"/>
  <c r="R89" i="64"/>
  <c r="R90" i="64"/>
  <c r="R91" i="64"/>
  <c r="S91" i="64" s="1"/>
  <c r="R93" i="64"/>
  <c r="R94" i="64"/>
  <c r="R95" i="64"/>
  <c r="S95" i="64" s="1"/>
  <c r="R97" i="64"/>
  <c r="R98" i="64"/>
  <c r="S98" i="64" s="1"/>
  <c r="T98" i="64" s="1"/>
  <c r="R99" i="64"/>
  <c r="S99" i="64" s="1"/>
  <c r="R101" i="64"/>
  <c r="R102" i="64"/>
  <c r="R103" i="64"/>
  <c r="S103" i="64" s="1"/>
  <c r="T103" i="64" s="1"/>
  <c r="R105" i="64"/>
  <c r="R106" i="64"/>
  <c r="R107" i="64"/>
  <c r="S107" i="64" s="1"/>
  <c r="R109" i="64"/>
  <c r="S109" i="64" s="1"/>
  <c r="T109" i="64" s="1"/>
  <c r="R110" i="64"/>
  <c r="R111" i="64"/>
  <c r="S111" i="64" s="1"/>
  <c r="R113" i="64"/>
  <c r="R114" i="64"/>
  <c r="S114" i="64" s="1"/>
  <c r="T114" i="64" s="1"/>
  <c r="R115" i="64"/>
  <c r="S115" i="64" s="1"/>
  <c r="R117" i="64"/>
  <c r="R118" i="64"/>
  <c r="R119" i="64"/>
  <c r="S119" i="64" s="1"/>
  <c r="T119" i="64" s="1"/>
  <c r="R121" i="64"/>
  <c r="R122" i="64"/>
  <c r="R123" i="64"/>
  <c r="S123" i="64" s="1"/>
  <c r="R125" i="64"/>
  <c r="S125" i="64" s="1"/>
  <c r="T125" i="64" s="1"/>
  <c r="R126" i="64"/>
  <c r="R127" i="64"/>
  <c r="S127" i="64" s="1"/>
  <c r="R129" i="64"/>
  <c r="R130" i="64"/>
  <c r="S130" i="64" s="1"/>
  <c r="T130" i="64" s="1"/>
  <c r="R131" i="64"/>
  <c r="S131" i="64" s="1"/>
  <c r="R133" i="64"/>
  <c r="S5" i="64"/>
  <c r="S6" i="64"/>
  <c r="T6" i="64" s="1"/>
  <c r="W6" i="64" s="1"/>
  <c r="S9" i="64"/>
  <c r="S10" i="64"/>
  <c r="T10" i="64" s="1"/>
  <c r="S13" i="64"/>
  <c r="T13" i="64" s="1"/>
  <c r="S14" i="64"/>
  <c r="T14" i="64" s="1"/>
  <c r="S17" i="64"/>
  <c r="T17" i="64" s="1"/>
  <c r="S21" i="64"/>
  <c r="S22" i="64"/>
  <c r="T22" i="64" s="1"/>
  <c r="W22" i="64" s="1"/>
  <c r="S25" i="64"/>
  <c r="S26" i="64"/>
  <c r="T26" i="64" s="1"/>
  <c r="S29" i="64"/>
  <c r="T29" i="64" s="1"/>
  <c r="S30" i="64"/>
  <c r="T30" i="64" s="1"/>
  <c r="S33" i="64"/>
  <c r="T33" i="64" s="1"/>
  <c r="S37" i="64"/>
  <c r="S38" i="64"/>
  <c r="T38" i="64" s="1"/>
  <c r="W38" i="64" s="1"/>
  <c r="S41" i="64"/>
  <c r="S42" i="64"/>
  <c r="T42" i="64" s="1"/>
  <c r="S45" i="64"/>
  <c r="T45" i="64" s="1"/>
  <c r="S46" i="64"/>
  <c r="T46" i="64" s="1"/>
  <c r="S49" i="64"/>
  <c r="T49" i="64" s="1"/>
  <c r="S53" i="64"/>
  <c r="S54" i="64"/>
  <c r="T54" i="64" s="1"/>
  <c r="W54" i="64" s="1"/>
  <c r="S57" i="64"/>
  <c r="S58" i="64"/>
  <c r="T58" i="64" s="1"/>
  <c r="S61" i="64"/>
  <c r="T61" i="64" s="1"/>
  <c r="S62" i="64"/>
  <c r="T62" i="64" s="1"/>
  <c r="S65" i="64"/>
  <c r="T65" i="64" s="1"/>
  <c r="S69" i="64"/>
  <c r="S70" i="64"/>
  <c r="T70" i="64" s="1"/>
  <c r="W70" i="64" s="1"/>
  <c r="S73" i="64"/>
  <c r="S74" i="64"/>
  <c r="T74" i="64" s="1"/>
  <c r="S77" i="64"/>
  <c r="T77" i="64" s="1"/>
  <c r="S78" i="64"/>
  <c r="T78" i="64" s="1"/>
  <c r="S81" i="64"/>
  <c r="T81" i="64" s="1"/>
  <c r="S85" i="64"/>
  <c r="S86" i="64"/>
  <c r="T86" i="64" s="1"/>
  <c r="W86" i="64" s="1"/>
  <c r="S89" i="64"/>
  <c r="S90" i="64"/>
  <c r="S93" i="64"/>
  <c r="S94" i="64"/>
  <c r="S97" i="64"/>
  <c r="T97" i="64" s="1"/>
  <c r="S101" i="64"/>
  <c r="S102" i="64"/>
  <c r="T102" i="64" s="1"/>
  <c r="W102" i="64" s="1"/>
  <c r="S105" i="64"/>
  <c r="S106" i="64"/>
  <c r="S110" i="64"/>
  <c r="T110" i="64" s="1"/>
  <c r="W110" i="64" s="1"/>
  <c r="S113" i="64"/>
  <c r="T113" i="64" s="1"/>
  <c r="S117" i="64"/>
  <c r="S118" i="64"/>
  <c r="S121" i="64"/>
  <c r="T121" i="64" s="1"/>
  <c r="S122" i="64"/>
  <c r="S126" i="64"/>
  <c r="S129" i="64"/>
  <c r="T129" i="64" s="1"/>
  <c r="S133" i="64"/>
  <c r="T5" i="64"/>
  <c r="T9" i="64"/>
  <c r="T11" i="64"/>
  <c r="T15" i="64"/>
  <c r="T19" i="64"/>
  <c r="T21" i="64"/>
  <c r="T25" i="64"/>
  <c r="T27" i="64"/>
  <c r="T31" i="64"/>
  <c r="T35" i="64"/>
  <c r="T37" i="64"/>
  <c r="T41" i="64"/>
  <c r="T43" i="64"/>
  <c r="T47" i="64"/>
  <c r="T51" i="64"/>
  <c r="T53" i="64"/>
  <c r="T57" i="64"/>
  <c r="T59" i="64"/>
  <c r="T63" i="64"/>
  <c r="T67" i="64"/>
  <c r="T69" i="64"/>
  <c r="T73" i="64"/>
  <c r="T75" i="64"/>
  <c r="T79" i="64"/>
  <c r="T83" i="64"/>
  <c r="T85" i="64"/>
  <c r="T89" i="64"/>
  <c r="T90" i="64"/>
  <c r="T91" i="64"/>
  <c r="T93" i="64"/>
  <c r="T94" i="64"/>
  <c r="T95" i="64"/>
  <c r="T99" i="64"/>
  <c r="T101" i="64"/>
  <c r="T105" i="64"/>
  <c r="T106" i="64"/>
  <c r="T107" i="64"/>
  <c r="T111" i="64"/>
  <c r="T115" i="64"/>
  <c r="T117" i="64"/>
  <c r="T118" i="64"/>
  <c r="T122" i="64"/>
  <c r="T123" i="64"/>
  <c r="T126" i="64"/>
  <c r="T127" i="64"/>
  <c r="T131" i="64"/>
  <c r="T133" i="64"/>
  <c r="U5" i="64"/>
  <c r="U6" i="64"/>
  <c r="U7" i="64"/>
  <c r="U8" i="64"/>
  <c r="U9" i="64"/>
  <c r="U10" i="64"/>
  <c r="U11" i="64"/>
  <c r="U12" i="64"/>
  <c r="U13" i="64"/>
  <c r="U14" i="64"/>
  <c r="U15" i="64"/>
  <c r="U16" i="64"/>
  <c r="U17" i="64"/>
  <c r="U18" i="64"/>
  <c r="U19" i="64"/>
  <c r="U20" i="64"/>
  <c r="U21" i="64"/>
  <c r="U22" i="64"/>
  <c r="U23" i="64"/>
  <c r="U24" i="64"/>
  <c r="U25" i="64"/>
  <c r="U26" i="64"/>
  <c r="U27" i="64"/>
  <c r="U28" i="64"/>
  <c r="U29" i="64"/>
  <c r="U30" i="64"/>
  <c r="U31" i="64"/>
  <c r="U32" i="64"/>
  <c r="U33" i="64"/>
  <c r="U34" i="64"/>
  <c r="U35" i="64"/>
  <c r="U36" i="64"/>
  <c r="U37" i="64"/>
  <c r="U38" i="64"/>
  <c r="U39" i="64"/>
  <c r="U40" i="64"/>
  <c r="U41" i="64"/>
  <c r="U42" i="64"/>
  <c r="U43" i="64"/>
  <c r="U44" i="64"/>
  <c r="U45" i="64"/>
  <c r="U46" i="64"/>
  <c r="U47" i="64"/>
  <c r="U48" i="64"/>
  <c r="U49" i="64"/>
  <c r="U50" i="64"/>
  <c r="U51" i="64"/>
  <c r="U52" i="64"/>
  <c r="U53" i="64"/>
  <c r="U54" i="64"/>
  <c r="U55" i="64"/>
  <c r="U56" i="64"/>
  <c r="U57" i="64"/>
  <c r="U58" i="64"/>
  <c r="U59" i="64"/>
  <c r="U60" i="64"/>
  <c r="U61" i="64"/>
  <c r="U62" i="64"/>
  <c r="U63" i="64"/>
  <c r="U64" i="64"/>
  <c r="U65" i="64"/>
  <c r="U66" i="64"/>
  <c r="U67" i="64"/>
  <c r="U68" i="64"/>
  <c r="U69" i="64"/>
  <c r="U70" i="64"/>
  <c r="U71" i="64"/>
  <c r="U72" i="64"/>
  <c r="U73" i="64"/>
  <c r="U74" i="64"/>
  <c r="U75" i="64"/>
  <c r="U76" i="64"/>
  <c r="U77" i="64"/>
  <c r="U78" i="64"/>
  <c r="U79" i="64"/>
  <c r="U80" i="64"/>
  <c r="U81" i="64"/>
  <c r="U82" i="64"/>
  <c r="U83" i="64"/>
  <c r="U84" i="64"/>
  <c r="U85" i="64"/>
  <c r="U86" i="64"/>
  <c r="U87" i="64"/>
  <c r="U88" i="64"/>
  <c r="U89" i="64"/>
  <c r="U90" i="64"/>
  <c r="U91" i="64"/>
  <c r="U92" i="64"/>
  <c r="U93" i="64"/>
  <c r="U94" i="64"/>
  <c r="U95" i="64"/>
  <c r="U96" i="64"/>
  <c r="U97" i="64"/>
  <c r="U98" i="64"/>
  <c r="U99" i="64"/>
  <c r="U100" i="64"/>
  <c r="U101" i="64"/>
  <c r="U102" i="64"/>
  <c r="U103" i="64"/>
  <c r="U104" i="64"/>
  <c r="U105" i="64"/>
  <c r="U106" i="64"/>
  <c r="U107" i="64"/>
  <c r="U108" i="64"/>
  <c r="U109" i="64"/>
  <c r="U110" i="64"/>
  <c r="U111" i="64"/>
  <c r="U112" i="64"/>
  <c r="U113" i="64"/>
  <c r="U114" i="64"/>
  <c r="U115" i="64"/>
  <c r="U116" i="64"/>
  <c r="U117" i="64"/>
  <c r="U118" i="64"/>
  <c r="U119" i="64"/>
  <c r="U120" i="64"/>
  <c r="U121" i="64"/>
  <c r="U122" i="64"/>
  <c r="U123" i="64"/>
  <c r="U124" i="64"/>
  <c r="U125" i="64"/>
  <c r="U126" i="64"/>
  <c r="U127" i="64"/>
  <c r="U128" i="64"/>
  <c r="U129" i="64"/>
  <c r="U130" i="64"/>
  <c r="U131" i="64"/>
  <c r="U132" i="64"/>
  <c r="U133" i="64"/>
  <c r="V5" i="64"/>
  <c r="V6" i="64"/>
  <c r="V7" i="64"/>
  <c r="V8" i="64"/>
  <c r="V9" i="64"/>
  <c r="V10" i="64"/>
  <c r="V11" i="64"/>
  <c r="V12" i="64"/>
  <c r="V13" i="64"/>
  <c r="V14" i="64"/>
  <c r="V15" i="64"/>
  <c r="V16" i="64"/>
  <c r="V17" i="64"/>
  <c r="V18" i="64"/>
  <c r="V19" i="64"/>
  <c r="W19" i="64" s="1"/>
  <c r="Y19" i="64" s="1"/>
  <c r="V20" i="64"/>
  <c r="V21" i="64"/>
  <c r="V22" i="64"/>
  <c r="V23" i="64"/>
  <c r="V24" i="64"/>
  <c r="V25" i="64"/>
  <c r="V26" i="64"/>
  <c r="V27" i="64"/>
  <c r="V28" i="64"/>
  <c r="V29" i="64"/>
  <c r="V30" i="64"/>
  <c r="V31" i="64"/>
  <c r="V32" i="64"/>
  <c r="V33" i="64"/>
  <c r="V34" i="64"/>
  <c r="V35" i="64"/>
  <c r="W35" i="64" s="1"/>
  <c r="Y35" i="64" s="1"/>
  <c r="V36" i="64"/>
  <c r="V37" i="64"/>
  <c r="V38" i="64"/>
  <c r="V39" i="64"/>
  <c r="V40" i="64"/>
  <c r="V41" i="64"/>
  <c r="V42" i="64"/>
  <c r="V43" i="64"/>
  <c r="W43" i="64" s="1"/>
  <c r="Y43" i="64" s="1"/>
  <c r="V44" i="64"/>
  <c r="V45" i="64"/>
  <c r="V46" i="64"/>
  <c r="V47" i="64"/>
  <c r="W47" i="64" s="1"/>
  <c r="Y47" i="64" s="1"/>
  <c r="V48" i="64"/>
  <c r="V49" i="64"/>
  <c r="V50" i="64"/>
  <c r="V51" i="64"/>
  <c r="V52" i="64"/>
  <c r="V53" i="64"/>
  <c r="V54" i="64"/>
  <c r="V55" i="64"/>
  <c r="W55" i="64" s="1"/>
  <c r="Y55" i="64" s="1"/>
  <c r="V56" i="64"/>
  <c r="V57" i="64"/>
  <c r="V58" i="64"/>
  <c r="V59" i="64"/>
  <c r="W59" i="64" s="1"/>
  <c r="Y59" i="64" s="1"/>
  <c r="V60" i="64"/>
  <c r="V61" i="64"/>
  <c r="V62" i="64"/>
  <c r="V63" i="64"/>
  <c r="W63" i="64" s="1"/>
  <c r="Y63" i="64" s="1"/>
  <c r="V64" i="64"/>
  <c r="V65" i="64"/>
  <c r="V66" i="64"/>
  <c r="V67" i="64"/>
  <c r="V68" i="64"/>
  <c r="V69" i="64"/>
  <c r="V70" i="64"/>
  <c r="V71" i="64"/>
  <c r="V72" i="64"/>
  <c r="V73" i="64"/>
  <c r="V74" i="64"/>
  <c r="V75" i="64"/>
  <c r="V76" i="64"/>
  <c r="V77" i="64"/>
  <c r="V78" i="64"/>
  <c r="V79" i="64"/>
  <c r="V80" i="64"/>
  <c r="V81" i="64"/>
  <c r="V82" i="64"/>
  <c r="V83" i="64"/>
  <c r="W83" i="64" s="1"/>
  <c r="Y83" i="64" s="1"/>
  <c r="V84" i="64"/>
  <c r="V85" i="64"/>
  <c r="V86" i="64"/>
  <c r="V87" i="64"/>
  <c r="V88" i="64"/>
  <c r="V89" i="64"/>
  <c r="V90" i="64"/>
  <c r="V91" i="64"/>
  <c r="W91" i="64" s="1"/>
  <c r="Y91" i="64" s="1"/>
  <c r="V92" i="64"/>
  <c r="V93" i="64"/>
  <c r="V94" i="64"/>
  <c r="V95" i="64"/>
  <c r="V96" i="64"/>
  <c r="V97" i="64"/>
  <c r="V98" i="64"/>
  <c r="V99" i="64"/>
  <c r="W99" i="64" s="1"/>
  <c r="Y99" i="64" s="1"/>
  <c r="V100" i="64"/>
  <c r="V101" i="64"/>
  <c r="V102" i="64"/>
  <c r="V103" i="64"/>
  <c r="V104" i="64"/>
  <c r="V105" i="64"/>
  <c r="V106" i="64"/>
  <c r="V107" i="64"/>
  <c r="W107" i="64" s="1"/>
  <c r="Y107" i="64" s="1"/>
  <c r="V108" i="64"/>
  <c r="V109" i="64"/>
  <c r="V110" i="64"/>
  <c r="V111" i="64"/>
  <c r="V112" i="64"/>
  <c r="V113" i="64"/>
  <c r="V114" i="64"/>
  <c r="V115" i="64"/>
  <c r="W115" i="64" s="1"/>
  <c r="Y115" i="64" s="1"/>
  <c r="V116" i="64"/>
  <c r="V117" i="64"/>
  <c r="V118" i="64"/>
  <c r="V119" i="64"/>
  <c r="V120" i="64"/>
  <c r="V121" i="64"/>
  <c r="V122" i="64"/>
  <c r="V123" i="64"/>
  <c r="W123" i="64" s="1"/>
  <c r="Y123" i="64" s="1"/>
  <c r="AB123" i="64" s="1"/>
  <c r="V124" i="64"/>
  <c r="V125" i="64"/>
  <c r="V126" i="64"/>
  <c r="V127" i="64"/>
  <c r="V128" i="64"/>
  <c r="V129" i="64"/>
  <c r="V130" i="64"/>
  <c r="V131" i="64"/>
  <c r="W131" i="64" s="1"/>
  <c r="Y131" i="64" s="1"/>
  <c r="V132" i="64"/>
  <c r="V133" i="64"/>
  <c r="W10" i="64"/>
  <c r="W11" i="64"/>
  <c r="W14" i="64"/>
  <c r="W15" i="64"/>
  <c r="Y15" i="64" s="1"/>
  <c r="W23" i="64"/>
  <c r="W26" i="64"/>
  <c r="W27" i="64"/>
  <c r="W30" i="64"/>
  <c r="W31" i="64"/>
  <c r="W42" i="64"/>
  <c r="W46" i="64"/>
  <c r="W51" i="64"/>
  <c r="W58" i="64"/>
  <c r="W62" i="64"/>
  <c r="W67" i="64"/>
  <c r="W74" i="64"/>
  <c r="W75" i="64"/>
  <c r="W78" i="64"/>
  <c r="W79" i="64"/>
  <c r="W87" i="64"/>
  <c r="W95" i="64"/>
  <c r="W103" i="64"/>
  <c r="W111" i="64"/>
  <c r="W119" i="64"/>
  <c r="W127" i="64"/>
  <c r="X5" i="64"/>
  <c r="X6" i="64"/>
  <c r="X7" i="64"/>
  <c r="X8" i="64"/>
  <c r="X9" i="64"/>
  <c r="X10" i="64"/>
  <c r="Y10" i="64" s="1"/>
  <c r="X11" i="64"/>
  <c r="X12" i="64"/>
  <c r="X13" i="64"/>
  <c r="X14" i="64"/>
  <c r="Y14" i="64" s="1"/>
  <c r="X15" i="64"/>
  <c r="X16" i="64"/>
  <c r="X17" i="64"/>
  <c r="X18" i="64"/>
  <c r="X19" i="64"/>
  <c r="X20" i="64"/>
  <c r="X21" i="64"/>
  <c r="X22" i="64"/>
  <c r="X23" i="64"/>
  <c r="X24" i="64"/>
  <c r="X25" i="64"/>
  <c r="X26" i="64"/>
  <c r="Y26" i="64" s="1"/>
  <c r="X27" i="64"/>
  <c r="X28" i="64"/>
  <c r="X29" i="64"/>
  <c r="X30" i="64"/>
  <c r="Y30" i="64" s="1"/>
  <c r="X31" i="64"/>
  <c r="X32" i="64"/>
  <c r="X33" i="64"/>
  <c r="X34" i="64"/>
  <c r="X35" i="64"/>
  <c r="X36" i="64"/>
  <c r="X37" i="64"/>
  <c r="X38" i="64"/>
  <c r="X39" i="64"/>
  <c r="X40" i="64"/>
  <c r="X41" i="64"/>
  <c r="X42" i="64"/>
  <c r="X43" i="64"/>
  <c r="X44" i="64"/>
  <c r="X45" i="64"/>
  <c r="X46" i="64"/>
  <c r="X47" i="64"/>
  <c r="X48" i="64"/>
  <c r="X49" i="64"/>
  <c r="X50" i="64"/>
  <c r="X51" i="64"/>
  <c r="X52" i="64"/>
  <c r="X53" i="64"/>
  <c r="X54" i="64"/>
  <c r="X55" i="64"/>
  <c r="X56" i="64"/>
  <c r="X57" i="64"/>
  <c r="X58" i="64"/>
  <c r="X59" i="64"/>
  <c r="X60" i="64"/>
  <c r="X61" i="64"/>
  <c r="X62" i="64"/>
  <c r="X63" i="64"/>
  <c r="X64" i="64"/>
  <c r="X65" i="64"/>
  <c r="X66" i="64"/>
  <c r="X67" i="64"/>
  <c r="X68" i="64"/>
  <c r="X69" i="64"/>
  <c r="X70" i="64"/>
  <c r="X71" i="64"/>
  <c r="X72" i="64"/>
  <c r="X73" i="64"/>
  <c r="X74" i="64"/>
  <c r="Y74" i="64" s="1"/>
  <c r="X75" i="64"/>
  <c r="X76" i="64"/>
  <c r="X77" i="64"/>
  <c r="X78" i="64"/>
  <c r="Y78" i="64" s="1"/>
  <c r="X79" i="64"/>
  <c r="X80" i="64"/>
  <c r="X81" i="64"/>
  <c r="X82" i="64"/>
  <c r="X83" i="64"/>
  <c r="X84" i="64"/>
  <c r="X85" i="64"/>
  <c r="X86" i="64"/>
  <c r="X87" i="64"/>
  <c r="X88" i="64"/>
  <c r="X89" i="64"/>
  <c r="X90" i="64"/>
  <c r="X91" i="64"/>
  <c r="X92" i="64"/>
  <c r="X93" i="64"/>
  <c r="X94" i="64"/>
  <c r="X95" i="64"/>
  <c r="X96" i="64"/>
  <c r="X97" i="64"/>
  <c r="X98" i="64"/>
  <c r="X99" i="64"/>
  <c r="X100" i="64"/>
  <c r="X101" i="64"/>
  <c r="X102" i="64"/>
  <c r="X103" i="64"/>
  <c r="X104" i="64"/>
  <c r="X105" i="64"/>
  <c r="X106" i="64"/>
  <c r="X107" i="64"/>
  <c r="X108" i="64"/>
  <c r="X109" i="64"/>
  <c r="X110" i="64"/>
  <c r="X111" i="64"/>
  <c r="X112" i="64"/>
  <c r="X113" i="64"/>
  <c r="X114" i="64"/>
  <c r="X115" i="64"/>
  <c r="X116" i="64"/>
  <c r="X117" i="64"/>
  <c r="X118" i="64"/>
  <c r="X119" i="64"/>
  <c r="X120" i="64"/>
  <c r="X121" i="64"/>
  <c r="X122" i="64"/>
  <c r="X123" i="64"/>
  <c r="X124" i="64"/>
  <c r="X125" i="64"/>
  <c r="X126" i="64"/>
  <c r="X127" i="64"/>
  <c r="X128" i="64"/>
  <c r="X129" i="64"/>
  <c r="X130" i="64"/>
  <c r="X131" i="64"/>
  <c r="X132" i="64"/>
  <c r="X133" i="64"/>
  <c r="Y127" i="64"/>
  <c r="Z5" i="64"/>
  <c r="AA5" i="64" s="1"/>
  <c r="Z6" i="64"/>
  <c r="Z7" i="64"/>
  <c r="AA7" i="64" s="1"/>
  <c r="Z8" i="64"/>
  <c r="Z9" i="64"/>
  <c r="AA9" i="64" s="1"/>
  <c r="Z10" i="64"/>
  <c r="Z11" i="64"/>
  <c r="AA11" i="64" s="1"/>
  <c r="Z12" i="64"/>
  <c r="Z13" i="64"/>
  <c r="AA13" i="64" s="1"/>
  <c r="Z14" i="64"/>
  <c r="Z15" i="64"/>
  <c r="AA15" i="64" s="1"/>
  <c r="AB15" i="64" s="1"/>
  <c r="Z16" i="64"/>
  <c r="Z17" i="64"/>
  <c r="AA17" i="64" s="1"/>
  <c r="Z18" i="64"/>
  <c r="Z19" i="64"/>
  <c r="AA19" i="64" s="1"/>
  <c r="Z20" i="64"/>
  <c r="Z21" i="64"/>
  <c r="AA21" i="64" s="1"/>
  <c r="Z22" i="64"/>
  <c r="Z23" i="64"/>
  <c r="AA23" i="64" s="1"/>
  <c r="Z24" i="64"/>
  <c r="Z25" i="64"/>
  <c r="AA25" i="64" s="1"/>
  <c r="Z26" i="64"/>
  <c r="Z27" i="64"/>
  <c r="AA27" i="64" s="1"/>
  <c r="Z28" i="64"/>
  <c r="Z29" i="64"/>
  <c r="AA29" i="64" s="1"/>
  <c r="Z30" i="64"/>
  <c r="Z31" i="64"/>
  <c r="AA31" i="64" s="1"/>
  <c r="Z32" i="64"/>
  <c r="Z33" i="64"/>
  <c r="Z34" i="64"/>
  <c r="Z35" i="64"/>
  <c r="AA35" i="64" s="1"/>
  <c r="Z36" i="64"/>
  <c r="Z37" i="64"/>
  <c r="AA37" i="64" s="1"/>
  <c r="Z38" i="64"/>
  <c r="Z39" i="64"/>
  <c r="AA39" i="64" s="1"/>
  <c r="Z40" i="64"/>
  <c r="Z41" i="64"/>
  <c r="Z42" i="64"/>
  <c r="AA42" i="64" s="1"/>
  <c r="Z43" i="64"/>
  <c r="AA43" i="64" s="1"/>
  <c r="Z44" i="64"/>
  <c r="Z45" i="64"/>
  <c r="Z46" i="64"/>
  <c r="Z47" i="64"/>
  <c r="AA47" i="64" s="1"/>
  <c r="Z48" i="64"/>
  <c r="Z49" i="64"/>
  <c r="AA49" i="64" s="1"/>
  <c r="Z50" i="64"/>
  <c r="Z51" i="64"/>
  <c r="AA51" i="64" s="1"/>
  <c r="Z52" i="64"/>
  <c r="Z53" i="64"/>
  <c r="Z54" i="64"/>
  <c r="Z55" i="64"/>
  <c r="AA55" i="64" s="1"/>
  <c r="Z56" i="64"/>
  <c r="Z57" i="64"/>
  <c r="AA57" i="64" s="1"/>
  <c r="Z58" i="64"/>
  <c r="AA58" i="64" s="1"/>
  <c r="Z59" i="64"/>
  <c r="AA59" i="64" s="1"/>
  <c r="Z60" i="64"/>
  <c r="Z61" i="64"/>
  <c r="AA61" i="64" s="1"/>
  <c r="Z62" i="64"/>
  <c r="Z63" i="64"/>
  <c r="AA63" i="64" s="1"/>
  <c r="Z64" i="64"/>
  <c r="Z65" i="64"/>
  <c r="Z66" i="64"/>
  <c r="Z67" i="64"/>
  <c r="AA67" i="64" s="1"/>
  <c r="Z68" i="64"/>
  <c r="Z69" i="64"/>
  <c r="AA69" i="64" s="1"/>
  <c r="Z70" i="64"/>
  <c r="Z71" i="64"/>
  <c r="AA71" i="64" s="1"/>
  <c r="Z72" i="64"/>
  <c r="Z73" i="64"/>
  <c r="Z74" i="64"/>
  <c r="AA74" i="64" s="1"/>
  <c r="Z75" i="64"/>
  <c r="AA75" i="64" s="1"/>
  <c r="Z76" i="64"/>
  <c r="Z77" i="64"/>
  <c r="Z78" i="64"/>
  <c r="Z79" i="64"/>
  <c r="AA79" i="64" s="1"/>
  <c r="Z80" i="64"/>
  <c r="Z81" i="64"/>
  <c r="AA81" i="64" s="1"/>
  <c r="Z82" i="64"/>
  <c r="Z83" i="64"/>
  <c r="AA83" i="64" s="1"/>
  <c r="Z84" i="64"/>
  <c r="Z85" i="64"/>
  <c r="Z86" i="64"/>
  <c r="Z87" i="64"/>
  <c r="AA87" i="64" s="1"/>
  <c r="Z88" i="64"/>
  <c r="Z89" i="64"/>
  <c r="AA89" i="64" s="1"/>
  <c r="Z90" i="64"/>
  <c r="AA90" i="64" s="1"/>
  <c r="Z91" i="64"/>
  <c r="AA91" i="64" s="1"/>
  <c r="Z92" i="64"/>
  <c r="Z93" i="64"/>
  <c r="AA93" i="64" s="1"/>
  <c r="Z94" i="64"/>
  <c r="Z95" i="64"/>
  <c r="AA95" i="64" s="1"/>
  <c r="Z96" i="64"/>
  <c r="Z97" i="64"/>
  <c r="Z98" i="64"/>
  <c r="Z99" i="64"/>
  <c r="AA99" i="64" s="1"/>
  <c r="Z100" i="64"/>
  <c r="Z101" i="64"/>
  <c r="AA101" i="64" s="1"/>
  <c r="Z102" i="64"/>
  <c r="AA102" i="64" s="1"/>
  <c r="Z103" i="64"/>
  <c r="AA103" i="64" s="1"/>
  <c r="Z104" i="64"/>
  <c r="Z105" i="64"/>
  <c r="AA105" i="64" s="1"/>
  <c r="Z106" i="64"/>
  <c r="AA106" i="64" s="1"/>
  <c r="Z107" i="64"/>
  <c r="AA107" i="64" s="1"/>
  <c r="Z108" i="64"/>
  <c r="Z109" i="64"/>
  <c r="AA109" i="64" s="1"/>
  <c r="Z110" i="64"/>
  <c r="Z111" i="64"/>
  <c r="AA111" i="64" s="1"/>
  <c r="Z112" i="64"/>
  <c r="Z113" i="64"/>
  <c r="AA113" i="64" s="1"/>
  <c r="Z114" i="64"/>
  <c r="Z115" i="64"/>
  <c r="AA115" i="64" s="1"/>
  <c r="Z116" i="64"/>
  <c r="Z117" i="64"/>
  <c r="AA117" i="64" s="1"/>
  <c r="Z118" i="64"/>
  <c r="AA118" i="64" s="1"/>
  <c r="Z119" i="64"/>
  <c r="AA119" i="64" s="1"/>
  <c r="Z120" i="64"/>
  <c r="Z121" i="64"/>
  <c r="AA121" i="64" s="1"/>
  <c r="Z122" i="64"/>
  <c r="AA122" i="64" s="1"/>
  <c r="Z123" i="64"/>
  <c r="AA123" i="64" s="1"/>
  <c r="Z124" i="64"/>
  <c r="Z125" i="64"/>
  <c r="AA125" i="64" s="1"/>
  <c r="Z126" i="64"/>
  <c r="Z127" i="64"/>
  <c r="AA127" i="64" s="1"/>
  <c r="Z128" i="64"/>
  <c r="Z129" i="64"/>
  <c r="Z130" i="64"/>
  <c r="AA130" i="64" s="1"/>
  <c r="Z131" i="64"/>
  <c r="AA131" i="64" s="1"/>
  <c r="Z132" i="64"/>
  <c r="Z133" i="64"/>
  <c r="AA133" i="64" s="1"/>
  <c r="AA6" i="64"/>
  <c r="AA8" i="64"/>
  <c r="AA10" i="64"/>
  <c r="AB10" i="64" s="1"/>
  <c r="AA12" i="64"/>
  <c r="AA14" i="64"/>
  <c r="AB14" i="64" s="1"/>
  <c r="AA16" i="64"/>
  <c r="AA18" i="64"/>
  <c r="AA20" i="64"/>
  <c r="AA22" i="64"/>
  <c r="AA24" i="64"/>
  <c r="AA26" i="64"/>
  <c r="AB26" i="64" s="1"/>
  <c r="AA28" i="64"/>
  <c r="AA30" i="64"/>
  <c r="AB30" i="64" s="1"/>
  <c r="AA32" i="64"/>
  <c r="AA33" i="64"/>
  <c r="AA34" i="64"/>
  <c r="AA36" i="64"/>
  <c r="AA38" i="64"/>
  <c r="AA40" i="64"/>
  <c r="AA41" i="64"/>
  <c r="AA44" i="64"/>
  <c r="AA45" i="64"/>
  <c r="AA46" i="64"/>
  <c r="AA48" i="64"/>
  <c r="AA50" i="64"/>
  <c r="AA52" i="64"/>
  <c r="AA53" i="64"/>
  <c r="AA54" i="64"/>
  <c r="AA56" i="64"/>
  <c r="AA60" i="64"/>
  <c r="AA62" i="64"/>
  <c r="AA64" i="64"/>
  <c r="AA65" i="64"/>
  <c r="AA66" i="64"/>
  <c r="AA68" i="64"/>
  <c r="AA70" i="64"/>
  <c r="AA72" i="64"/>
  <c r="AA73" i="64"/>
  <c r="AA76" i="64"/>
  <c r="AA77" i="64"/>
  <c r="AA78" i="64"/>
  <c r="AA80" i="64"/>
  <c r="AA82" i="64"/>
  <c r="AA84" i="64"/>
  <c r="AA85" i="64"/>
  <c r="AA86" i="64"/>
  <c r="AA88" i="64"/>
  <c r="AA92" i="64"/>
  <c r="AA94" i="64"/>
  <c r="AA96" i="64"/>
  <c r="AA97" i="64"/>
  <c r="AA98" i="64"/>
  <c r="AA100" i="64"/>
  <c r="AA104" i="64"/>
  <c r="AA108" i="64"/>
  <c r="AA110" i="64"/>
  <c r="AA112" i="64"/>
  <c r="AA114" i="64"/>
  <c r="AA116" i="64"/>
  <c r="AA120" i="64"/>
  <c r="AA124" i="64"/>
  <c r="AA126" i="64"/>
  <c r="AA128" i="64"/>
  <c r="AA129" i="64"/>
  <c r="AA132" i="64"/>
  <c r="AB127" i="64"/>
  <c r="S19" i="68" l="1"/>
  <c r="V19" i="68" s="1"/>
  <c r="S38" i="68"/>
  <c r="V38" i="68" s="1"/>
  <c r="S6" i="68"/>
  <c r="V21" i="68"/>
  <c r="S35" i="68"/>
  <c r="V35" i="68" s="1"/>
  <c r="R45" i="68"/>
  <c r="S45" i="68" s="1"/>
  <c r="V45" i="68" s="1"/>
  <c r="R41" i="68"/>
  <c r="S41" i="68" s="1"/>
  <c r="R37" i="68"/>
  <c r="S37" i="68" s="1"/>
  <c r="V37" i="68" s="1"/>
  <c r="R33" i="68"/>
  <c r="S33" i="68" s="1"/>
  <c r="R29" i="68"/>
  <c r="S29" i="68" s="1"/>
  <c r="V29" i="68" s="1"/>
  <c r="R25" i="68"/>
  <c r="S25" i="68" s="1"/>
  <c r="R21" i="68"/>
  <c r="S21" i="68" s="1"/>
  <c r="R17" i="68"/>
  <c r="S17" i="68" s="1"/>
  <c r="V17" i="68" s="1"/>
  <c r="R13" i="68"/>
  <c r="S13" i="68" s="1"/>
  <c r="V13" i="68" s="1"/>
  <c r="R9" i="68"/>
  <c r="S9" i="68" s="1"/>
  <c r="R5" i="68"/>
  <c r="S5" i="68" s="1"/>
  <c r="V5" i="68" s="1"/>
  <c r="Q43" i="68"/>
  <c r="S43" i="68" s="1"/>
  <c r="V43" i="68" s="1"/>
  <c r="Q39" i="68"/>
  <c r="Q35" i="68"/>
  <c r="Q31" i="68"/>
  <c r="S31" i="68" s="1"/>
  <c r="V31" i="68" s="1"/>
  <c r="Q27" i="68"/>
  <c r="S27" i="68" s="1"/>
  <c r="V27" i="68" s="1"/>
  <c r="Q23" i="68"/>
  <c r="S23" i="68" s="1"/>
  <c r="V23" i="68" s="1"/>
  <c r="Q19" i="68"/>
  <c r="Q15" i="68"/>
  <c r="Q11" i="68"/>
  <c r="Q7" i="68"/>
  <c r="S30" i="68"/>
  <c r="S11" i="68"/>
  <c r="V11" i="68" s="1"/>
  <c r="S46" i="68"/>
  <c r="V46" i="68" s="1"/>
  <c r="S22" i="68"/>
  <c r="S14" i="68"/>
  <c r="V14" i="68" s="1"/>
  <c r="S32" i="68"/>
  <c r="V32" i="68" s="1"/>
  <c r="V33" i="68"/>
  <c r="V9" i="68"/>
  <c r="Q44" i="68"/>
  <c r="Q40" i="68"/>
  <c r="S40" i="68" s="1"/>
  <c r="V40" i="68" s="1"/>
  <c r="Q36" i="68"/>
  <c r="S36" i="68" s="1"/>
  <c r="V36" i="68" s="1"/>
  <c r="Q32" i="68"/>
  <c r="Q28" i="68"/>
  <c r="Q24" i="68"/>
  <c r="S24" i="68" s="1"/>
  <c r="V24" i="68" s="1"/>
  <c r="Q20" i="68"/>
  <c r="S20" i="68" s="1"/>
  <c r="V20" i="68" s="1"/>
  <c r="Q16" i="68"/>
  <c r="S16" i="68" s="1"/>
  <c r="V16" i="68" s="1"/>
  <c r="Q12" i="68"/>
  <c r="S12" i="68" s="1"/>
  <c r="V12" i="68" s="1"/>
  <c r="Q8" i="68"/>
  <c r="S8" i="68" s="1"/>
  <c r="V8" i="68" s="1"/>
  <c r="V41" i="68"/>
  <c r="V25" i="68"/>
  <c r="S44" i="68"/>
  <c r="V44" i="68" s="1"/>
  <c r="S28" i="68"/>
  <c r="V28" i="68" s="1"/>
  <c r="V42" i="68"/>
  <c r="V34" i="68"/>
  <c r="V30" i="68"/>
  <c r="V26" i="68"/>
  <c r="V22" i="68"/>
  <c r="V18" i="68"/>
  <c r="V10" i="68"/>
  <c r="V6" i="68"/>
  <c r="S39" i="68"/>
  <c r="V39" i="68" s="1"/>
  <c r="S15" i="68"/>
  <c r="V15" i="68" s="1"/>
  <c r="S7" i="68"/>
  <c r="V7" i="68" s="1"/>
  <c r="P21" i="67"/>
  <c r="P17" i="67"/>
  <c r="P13" i="67"/>
  <c r="P9" i="67"/>
  <c r="P5" i="67"/>
  <c r="F16" i="79"/>
  <c r="F12" i="79"/>
  <c r="F8" i="79"/>
  <c r="K12" i="73"/>
  <c r="K8" i="73"/>
  <c r="AB19" i="64"/>
  <c r="AB29" i="64"/>
  <c r="AB5" i="64"/>
  <c r="AB6" i="64"/>
  <c r="AB115" i="64"/>
  <c r="AB107" i="64"/>
  <c r="AB99" i="64"/>
  <c r="AB91" i="64"/>
  <c r="AB59" i="64"/>
  <c r="AB51" i="64"/>
  <c r="Y111" i="64"/>
  <c r="AB111" i="64" s="1"/>
  <c r="Y95" i="64"/>
  <c r="AB95" i="64" s="1"/>
  <c r="Y79" i="64"/>
  <c r="AB79" i="64" s="1"/>
  <c r="Y67" i="64"/>
  <c r="AB67" i="64" s="1"/>
  <c r="Y31" i="64"/>
  <c r="Y23" i="64"/>
  <c r="AB23" i="64" s="1"/>
  <c r="Y11" i="64"/>
  <c r="AB11" i="64" s="1"/>
  <c r="W53" i="64"/>
  <c r="Y53" i="64" s="1"/>
  <c r="AB53" i="64" s="1"/>
  <c r="W21" i="64"/>
  <c r="Y21" i="64" s="1"/>
  <c r="AB21" i="64" s="1"/>
  <c r="Y6" i="64"/>
  <c r="W130" i="64"/>
  <c r="W114" i="64"/>
  <c r="W98" i="64"/>
  <c r="Y98" i="64" s="1"/>
  <c r="AB98" i="64" s="1"/>
  <c r="W82" i="64"/>
  <c r="W71" i="64"/>
  <c r="Y71" i="64" s="1"/>
  <c r="W39" i="64"/>
  <c r="Y39" i="64" s="1"/>
  <c r="W7" i="64"/>
  <c r="Y7" i="64" s="1"/>
  <c r="AB7" i="64" s="1"/>
  <c r="AB131" i="64"/>
  <c r="AB83" i="64"/>
  <c r="AB47" i="64"/>
  <c r="AB35" i="64"/>
  <c r="Y62" i="64"/>
  <c r="Y58" i="64"/>
  <c r="AB58" i="64" s="1"/>
  <c r="Y46" i="64"/>
  <c r="AB46" i="64" s="1"/>
  <c r="Y42" i="64"/>
  <c r="AB42" i="64" s="1"/>
  <c r="W122" i="64"/>
  <c r="W106" i="64"/>
  <c r="Y119" i="64"/>
  <c r="AB119" i="64" s="1"/>
  <c r="Y103" i="64"/>
  <c r="AB103" i="64" s="1"/>
  <c r="Y87" i="64"/>
  <c r="AB87" i="64" s="1"/>
  <c r="Y75" i="64"/>
  <c r="Y51" i="64"/>
  <c r="Y27" i="64"/>
  <c r="AB27" i="64" s="1"/>
  <c r="W90" i="64"/>
  <c r="Y90" i="64" s="1"/>
  <c r="AB90" i="64" s="1"/>
  <c r="W5" i="64"/>
  <c r="Y5" i="64" s="1"/>
  <c r="W33" i="64"/>
  <c r="Y33" i="64" s="1"/>
  <c r="AB33" i="64" s="1"/>
  <c r="W17" i="64"/>
  <c r="Y17" i="64" s="1"/>
  <c r="AB17" i="64" s="1"/>
  <c r="W133" i="64"/>
  <c r="Y133" i="64" s="1"/>
  <c r="AB133" i="64" s="1"/>
  <c r="W121" i="64"/>
  <c r="Y121" i="64" s="1"/>
  <c r="AB121" i="64" s="1"/>
  <c r="W117" i="64"/>
  <c r="Y117" i="64" s="1"/>
  <c r="AB117" i="64" s="1"/>
  <c r="W105" i="64"/>
  <c r="Y105" i="64" s="1"/>
  <c r="AB105" i="64" s="1"/>
  <c r="W101" i="64"/>
  <c r="Y101" i="64" s="1"/>
  <c r="AB101" i="64" s="1"/>
  <c r="W93" i="64"/>
  <c r="Y93" i="64" s="1"/>
  <c r="AB93" i="64" s="1"/>
  <c r="W89" i="64"/>
  <c r="Y89" i="64" s="1"/>
  <c r="AB89" i="64" s="1"/>
  <c r="W77" i="64"/>
  <c r="Y77" i="64" s="1"/>
  <c r="AB77" i="64" s="1"/>
  <c r="W73" i="64"/>
  <c r="Y73" i="64" s="1"/>
  <c r="AB73" i="64" s="1"/>
  <c r="W61" i="64"/>
  <c r="Y61" i="64" s="1"/>
  <c r="AB61" i="64" s="1"/>
  <c r="W57" i="64"/>
  <c r="Y57" i="64" s="1"/>
  <c r="AB57" i="64" s="1"/>
  <c r="W45" i="64"/>
  <c r="Y45" i="64" s="1"/>
  <c r="AB45" i="64" s="1"/>
  <c r="W41" i="64"/>
  <c r="Y41" i="64" s="1"/>
  <c r="AB41" i="64" s="1"/>
  <c r="W29" i="64"/>
  <c r="Y29" i="64" s="1"/>
  <c r="W25" i="64"/>
  <c r="Y25" i="64" s="1"/>
  <c r="AB25" i="64" s="1"/>
  <c r="W13" i="64"/>
  <c r="Y13" i="64" s="1"/>
  <c r="AB13" i="64" s="1"/>
  <c r="W9" i="64"/>
  <c r="Y9" i="64" s="1"/>
  <c r="AB9" i="64" s="1"/>
  <c r="W126" i="64"/>
  <c r="W118" i="64"/>
  <c r="W94" i="64"/>
  <c r="AB31" i="64"/>
  <c r="AB71" i="64"/>
  <c r="AB39" i="64"/>
  <c r="AB78" i="64"/>
  <c r="AB62" i="64"/>
  <c r="AB63" i="64"/>
  <c r="AB55" i="64"/>
  <c r="AB43" i="64"/>
  <c r="AB74" i="64"/>
  <c r="AB75" i="64"/>
  <c r="W85" i="64"/>
  <c r="Y85" i="64" s="1"/>
  <c r="AB85" i="64" s="1"/>
  <c r="W129" i="64"/>
  <c r="Y129" i="64" s="1"/>
  <c r="AB129" i="64" s="1"/>
  <c r="Y86" i="64"/>
  <c r="AB86" i="64" s="1"/>
  <c r="Y70" i="64"/>
  <c r="AB70" i="64" s="1"/>
  <c r="Y54" i="64"/>
  <c r="AB54" i="64" s="1"/>
  <c r="Y38" i="64"/>
  <c r="AB38" i="64" s="1"/>
  <c r="Y22" i="64"/>
  <c r="AB22" i="64" s="1"/>
  <c r="Y130" i="64"/>
  <c r="AB130" i="64" s="1"/>
  <c r="W125" i="64"/>
  <c r="Y125" i="64" s="1"/>
  <c r="AB125" i="64" s="1"/>
  <c r="Y114" i="64"/>
  <c r="AB114" i="64" s="1"/>
  <c r="W109" i="64"/>
  <c r="Y109" i="64" s="1"/>
  <c r="AB109" i="64" s="1"/>
  <c r="Y82" i="64"/>
  <c r="AB82" i="64" s="1"/>
  <c r="Y66" i="64"/>
  <c r="AB66" i="64" s="1"/>
  <c r="Y50" i="64"/>
  <c r="AB50" i="64" s="1"/>
  <c r="Y34" i="64"/>
  <c r="AB34" i="64" s="1"/>
  <c r="Y18" i="64"/>
  <c r="AB18" i="64" s="1"/>
  <c r="W132" i="64"/>
  <c r="Y132" i="64" s="1"/>
  <c r="AB132" i="64" s="1"/>
  <c r="W128" i="64"/>
  <c r="Y128" i="64" s="1"/>
  <c r="AB128" i="64" s="1"/>
  <c r="W120" i="64"/>
  <c r="Y120" i="64" s="1"/>
  <c r="AB120" i="64" s="1"/>
  <c r="W116" i="64"/>
  <c r="Y116" i="64" s="1"/>
  <c r="AB116" i="64" s="1"/>
  <c r="W112" i="64"/>
  <c r="Y112" i="64" s="1"/>
  <c r="AB112" i="64" s="1"/>
  <c r="W104" i="64"/>
  <c r="Y104" i="64" s="1"/>
  <c r="AB104" i="64" s="1"/>
  <c r="W100" i="64"/>
  <c r="Y100" i="64" s="1"/>
  <c r="AB100" i="64" s="1"/>
  <c r="W96" i="64"/>
  <c r="Y96" i="64" s="1"/>
  <c r="AB96" i="64" s="1"/>
  <c r="W88" i="64"/>
  <c r="Y88" i="64" s="1"/>
  <c r="AB88" i="64" s="1"/>
  <c r="W84" i="64"/>
  <c r="Y84" i="64" s="1"/>
  <c r="AB84" i="64" s="1"/>
  <c r="W80" i="64"/>
  <c r="Y80" i="64" s="1"/>
  <c r="AB80" i="64" s="1"/>
  <c r="W72" i="64"/>
  <c r="Y72" i="64" s="1"/>
  <c r="AB72" i="64" s="1"/>
  <c r="W68" i="64"/>
  <c r="Y68" i="64" s="1"/>
  <c r="AB68" i="64" s="1"/>
  <c r="W64" i="64"/>
  <c r="Y64" i="64" s="1"/>
  <c r="AB64" i="64" s="1"/>
  <c r="W56" i="64"/>
  <c r="Y56" i="64" s="1"/>
  <c r="AB56" i="64" s="1"/>
  <c r="W52" i="64"/>
  <c r="Y52" i="64" s="1"/>
  <c r="AB52" i="64" s="1"/>
  <c r="W48" i="64"/>
  <c r="Y48" i="64" s="1"/>
  <c r="AB48" i="64" s="1"/>
  <c r="W40" i="64"/>
  <c r="Y40" i="64" s="1"/>
  <c r="AB40" i="64" s="1"/>
  <c r="W36" i="64"/>
  <c r="Y36" i="64" s="1"/>
  <c r="AB36" i="64" s="1"/>
  <c r="W32" i="64"/>
  <c r="Y32" i="64" s="1"/>
  <c r="AB32" i="64" s="1"/>
  <c r="W24" i="64"/>
  <c r="Y24" i="64" s="1"/>
  <c r="AB24" i="64" s="1"/>
  <c r="W20" i="64"/>
  <c r="Y20" i="64" s="1"/>
  <c r="AB20" i="64" s="1"/>
  <c r="W16" i="64"/>
  <c r="Y16" i="64" s="1"/>
  <c r="AB16" i="64" s="1"/>
  <c r="W8" i="64"/>
  <c r="Y8" i="64" s="1"/>
  <c r="AB8" i="64" s="1"/>
  <c r="Y122" i="64"/>
  <c r="AB122" i="64" s="1"/>
  <c r="Y106" i="64"/>
  <c r="AB106" i="64" s="1"/>
  <c r="W108" i="64"/>
  <c r="Y108" i="64" s="1"/>
  <c r="AB108" i="64" s="1"/>
  <c r="W92" i="64"/>
  <c r="Y92" i="64" s="1"/>
  <c r="AB92" i="64" s="1"/>
  <c r="W76" i="64"/>
  <c r="Y76" i="64" s="1"/>
  <c r="AB76" i="64" s="1"/>
  <c r="W60" i="64"/>
  <c r="Y60" i="64" s="1"/>
  <c r="AB60" i="64" s="1"/>
  <c r="W44" i="64"/>
  <c r="Y44" i="64" s="1"/>
  <c r="AB44" i="64" s="1"/>
  <c r="W28" i="64"/>
  <c r="Y28" i="64" s="1"/>
  <c r="AB28" i="64" s="1"/>
  <c r="W12" i="64"/>
  <c r="Y12" i="64" s="1"/>
  <c r="AB12" i="64" s="1"/>
  <c r="W69" i="64"/>
  <c r="Y69" i="64" s="1"/>
  <c r="AB69" i="64" s="1"/>
  <c r="W37" i="64"/>
  <c r="Y37" i="64" s="1"/>
  <c r="AB37" i="64" s="1"/>
  <c r="W124" i="64"/>
  <c r="Y124" i="64" s="1"/>
  <c r="AB124" i="64" s="1"/>
  <c r="W97" i="64"/>
  <c r="Y97" i="64" s="1"/>
  <c r="AB97" i="64" s="1"/>
  <c r="W81" i="64"/>
  <c r="Y81" i="64" s="1"/>
  <c r="AB81" i="64" s="1"/>
  <c r="W65" i="64"/>
  <c r="Y65" i="64" s="1"/>
  <c r="AB65" i="64" s="1"/>
  <c r="W49" i="64"/>
  <c r="Y49" i="64" s="1"/>
  <c r="AB49" i="64" s="1"/>
  <c r="Y126" i="64"/>
  <c r="AB126" i="64" s="1"/>
  <c r="Y118" i="64"/>
  <c r="AB118" i="64" s="1"/>
  <c r="Y110" i="64"/>
  <c r="AB110" i="64" s="1"/>
  <c r="Y102" i="64"/>
  <c r="AB102" i="64" s="1"/>
  <c r="Y94" i="64"/>
  <c r="AB94" i="64" s="1"/>
  <c r="W113" i="64"/>
  <c r="Y113" i="64" s="1"/>
  <c r="AB113" i="64" s="1"/>
  <c r="F10" i="58" l="1"/>
  <c r="F9" i="58"/>
  <c r="F2" i="50"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4A38E6B9-5957-4E76-8CB5-F567F8A72375}" keepAlive="1" name="Query - C_AllComp" description="Connection to the 'C_AllComp' query in the workbook." type="5" refreshedVersion="6" background="1" saveData="1">
    <dbPr connection="Provider=Microsoft.Mashup.OleDb.1;Data Source=$Workbook$;Location=C_AllComp;Extended Properties=&quot;&quot;" command="SELECT * FROM [C_AllComp]"/>
  </connection>
  <connection id="2" xr16:uid="{72C7347B-B204-4208-8707-24E466786831}" keepAlive="1" name="Query - C_Distance" description="Connection to the 'C_Distance' query in the workbook." type="5" refreshedVersion="6" background="1" saveData="1">
    <dbPr connection="Provider=Microsoft.Mashup.OleDb.1;Data Source=$Workbook$;Location=C_Distance;Extended Properties=&quot;&quot;" command="SELECT * FROM [C_Distance]"/>
  </connection>
  <connection id="3" xr16:uid="{1A47FCFE-A50E-4AE4-9DFD-8B08DF440B1B}" keepAlive="1" name="Query - C_Paired" description="Connection to the 'C_Paired' query in the workbook." type="5" refreshedVersion="6" background="1" saveData="1">
    <dbPr connection="Provider=Microsoft.Mashup.OleDb.1;Data Source=$Workbook$;Location=C_Paired;Extended Properties=&quot;&quot;" command="SELECT * FROM [C_Paired]"/>
  </connection>
  <connection id="4" xr16:uid="{2F714EFB-6294-4D77-846A-50C78794DA15}" keepAlive="1" name="Query - C_Proxy_sample" description="Connection to the 'C_Proxy_sample' query in the workbook." type="5" refreshedVersion="6" background="1" saveData="1">
    <dbPr connection="Provider=Microsoft.Mashup.OleDb.1;Data Source=$Workbook$;Location=C_Proxy_sample;Extended Properties=&quot;&quot;" command="SELECT * FROM [C_Proxy_sample]"/>
  </connection>
  <connection id="5" xr16:uid="{7A3A830F-E408-4F22-827A-B7B552A4DA64}" keepAlive="1" name="Query - C_ProxyComp" description="Connection to the 'C_ProxyComp' query in the workbook." type="5" refreshedVersion="6" background="1" saveData="1">
    <dbPr connection="Provider=Microsoft.Mashup.OleDb.1;Data Source=$Workbook$;Location=C_ProxyComp;Extended Properties=&quot;&quot;" command="SELECT * FROM [C_ProxyComp]"/>
  </connection>
  <connection id="6" xr16:uid="{E8CCA2DF-E2BC-4315-9A41-E2DDB8E7FD7B}" keepAlive="1" name="Query - C_UKComp" description="Connection to the 'C_UKComp' query in the workbook." type="5" refreshedVersion="6" background="1" saveData="1">
    <dbPr connection="Provider=Microsoft.Mashup.OleDb.1;Data Source=$Workbook$;Location=C_UKComp;Extended Properties=&quot;&quot;" command="SELECT * FROM [C_UKComp]"/>
  </connection>
  <connection id="7" xr16:uid="{E282740E-9525-4494-A9F5-EEA8144740D2}" keepAlive="1" name="Query - C_UKEq_detail" description="Connection to the 'C_UKEq_detail' query in the workbook." type="5" refreshedVersion="6" background="1" saveData="1">
    <dbPr connection="Provider=Microsoft.Mashup.OleDb.1;Data Source=$Workbook$;Location=C_UKEq_detail;Extended Properties=&quot;&quot;" command="SELECT * FROM [C_UKEq_detail]"/>
  </connection>
  <connection id="8" xr16:uid="{8675890A-4F01-4C5A-96DB-A34F539833D6}" keepAlive="1" name="Query - C_UKEq_UKComp" description="Connection to the 'C_UKEq_UKComp' query in the workbook." type="5" refreshedVersion="6" background="1" saveData="1">
    <dbPr connection="Provider=Microsoft.Mashup.OleDb.1;Data Source=$Workbook$;Location=C_UKEq_UKComp;Extended Properties=&quot;&quot;" command="SELECT * FROM [C_UKEq_UKComp]"/>
  </connection>
  <connection id="9" xr16:uid="{A2E7D495-B91F-4F70-A4F0-5176FA69A30D}" keepAlive="1" name="Query - C_UKEqComp" description="Connection to the 'C_UKEqComp' query in the workbook." type="5" refreshedVersion="6" background="1" saveData="1">
    <dbPr connection="Provider=Microsoft.Mashup.OleDb.1;Data Source=$Workbook$;Location=C_UKEqComp;Extended Properties=&quot;&quot;" command="SELECT * FROM [C_UKEqComp]"/>
  </connection>
  <connection id="10" xr16:uid="{D35C7BFC-AE90-4A9D-92B1-AAF71EE18B4C}" keepAlive="1" name="Query - E_Results" description="Connection to the 'E_Results' query in the workbook." type="5" refreshedVersion="6" background="1" saveData="1">
    <dbPr connection="Provider=Microsoft.Mashup.OleDb.1;Data Source=$Workbook$;Location=E_Results;Extended Properties=&quot;&quot;" command="SELECT * FROM [E_Results]"/>
  </connection>
  <connection id="11" xr16:uid="{60736E18-5723-4947-9958-9328983E975D}" keepAlive="1" name="Query - G_Results" description="Connection to the 'G_Results' query in the workbook." type="5" refreshedVersion="6" background="1">
    <dbPr connection="Provider=Microsoft.Mashup.OleDb.1;Data Source=$Workbook$;Location=G_Results;Extended Properties=&quot;&quot;" command="SELECT * FROM [G_Results]"/>
  </connection>
  <connection id="12" xr16:uid="{1673B37F-DC4D-47D3-BE90-06DE0F6A19DB}" keepAlive="1" name="Query - I_Award" description="Connection to the 'I_Award' query in the workbook." type="5" refreshedVersion="6" background="1" saveData="1">
    <dbPr connection="Provider=Microsoft.Mashup.OleDb.1;Data Source=$Workbook$;Location=I_Award;Extended Properties=&quot;&quot;" command="SELECT * FROM [I_Award]"/>
  </connection>
  <connection id="13" xr16:uid="{D1BF857D-B9EE-4A8F-83E8-2FF736015C7C}" keepAlive="1" name="Query - I_CPI_UK" description="Connection to the 'I_CPI_UK' query in the workbook." type="5" refreshedVersion="6" background="1" saveData="1">
    <dbPr connection="Provider=Microsoft.Mashup.OleDb.1;Data Source=$Workbook$;Location=I_CPI_UK;Extended Properties=&quot;&quot;" command="SELECT * FROM [I_CPI_UK]"/>
  </connection>
  <connection id="14" xr16:uid="{037ADD36-5A98-4068-BD86-A763A30E1071}" keepAlive="1" name="Query - I_Population" description="Connection to the 'I_Population' query in the workbook." type="5" refreshedVersion="6" background="1" saveData="1">
    <dbPr connection="Provider=Microsoft.Mashup.OleDb.1;Data Source=$Workbook$;Location=I_Population;Extended Properties=&quot;&quot;" command="SELECT * FROM [I_Population]"/>
  </connection>
  <connection id="15" xr16:uid="{81DE6C43-853A-4E6F-97DB-C13627FB0FFE}" keepAlive="1" name="Query - I_PPP" description="Connection to the 'I_PPP' query in the workbook." type="5" refreshedVersion="6" background="1" saveData="1">
    <dbPr connection="Provider=Microsoft.Mashup.OleDb.1;Data Source=$Workbook$;Location=I_PPP;Extended Properties=&quot;&quot;" command="SELECT * FROM [I_PPP]"/>
  </connection>
  <connection id="16" xr16:uid="{CA93D97D-4CDB-49D7-AC49-AB0271D41D4E}" keepAlive="1" name="Query - O_Distance" description="Connection to the 'O_Distance' query in the workbook." type="5" refreshedVersion="6" background="1" saveData="1">
    <dbPr connection="Provider=Microsoft.Mashup.OleDb.1;Data Source=$Workbook$;Location=O_Distance;Extended Properties=&quot;&quot;" command="SELECT * FROM [O_Distance]"/>
  </connection>
  <connection id="17" xr16:uid="{492A4842-43F1-46CD-AFCB-641A1414DD52}" keepAlive="1" name="Query - O_Paired" description="Connection to the 'O_Paired' query in the workbook." type="5" refreshedVersion="6" background="1" saveData="1">
    <dbPr connection="Provider=Microsoft.Mashup.OleDb.1;Data Source=$Workbook$;Location=O_Paired;Extended Properties=&quot;&quot;" command="SELECT * FROM [O_Paired]"/>
  </connection>
  <connection id="18" xr16:uid="{7FEC02CE-A361-4CE8-B392-C58D49C4B1C4}" keepAlive="1" name="Query - O_Proxy_sample" description="Connection to the 'O_Proxy_sample' query in the workbook." type="5" refreshedVersion="6" background="1" saveData="1">
    <dbPr connection="Provider=Microsoft.Mashup.OleDb.1;Data Source=$Workbook$;Location=O_Proxy_sample;Extended Properties=&quot;&quot;" command="SELECT * FROM [O_Proxy_sample]"/>
  </connection>
</connections>
</file>

<file path=xl/sharedStrings.xml><?xml version="1.0" encoding="utf-8"?>
<sst xmlns="http://schemas.openxmlformats.org/spreadsheetml/2006/main" count="5260" uniqueCount="915">
  <si>
    <t>Sheet</t>
  </si>
  <si>
    <t>Description</t>
  </si>
  <si>
    <t>Status</t>
  </si>
  <si>
    <t>Notes</t>
  </si>
  <si>
    <t>Output</t>
  </si>
  <si>
    <t>Highlight</t>
  </si>
  <si>
    <t>A key result from this part of the model (in particular one that will be used elsewhere in the model)</t>
  </si>
  <si>
    <t>Style Guidelines</t>
  </si>
  <si>
    <t>Name</t>
  </si>
  <si>
    <t>H1</t>
  </si>
  <si>
    <t>H2</t>
  </si>
  <si>
    <t>H3</t>
  </si>
  <si>
    <t>H4</t>
  </si>
  <si>
    <t>Heading level 1</t>
  </si>
  <si>
    <t>Heading level 2</t>
  </si>
  <si>
    <t>Heading level 3</t>
  </si>
  <si>
    <t>Heading level 4</t>
  </si>
  <si>
    <t>Title</t>
  </si>
  <si>
    <t>A side calculation intended solely to cross check a result (and which therefore should not be referenced anywhere else in the model)</t>
  </si>
  <si>
    <r>
      <t xml:space="preserve">An Excel Name applying to one or more adjacent cells (use </t>
    </r>
    <r>
      <rPr>
        <u/>
        <sz val="9"/>
        <rFont val="Arial"/>
        <family val="2"/>
      </rPr>
      <t>I</t>
    </r>
    <r>
      <rPr>
        <sz val="11"/>
        <rFont val="Calibri"/>
        <family val="2"/>
        <scheme val="minor"/>
      </rPr>
      <t xml:space="preserve">nsert </t>
    </r>
    <r>
      <rPr>
        <u/>
        <sz val="9"/>
        <rFont val="Arial"/>
        <family val="2"/>
      </rPr>
      <t>N</t>
    </r>
    <r>
      <rPr>
        <sz val="11"/>
        <rFont val="Calibri"/>
        <family val="2"/>
        <scheme val="minor"/>
      </rPr>
      <t xml:space="preserve">ame </t>
    </r>
    <r>
      <rPr>
        <u/>
        <sz val="9"/>
        <rFont val="Arial"/>
        <family val="2"/>
      </rPr>
      <t>C</t>
    </r>
    <r>
      <rPr>
        <sz val="11"/>
        <rFont val="Calibri"/>
        <family val="2"/>
        <scheme val="minor"/>
      </rPr>
      <t>reate to actually create the Excel Names)</t>
    </r>
  </si>
  <si>
    <t>NB Use Window Unfreeze Panes (on each worksheet) to have row 1 scroll with the rest of the worksheet</t>
  </si>
  <si>
    <t>Version</t>
  </si>
  <si>
    <t>Objective</t>
  </si>
  <si>
    <t xml:space="preserve">Title </t>
  </si>
  <si>
    <t>Author</t>
  </si>
  <si>
    <t>Information</t>
  </si>
  <si>
    <t>History</t>
  </si>
  <si>
    <t>Contents</t>
  </si>
  <si>
    <t>Version History</t>
  </si>
  <si>
    <t>A history of the versions of this workbook</t>
  </si>
  <si>
    <t>A guide to the styles used in this workbook</t>
  </si>
  <si>
    <t>This contents sheet</t>
  </si>
  <si>
    <t>Confidentiality status</t>
  </si>
  <si>
    <t>A cell that is highlighted for uncertainty</t>
  </si>
  <si>
    <t>Details of modifications introduced</t>
  </si>
  <si>
    <t xml:space="preserve">Date </t>
  </si>
  <si>
    <t>Actual model sheets</t>
  </si>
  <si>
    <t>Named range</t>
  </si>
  <si>
    <t>Styles</t>
  </si>
  <si>
    <t>Un-format</t>
  </si>
  <si>
    <t>Going back to default Excel formatting</t>
  </si>
  <si>
    <t>Version Histrory</t>
  </si>
  <si>
    <t>Project case code</t>
  </si>
  <si>
    <t>Calculation</t>
  </si>
  <si>
    <t>Intermediate calculation (not final output)</t>
  </si>
  <si>
    <t>Input data</t>
  </si>
  <si>
    <t>Cells left intentionally blank</t>
  </si>
  <si>
    <t>Note/source</t>
  </si>
  <si>
    <t>Cells which are part of a named range</t>
  </si>
  <si>
    <t>Input assumption or parameter</t>
  </si>
  <si>
    <t>Note or source</t>
  </si>
  <si>
    <t>Text</t>
  </si>
  <si>
    <t>Cells required for model logic (e.g. year counters)</t>
  </si>
  <si>
    <t>Model logic</t>
  </si>
  <si>
    <t>Intentionally blank</t>
  </si>
  <si>
    <t>named_range_1</t>
  </si>
  <si>
    <t>Check pass</t>
  </si>
  <si>
    <t>Check fail</t>
  </si>
  <si>
    <t>Input assumptions or parameters (e.g. for a scenario or control sheet)</t>
  </si>
  <si>
    <t>Input data (e.g. RFS data, inflation, etc)</t>
  </si>
  <si>
    <t>Feed cell from within this workbook</t>
  </si>
  <si>
    <t>Feed cell from a different workbook</t>
  </si>
  <si>
    <t>Feed internal</t>
  </si>
  <si>
    <t>Feed external</t>
  </si>
  <si>
    <t>QA highlight</t>
  </si>
  <si>
    <t>A cell that is highlighted for quality assurance</t>
  </si>
  <si>
    <t>Randomized</t>
  </si>
  <si>
    <t>Confidential</t>
  </si>
  <si>
    <t>Randomized data</t>
  </si>
  <si>
    <t>Confidential data, to be removed or randomized before publication</t>
  </si>
  <si>
    <t>Terms and conditions</t>
  </si>
  <si>
    <t>Spectrum award data</t>
  </si>
  <si>
    <t>Control sheet</t>
  </si>
  <si>
    <t>award_id</t>
  </si>
  <si>
    <t>band</t>
  </si>
  <si>
    <t>award_date</t>
  </si>
  <si>
    <t>licensee</t>
  </si>
  <si>
    <t>amount_mhz</t>
  </si>
  <si>
    <t>duration_years</t>
  </si>
  <si>
    <t>headline_price</t>
  </si>
  <si>
    <t>alf</t>
  </si>
  <si>
    <t>reserve_price</t>
  </si>
  <si>
    <t>start_date</t>
  </si>
  <si>
    <t>end_date</t>
  </si>
  <si>
    <t>1800MHz FDD</t>
  </si>
  <si>
    <t>Vodafone</t>
  </si>
  <si>
    <t>2600MHz FDD</t>
  </si>
  <si>
    <t>2100MHz FDD/TDD</t>
  </si>
  <si>
    <t>UK-2018 Apr-2300</t>
  </si>
  <si>
    <t>2300MHz FDD/TDD</t>
  </si>
  <si>
    <t>O2</t>
  </si>
  <si>
    <t>800MHz FDD</t>
  </si>
  <si>
    <t>Sweden-2018 Dec-700</t>
  </si>
  <si>
    <t>700MHz FDD</t>
  </si>
  <si>
    <t>Telia Sverige</t>
  </si>
  <si>
    <t>SEK</t>
  </si>
  <si>
    <t>Net4Mobility</t>
  </si>
  <si>
    <t>EUR</t>
  </si>
  <si>
    <t>Telemach</t>
  </si>
  <si>
    <t>Orange</t>
  </si>
  <si>
    <t>T-Mobile</t>
  </si>
  <si>
    <t>Norway-2019 Jun-700</t>
  </si>
  <si>
    <t>Ice</t>
  </si>
  <si>
    <t>NOK</t>
  </si>
  <si>
    <t>Telia</t>
  </si>
  <si>
    <t>Telenor</t>
  </si>
  <si>
    <t>Norway-2019 Jun-2100</t>
  </si>
  <si>
    <t>Netherlands-2020 Jul-700</t>
  </si>
  <si>
    <t>KPN</t>
  </si>
  <si>
    <t>Netherlands-2020 Jul-2100</t>
  </si>
  <si>
    <t>Tele2</t>
  </si>
  <si>
    <t>Iceland-2017 May-700</t>
  </si>
  <si>
    <t>Siminn.</t>
  </si>
  <si>
    <t>ISK</t>
  </si>
  <si>
    <t>Iceland-2017 May-800</t>
  </si>
  <si>
    <t>Nova Bank.</t>
  </si>
  <si>
    <t>Telecommunications hf.</t>
  </si>
  <si>
    <t>Iceland-2017 May-2100</t>
  </si>
  <si>
    <t>Yellow Mobile BV</t>
  </si>
  <si>
    <t>Hungarian Telekom</t>
  </si>
  <si>
    <t>HUF</t>
  </si>
  <si>
    <t>Hungary-2020 Mar-2100</t>
  </si>
  <si>
    <t xml:space="preserve">Cosmote </t>
  </si>
  <si>
    <t>Wind</t>
  </si>
  <si>
    <t>Greece-2014 Oct-800</t>
  </si>
  <si>
    <t>Germany-2019 Jun-2100</t>
  </si>
  <si>
    <t>Telekom Deutschland</t>
  </si>
  <si>
    <t>Telefonica Deutschland</t>
  </si>
  <si>
    <t>Drillisch Netz</t>
  </si>
  <si>
    <t>Germany-2015 Jun-1800</t>
  </si>
  <si>
    <t>Telekom</t>
  </si>
  <si>
    <t>TEF DE</t>
  </si>
  <si>
    <t>Germany-2015 Jun-700</t>
  </si>
  <si>
    <t>Deutsche Telekom</t>
  </si>
  <si>
    <t>E-Plus</t>
  </si>
  <si>
    <t>Germany-2010 May-800</t>
  </si>
  <si>
    <t>HRK</t>
  </si>
  <si>
    <t>Croatia-2013 Nov-800</t>
  </si>
  <si>
    <t xml:space="preserve">T-Hrvatski Telekom </t>
  </si>
  <si>
    <t xml:space="preserve">Vipnet </t>
  </si>
  <si>
    <t>PPP conversion factor, GDP (LCU per international $)</t>
  </si>
  <si>
    <t>lcu</t>
  </si>
  <si>
    <t>country</t>
  </si>
  <si>
    <t>Hungary</t>
  </si>
  <si>
    <t>Magyar Telekom</t>
  </si>
  <si>
    <t>Sweden-2021 Jan-2300</t>
  </si>
  <si>
    <t>Sweden</t>
  </si>
  <si>
    <t>Teracom</t>
  </si>
  <si>
    <t>Greece-2020 Dec-700</t>
  </si>
  <si>
    <t>Greece</t>
  </si>
  <si>
    <t>Cosmote</t>
  </si>
  <si>
    <t>Greece-2020 Dec-2100</t>
  </si>
  <si>
    <t>Slovakia</t>
  </si>
  <si>
    <t>Czech Republic</t>
  </si>
  <si>
    <t>Belgium</t>
  </si>
  <si>
    <t>Luxembourg</t>
  </si>
  <si>
    <t>Netherlands</t>
  </si>
  <si>
    <t>Albania</t>
  </si>
  <si>
    <t>Germany</t>
  </si>
  <si>
    <t>Norway</t>
  </si>
  <si>
    <t>Croatia-2019 Jan-2100</t>
  </si>
  <si>
    <t>Croatia</t>
  </si>
  <si>
    <t>A1 Hrvatska</t>
  </si>
  <si>
    <t>Italy</t>
  </si>
  <si>
    <t>Ukraine</t>
  </si>
  <si>
    <t>Iceland</t>
  </si>
  <si>
    <t>Iceland-2017 May-2600</t>
  </si>
  <si>
    <t>Finland</t>
  </si>
  <si>
    <t>Denmark</t>
  </si>
  <si>
    <t>Slovenia</t>
  </si>
  <si>
    <t>France</t>
  </si>
  <si>
    <t>Serbia</t>
  </si>
  <si>
    <t>Poland</t>
  </si>
  <si>
    <t>Turkey</t>
  </si>
  <si>
    <t>Greece-2014 Oct-2600</t>
  </si>
  <si>
    <t>Estonia</t>
  </si>
  <si>
    <t>Latvia</t>
  </si>
  <si>
    <t>Lithuania</t>
  </si>
  <si>
    <t>Portugal</t>
  </si>
  <si>
    <t>Spain</t>
  </si>
  <si>
    <t>Germany-2010 May-2600</t>
  </si>
  <si>
    <t>2010</t>
  </si>
  <si>
    <t>2011</t>
  </si>
  <si>
    <t>2012</t>
  </si>
  <si>
    <t>2013</t>
  </si>
  <si>
    <t>2014</t>
  </si>
  <si>
    <t>2015</t>
  </si>
  <si>
    <t>2016</t>
  </si>
  <si>
    <t>2017</t>
  </si>
  <si>
    <t>2018</t>
  </si>
  <si>
    <t>2019</t>
  </si>
  <si>
    <t>2020</t>
  </si>
  <si>
    <t>Afghanistan</t>
  </si>
  <si>
    <t>Algeria</t>
  </si>
  <si>
    <t>American Samoa</t>
  </si>
  <si>
    <t>Andorra</t>
  </si>
  <si>
    <t>Angola</t>
  </si>
  <si>
    <t>Antigua and Barbuda</t>
  </si>
  <si>
    <t>Arab World</t>
  </si>
  <si>
    <t>Argentina</t>
  </si>
  <si>
    <t>Armenia</t>
  </si>
  <si>
    <t>Aruba</t>
  </si>
  <si>
    <t>Australia</t>
  </si>
  <si>
    <t>Austria</t>
  </si>
  <si>
    <t>Azerbaijan</t>
  </si>
  <si>
    <t>Bahamas, The</t>
  </si>
  <si>
    <t>Bahrain</t>
  </si>
  <si>
    <t>Bangladesh</t>
  </si>
  <si>
    <t>Barbados</t>
  </si>
  <si>
    <t>Belarus</t>
  </si>
  <si>
    <t>Belize</t>
  </si>
  <si>
    <t>Benin</t>
  </si>
  <si>
    <t>Bermuda</t>
  </si>
  <si>
    <t>Bhutan</t>
  </si>
  <si>
    <t>Bolivia</t>
  </si>
  <si>
    <t>Bosnia and Herzegovina</t>
  </si>
  <si>
    <t>Botswana</t>
  </si>
  <si>
    <t>Brazil</t>
  </si>
  <si>
    <t>British Virgin Islands</t>
  </si>
  <si>
    <t>Brunei Darussalam</t>
  </si>
  <si>
    <t>Bulgaria</t>
  </si>
  <si>
    <t>Burkina Faso</t>
  </si>
  <si>
    <t>Burundi</t>
  </si>
  <si>
    <t>Cabo Verde</t>
  </si>
  <si>
    <t>Cambodia</t>
  </si>
  <si>
    <t>Cameroon</t>
  </si>
  <si>
    <t>Canada</t>
  </si>
  <si>
    <t>Caribbean small states</t>
  </si>
  <si>
    <t>Cayman Islands</t>
  </si>
  <si>
    <t>Central African Republic</t>
  </si>
  <si>
    <t>Central Europe and the Baltics</t>
  </si>
  <si>
    <t>Chad</t>
  </si>
  <si>
    <t>Channel Islands</t>
  </si>
  <si>
    <t>Chile</t>
  </si>
  <si>
    <t>China</t>
  </si>
  <si>
    <t>Colombia</t>
  </si>
  <si>
    <t>Comoros</t>
  </si>
  <si>
    <t>Congo, Dem. Rep.</t>
  </si>
  <si>
    <t>Congo, Rep.</t>
  </si>
  <si>
    <t>Costa Rica</t>
  </si>
  <si>
    <t>Cote d'Ivoire</t>
  </si>
  <si>
    <t>Cuba</t>
  </si>
  <si>
    <t>Curacao</t>
  </si>
  <si>
    <t>Cyprus</t>
  </si>
  <si>
    <t>Djibouti</t>
  </si>
  <si>
    <t>Dominica</t>
  </si>
  <si>
    <t>Dominican Republic</t>
  </si>
  <si>
    <t>Early-demographic dividend</t>
  </si>
  <si>
    <t>East Asia &amp; Pacific</t>
  </si>
  <si>
    <t>East Asia &amp; Pacific (IDA &amp; IBRD countries)</t>
  </si>
  <si>
    <t>East Asia &amp; Pacific (excluding high income)</t>
  </si>
  <si>
    <t>Ecuador</t>
  </si>
  <si>
    <t>Egypt, Arab Rep.</t>
  </si>
  <si>
    <t>El Salvador</t>
  </si>
  <si>
    <t>Equatorial Guinea</t>
  </si>
  <si>
    <t>Eritrea</t>
  </si>
  <si>
    <t>Eswatini</t>
  </si>
  <si>
    <t>Ethiopia</t>
  </si>
  <si>
    <t>Euro area</t>
  </si>
  <si>
    <t>Europe &amp; Central Asia</t>
  </si>
  <si>
    <t>Europe &amp; Central Asia (IDA &amp; IBRD countries)</t>
  </si>
  <si>
    <t>Europe &amp; Central Asia (excluding high income)</t>
  </si>
  <si>
    <t>European Union</t>
  </si>
  <si>
    <t>Faroe Islands</t>
  </si>
  <si>
    <t>Fiji</t>
  </si>
  <si>
    <t>Fragile and conflict affected situations</t>
  </si>
  <si>
    <t>French Polynesia</t>
  </si>
  <si>
    <t>Gabon</t>
  </si>
  <si>
    <t>Gambia, The</t>
  </si>
  <si>
    <t>Georgia</t>
  </si>
  <si>
    <t>Ghana</t>
  </si>
  <si>
    <t>Gibraltar</t>
  </si>
  <si>
    <t>Greenland</t>
  </si>
  <si>
    <t>Grenada</t>
  </si>
  <si>
    <t>Guam</t>
  </si>
  <si>
    <t>Guatemala</t>
  </si>
  <si>
    <t>Guinea</t>
  </si>
  <si>
    <t>Guinea-Bissau</t>
  </si>
  <si>
    <t>Guyana</t>
  </si>
  <si>
    <t>Haiti</t>
  </si>
  <si>
    <t>Heavily indebted poor countries (HIPC)</t>
  </si>
  <si>
    <t>High income</t>
  </si>
  <si>
    <t>Honduras</t>
  </si>
  <si>
    <t>Hong Kong SAR, China</t>
  </si>
  <si>
    <t>IBRD only</t>
  </si>
  <si>
    <t>IDA &amp; IBRD total</t>
  </si>
  <si>
    <t>IDA blend</t>
  </si>
  <si>
    <t>IDA only</t>
  </si>
  <si>
    <t>IDA total</t>
  </si>
  <si>
    <t>India</t>
  </si>
  <si>
    <t>Indonesia</t>
  </si>
  <si>
    <t>Iran, Islamic Rep.</t>
  </si>
  <si>
    <t>Iraq</t>
  </si>
  <si>
    <t>Ireland</t>
  </si>
  <si>
    <t>Isle of Man</t>
  </si>
  <si>
    <t>Israel</t>
  </si>
  <si>
    <t>Jamaica</t>
  </si>
  <si>
    <t>Japan</t>
  </si>
  <si>
    <t>Jordan</t>
  </si>
  <si>
    <t>Kazakhstan</t>
  </si>
  <si>
    <t>Kenya</t>
  </si>
  <si>
    <t>Kiribati</t>
  </si>
  <si>
    <t>Korea, Rep.</t>
  </si>
  <si>
    <t>Kosovo</t>
  </si>
  <si>
    <t>Kuwait</t>
  </si>
  <si>
    <t>Kyrgyz Republic</t>
  </si>
  <si>
    <t>Lao PDR</t>
  </si>
  <si>
    <t>Late-demographic dividend</t>
  </si>
  <si>
    <t>Latin America &amp; Caribbean</t>
  </si>
  <si>
    <t>Latin America &amp; Caribbean (excluding high income)</t>
  </si>
  <si>
    <t>Latin America &amp; the Caribbean (IDA &amp; IBRD countries)</t>
  </si>
  <si>
    <t>Least developed countries: UN classification</t>
  </si>
  <si>
    <t>Lebanon</t>
  </si>
  <si>
    <t>Lesotho</t>
  </si>
  <si>
    <t>Liberia</t>
  </si>
  <si>
    <t>Libya</t>
  </si>
  <si>
    <t>Liechtenstein</t>
  </si>
  <si>
    <t>Low &amp; middle income</t>
  </si>
  <si>
    <t>Low income</t>
  </si>
  <si>
    <t>Lower middle income</t>
  </si>
  <si>
    <t>Macao SAR, China</t>
  </si>
  <si>
    <t>Madagascar</t>
  </si>
  <si>
    <t>Malawi</t>
  </si>
  <si>
    <t>Malaysia</t>
  </si>
  <si>
    <t>Maldives</t>
  </si>
  <si>
    <t>Mali</t>
  </si>
  <si>
    <t>Malta</t>
  </si>
  <si>
    <t>Marshall Islands</t>
  </si>
  <si>
    <t>Mauritania</t>
  </si>
  <si>
    <t>Mauritius</t>
  </si>
  <si>
    <t>Mexico</t>
  </si>
  <si>
    <t>Micronesia, Fed. Sts.</t>
  </si>
  <si>
    <t>Middle East &amp; North Africa</t>
  </si>
  <si>
    <t>Middle East &amp; North Africa (IDA &amp; IBRD countries)</t>
  </si>
  <si>
    <t>Middle East &amp; North Africa (excluding high income)</t>
  </si>
  <si>
    <t>Middle income</t>
  </si>
  <si>
    <t>Moldova</t>
  </si>
  <si>
    <t>Monaco</t>
  </si>
  <si>
    <t>Mongolia</t>
  </si>
  <si>
    <t>Montenegro</t>
  </si>
  <si>
    <t>Morocco</t>
  </si>
  <si>
    <t>Mozambique</t>
  </si>
  <si>
    <t>Myanmar</t>
  </si>
  <si>
    <t>Namibia</t>
  </si>
  <si>
    <t>Nauru</t>
  </si>
  <si>
    <t>Nepal</t>
  </si>
  <si>
    <t>New Caledonia</t>
  </si>
  <si>
    <t>New Zealand</t>
  </si>
  <si>
    <t>Nicaragua</t>
  </si>
  <si>
    <t>Niger</t>
  </si>
  <si>
    <t>Nigeria</t>
  </si>
  <si>
    <t>North America</t>
  </si>
  <si>
    <t>North Macedonia</t>
  </si>
  <si>
    <t>Northern Mariana Islands</t>
  </si>
  <si>
    <t>OECD members</t>
  </si>
  <si>
    <t>Oman</t>
  </si>
  <si>
    <t>Other small states</t>
  </si>
  <si>
    <t>Pacific island small states</t>
  </si>
  <si>
    <t>Pakistan</t>
  </si>
  <si>
    <t>Palau</t>
  </si>
  <si>
    <t>Panama</t>
  </si>
  <si>
    <t>Papua New Guinea</t>
  </si>
  <si>
    <t>Paraguay</t>
  </si>
  <si>
    <t>Peru</t>
  </si>
  <si>
    <t>Philippines</t>
  </si>
  <si>
    <t>Post-demographic dividend</t>
  </si>
  <si>
    <t>Pre-demographic dividend</t>
  </si>
  <si>
    <t>Puerto Rico</t>
  </si>
  <si>
    <t>Qatar</t>
  </si>
  <si>
    <t>Romania</t>
  </si>
  <si>
    <t>Russian Federation</t>
  </si>
  <si>
    <t>Rwanda</t>
  </si>
  <si>
    <t>Samoa</t>
  </si>
  <si>
    <t>San Marino</t>
  </si>
  <si>
    <t>Sao Tome and Principe</t>
  </si>
  <si>
    <t>Saudi Arabia</t>
  </si>
  <si>
    <t>Senegal</t>
  </si>
  <si>
    <t>Seychelles</t>
  </si>
  <si>
    <t>Sierra Leone</t>
  </si>
  <si>
    <t>Singapore</t>
  </si>
  <si>
    <t>Sint Maarten (Dutch part)</t>
  </si>
  <si>
    <t>Small states</t>
  </si>
  <si>
    <t>Solomon Islands</t>
  </si>
  <si>
    <t>Somalia</t>
  </si>
  <si>
    <t>South Africa</t>
  </si>
  <si>
    <t>South Asia</t>
  </si>
  <si>
    <t>South Asia (IDA &amp; IBRD)</t>
  </si>
  <si>
    <t>South Sudan</t>
  </si>
  <si>
    <t>Sri Lanka</t>
  </si>
  <si>
    <t>St. Kitts and Nevis</t>
  </si>
  <si>
    <t>St. Lucia</t>
  </si>
  <si>
    <t>St. Martin (French part)</t>
  </si>
  <si>
    <t>St. Vincent and the Grenadines</t>
  </si>
  <si>
    <t>Sub-Saharan Africa</t>
  </si>
  <si>
    <t>Sub-Saharan Africa (IDA &amp; IBRD countries)</t>
  </si>
  <si>
    <t>Sub-Saharan Africa (excluding high income)</t>
  </si>
  <si>
    <t>Sudan</t>
  </si>
  <si>
    <t>Suriname</t>
  </si>
  <si>
    <t>Switzerland</t>
  </si>
  <si>
    <t>Syrian Arab Republic</t>
  </si>
  <si>
    <t>Tajikistan</t>
  </si>
  <si>
    <t>Tanzania</t>
  </si>
  <si>
    <t>Thailand</t>
  </si>
  <si>
    <t>Timor-Leste</t>
  </si>
  <si>
    <t>Togo</t>
  </si>
  <si>
    <t>Tonga</t>
  </si>
  <si>
    <t>Trinidad and Tobago</t>
  </si>
  <si>
    <t>Tunisia</t>
  </si>
  <si>
    <t>Turkmenistan</t>
  </si>
  <si>
    <t>Turks and Caicos Islands</t>
  </si>
  <si>
    <t>Tuvalu</t>
  </si>
  <si>
    <t>Uganda</t>
  </si>
  <si>
    <t>United Arab Emirates</t>
  </si>
  <si>
    <t>United Kingdom</t>
  </si>
  <si>
    <t>United States</t>
  </si>
  <si>
    <t>Upper middle income</t>
  </si>
  <si>
    <t>Uruguay</t>
  </si>
  <si>
    <t>Uzbekistan</t>
  </si>
  <si>
    <t>Vanuatu</t>
  </si>
  <si>
    <t>Venezuela, RB</t>
  </si>
  <si>
    <t>Vietnam</t>
  </si>
  <si>
    <t>Virgin Islands (U.S.)</t>
  </si>
  <si>
    <t>West Bank and Gaza</t>
  </si>
  <si>
    <t>World</t>
  </si>
  <si>
    <t>Yemen, Rep.</t>
  </si>
  <si>
    <t>Zambia</t>
  </si>
  <si>
    <t>Zimbabwe</t>
  </si>
  <si>
    <t>CPI index, United Kingdom</t>
  </si>
  <si>
    <t>month</t>
  </si>
  <si>
    <t>index</t>
  </si>
  <si>
    <t>2010 JAN</t>
  </si>
  <si>
    <t>2010 FEB</t>
  </si>
  <si>
    <t>2010 MAR</t>
  </si>
  <si>
    <t>2010 APR</t>
  </si>
  <si>
    <t>2010 MAY</t>
  </si>
  <si>
    <t>2010 JUN</t>
  </si>
  <si>
    <t>2010 JUL</t>
  </si>
  <si>
    <t>2010 AUG</t>
  </si>
  <si>
    <t>2010 SEP</t>
  </si>
  <si>
    <t>2010 OCT</t>
  </si>
  <si>
    <t>2010 NOV</t>
  </si>
  <si>
    <t>2010 DEC</t>
  </si>
  <si>
    <t>2011 JAN</t>
  </si>
  <si>
    <t>2011 FEB</t>
  </si>
  <si>
    <t>2011 MAR</t>
  </si>
  <si>
    <t>2011 APR</t>
  </si>
  <si>
    <t>2011 MAY</t>
  </si>
  <si>
    <t>2011 JUN</t>
  </si>
  <si>
    <t>2011 JUL</t>
  </si>
  <si>
    <t>2011 AUG</t>
  </si>
  <si>
    <t>2011 SEP</t>
  </si>
  <si>
    <t>2011 OCT</t>
  </si>
  <si>
    <t>2011 NOV</t>
  </si>
  <si>
    <t>2011 DEC</t>
  </si>
  <si>
    <t>2012 JAN</t>
  </si>
  <si>
    <t>2012 FEB</t>
  </si>
  <si>
    <t>2012 MAR</t>
  </si>
  <si>
    <t>2012 APR</t>
  </si>
  <si>
    <t>2012 MAY</t>
  </si>
  <si>
    <t>2012 JUN</t>
  </si>
  <si>
    <t>2012 JUL</t>
  </si>
  <si>
    <t>2012 AUG</t>
  </si>
  <si>
    <t>2012 SEP</t>
  </si>
  <si>
    <t>2012 OCT</t>
  </si>
  <si>
    <t>2012 NOV</t>
  </si>
  <si>
    <t>2012 DEC</t>
  </si>
  <si>
    <t>2013 JAN</t>
  </si>
  <si>
    <t>2013 FEB</t>
  </si>
  <si>
    <t>2013 MAR</t>
  </si>
  <si>
    <t>2013 APR</t>
  </si>
  <si>
    <t>2013 MAY</t>
  </si>
  <si>
    <t>2013 JUN</t>
  </si>
  <si>
    <t>2013 JUL</t>
  </si>
  <si>
    <t>2013 AUG</t>
  </si>
  <si>
    <t>2013 SEP</t>
  </si>
  <si>
    <t>2013 OCT</t>
  </si>
  <si>
    <t>2013 NOV</t>
  </si>
  <si>
    <t>2013 DEC</t>
  </si>
  <si>
    <t>2014 JAN</t>
  </si>
  <si>
    <t>2014 FEB</t>
  </si>
  <si>
    <t>2014 MAR</t>
  </si>
  <si>
    <t>2014 APR</t>
  </si>
  <si>
    <t>2014 MAY</t>
  </si>
  <si>
    <t>2014 JUN</t>
  </si>
  <si>
    <t>2014 JUL</t>
  </si>
  <si>
    <t>2014 AUG</t>
  </si>
  <si>
    <t>2014 SEP</t>
  </si>
  <si>
    <t>2014 OCT</t>
  </si>
  <si>
    <t>2014 NOV</t>
  </si>
  <si>
    <t>2014 DEC</t>
  </si>
  <si>
    <t>2015 JAN</t>
  </si>
  <si>
    <t>2015 FEB</t>
  </si>
  <si>
    <t>2015 MAR</t>
  </si>
  <si>
    <t>2015 APR</t>
  </si>
  <si>
    <t>2015 MAY</t>
  </si>
  <si>
    <t>2015 JUN</t>
  </si>
  <si>
    <t>2015 JUL</t>
  </si>
  <si>
    <t>2015 AUG</t>
  </si>
  <si>
    <t>2015 SEP</t>
  </si>
  <si>
    <t>2015 OCT</t>
  </si>
  <si>
    <t>2015 NOV</t>
  </si>
  <si>
    <t>2015 DEC</t>
  </si>
  <si>
    <t>2016 JAN</t>
  </si>
  <si>
    <t>2016 FEB</t>
  </si>
  <si>
    <t>2016 MAR</t>
  </si>
  <si>
    <t>2016 APR</t>
  </si>
  <si>
    <t>2016 MAY</t>
  </si>
  <si>
    <t>2016 JUN</t>
  </si>
  <si>
    <t>2016 JUL</t>
  </si>
  <si>
    <t>2016 AUG</t>
  </si>
  <si>
    <t>2016 SEP</t>
  </si>
  <si>
    <t>2016 OCT</t>
  </si>
  <si>
    <t>2016 NOV</t>
  </si>
  <si>
    <t>2016 DEC</t>
  </si>
  <si>
    <t>2017 JAN</t>
  </si>
  <si>
    <t>2017 FEB</t>
  </si>
  <si>
    <t>2017 MAR</t>
  </si>
  <si>
    <t>2017 APR</t>
  </si>
  <si>
    <t>2017 MAY</t>
  </si>
  <si>
    <t>2017 JUN</t>
  </si>
  <si>
    <t>2017 JUL</t>
  </si>
  <si>
    <t>2017 AUG</t>
  </si>
  <si>
    <t>2017 SEP</t>
  </si>
  <si>
    <t>2017 OCT</t>
  </si>
  <si>
    <t>2017 NOV</t>
  </si>
  <si>
    <t>2017 DEC</t>
  </si>
  <si>
    <t>2018 JAN</t>
  </si>
  <si>
    <t>2018 FEB</t>
  </si>
  <si>
    <t>2018 MAR</t>
  </si>
  <si>
    <t>2018 APR</t>
  </si>
  <si>
    <t>2018 MAY</t>
  </si>
  <si>
    <t>2018 JUN</t>
  </si>
  <si>
    <t>2018 JUL</t>
  </si>
  <si>
    <t>2018 AUG</t>
  </si>
  <si>
    <t>2018 SEP</t>
  </si>
  <si>
    <t>2018 OCT</t>
  </si>
  <si>
    <t>2018 NOV</t>
  </si>
  <si>
    <t>2018 DEC</t>
  </si>
  <si>
    <t>2019 JAN</t>
  </si>
  <si>
    <t>2019 FEB</t>
  </si>
  <si>
    <t>2019 MAR</t>
  </si>
  <si>
    <t>2019 APR</t>
  </si>
  <si>
    <t>2019 MAY</t>
  </si>
  <si>
    <t>2019 JUN</t>
  </si>
  <si>
    <t>2019 JUL</t>
  </si>
  <si>
    <t>2019 AUG</t>
  </si>
  <si>
    <t>2019 SEP</t>
  </si>
  <si>
    <t>2019 OCT</t>
  </si>
  <si>
    <t>2019 NOV</t>
  </si>
  <si>
    <t>2019 DEC</t>
  </si>
  <si>
    <t>2020 JAN</t>
  </si>
  <si>
    <t>2020 FEB</t>
  </si>
  <si>
    <t>2020 MAR</t>
  </si>
  <si>
    <t>2020 APR</t>
  </si>
  <si>
    <t>2020 MAY</t>
  </si>
  <si>
    <t>2020 JUN</t>
  </si>
  <si>
    <t>2020 JUL</t>
  </si>
  <si>
    <t>2020 AUG</t>
  </si>
  <si>
    <t>2020 SEP</t>
  </si>
  <si>
    <t>2020 OCT</t>
  </si>
  <si>
    <t>2020 NOV</t>
  </si>
  <si>
    <t>2020 DEC</t>
  </si>
  <si>
    <t>2021 JAN</t>
  </si>
  <si>
    <t>2021 FEB</t>
  </si>
  <si>
    <t>Population</t>
  </si>
  <si>
    <t>Parameter setup</t>
  </si>
  <si>
    <t>Effective date</t>
  </si>
  <si>
    <t>effective_date</t>
  </si>
  <si>
    <t>UK CPI index as of effective date</t>
  </si>
  <si>
    <t>UK population as of effective date</t>
  </si>
  <si>
    <t>Notional licence term</t>
  </si>
  <si>
    <t>notional_term</t>
  </si>
  <si>
    <t>years</t>
  </si>
  <si>
    <t>Distance method</t>
  </si>
  <si>
    <t>int_comp1</t>
  </si>
  <si>
    <t>int_comp2</t>
  </si>
  <si>
    <t>uk_comp1</t>
  </si>
  <si>
    <t>tier</t>
  </si>
  <si>
    <t>Benchmark setup</t>
  </si>
  <si>
    <t>Manual entry</t>
  </si>
  <si>
    <t>note</t>
  </si>
  <si>
    <t>source</t>
  </si>
  <si>
    <t>year</t>
  </si>
  <si>
    <t>UK equivalent detail</t>
  </si>
  <si>
    <t>eff_cpi_uk</t>
  </si>
  <si>
    <t>eff_pop_uk</t>
  </si>
  <si>
    <t>proxy_id</t>
  </si>
  <si>
    <t>comp1</t>
  </si>
  <si>
    <t>comp2</t>
  </si>
  <si>
    <t>int_comp3</t>
  </si>
  <si>
    <t>uk_comp3</t>
  </si>
  <si>
    <t>benchmark_id</t>
  </si>
  <si>
    <t>Cost of debt and WACC</t>
  </si>
  <si>
    <t>cod_pretax_nom</t>
  </si>
  <si>
    <t>tax_rate</t>
  </si>
  <si>
    <t>inflation_rate</t>
  </si>
  <si>
    <t>cod_posttax_real</t>
  </si>
  <si>
    <t>wacc_pretax_nom</t>
  </si>
  <si>
    <t>wacc_posttax_real</t>
  </si>
  <si>
    <t>cod_pretax_real</t>
  </si>
  <si>
    <t>cod_posttax_nom</t>
  </si>
  <si>
    <t>wacc_pretax_real</t>
  </si>
  <si>
    <t>MCT 2011 Statement, Annex 6</t>
  </si>
  <si>
    <t>MCT 2015 Statement, Annex 10</t>
  </si>
  <si>
    <t>MCT 2018 Statement, Annex 10</t>
  </si>
  <si>
    <t>award_year</t>
  </si>
  <si>
    <t>lf_pv_lcy</t>
  </si>
  <si>
    <t>lsv_lcy</t>
  </si>
  <si>
    <t>annuity_lcy</t>
  </si>
  <si>
    <t>lsv_norm_lcy</t>
  </si>
  <si>
    <t>ppp_lcy</t>
  </si>
  <si>
    <t>ppp_gbp</t>
  </si>
  <si>
    <t>lsv_norm_gbp</t>
  </si>
  <si>
    <t>cpi_factor</t>
  </si>
  <si>
    <t>pop_factor</t>
  </si>
  <si>
    <t>lsv_real_gbp</t>
  </si>
  <si>
    <t>population</t>
  </si>
  <si>
    <t>lsv_ukeq</t>
  </si>
  <si>
    <t>lsv_per_mhz</t>
  </si>
  <si>
    <t>lsv_per_mhz_1</t>
  </si>
  <si>
    <t>lsv_per_mhz_2</t>
  </si>
  <si>
    <t>ratio_2_1</t>
  </si>
  <si>
    <t>lsv_per_mhz_uk2</t>
  </si>
  <si>
    <t>lsv_per_mhz_uk1</t>
  </si>
  <si>
    <t>lsv_per_mhz_3</t>
  </si>
  <si>
    <t>dist_x_1_3</t>
  </si>
  <si>
    <t>dist_y_2_3</t>
  </si>
  <si>
    <t>ratio_y_x</t>
  </si>
  <si>
    <t>lsv_per_mhz_uk3</t>
  </si>
  <si>
    <t>comp_id</t>
  </si>
  <si>
    <t>comp_date</t>
  </si>
  <si>
    <t>UK-2021 Mar-700</t>
  </si>
  <si>
    <t>UK-2018 Apr-1800</t>
  </si>
  <si>
    <t>lsv_nom_gbp</t>
  </si>
  <si>
    <t>Austria-2010 Sep-2600</t>
  </si>
  <si>
    <t>comp_year</t>
  </si>
  <si>
    <t>annuity</t>
  </si>
  <si>
    <t>UK comparator data</t>
  </si>
  <si>
    <t>lsv_total</t>
  </si>
  <si>
    <t>lsv_norm</t>
  </si>
  <si>
    <t>base_id</t>
  </si>
  <si>
    <t>Proxy comparator</t>
  </si>
  <si>
    <t>base_lsv_per_mhz</t>
  </si>
  <si>
    <t>proxy_ratio</t>
  </si>
  <si>
    <t>Cost of debt liquidity risk premium</t>
  </si>
  <si>
    <t>Austria-2020 Sep-2100</t>
  </si>
  <si>
    <t>2100MHz FDD</t>
  </si>
  <si>
    <t>All licensees in total</t>
  </si>
  <si>
    <t>Generic</t>
  </si>
  <si>
    <t>Austria-2013 Oct-800-UC</t>
  </si>
  <si>
    <t>Proxy sample</t>
  </si>
  <si>
    <t>Slovenia-2021 Apr-700</t>
  </si>
  <si>
    <t>A1 Slovenija</t>
  </si>
  <si>
    <t>Slovenia-2021 Apr-2100</t>
  </si>
  <si>
    <t>Telekom Slovenije</t>
  </si>
  <si>
    <t>T-2</t>
  </si>
  <si>
    <t>Slovenia-2021 Apr-2300</t>
  </si>
  <si>
    <t>2300MHz TDD</t>
  </si>
  <si>
    <t>2021</t>
  </si>
  <si>
    <t>2021 MAR</t>
  </si>
  <si>
    <t>2021 APR</t>
  </si>
  <si>
    <t>Timeline</t>
  </si>
  <si>
    <t>All comparators</t>
  </si>
  <si>
    <t>UK comparators</t>
  </si>
  <si>
    <t>UK equivalent comparators</t>
  </si>
  <si>
    <t>UK equivalent and UK comparators</t>
  </si>
  <si>
    <t>Proxy comparators</t>
  </si>
  <si>
    <t>Lower Band £m per MHz</t>
  </si>
  <si>
    <t>Upper Band £m per MHz</t>
  </si>
  <si>
    <t>Ratio Upper to Lower</t>
  </si>
  <si>
    <t>Lower Band</t>
  </si>
  <si>
    <t>Upper Band</t>
  </si>
  <si>
    <t>Adjust for delayed spectrum availability</t>
  </si>
  <si>
    <t>delay_adj</t>
  </si>
  <si>
    <t>Delay adjustment threshold</t>
  </si>
  <si>
    <t>delay_threshold</t>
  </si>
  <si>
    <t>cod_liquidity_premium</t>
  </si>
  <si>
    <t>Proxy 700-2600</t>
  </si>
  <si>
    <t>delay_days</t>
  </si>
  <si>
    <t>days</t>
  </si>
  <si>
    <t>bias_risk</t>
  </si>
  <si>
    <t>bias_scale</t>
  </si>
  <si>
    <t>bias_direction</t>
  </si>
  <si>
    <t>Bias risk score calibration</t>
  </si>
  <si>
    <t>bias_risk_val</t>
  </si>
  <si>
    <t>Larger</t>
  </si>
  <si>
    <t>Smaller</t>
  </si>
  <si>
    <t>Unknown</t>
  </si>
  <si>
    <t>bias_scale_val</t>
  </si>
  <si>
    <t>bias_over</t>
  </si>
  <si>
    <t>bias_under</t>
  </si>
  <si>
    <t>Over</t>
  </si>
  <si>
    <t>Under</t>
  </si>
  <si>
    <t>Grand Total</t>
  </si>
  <si>
    <t>Row Labels</t>
  </si>
  <si>
    <t>_base</t>
  </si>
  <si>
    <t>_over</t>
  </si>
  <si>
    <t>_under</t>
  </si>
  <si>
    <t>BEREC Report on Regulatory Accounting in Practice 2020, ch5</t>
  </si>
  <si>
    <t>BEREC Report on Regulatory Accounting in Practice 2019, ch5</t>
  </si>
  <si>
    <t>BEREC Report on Regulatory Accounting in Practice 2018, ch5</t>
  </si>
  <si>
    <t>Austria-2020 Sep-700-NoExtCov</t>
  </si>
  <si>
    <t>Proxy 700-2300</t>
  </si>
  <si>
    <t>UK-2018 Apr-900</t>
  </si>
  <si>
    <t>Control</t>
  </si>
  <si>
    <t>I_Timeline</t>
  </si>
  <si>
    <t>I_Award</t>
  </si>
  <si>
    <t>Data pulled automatically via query 'I_Award'. Do not change manually!</t>
  </si>
  <si>
    <t>Data pulled automatically via query 'I_PPP'. Do not change manually!</t>
  </si>
  <si>
    <t>I_UKComp</t>
  </si>
  <si>
    <t>I_PPP</t>
  </si>
  <si>
    <t>Data pulled automatically via query 'I_Population'. Do not change manually!</t>
  </si>
  <si>
    <t>I_Population</t>
  </si>
  <si>
    <t>Data pulled automatically via query 'I_CPI_UK'. Do not change manually!</t>
  </si>
  <si>
    <t>I_CPI_UK</t>
  </si>
  <si>
    <t>I_CoD_WACC</t>
  </si>
  <si>
    <t>C_UKEq_detail</t>
  </si>
  <si>
    <t>Data in column A pulled automatically via query 'C_UKEqComp'. Do not change manually! All other columns should follow a consistent formula.</t>
  </si>
  <si>
    <t>C_UKEqComp</t>
  </si>
  <si>
    <t>Data in columns A:G pulled automatically via query 'C_UKComp'. Do not change manually! All other columns should follow a consistent formula.</t>
  </si>
  <si>
    <t>C_UKComp</t>
  </si>
  <si>
    <t>Data in columns A:C pulled automatically via query 'C_UKEq_UKComp'. Do not change manually! Column D should follow a consistent formula.</t>
  </si>
  <si>
    <t>C_UKEq_UKComp</t>
  </si>
  <si>
    <t>Data in columns A:C pulled automatically via query 'C_Proxy_sample'. Do not change manually! All other columns should follow a consistent formula.</t>
  </si>
  <si>
    <t>C_Proxy_sample</t>
  </si>
  <si>
    <t>C_ProxyComp</t>
  </si>
  <si>
    <t>Data in columns A:C pulled automatically via query 'C_ProxyComp'. Do not change manually! All other columns should follow a consistent formula.</t>
  </si>
  <si>
    <t>Data pulled automatically via query 'C_AllComp'. Do not change manually!</t>
  </si>
  <si>
    <t>C_AllComp</t>
  </si>
  <si>
    <t>Data pulled automatically via query 'O_Proxy_sample'. Do not change manually!</t>
  </si>
  <si>
    <t>Data pulled automatically via query 'O_Distance'. Do not change manually!</t>
  </si>
  <si>
    <t>Distance method results</t>
  </si>
  <si>
    <t>Proxy sample overview</t>
  </si>
  <si>
    <t>C_Distance</t>
  </si>
  <si>
    <t>O_Proxy_sample</t>
  </si>
  <si>
    <t>O_Distance</t>
  </si>
  <si>
    <t>O_Results</t>
  </si>
  <si>
    <t>G_Results</t>
  </si>
  <si>
    <t>Control panel to set up key parameters of the model</t>
  </si>
  <si>
    <t>Timeline of years and months the model operates on</t>
  </si>
  <si>
    <t>Input data for UK comparators</t>
  </si>
  <si>
    <t>Input data on PPP conversion factors from the World Bank</t>
  </si>
  <si>
    <t>Input data on population from the World Bank</t>
  </si>
  <si>
    <t>Input data on UK CPI index from ONS</t>
  </si>
  <si>
    <t>Input data on cost of debt and WACC by country and year</t>
  </si>
  <si>
    <t>Calculation of UK equivalent of lump sum value for each award and licensee combination</t>
  </si>
  <si>
    <t>Calculation of UK equivalent of lump sum value for each award summed across all licensees</t>
  </si>
  <si>
    <t>Calculation of lump sum value for UK comparators</t>
  </si>
  <si>
    <t>Calculation of value ratios for the proxy sample</t>
  </si>
  <si>
    <t>Appending the UK equivalent and UK comparator lump sum values into a single table</t>
  </si>
  <si>
    <t>Appending the UK equivalent, UK comparator and national proxy lump sum values into a single table</t>
  </si>
  <si>
    <t>Calculation of national proxy lump sum values</t>
  </si>
  <si>
    <t>Calculation of the lump sum value of UK 2100 MHz spectrum using the distance method</t>
  </si>
  <si>
    <t>All results for graphical presentation</t>
  </si>
  <si>
    <t>Graphical presentation of results</t>
  </si>
  <si>
    <t>Hungary-2021 Jan-1800-Ext5Y</t>
  </si>
  <si>
    <t>Hungary-2020 Mar-700-Ext5Y</t>
  </si>
  <si>
    <t>Hungary-2020 Mar-2100-Ext5Y</t>
  </si>
  <si>
    <t>Paired ratio method</t>
  </si>
  <si>
    <t>Paired ratio method results</t>
  </si>
  <si>
    <t>_£m_per_mhz</t>
  </si>
  <si>
    <t>comp_band</t>
  </si>
  <si>
    <t>700-2600</t>
  </si>
  <si>
    <t>800-2600</t>
  </si>
  <si>
    <t>700-2300</t>
  </si>
  <si>
    <t>1800</t>
  </si>
  <si>
    <t>2300</t>
  </si>
  <si>
    <t>Distance</t>
  </si>
  <si>
    <t>Paired</t>
  </si>
  <si>
    <t>Results for export</t>
  </si>
  <si>
    <t>method</t>
  </si>
  <si>
    <t>lsv_£m_per_mhz</t>
  </si>
  <si>
    <t>bias_over_val</t>
  </si>
  <si>
    <t>bias_under_val</t>
  </si>
  <si>
    <t>base</t>
  </si>
  <si>
    <t>ALF 900/1800 model</t>
  </si>
  <si>
    <t>fixed telecoms</t>
  </si>
  <si>
    <t>source_cod_pretax_nom</t>
  </si>
  <si>
    <t>source_wacc_posttax_real</t>
  </si>
  <si>
    <t>nat</t>
  </si>
  <si>
    <t>Sweden-2021 Jan-3500</t>
  </si>
  <si>
    <t>3.4-3.8GHz FDD/TDD</t>
  </si>
  <si>
    <t>Hi3g Access</t>
  </si>
  <si>
    <t>Greece-2020 Dec-3500</t>
  </si>
  <si>
    <t>Hungary-2020 Mar-3600</t>
  </si>
  <si>
    <t>Germany-2019 Jun-3600</t>
  </si>
  <si>
    <t>Slovenia-2021 Apr-3600</t>
  </si>
  <si>
    <t>700-3600</t>
  </si>
  <si>
    <t>800-3600</t>
  </si>
  <si>
    <t>UK-2021 Mar-3600</t>
  </si>
  <si>
    <t>UK-2018 Apr-3400</t>
  </si>
  <si>
    <t>3600</t>
  </si>
  <si>
    <t>source2</t>
  </si>
  <si>
    <t>ECB inflation outlook</t>
  </si>
  <si>
    <t>Korea, Dem. People's Rep.</t>
  </si>
  <si>
    <t>Hungary-2020 Mar-3600-Ext5Y</t>
  </si>
  <si>
    <t>700-3400</t>
  </si>
  <si>
    <t>800-3400</t>
  </si>
  <si>
    <t>Proxy 700-3600</t>
  </si>
  <si>
    <t>Austria-2013 Oct-1800-UC-CorrALF</t>
  </si>
  <si>
    <t>Austria-2019 Mar-3600</t>
  </si>
  <si>
    <t>H3A</t>
  </si>
  <si>
    <t>TMA</t>
  </si>
  <si>
    <t>target_band</t>
  </si>
  <si>
    <t>Austria 700 NoExtCov-2100 (2020)</t>
  </si>
  <si>
    <t>Netherlands 700-2100 (2020)</t>
  </si>
  <si>
    <t>Slovenia 700-2100 (2021)</t>
  </si>
  <si>
    <t>Slovenia 2300-2100 (2021)</t>
  </si>
  <si>
    <t>Austria 1800 UC CorrALF-2100 (2013, 2020)</t>
  </si>
  <si>
    <t>Germany 3600-2100 (2019) - UK 3.4 GHz (2018)</t>
  </si>
  <si>
    <t>Hungary 3600-2100 (2020) - UK 3.4 GHz (2018)</t>
  </si>
  <si>
    <t>Slovenia 3600-2100 (2021) - UK 3.4 GHz (2018)</t>
  </si>
  <si>
    <t>Germany 3600-2100 (2019) - UK 3.6 GHz (2021)</t>
  </si>
  <si>
    <t>Hungary 3600-2100 (2020) - UK 3.6 GHz (2021)</t>
  </si>
  <si>
    <t>Slovenia 3600-2100 (2021) - UK 3.6 GHz (2021)</t>
  </si>
  <si>
    <t>Hungary 700-3600 Ext5Y (2020) - UK 3.6 GHz (2021)</t>
  </si>
  <si>
    <t>Hungary 700-3600 Ext5Y (2020) - UK 3.4 GHz (2018)</t>
  </si>
  <si>
    <t>Slovenia 700-2300 (2021)</t>
  </si>
  <si>
    <t>Slovenia 700-3600 (2021) - UK 3.4 GHz (2018)</t>
  </si>
  <si>
    <t>Slovenia 700-3600 (2021) - UK 3.6 GHz (2021)</t>
  </si>
  <si>
    <t>Iceland 800-2600 (2017)</t>
  </si>
  <si>
    <t>Iceland 700-2600 (2017)</t>
  </si>
  <si>
    <t>Greece 700-3500 (2020) - UK 3.4 GHz (2018)</t>
  </si>
  <si>
    <t>Greece 700-3500 (2020) - UK 3.6 GHz (2021)</t>
  </si>
  <si>
    <t>3400</t>
  </si>
  <si>
    <t>700</t>
  </si>
  <si>
    <t>Proxy 800-2600</t>
  </si>
  <si>
    <t>UK-2013 Mar-800</t>
  </si>
  <si>
    <t>UK-2013 Mar-2600</t>
  </si>
  <si>
    <t>Proxy 2100-3600</t>
  </si>
  <si>
    <t>Netherlands-Proxy-700-3600</t>
  </si>
  <si>
    <t>Netherlands-Proxy-2100-3600</t>
  </si>
  <si>
    <t>Norway-Proxy-2100-3600</t>
  </si>
  <si>
    <t>Norway-Proxy-700-3600</t>
  </si>
  <si>
    <t>Proxy 2100-2300</t>
  </si>
  <si>
    <t>Proxy 2100-2600</t>
  </si>
  <si>
    <t>Netherlands-Proxy-2100-2300</t>
  </si>
  <si>
    <t>Netherlands-Proxy-2100-2600</t>
  </si>
  <si>
    <t>Netherlands-Proxy-700-2300</t>
  </si>
  <si>
    <t>Netherlands-Proxy-700-2600</t>
  </si>
  <si>
    <t>Norway-Proxy-2100-2600</t>
  </si>
  <si>
    <t>Norway-Proxy-2100-2300</t>
  </si>
  <si>
    <t>Norway-Proxy-700-2600</t>
  </si>
  <si>
    <t>Norway-Proxy-700-2300</t>
  </si>
  <si>
    <t>Germany 700-2600 (2019)</t>
  </si>
  <si>
    <t>Germany 700-3600 (2019) - UK 3.4 GHz (2018)</t>
  </si>
  <si>
    <t>Germany 700-3600 (2019) - UK 3.6 GHz (2021)</t>
  </si>
  <si>
    <t>Germany 800-2600 (2019)</t>
  </si>
  <si>
    <t>Germany 800-3600 (2019) - UK 3.4 GHz (2018)</t>
  </si>
  <si>
    <t>Germany 800-3600 (2019) - UK 3.6 GHz (2021)</t>
  </si>
  <si>
    <t>Austria 700 NoExtCov-2600 (2020)</t>
  </si>
  <si>
    <t>Austria 700 NoExtCov-3600 (2020) - UK 3.4 GHz (2018)</t>
  </si>
  <si>
    <t>Austria 700 NoExtCov-3600 (2020) - UK 3.6 GHz (2021)</t>
  </si>
  <si>
    <t>Austria 800 UC-2600 (2020)</t>
  </si>
  <si>
    <t>Austria 800 UC-3600 (2020) - UK 3.4 GHz (2018)</t>
  </si>
  <si>
    <t>Austria 800 UC-3600 (2020) - UK 3.6 GHz (2021)</t>
  </si>
  <si>
    <t>Greece 800-2600 (2020)</t>
  </si>
  <si>
    <t>Greece 800-3500 (2020) - UK 3.4 GHz (2018)</t>
  </si>
  <si>
    <t>Greece 800-3500 (2020) - UK 3.6 GHz (2021)</t>
  </si>
  <si>
    <t>Croatia-Proxy-800-2600</t>
  </si>
  <si>
    <t>Notional-2018 ALF-800</t>
  </si>
  <si>
    <t>Notional-2018 ALF-2600</t>
  </si>
  <si>
    <t>Notional value for proxy calculation</t>
  </si>
  <si>
    <t>GBP</t>
  </si>
  <si>
    <t>Greece 700-2600 (2020)</t>
  </si>
  <si>
    <t>Netherlands 700-2300(p700) (2020)</t>
  </si>
  <si>
    <t>Netherlands 700-2300(p2100) (2020)</t>
  </si>
  <si>
    <t>Netherlands 700-2600(p700) (2020)</t>
  </si>
  <si>
    <t>Netherlands 700-2600(p2100) (2020)</t>
  </si>
  <si>
    <t>Netherlands 700-3600(p700) (2020) - UK 3.4 GHz (2018)</t>
  </si>
  <si>
    <t>Netherlands 700-3600(p700) (2020) - UK 3.6 GHz (2021)</t>
  </si>
  <si>
    <t>Netherlands 700-3600(p2100) (2020) - UK 3.4 GHz (2018)</t>
  </si>
  <si>
    <t>Netherlands 700-3600(p2100) (2020) - UK 3.6 GHz (2021)</t>
  </si>
  <si>
    <t>Norway 700-2300(p700) (2019)</t>
  </si>
  <si>
    <t>Norway 700-2300(p2100) (2019)</t>
  </si>
  <si>
    <t>Norway 700-2600(p700) (2019)</t>
  </si>
  <si>
    <t>Norway 700-3600(p700) (2019) - UK 3.4 GHz (2018)</t>
  </si>
  <si>
    <t>Norway 700-3600(p700) (2019) - UK 3.6 GHz (2021)</t>
  </si>
  <si>
    <t>Norway 700-2600(p2100) (2019)</t>
  </si>
  <si>
    <t>Norway 700-3600(p2100) (2019) - UK 3.4 GHz (2018)</t>
  </si>
  <si>
    <t>Norway 700-3600(p2100) (2019) - UK 3.6 GHz (2021)</t>
  </si>
  <si>
    <t>Germany 700-2100 (2019)</t>
  </si>
  <si>
    <t>Austria 3600-2100 (2020) - UK 3.4 GHz (2018)</t>
  </si>
  <si>
    <t>Austria 3600-2100 (2020) - UK 3.6 GHz (2021)</t>
  </si>
  <si>
    <t>Hungary 1800 Ext5Y-2100 Ext5Y (2020)</t>
  </si>
  <si>
    <t>Germany 1800-2100 (2019)</t>
  </si>
  <si>
    <t>Hungary 700 Ext5Y-2100 Ext5Y (2020)</t>
  </si>
  <si>
    <t>UK-2013 Mar-800-DTT</t>
  </si>
  <si>
    <t>Publication of principal stage results, 17 March 2021</t>
  </si>
  <si>
    <t>comment</t>
  </si>
  <si>
    <t>2015 ALF Statement, Section 2</t>
  </si>
  <si>
    <t>2018 ALF Statement</t>
  </si>
  <si>
    <t>Publication of auction results, 13 April 2018</t>
  </si>
  <si>
    <t>Lowest price increment in principal stage</t>
  </si>
  <si>
    <t>Net of DTT co-existence costs</t>
  </si>
  <si>
    <t>Croatia 800-2600(p)</t>
  </si>
  <si>
    <t>Annex A8, Table A8.1</t>
  </si>
  <si>
    <t>Estimating the market value of UK spectrum in the 2.1 GHz band using evidence of market prices of spectrum in the UK and other European markets</t>
  </si>
  <si>
    <t>v1.0</t>
  </si>
  <si>
    <t>C_Paired</t>
  </si>
  <si>
    <t>Calculation of the lump sum value of UK 2100 MHz spectrum using the paired ratio method</t>
  </si>
  <si>
    <t>O_Paired</t>
  </si>
  <si>
    <t>E_Results</t>
  </si>
  <si>
    <t>All results in a flat table for export</t>
  </si>
  <si>
    <t>Data in columns A:P pulled automatically via query 'C_UKEq_detail'. Do not change manually! All other columns should follow a consistent formula.</t>
  </si>
  <si>
    <t>Data in columns A:M pulled automatically via query 'C_Distance'. Do not change manyally! All other columns should follow a consistent formula.</t>
  </si>
  <si>
    <t>Data pulled automatically via query 'O_Paired'. Do not change manually!</t>
  </si>
  <si>
    <t>Data in columns A:K pulled automatically via query 'C_Paired'. Do not change manually! All other columns should follow a consistent formula.</t>
  </si>
  <si>
    <t>Input data for international spectrum awards</t>
  </si>
  <si>
    <t>Public</t>
  </si>
  <si>
    <t>Ofcom</t>
  </si>
  <si>
    <t>ALF 2100 MHz Benchmark Valuation Model - Consultation</t>
  </si>
  <si>
    <t>Consultation version for release</t>
  </si>
  <si>
    <r>
      <t xml:space="preserve">The terms and conditions on which OFCOM is making available the model are set out below.
The </t>
    </r>
    <r>
      <rPr>
        <sz val="11"/>
        <rFont val="Calibri"/>
        <family val="2"/>
      </rPr>
      <t>ALF 2100 MHz Benchmark Valuation Model</t>
    </r>
    <r>
      <rPr>
        <sz val="11"/>
        <rFont val="Calibri"/>
        <family val="2"/>
        <scheme val="minor"/>
      </rPr>
      <t xml:space="preserve"> model provided has been developed to inform Ofcom's estimate of the market value of UK spectrum in the 2.1 GHz band using evidence of market prices of spectrum in the UK and other European markets.
All right, title and interest in the provided model (the ‘Model’) constructed in Excel to help respond to Ofcom's consultation on the annual licence fees for the 2.1 GHz band are owned by OFCOM. Such title and interest is protected by United Kingdom intellectual property laws and international treaty provisions. While you may freely use the Model for the purposes for which it is provided, as set out in the accompanying model documentation, it is not to be modified in any way or used for commercial gain or otherwise without the prior written permission of OFCOM.
No representation or warranty is given as to the accuracy, completeness or correctness of the provided Model and it is provided 'as is'. It is provided without any representation or endorsement made and without warranty of any kind, whether express or implied, including but not limited to the implied warranties of satisfactory quality, fitness for a particular purpose, non-infringement, compatibility, security and accuracy.
OFCOM does not accept any responsibility for any loss, disruption or damage to your data or your computer system which may occur whilst using the Model or material derived from the Model. OFCOM does not warrant that the functions contained in the Model will be uninterrupted or error free. Also, OFCOM does not warrant that defects will be corrected, or that the Model provided is free of viruses.
In no event will OFCOM be liable for any loss or damage including, without limitation, indirect or consequential loss or damage, or any loss or damages whatsoever arising from use or loss of use of, data or profits arising out of or in connection with the use or otherwise of the provided Model. By using this Model, you agree to the above.</t>
    </r>
  </si>
  <si>
    <t>Approved for release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</si>
</sst>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_);[Red]\-#,##0_);0_);@_)"/>
    <numFmt numFmtId="165" formatCode="&quot;Rnd&quot;* &quot;[&quot;General&quot;]&quot;;&quot;Rnd&quot;* &quot;[&quot;\-General&quot;]&quot;"/>
    <numFmt numFmtId="166" formatCode="dd\-mmm\-yyyy"/>
    <numFmt numFmtId="167" formatCode="#,##0.00_ ;[Red]\-#,##0.00\ "/>
    <numFmt numFmtId="168" formatCode="#,##0_ ;[Red]\-#,##0\ "/>
    <numFmt numFmtId="169" formatCode="#,##0.000_ ;[Red]\-#,##0.000\ "/>
    <numFmt numFmtId="170" formatCode="0.00_ ;[Red]\-0.00\ "/>
    <numFmt numFmtId="171" formatCode="0.000"/>
    <numFmt numFmtId="172" formatCode="0.0000"/>
  </numFmts>
  <fonts count="24" x14ac:knownFonts="1">
    <font>
      <sz val="11"/>
      <name val="Calibri"/>
      <family val="2"/>
      <scheme val="minor"/>
    </font>
    <font>
      <sz val="11"/>
      <name val="Calibri"/>
      <family val="2"/>
    </font>
    <font>
      <b/>
      <sz val="12"/>
      <name val="Arial"/>
      <family val="2"/>
    </font>
    <font>
      <sz val="9"/>
      <name val="Arial"/>
      <family val="2"/>
    </font>
    <font>
      <b/>
      <sz val="9"/>
      <name val="Arial"/>
      <family val="2"/>
    </font>
    <font>
      <b/>
      <sz val="22"/>
      <name val="Arial"/>
      <family val="2"/>
    </font>
    <font>
      <sz val="8"/>
      <name val="Arial"/>
      <family val="2"/>
    </font>
    <font>
      <u/>
      <sz val="9"/>
      <name val="Arial"/>
      <family val="2"/>
    </font>
    <font>
      <sz val="9"/>
      <name val="Verdana"/>
      <family val="2"/>
    </font>
    <font>
      <sz val="24"/>
      <color rgb="FFCC0044"/>
      <name val="Calibri"/>
      <family val="2"/>
      <scheme val="major"/>
    </font>
    <font>
      <b/>
      <sz val="16"/>
      <color rgb="FFCC0044"/>
      <name val="Calibri"/>
      <family val="2"/>
      <scheme val="major"/>
    </font>
    <font>
      <b/>
      <sz val="14"/>
      <color rgb="FF404040"/>
      <name val="Calibri"/>
      <family val="2"/>
      <scheme val="major"/>
    </font>
    <font>
      <b/>
      <sz val="11"/>
      <color rgb="FF642566"/>
      <name val="Calibri"/>
      <family val="2"/>
      <scheme val="major"/>
    </font>
    <font>
      <sz val="11"/>
      <color rgb="FF000000"/>
      <name val="Calibri"/>
      <family val="2"/>
      <scheme val="minor"/>
    </font>
    <font>
      <b/>
      <sz val="11"/>
      <color rgb="FFFFFFFF"/>
      <name val="Calibri"/>
      <family val="2"/>
      <scheme val="minor"/>
    </font>
    <font>
      <sz val="11"/>
      <color rgb="FF969696"/>
      <name val="Calibri"/>
      <family val="2"/>
      <scheme val="minor"/>
    </font>
    <font>
      <sz val="11"/>
      <color rgb="FF0000FF"/>
      <name val="Calibri"/>
      <family val="2"/>
      <scheme val="minor"/>
    </font>
    <font>
      <sz val="11"/>
      <color theme="0" tint="-0.14996795556505021"/>
      <name val="Calibri"/>
      <family val="2"/>
      <scheme val="minor"/>
    </font>
    <font>
      <i/>
      <sz val="11"/>
      <color rgb="FFC00000"/>
      <name val="Calibri"/>
      <family val="2"/>
      <scheme val="minor"/>
    </font>
    <font>
      <sz val="11"/>
      <name val="Calibri"/>
      <family val="2"/>
      <scheme val="minor"/>
    </font>
    <font>
      <sz val="10"/>
      <color indexed="10"/>
      <name val="Calibri"/>
      <family val="2"/>
      <scheme val="minor"/>
    </font>
    <font>
      <b/>
      <sz val="24"/>
      <color rgb="FFCC0044"/>
      <name val="Calibri"/>
      <family val="2"/>
      <scheme val="minor"/>
    </font>
    <font>
      <u/>
      <sz val="11"/>
      <color theme="10"/>
      <name val="Calibri"/>
      <family val="2"/>
      <scheme val="minor"/>
    </font>
    <font>
      <sz val="8"/>
      <name val="Calibri"/>
      <family val="2"/>
      <scheme val="minor"/>
    </font>
  </fonts>
  <fills count="11">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rgb="FF00FFFF"/>
        <bgColor indexed="64"/>
      </patternFill>
    </fill>
    <fill>
      <gradientFill degree="45">
        <stop position="0">
          <color rgb="FFF7941D"/>
        </stop>
        <stop position="0.5">
          <color rgb="FFFFF200"/>
        </stop>
        <stop position="1">
          <color rgb="FFF7941D"/>
        </stop>
      </gradientFill>
    </fill>
    <fill>
      <patternFill patternType="solid">
        <fgColor rgb="FFFFF296"/>
        <bgColor indexed="64"/>
      </patternFill>
    </fill>
    <fill>
      <patternFill patternType="solid">
        <fgColor rgb="FFEAC8EA"/>
        <bgColor indexed="64"/>
      </patternFill>
    </fill>
    <fill>
      <patternFill patternType="solid">
        <fgColor rgb="FFFF0000"/>
        <bgColor indexed="64"/>
      </patternFill>
    </fill>
    <fill>
      <patternFill patternType="solid">
        <fgColor theme="0" tint="-0.14999847407452621"/>
        <bgColor indexed="64"/>
      </patternFill>
    </fill>
    <fill>
      <patternFill patternType="solid">
        <fgColor rgb="FFDAEEF3"/>
        <bgColor indexed="64"/>
      </patternFill>
    </fill>
  </fills>
  <borders count="6">
    <border>
      <left/>
      <right/>
      <top/>
      <bottom/>
      <diagonal/>
    </border>
    <border>
      <left style="mediumDashed">
        <color rgb="FFC90044"/>
      </left>
      <right style="mediumDashed">
        <color rgb="FFC90044"/>
      </right>
      <top style="mediumDashed">
        <color rgb="FFC90044"/>
      </top>
      <bottom style="mediumDashed">
        <color rgb="FFC90044"/>
      </bottom>
      <diagonal/>
    </border>
    <border>
      <left style="medium">
        <color theme="0" tint="-0.14999847407452621"/>
      </left>
      <right style="medium">
        <color theme="0" tint="-0.14999847407452621"/>
      </right>
      <top style="medium">
        <color theme="0" tint="-0.14999847407452621"/>
      </top>
      <bottom style="medium">
        <color theme="0" tint="-0.14999847407452621"/>
      </bottom>
      <diagonal/>
    </border>
    <border>
      <left style="hair">
        <color rgb="FFC00000"/>
      </left>
      <right style="hair">
        <color rgb="FFC00000"/>
      </right>
      <top style="hair">
        <color rgb="FFC00000"/>
      </top>
      <bottom/>
      <diagonal/>
    </border>
    <border>
      <left style="hair">
        <color rgb="FFC00000"/>
      </left>
      <right style="hair">
        <color rgb="FFC00000"/>
      </right>
      <top/>
      <bottom style="hair">
        <color rgb="FFC00000"/>
      </bottom>
      <diagonal/>
    </border>
    <border>
      <left style="hair">
        <color rgb="FFC00000"/>
      </left>
      <right style="hair">
        <color rgb="FFC00000"/>
      </right>
      <top style="hair">
        <color rgb="FFC00000"/>
      </top>
      <bottom style="hair">
        <color rgb="FFC00000"/>
      </bottom>
      <diagonal/>
    </border>
  </borders>
  <cellStyleXfs count="28">
    <xf numFmtId="0" fontId="0" fillId="0" borderId="0">
      <alignment vertical="center"/>
    </xf>
    <xf numFmtId="0" fontId="3" fillId="0" borderId="0" applyNumberFormat="0" applyAlignment="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horizontal="left" vertical="center"/>
    </xf>
    <xf numFmtId="0" fontId="12" fillId="0" borderId="0" applyNumberFormat="0" applyFill="0" applyBorder="0" applyAlignment="0" applyProtection="0">
      <alignment vertical="center"/>
    </xf>
    <xf numFmtId="0" fontId="3" fillId="2" borderId="0" applyNumberFormat="0" applyFont="0" applyBorder="0" applyAlignment="0" applyProtection="0">
      <alignment vertical="center"/>
    </xf>
    <xf numFmtId="0" fontId="18" fillId="0" borderId="0" applyNumberFormat="0" applyAlignment="0" applyProtection="0">
      <alignment vertical="center"/>
    </xf>
    <xf numFmtId="0" fontId="6" fillId="0" borderId="0" applyNumberFormat="0" applyFill="0" applyBorder="0" applyAlignment="0" applyProtection="0">
      <alignment vertical="center"/>
    </xf>
    <xf numFmtId="0" fontId="3" fillId="3" borderId="0" applyNumberFormat="0" applyFont="0" applyBorder="0" applyAlignment="0" applyProtection="0">
      <alignment vertical="center"/>
    </xf>
    <xf numFmtId="164" fontId="4" fillId="0" borderId="0" applyNumberFormat="0" applyFill="0" applyBorder="0" applyAlignment="0" applyProtection="0">
      <alignment vertical="center"/>
    </xf>
    <xf numFmtId="0" fontId="19" fillId="0" borderId="0" applyProtection="0">
      <alignment vertical="center"/>
    </xf>
    <xf numFmtId="0" fontId="3" fillId="4" borderId="0" applyNumberFormat="0" applyFont="0" applyBorder="0" applyAlignment="0" applyProtection="0">
      <alignment vertical="center"/>
    </xf>
    <xf numFmtId="0" fontId="16" fillId="5" borderId="1" applyNumberFormat="0" applyAlignment="0" applyProtection="0">
      <alignment vertical="center"/>
    </xf>
    <xf numFmtId="0" fontId="16" fillId="6" borderId="0" applyNumberFormat="0" applyAlignment="0" applyProtection="0">
      <alignment vertical="center"/>
      <protection locked="0"/>
    </xf>
    <xf numFmtId="0" fontId="13" fillId="10" borderId="0" applyNumberFormat="0" applyAlignment="0" applyProtection="0">
      <alignment vertical="center"/>
    </xf>
    <xf numFmtId="0" fontId="16" fillId="10" borderId="0" applyNumberFormat="0" applyAlignment="0" applyProtection="0">
      <alignment vertical="center"/>
    </xf>
    <xf numFmtId="0" fontId="15" fillId="0" borderId="0" applyNumberFormat="0" applyAlignment="0" applyProtection="0">
      <alignment vertical="center"/>
    </xf>
    <xf numFmtId="0" fontId="14" fillId="8" borderId="0" applyNumberFormat="0" applyAlignment="0" applyProtection="0">
      <alignment vertical="center"/>
    </xf>
    <xf numFmtId="0" fontId="20" fillId="0" borderId="0" applyNumberFormat="0" applyAlignment="0" applyProtection="0">
      <alignment vertical="center"/>
    </xf>
    <xf numFmtId="0" fontId="17" fillId="0" borderId="0" applyNumberFormat="0" applyAlignment="0" applyProtection="0">
      <alignment vertical="center"/>
    </xf>
    <xf numFmtId="0" fontId="3" fillId="9" borderId="0" applyNumberFormat="0" applyFont="0" applyBorder="0" applyAlignment="0" applyProtection="0">
      <alignment vertical="center"/>
    </xf>
    <xf numFmtId="0" fontId="19" fillId="0" borderId="5" applyNumberFormat="0" applyAlignment="0" applyProtection="0">
      <alignment vertical="center"/>
      <protection locked="0"/>
    </xf>
    <xf numFmtId="0" fontId="13" fillId="6" borderId="0" applyNumberFormat="0" applyAlignment="0" applyProtection="0">
      <alignment vertical="center"/>
    </xf>
    <xf numFmtId="0" fontId="13" fillId="0" borderId="2" applyNumberFormat="0" applyAlignment="0" applyProtection="0">
      <alignment vertical="center"/>
    </xf>
    <xf numFmtId="0" fontId="13" fillId="7" borderId="0" applyNumberFormat="0" applyAlignment="0" applyProtection="0">
      <alignment vertical="center"/>
    </xf>
    <xf numFmtId="165" fontId="16" fillId="5" borderId="1" applyAlignment="0" applyProtection="0">
      <alignment vertical="center"/>
    </xf>
    <xf numFmtId="0" fontId="22" fillId="0" borderId="0" applyNumberFormat="0" applyFill="0" applyBorder="0" applyAlignment="0" applyProtection="0">
      <alignment vertical="center"/>
    </xf>
  </cellStyleXfs>
  <cellXfs count="71">
    <xf numFmtId="0" fontId="0" fillId="0" borderId="0" xfId="0">
      <alignment vertical="center"/>
    </xf>
    <xf numFmtId="0" fontId="0" fillId="0" borderId="0" xfId="0" applyFill="1">
      <alignment vertical="center"/>
    </xf>
    <xf numFmtId="0" fontId="10" fillId="0" borderId="0" xfId="3" applyFill="1" applyAlignment="1"/>
    <xf numFmtId="0" fontId="11" fillId="0" borderId="0" xfId="4" applyAlignment="1"/>
    <xf numFmtId="0" fontId="0" fillId="0" borderId="0" xfId="0">
      <alignment vertical="center"/>
    </xf>
    <xf numFmtId="0" fontId="10" fillId="0" borderId="0" xfId="3">
      <alignment vertical="center"/>
    </xf>
    <xf numFmtId="0" fontId="12" fillId="0" borderId="0" xfId="5">
      <alignment vertical="center"/>
    </xf>
    <xf numFmtId="0" fontId="11" fillId="0" borderId="0" xfId="4" applyAlignment="1">
      <alignment vertical="center"/>
    </xf>
    <xf numFmtId="164" fontId="18" fillId="0" borderId="0" xfId="7" applyNumberFormat="1">
      <alignment vertical="center"/>
    </xf>
    <xf numFmtId="0" fontId="9" fillId="0" borderId="0" xfId="2">
      <alignment vertical="center"/>
    </xf>
    <xf numFmtId="0" fontId="0" fillId="0" borderId="0" xfId="11" applyFont="1">
      <alignment vertical="center"/>
    </xf>
    <xf numFmtId="0" fontId="0" fillId="0" borderId="0" xfId="0" applyAlignment="1">
      <alignment horizontal="left" vertical="center" wrapText="1"/>
    </xf>
    <xf numFmtId="0" fontId="0" fillId="0" borderId="0" xfId="0" applyFont="1" applyAlignment="1">
      <alignment horizontal="center" vertical="center"/>
    </xf>
    <xf numFmtId="0" fontId="0" fillId="0" borderId="0" xfId="0" applyFont="1" applyAlignment="1">
      <alignment horizontal="center" vertical="center"/>
    </xf>
    <xf numFmtId="0" fontId="10" fillId="0" borderId="0" xfId="3" applyFill="1" applyAlignment="1">
      <alignment horizontal="left"/>
    </xf>
    <xf numFmtId="0" fontId="0" fillId="0" borderId="0" xfId="0" applyFont="1" applyAlignment="1">
      <alignment vertical="center"/>
    </xf>
    <xf numFmtId="0" fontId="8" fillId="0" borderId="0" xfId="0" applyFont="1">
      <alignment vertical="center"/>
    </xf>
    <xf numFmtId="0" fontId="2" fillId="0" borderId="0" xfId="4" applyFont="1" applyAlignment="1"/>
    <xf numFmtId="0" fontId="0" fillId="0" borderId="0" xfId="0" applyFill="1" applyBorder="1">
      <alignment vertical="center"/>
    </xf>
    <xf numFmtId="0" fontId="4" fillId="0" borderId="0" xfId="0" applyFont="1" applyAlignment="1">
      <alignment vertical="center"/>
    </xf>
    <xf numFmtId="0" fontId="2" fillId="0" borderId="0" xfId="0" applyFont="1">
      <alignment vertical="center"/>
    </xf>
    <xf numFmtId="164" fontId="0" fillId="0" borderId="0" xfId="0" applyNumberFormat="1" applyBorder="1">
      <alignment vertical="center"/>
    </xf>
    <xf numFmtId="0" fontId="4" fillId="0" borderId="0" xfId="0" applyFont="1" applyAlignment="1">
      <alignment horizontal="left" vertical="center" wrapText="1"/>
    </xf>
    <xf numFmtId="0" fontId="5" fillId="0" borderId="0" xfId="0" applyFont="1" applyAlignment="1"/>
    <xf numFmtId="0" fontId="5" fillId="0" borderId="0" xfId="0" applyFont="1" applyAlignment="1">
      <alignment horizontal="left"/>
    </xf>
    <xf numFmtId="0" fontId="0" fillId="0" borderId="0" xfId="0">
      <alignment vertical="center"/>
    </xf>
    <xf numFmtId="0" fontId="0" fillId="0" borderId="0" xfId="0" applyFont="1" applyAlignment="1">
      <alignment horizontal="left" vertical="center"/>
    </xf>
    <xf numFmtId="0" fontId="0" fillId="0" borderId="2" xfId="0" applyFill="1" applyBorder="1">
      <alignment vertical="center"/>
    </xf>
    <xf numFmtId="0" fontId="0" fillId="4" borderId="0" xfId="12" applyFont="1">
      <alignment vertical="center"/>
    </xf>
    <xf numFmtId="0" fontId="20" fillId="0" borderId="0" xfId="19">
      <alignment vertical="center"/>
    </xf>
    <xf numFmtId="165" fontId="16" fillId="5" borderId="1" xfId="26">
      <alignment vertical="center"/>
    </xf>
    <xf numFmtId="0" fontId="16" fillId="10" borderId="0" xfId="16">
      <alignment vertical="center"/>
    </xf>
    <xf numFmtId="0" fontId="13" fillId="10" borderId="0" xfId="15">
      <alignment vertical="center"/>
    </xf>
    <xf numFmtId="0" fontId="13" fillId="6" borderId="0" xfId="23">
      <alignment vertical="center"/>
    </xf>
    <xf numFmtId="0" fontId="16" fillId="6" borderId="0" xfId="14">
      <alignment vertical="center"/>
      <protection locked="0"/>
    </xf>
    <xf numFmtId="0" fontId="13" fillId="7" borderId="0" xfId="25">
      <alignment vertical="center"/>
    </xf>
    <xf numFmtId="0" fontId="3" fillId="9" borderId="0" xfId="21">
      <alignment vertical="center"/>
    </xf>
    <xf numFmtId="0" fontId="14" fillId="8" borderId="0" xfId="18">
      <alignment vertical="center"/>
    </xf>
    <xf numFmtId="0" fontId="15" fillId="0" borderId="0" xfId="17">
      <alignment vertical="center"/>
    </xf>
    <xf numFmtId="0" fontId="17" fillId="0" borderId="0" xfId="20">
      <alignment vertical="center"/>
    </xf>
    <xf numFmtId="0" fontId="19" fillId="0" borderId="3" xfId="22" applyBorder="1" applyProtection="1">
      <alignment vertical="center"/>
    </xf>
    <xf numFmtId="0" fontId="19" fillId="0" borderId="4" xfId="22" applyBorder="1" applyProtection="1">
      <alignment vertical="center"/>
    </xf>
    <xf numFmtId="0" fontId="16" fillId="5" borderId="1" xfId="13">
      <alignment vertical="center"/>
    </xf>
    <xf numFmtId="0" fontId="0" fillId="2" borderId="0" xfId="6" applyFont="1">
      <alignment vertical="center"/>
    </xf>
    <xf numFmtId="0" fontId="9" fillId="0" borderId="0" xfId="2" applyAlignment="1">
      <alignment horizontal="left"/>
    </xf>
    <xf numFmtId="0" fontId="9" fillId="0" borderId="0" xfId="2" applyAlignment="1">
      <alignment horizontal="right"/>
    </xf>
    <xf numFmtId="0" fontId="10" fillId="0" borderId="0" xfId="3" applyAlignment="1">
      <alignment vertical="center"/>
    </xf>
    <xf numFmtId="0" fontId="12" fillId="0" borderId="0" xfId="5" applyAlignment="1">
      <alignment vertical="center"/>
    </xf>
    <xf numFmtId="0" fontId="21" fillId="0" borderId="0" xfId="0" applyFont="1">
      <alignment vertical="center"/>
    </xf>
    <xf numFmtId="14" fontId="0" fillId="0" borderId="0" xfId="0" applyNumberFormat="1">
      <alignment vertical="center"/>
    </xf>
    <xf numFmtId="0" fontId="0" fillId="0" borderId="0" xfId="0" applyNumberFormat="1">
      <alignment vertical="center"/>
    </xf>
    <xf numFmtId="0" fontId="16" fillId="6" borderId="0" xfId="14" applyProtection="1">
      <alignment vertical="center"/>
    </xf>
    <xf numFmtId="166" fontId="16" fillId="6" borderId="0" xfId="14" applyNumberFormat="1" applyProtection="1">
      <alignment vertical="center"/>
    </xf>
    <xf numFmtId="3" fontId="13" fillId="10" borderId="0" xfId="15" applyNumberFormat="1">
      <alignment vertical="center"/>
    </xf>
    <xf numFmtId="0" fontId="18" fillId="0" borderId="0" xfId="7" applyAlignment="1">
      <alignment horizontal="right" vertical="center"/>
    </xf>
    <xf numFmtId="0" fontId="22" fillId="0" borderId="0" xfId="27">
      <alignment vertical="center"/>
    </xf>
    <xf numFmtId="167" fontId="0" fillId="0" borderId="0" xfId="0" applyNumberFormat="1">
      <alignment vertical="center"/>
    </xf>
    <xf numFmtId="168" fontId="0" fillId="0" borderId="0" xfId="0" applyNumberFormat="1">
      <alignment vertical="center"/>
    </xf>
    <xf numFmtId="169" fontId="0" fillId="0" borderId="0" xfId="0" applyNumberFormat="1">
      <alignment vertical="center"/>
    </xf>
    <xf numFmtId="170" fontId="0" fillId="0" borderId="0" xfId="0" applyNumberFormat="1">
      <alignment vertical="center"/>
    </xf>
    <xf numFmtId="171" fontId="0" fillId="0" borderId="0" xfId="0" applyNumberFormat="1">
      <alignment vertical="center"/>
    </xf>
    <xf numFmtId="172" fontId="16" fillId="6" borderId="0" xfId="14" applyNumberFormat="1" applyProtection="1">
      <alignment vertical="center"/>
    </xf>
    <xf numFmtId="0" fontId="0" fillId="0" borderId="0" xfId="0" pivotButton="1">
      <alignment vertical="center"/>
    </xf>
    <xf numFmtId="0" fontId="0" fillId="0" borderId="0" xfId="0" applyAlignment="1">
      <alignment horizontal="left" vertical="center"/>
    </xf>
    <xf numFmtId="0" fontId="0" fillId="0" borderId="0" xfId="0" applyAlignment="1">
      <alignment horizontal="left" vertical="center" indent="1"/>
    </xf>
    <xf numFmtId="0" fontId="0" fillId="0" borderId="0" xfId="0" applyAlignment="1">
      <alignment horizontal="left" vertical="center" indent="2"/>
    </xf>
    <xf numFmtId="15" fontId="0" fillId="0" borderId="0" xfId="0" applyNumberFormat="1" applyFont="1" applyAlignment="1">
      <alignment horizontal="left" vertical="center"/>
    </xf>
    <xf numFmtId="0" fontId="0" fillId="0" borderId="0" xfId="0" applyFont="1" applyAlignment="1">
      <alignment vertical="center" wrapText="1"/>
    </xf>
    <xf numFmtId="0" fontId="0" fillId="0" borderId="0" xfId="0" applyAlignment="1">
      <alignment horizontal="left" vertical="center" indent="3"/>
    </xf>
    <xf numFmtId="2" fontId="0" fillId="0" borderId="0" xfId="0" applyNumberFormat="1">
      <alignment vertical="center"/>
    </xf>
    <xf numFmtId="0" fontId="0" fillId="0" borderId="0" xfId="0" applyFont="1" applyAlignment="1">
      <alignment vertical="center" wrapText="1"/>
    </xf>
  </cellXfs>
  <cellStyles count="28">
    <cellStyle name="Calculation" xfId="1" builtinId="22" customBuiltin="1"/>
    <cellStyle name="Calculation oet2017" xfId="24" xr:uid="{00000000-0005-0000-0000-000001000000}"/>
    <cellStyle name="Check fail" xfId="18" xr:uid="{00000000-0005-0000-0000-000002000000}"/>
    <cellStyle name="Check pass" xfId="17" xr:uid="{00000000-0005-0000-0000-000003000000}"/>
    <cellStyle name="Confidential" xfId="13" xr:uid="{00000000-0005-0000-0000-000004000000}"/>
    <cellStyle name="Feed external" xfId="16" xr:uid="{00000000-0005-0000-0000-000005000000}"/>
    <cellStyle name="Feed internal" xfId="15" xr:uid="{00000000-0005-0000-0000-000006000000}"/>
    <cellStyle name="H1" xfId="2" xr:uid="{00000000-0005-0000-0000-000007000000}"/>
    <cellStyle name="H2" xfId="3" xr:uid="{00000000-0005-0000-0000-000008000000}"/>
    <cellStyle name="H3" xfId="4" xr:uid="{00000000-0005-0000-0000-000009000000}"/>
    <cellStyle name="H4" xfId="5" xr:uid="{00000000-0005-0000-0000-00000A000000}"/>
    <cellStyle name="Highlight" xfId="6" xr:uid="{00000000-0005-0000-0000-00000B000000}"/>
    <cellStyle name="Hyperlink" xfId="27" builtinId="8"/>
    <cellStyle name="Input assumption or parameter" xfId="14" xr:uid="{00000000-0005-0000-0000-00000C000000}"/>
    <cellStyle name="Input data" xfId="23" xr:uid="{00000000-0005-0000-0000-00000D000000}"/>
    <cellStyle name="Intentionally blank" xfId="21" xr:uid="{00000000-0005-0000-0000-00000E000000}"/>
    <cellStyle name="Model logic" xfId="20" xr:uid="{00000000-0005-0000-0000-00000F000000}"/>
    <cellStyle name="Named range" xfId="22" xr:uid="{00000000-0005-0000-0000-000011000000}"/>
    <cellStyle name="Normal" xfId="0" builtinId="0" customBuiltin="1"/>
    <cellStyle name="Note" xfId="8" builtinId="10" customBuiltin="1"/>
    <cellStyle name="Note or source" xfId="19" xr:uid="{00000000-0005-0000-0000-000014000000}"/>
    <cellStyle name="Output" xfId="9" builtinId="21" customBuiltin="1"/>
    <cellStyle name="Output oet2017" xfId="25" xr:uid="{00000000-0005-0000-0000-000016000000}"/>
    <cellStyle name="QA highlight" xfId="12" xr:uid="{00000000-0005-0000-0000-000017000000}"/>
    <cellStyle name="Randomized" xfId="26" xr:uid="{00000000-0005-0000-0000-000018000000}"/>
    <cellStyle name="Range name" xfId="7" xr:uid="{00000000-0005-0000-0000-000010000000}"/>
    <cellStyle name="Total" xfId="10" builtinId="25" customBuiltin="1"/>
    <cellStyle name="Unhighlight" xfId="11" xr:uid="{00000000-0005-0000-0000-00001A000000}"/>
  </cellStyles>
  <dxfs count="96">
    <dxf>
      <numFmt numFmtId="0" formatCode="General"/>
    </dxf>
    <dxf>
      <numFmt numFmtId="168" formatCode="#,##0_ ;[Red]\-#,##0\ "/>
    </dxf>
    <dxf>
      <numFmt numFmtId="170" formatCode="0.00_ ;[Red]\-0.00\ "/>
    </dxf>
    <dxf>
      <numFmt numFmtId="168" formatCode="#,##0_ ;[Red]\-#,##0\ "/>
    </dxf>
    <dxf>
      <numFmt numFmtId="2" formatCode="0.00"/>
    </dxf>
    <dxf>
      <numFmt numFmtId="0" formatCode="General"/>
    </dxf>
    <dxf>
      <numFmt numFmtId="170" formatCode="0.00_ ;[Red]\-0.00\ "/>
    </dxf>
    <dxf>
      <numFmt numFmtId="170" formatCode="0.00_ ;[Red]\-0.00\ "/>
    </dxf>
    <dxf>
      <numFmt numFmtId="170" formatCode="0.00_ ;[Red]\-0.00\ "/>
    </dxf>
    <dxf>
      <numFmt numFmtId="168" formatCode="#,##0_ ;[Red]\-#,##0\ "/>
    </dxf>
    <dxf>
      <numFmt numFmtId="168" formatCode="#,##0_ ;[Red]\-#,##0\ "/>
    </dxf>
    <dxf>
      <numFmt numFmtId="168" formatCode="#,##0_ ;[Red]\-#,##0\ "/>
    </dxf>
    <dxf>
      <numFmt numFmtId="167" formatCode="#,##0.00_ ;[Red]\-#,##0.00\ "/>
    </dxf>
    <dxf>
      <numFmt numFmtId="168" formatCode="#,##0_ ;[Red]\-#,##0\ "/>
    </dxf>
    <dxf>
      <numFmt numFmtId="168" formatCode="#,##0_ ;[Red]\-#,##0\ "/>
    </dxf>
    <dxf>
      <numFmt numFmtId="168" formatCode="#,##0_ ;[Red]\-#,##0\ "/>
    </dxf>
    <dxf>
      <numFmt numFmtId="168" formatCode="#,##0_ ;[Red]\-#,##0\ "/>
    </dxf>
    <dxf>
      <numFmt numFmtId="168" formatCode="#,##0_ ;[Red]\-#,##0\ "/>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168" formatCode="#,##0_ ;[Red]\-#,##0\ "/>
    </dxf>
    <dxf>
      <numFmt numFmtId="170" formatCode="0.00_ ;[Red]\-0.00\ "/>
    </dxf>
    <dxf>
      <numFmt numFmtId="168" formatCode="#,##0_ ;[Red]\-#,##0\ "/>
    </dxf>
    <dxf>
      <numFmt numFmtId="168" formatCode="#,##0_ ;[Red]\-#,##0\ "/>
    </dxf>
    <dxf>
      <numFmt numFmtId="168" formatCode="#,##0_ ;[Red]\-#,##0\ "/>
    </dxf>
    <dxf>
      <numFmt numFmtId="0" formatCode="General"/>
    </dxf>
    <dxf>
      <numFmt numFmtId="0" formatCode="General"/>
    </dxf>
    <dxf>
      <numFmt numFmtId="0" formatCode="General"/>
    </dxf>
    <dxf>
      <numFmt numFmtId="0" formatCode="General"/>
    </dxf>
    <dxf>
      <numFmt numFmtId="0" formatCode="General"/>
    </dxf>
    <dxf>
      <numFmt numFmtId="168" formatCode="#,##0_ ;[Red]\-#,##0\ "/>
    </dxf>
    <dxf>
      <numFmt numFmtId="168" formatCode="#,##0_ ;[Red]\-#,##0\ "/>
    </dxf>
    <dxf>
      <numFmt numFmtId="2" formatCode="0.00"/>
    </dxf>
    <dxf>
      <numFmt numFmtId="168" formatCode="#,##0_ ;[Red]\-#,##0\ "/>
    </dxf>
    <dxf>
      <numFmt numFmtId="0" formatCode="General"/>
    </dxf>
    <dxf>
      <numFmt numFmtId="0" formatCode="General"/>
    </dxf>
    <dxf>
      <numFmt numFmtId="0" formatCode="General"/>
    </dxf>
    <dxf>
      <numFmt numFmtId="2" formatCode="0.00"/>
    </dxf>
    <dxf>
      <numFmt numFmtId="168" formatCode="#,##0_ ;[Red]\-#,##0\ "/>
    </dxf>
    <dxf>
      <numFmt numFmtId="168" formatCode="#,##0_ ;[Red]\-#,##0\ "/>
    </dxf>
    <dxf>
      <numFmt numFmtId="168" formatCode="#,##0_ ;[Red]\-#,##0\ "/>
    </dxf>
    <dxf>
      <numFmt numFmtId="168" formatCode="#,##0_ ;[Red]\-#,##0\ "/>
    </dxf>
    <dxf>
      <numFmt numFmtId="168" formatCode="#,##0_ ;[Red]\-#,##0\ "/>
    </dxf>
    <dxf>
      <numFmt numFmtId="171" formatCode="0.000"/>
    </dxf>
    <dxf>
      <numFmt numFmtId="168" formatCode="#,##0_ ;[Red]\-#,##0\ "/>
    </dxf>
    <dxf>
      <numFmt numFmtId="168" formatCode="#,##0_ ;[Red]\-#,##0\ "/>
    </dxf>
    <dxf>
      <numFmt numFmtId="0" formatCode="General"/>
    </dxf>
    <dxf>
      <numFmt numFmtId="168" formatCode="#,##0_ ;[Red]\-#,##0\ "/>
    </dxf>
    <dxf>
      <numFmt numFmtId="19" formatCode="dd/mm/yyyy"/>
    </dxf>
    <dxf>
      <numFmt numFmtId="0" formatCode="General"/>
    </dxf>
    <dxf>
      <numFmt numFmtId="168" formatCode="#,##0_ ;[Red]\-#,##0\ "/>
    </dxf>
    <dxf>
      <numFmt numFmtId="0" formatCode="General"/>
    </dxf>
    <dxf>
      <numFmt numFmtId="0" formatCode="General"/>
    </dxf>
    <dxf>
      <numFmt numFmtId="168" formatCode="#,##0_ ;[Red]\-#,##0\ "/>
    </dxf>
    <dxf>
      <numFmt numFmtId="169" formatCode="#,##0.000_ ;[Red]\-#,##0.000\ "/>
    </dxf>
    <dxf>
      <numFmt numFmtId="168" formatCode="#,##0_ ;[Red]\-#,##0\ "/>
    </dxf>
    <dxf>
      <numFmt numFmtId="168" formatCode="#,##0_ ;[Red]\-#,##0\ "/>
    </dxf>
    <dxf>
      <numFmt numFmtId="169" formatCode="#,##0.000_ ;[Red]\-#,##0.000\ "/>
    </dxf>
    <dxf>
      <numFmt numFmtId="168" formatCode="#,##0_ ;[Red]\-#,##0\ "/>
    </dxf>
    <dxf>
      <numFmt numFmtId="169" formatCode="#,##0.000_ ;[Red]\-#,##0.000\ "/>
    </dxf>
    <dxf>
      <numFmt numFmtId="169" formatCode="#,##0.000_ ;[Red]\-#,##0.000\ "/>
    </dxf>
    <dxf>
      <numFmt numFmtId="168" formatCode="#,##0_ ;[Red]\-#,##0\ "/>
    </dxf>
    <dxf>
      <numFmt numFmtId="168" formatCode="#,##0_ ;[Red]\-#,##0\ "/>
    </dxf>
    <dxf>
      <numFmt numFmtId="168" formatCode="#,##0_ ;[Red]\-#,##0\ "/>
    </dxf>
    <dxf>
      <numFmt numFmtId="168" formatCode="#,##0_ ;[Red]\-#,##0\ "/>
    </dxf>
    <dxf>
      <numFmt numFmtId="0" formatCode="General"/>
    </dxf>
    <dxf>
      <numFmt numFmtId="19" formatCode="dd/mm/yyyy"/>
    </dxf>
    <dxf>
      <numFmt numFmtId="0" formatCode="General"/>
    </dxf>
    <dxf>
      <numFmt numFmtId="0" formatCode="General"/>
    </dxf>
    <dxf>
      <numFmt numFmtId="19" formatCode="dd/mm/yyyy"/>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168" formatCode="#,##0_ ;[Red]\-#,##0\ "/>
    </dxf>
    <dxf>
      <numFmt numFmtId="19" formatCode="dd/mm/yyyy"/>
    </dxf>
    <dxf>
      <numFmt numFmtId="19" formatCode="dd/mm/yyyy"/>
    </dxf>
    <dxf>
      <numFmt numFmtId="19" formatCode="dd/mm/yyyy"/>
    </dxf>
    <dxf>
      <numFmt numFmtId="168" formatCode="#,##0_ ;[Red]\-#,##0\ "/>
    </dxf>
    <dxf>
      <numFmt numFmtId="168" formatCode="#,##0_ ;[Red]\-#,##0\ "/>
    </dxf>
    <dxf>
      <numFmt numFmtId="168" formatCode="#,##0_ ;[Red]\-#,##0\ "/>
    </dxf>
    <dxf>
      <numFmt numFmtId="0" formatCode="General"/>
    </dxf>
    <dxf>
      <numFmt numFmtId="0" formatCode="General"/>
    </dxf>
    <dxf>
      <numFmt numFmtId="0" formatCode="General"/>
    </dxf>
    <dxf>
      <numFmt numFmtId="0" formatCode="General"/>
    </dxf>
    <dxf>
      <numFmt numFmtId="19" formatCode="dd/mm/yyyy"/>
    </dxf>
    <dxf>
      <numFmt numFmtId="0" formatCode="General"/>
    </dxf>
    <dxf>
      <numFmt numFmtId="0" formatCode="General"/>
    </dxf>
    <dxf>
      <numFmt numFmtId="0" formatCode="Genera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8080"/>
      <rgbColor rgb="00BFDCF9"/>
      <rgbColor rgb="00C00000"/>
      <rgbColor rgb="00008000"/>
      <rgbColor rgb="000000C0"/>
      <rgbColor rgb="00808000"/>
      <rgbColor rgb="00FF00FF"/>
      <rgbColor rgb="000060C0"/>
      <rgbColor rgb="00E0E0E0"/>
      <rgbColor rgb="00A0A0A0"/>
      <rgbColor rgb="00A0A0A0"/>
      <rgbColor rgb="00E4E4E4"/>
      <rgbColor rgb="007B7B7B"/>
      <rgbColor rgb="00C8C8C8"/>
      <rgbColor rgb="00565656"/>
      <rgbColor rgb="00FAFAFA"/>
      <rgbColor rgb="00323232"/>
      <rgbColor rgb="00000000"/>
      <rgbColor rgb="00660066"/>
      <rgbColor rgb="00E3738F"/>
      <rgbColor rgb="00CAA6CA"/>
      <rgbColor rgb="00CC0033"/>
      <rgbColor rgb="009B599B"/>
      <rgbColor rgb="00F2BFCC"/>
      <rgbColor rgb="00853385"/>
      <rgbColor rgb="00EB99AD"/>
      <rgbColor rgb="00E8D9E8"/>
      <rgbColor rgb="00DB4C70"/>
      <rgbColor rgb="00B27FB2"/>
      <rgbColor rgb="00FAE5EA"/>
      <rgbColor rgb="00FAE5EA"/>
      <rgbColor rgb="00FFC0C0"/>
      <rgbColor rgb="00FFC0FF"/>
      <rgbColor rgb="00FFF1C9"/>
      <rgbColor rgb="008080FF"/>
      <rgbColor rgb="000080FF"/>
      <rgbColor rgb="00C0C000"/>
      <rgbColor rgb="00FFE0A0"/>
      <rgbColor rgb="00FF8000"/>
      <rgbColor rgb="00C06000"/>
      <rgbColor rgb="00C000C0"/>
      <rgbColor rgb="00C0C0C0"/>
      <rgbColor rgb="00003A47"/>
      <rgbColor rgb="0000C000"/>
      <rgbColor rgb="00006000"/>
      <rgbColor rgb="00606000"/>
      <rgbColor rgb="00804000"/>
      <rgbColor rgb="00FF80FF"/>
      <rgbColor rgb="00800080"/>
      <rgbColor rgb="00808080"/>
    </indexedColors>
    <mruColors>
      <color rgb="FF000000"/>
      <color rgb="FFCC0044"/>
      <color rgb="FF642566"/>
      <color rgb="FF404040"/>
      <color rgb="FFC00000"/>
      <color rgb="FFFFFFFF"/>
      <color rgb="FFEAC8EA"/>
      <color rgb="FF0000FF"/>
      <color rgb="FFDAEEF3"/>
      <color rgb="FFF794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5.xml"/><Relationship Id="rId3" Type="http://schemas.openxmlformats.org/officeDocument/2006/relationships/worksheet" Target="worksheets/sheet3.xml"/><Relationship Id="rId21" Type="http://schemas.openxmlformats.org/officeDocument/2006/relationships/worksheet" Target="worksheets/sheet21.xml"/><Relationship Id="rId34" Type="http://schemas.microsoft.com/office/2006/relationships/attachedToolbars" Target="attachedToolbars.bin"/><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hartsheet" Target="chartsheets/sheet1.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onnections" Target="connection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pivotCacheDefinition" Target="pivotCache/pivotCacheDefinition1.xml"/><Relationship Id="rId30"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[alf-2100mhz-consultation-benchmark-valuation-model.xlsx]O_Results!PivotTable2</c:name>
    <c:fmtId val="1"/>
  </c:pivotSource>
  <c:chart>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4"/>
        <c:spPr>
          <a:no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5"/>
        <c:spPr>
          <a:gradFill flip="none" rotWithShape="1">
            <a:gsLst>
              <a:gs pos="0">
                <a:schemeClr val="accent4"/>
              </a:gs>
              <a:gs pos="100000">
                <a:schemeClr val="bg1"/>
              </a:gs>
            </a:gsLst>
            <a:lin ang="5400000" scaled="1"/>
            <a:tileRect/>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6"/>
        <c:spPr>
          <a:solidFill>
            <a:srgbClr val="00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7"/>
        <c:spPr>
          <a:gradFill flip="none" rotWithShape="1">
            <a:gsLst>
              <a:gs pos="0">
                <a:schemeClr val="accent4">
                  <a:lumMod val="50000"/>
                </a:schemeClr>
              </a:gs>
              <a:gs pos="100000">
                <a:schemeClr val="bg1"/>
              </a:gs>
            </a:gsLst>
            <a:lin ang="16200000" scaled="1"/>
            <a:tileRect/>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8"/>
        <c:spPr>
          <a:gradFill>
            <a:gsLst>
              <a:gs pos="0">
                <a:schemeClr val="accent4"/>
              </a:gs>
              <a:gs pos="100000">
                <a:schemeClr val="bg1"/>
              </a:gs>
            </a:gsLst>
            <a:lin ang="16200000" scaled="1"/>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9"/>
        <c:spPr>
          <a:solidFill>
            <a:schemeClr val="accent1"/>
          </a:solidFill>
          <a:ln w="28575" cap="rnd">
            <a:noFill/>
            <a:round/>
          </a:ln>
          <a:effectLst/>
        </c:spPr>
        <c:marker>
          <c:symbol val="dash"/>
          <c:size val="8"/>
          <c:spPr>
            <a:solidFill>
              <a:schemeClr val="accent2"/>
            </a:solidFill>
            <a:ln w="9525" cap="rnd">
              <a:solidFill>
                <a:schemeClr val="accent2"/>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00"/>
        <c:spPr>
          <a:ln w="28575" cap="rnd">
            <a:noFill/>
            <a:round/>
          </a:ln>
          <a:effectLst/>
        </c:spPr>
        <c:marker>
          <c:symbol val="dash"/>
          <c:size val="8"/>
          <c:spPr>
            <a:solidFill>
              <a:srgbClr val="C00000"/>
            </a:solidFill>
            <a:ln w="9525">
              <a:solidFill>
                <a:srgbClr val="C00000">
                  <a:alpha val="98000"/>
                </a:srgbClr>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01"/>
        <c:spPr>
          <a:solidFill>
            <a:schemeClr val="accent1"/>
          </a:solidFill>
          <a:ln w="28575" cap="rnd">
            <a:no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stacked"/>
        <c:varyColors val="0"/>
        <c:ser>
          <c:idx val="0"/>
          <c:order val="0"/>
          <c:tx>
            <c:strRef>
              <c:f>O_Results!$B$4</c:f>
              <c:strCache>
                <c:ptCount val="1"/>
                <c:pt idx="0">
                  <c:v>_base</c:v>
                </c:pt>
              </c:strCache>
            </c:strRef>
          </c:tx>
          <c:spPr>
            <a:noFill/>
            <a:ln>
              <a:noFill/>
            </a:ln>
            <a:effectLst/>
          </c:spPr>
          <c:invertIfNegative val="0"/>
          <c:cat>
            <c:multiLvlStrRef>
              <c:f>O_Results!$A$5:$A$88</c:f>
              <c:multiLvlStrCache>
                <c:ptCount val="59"/>
                <c:lvl>
                  <c:pt idx="0">
                    <c:v>Austria 1800 UC CorrALF-2100 (2013, 2020)</c:v>
                  </c:pt>
                  <c:pt idx="1">
                    <c:v>Germany 1800-2100 (2019)</c:v>
                  </c:pt>
                  <c:pt idx="2">
                    <c:v>Hungary 1800 Ext5Y-2100 Ext5Y (2020)</c:v>
                  </c:pt>
                  <c:pt idx="3">
                    <c:v>Slovenia 2300-2100 (2021)</c:v>
                  </c:pt>
                  <c:pt idx="4">
                    <c:v>Austria 3600-2100 (2020) - UK 3.4 GHz (2018)</c:v>
                  </c:pt>
                  <c:pt idx="5">
                    <c:v>Germany 3600-2100 (2019) - UK 3.4 GHz (2018)</c:v>
                  </c:pt>
                  <c:pt idx="6">
                    <c:v>Hungary 3600-2100 (2020) - UK 3.4 GHz (2018)</c:v>
                  </c:pt>
                  <c:pt idx="7">
                    <c:v>Slovenia 3600-2100 (2021) - UK 3.4 GHz (2018)</c:v>
                  </c:pt>
                  <c:pt idx="8">
                    <c:v>Austria 3600-2100 (2020) - UK 3.6 GHz (2021)</c:v>
                  </c:pt>
                  <c:pt idx="9">
                    <c:v>Germany 3600-2100 (2019) - UK 3.6 GHz (2021)</c:v>
                  </c:pt>
                  <c:pt idx="10">
                    <c:v>Hungary 3600-2100 (2020) - UK 3.6 GHz (2021)</c:v>
                  </c:pt>
                  <c:pt idx="11">
                    <c:v>Slovenia 3600-2100 (2021) - UK 3.6 GHz (2021)</c:v>
                  </c:pt>
                  <c:pt idx="12">
                    <c:v>Austria 700 NoExtCov-2100 (2020)</c:v>
                  </c:pt>
                  <c:pt idx="13">
                    <c:v>Germany 700-2100 (2019)</c:v>
                  </c:pt>
                  <c:pt idx="14">
                    <c:v>Hungary 700 Ext5Y-2100 Ext5Y (2020)</c:v>
                  </c:pt>
                  <c:pt idx="15">
                    <c:v>Netherlands 700-2100 (2020)</c:v>
                  </c:pt>
                  <c:pt idx="16">
                    <c:v>Slovenia 700-2100 (2021)</c:v>
                  </c:pt>
                  <c:pt idx="17">
                    <c:v>Netherlands 700-2300(p2100) (2020)</c:v>
                  </c:pt>
                  <c:pt idx="18">
                    <c:v>Netherlands 700-2300(p700) (2020)</c:v>
                  </c:pt>
                  <c:pt idx="19">
                    <c:v>Slovenia 700-2300 (2021)</c:v>
                  </c:pt>
                  <c:pt idx="20">
                    <c:v>Austria 700 NoExtCov-2600 (2020)</c:v>
                  </c:pt>
                  <c:pt idx="21">
                    <c:v>Germany 700-2600 (2019)</c:v>
                  </c:pt>
                  <c:pt idx="22">
                    <c:v>Netherlands 700-2600(p2100) (2020)</c:v>
                  </c:pt>
                  <c:pt idx="23">
                    <c:v>Netherlands 700-2600(p700) (2020)</c:v>
                  </c:pt>
                  <c:pt idx="24">
                    <c:v>Austria 700 NoExtCov-3600 (2020) - UK 3.4 GHz (2018)</c:v>
                  </c:pt>
                  <c:pt idx="25">
                    <c:v>Germany 700-3600 (2019) - UK 3.4 GHz (2018)</c:v>
                  </c:pt>
                  <c:pt idx="26">
                    <c:v>Hungary 700-3600 Ext5Y (2020) - UK 3.4 GHz (2018)</c:v>
                  </c:pt>
                  <c:pt idx="27">
                    <c:v>Netherlands 700-3600(p2100) (2020) - UK 3.4 GHz (2018)</c:v>
                  </c:pt>
                  <c:pt idx="28">
                    <c:v>Netherlands 700-3600(p700) (2020) - UK 3.4 GHz (2018)</c:v>
                  </c:pt>
                  <c:pt idx="29">
                    <c:v>Slovenia 700-3600 (2021) - UK 3.4 GHz (2018)</c:v>
                  </c:pt>
                  <c:pt idx="30">
                    <c:v>Austria 700 NoExtCov-3600 (2020) - UK 3.6 GHz (2021)</c:v>
                  </c:pt>
                  <c:pt idx="31">
                    <c:v>Germany 700-3600 (2019) - UK 3.6 GHz (2021)</c:v>
                  </c:pt>
                  <c:pt idx="32">
                    <c:v>Hungary 700-3600 Ext5Y (2020) - UK 3.6 GHz (2021)</c:v>
                  </c:pt>
                  <c:pt idx="33">
                    <c:v>Netherlands 700-3600(p2100) (2020) - UK 3.6 GHz (2021)</c:v>
                  </c:pt>
                  <c:pt idx="34">
                    <c:v>Netherlands 700-3600(p700) (2020) - UK 3.6 GHz (2021)</c:v>
                  </c:pt>
                  <c:pt idx="35">
                    <c:v>Slovenia 700-3600 (2021) - UK 3.6 GHz (2021)</c:v>
                  </c:pt>
                  <c:pt idx="36">
                    <c:v>Austria 800 UC-2600 (2020)</c:v>
                  </c:pt>
                  <c:pt idx="37">
                    <c:v>Germany 800-2600 (2019)</c:v>
                  </c:pt>
                  <c:pt idx="38">
                    <c:v>Austria 800 UC-3600 (2020) - UK 3.4 GHz (2018)</c:v>
                  </c:pt>
                  <c:pt idx="39">
                    <c:v>Germany 800-3600 (2019) - UK 3.4 GHz (2018)</c:v>
                  </c:pt>
                  <c:pt idx="40">
                    <c:v>Austria 800 UC-3600 (2020) - UK 3.6 GHz (2021)</c:v>
                  </c:pt>
                  <c:pt idx="41">
                    <c:v>Germany 800-3600 (2019) - UK 3.6 GHz (2021)</c:v>
                  </c:pt>
                  <c:pt idx="42">
                    <c:v>Norway 700-2300(p2100) (2019)</c:v>
                  </c:pt>
                  <c:pt idx="43">
                    <c:v>Norway 700-2300(p700) (2019)</c:v>
                  </c:pt>
                  <c:pt idx="44">
                    <c:v>Greece 700-2600 (2020)</c:v>
                  </c:pt>
                  <c:pt idx="45">
                    <c:v>Iceland 700-2600 (2017)</c:v>
                  </c:pt>
                  <c:pt idx="46">
                    <c:v>Norway 700-2600(p2100) (2019)</c:v>
                  </c:pt>
                  <c:pt idx="47">
                    <c:v>Norway 700-2600(p700) (2019)</c:v>
                  </c:pt>
                  <c:pt idx="48">
                    <c:v>Greece 700-3500 (2020) - UK 3.4 GHz (2018)</c:v>
                  </c:pt>
                  <c:pt idx="49">
                    <c:v>Norway 700-3600(p2100) (2019) - UK 3.4 GHz (2018)</c:v>
                  </c:pt>
                  <c:pt idx="50">
                    <c:v>Norway 700-3600(p700) (2019) - UK 3.4 GHz (2018)</c:v>
                  </c:pt>
                  <c:pt idx="51">
                    <c:v>Greece 700-3500 (2020) - UK 3.6 GHz (2021)</c:v>
                  </c:pt>
                  <c:pt idx="52">
                    <c:v>Norway 700-3600(p2100) (2019) - UK 3.6 GHz (2021)</c:v>
                  </c:pt>
                  <c:pt idx="53">
                    <c:v>Norway 700-3600(p700) (2019) - UK 3.6 GHz (2021)</c:v>
                  </c:pt>
                  <c:pt idx="54">
                    <c:v>Croatia 800-2600(p)</c:v>
                  </c:pt>
                  <c:pt idx="55">
                    <c:v>Greece 800-2600 (2020)</c:v>
                  </c:pt>
                  <c:pt idx="56">
                    <c:v>Iceland 800-2600 (2017)</c:v>
                  </c:pt>
                  <c:pt idx="57">
                    <c:v>Greece 800-3500 (2020) - UK 3.4 GHz (2018)</c:v>
                  </c:pt>
                  <c:pt idx="58">
                    <c:v>Greece 800-3500 (2020) - UK 3.6 GHz (2021)</c:v>
                  </c:pt>
                </c:lvl>
                <c:lvl>
                  <c:pt idx="0">
                    <c:v>1800</c:v>
                  </c:pt>
                  <c:pt idx="3">
                    <c:v>2300</c:v>
                  </c:pt>
                  <c:pt idx="4">
                    <c:v>3400</c:v>
                  </c:pt>
                  <c:pt idx="8">
                    <c:v>3600</c:v>
                  </c:pt>
                  <c:pt idx="12">
                    <c:v>700</c:v>
                  </c:pt>
                  <c:pt idx="17">
                    <c:v>700-2300</c:v>
                  </c:pt>
                  <c:pt idx="20">
                    <c:v>700-2600</c:v>
                  </c:pt>
                  <c:pt idx="24">
                    <c:v>700-3400</c:v>
                  </c:pt>
                  <c:pt idx="30">
                    <c:v>700-3600</c:v>
                  </c:pt>
                  <c:pt idx="36">
                    <c:v>800-2600</c:v>
                  </c:pt>
                  <c:pt idx="38">
                    <c:v>800-3400</c:v>
                  </c:pt>
                  <c:pt idx="40">
                    <c:v>800-3600</c:v>
                  </c:pt>
                  <c:pt idx="42">
                    <c:v>700-2300</c:v>
                  </c:pt>
                  <c:pt idx="44">
                    <c:v>700-2600</c:v>
                  </c:pt>
                  <c:pt idx="48">
                    <c:v>700-3400</c:v>
                  </c:pt>
                  <c:pt idx="51">
                    <c:v>700-3600</c:v>
                  </c:pt>
                  <c:pt idx="54">
                    <c:v>800-2600</c:v>
                  </c:pt>
                  <c:pt idx="57">
                    <c:v>800-3400</c:v>
                  </c:pt>
                  <c:pt idx="58">
                    <c:v>800-3600</c:v>
                  </c:pt>
                </c:lvl>
                <c:lvl>
                  <c:pt idx="0">
                    <c:v>1</c:v>
                  </c:pt>
                  <c:pt idx="17">
                    <c:v>1</c:v>
                  </c:pt>
                  <c:pt idx="42">
                    <c:v>3</c:v>
                  </c:pt>
                </c:lvl>
                <c:lvl>
                  <c:pt idx="0">
                    <c:v>Paired</c:v>
                  </c:pt>
                  <c:pt idx="17">
                    <c:v>Distance</c:v>
                  </c:pt>
                </c:lvl>
              </c:multiLvlStrCache>
            </c:multiLvlStrRef>
          </c:cat>
          <c:val>
            <c:numRef>
              <c:f>O_Results!$B$5:$B$88</c:f>
              <c:numCache>
                <c:formatCode>General</c:formatCode>
                <c:ptCount val="59"/>
                <c:pt idx="0">
                  <c:v>2.9</c:v>
                </c:pt>
                <c:pt idx="1">
                  <c:v>4.5999999999999996</c:v>
                </c:pt>
                <c:pt idx="2">
                  <c:v>5.6999999999999993</c:v>
                </c:pt>
                <c:pt idx="3">
                  <c:v>15.600000000000001</c:v>
                </c:pt>
                <c:pt idx="4">
                  <c:v>17.8</c:v>
                </c:pt>
                <c:pt idx="5">
                  <c:v>7.9</c:v>
                </c:pt>
                <c:pt idx="6">
                  <c:v>21.4</c:v>
                </c:pt>
                <c:pt idx="7">
                  <c:v>33.4</c:v>
                </c:pt>
                <c:pt idx="8">
                  <c:v>7.6999999999999993</c:v>
                </c:pt>
                <c:pt idx="9">
                  <c:v>2.4000000000000004</c:v>
                </c:pt>
                <c:pt idx="10">
                  <c:v>9.6</c:v>
                </c:pt>
                <c:pt idx="11">
                  <c:v>16</c:v>
                </c:pt>
                <c:pt idx="12">
                  <c:v>3.8</c:v>
                </c:pt>
                <c:pt idx="13">
                  <c:v>10.199999999999999</c:v>
                </c:pt>
                <c:pt idx="14">
                  <c:v>1.7999999999999998</c:v>
                </c:pt>
                <c:pt idx="15">
                  <c:v>3.3</c:v>
                </c:pt>
                <c:pt idx="16">
                  <c:v>11.7</c:v>
                </c:pt>
                <c:pt idx="17">
                  <c:v>5.1999999999999993</c:v>
                </c:pt>
                <c:pt idx="18">
                  <c:v>4.5</c:v>
                </c:pt>
                <c:pt idx="19">
                  <c:v>11.5</c:v>
                </c:pt>
                <c:pt idx="20">
                  <c:v>6.1</c:v>
                </c:pt>
                <c:pt idx="21">
                  <c:v>8.1</c:v>
                </c:pt>
                <c:pt idx="22">
                  <c:v>6</c:v>
                </c:pt>
                <c:pt idx="23">
                  <c:v>5.1999999999999993</c:v>
                </c:pt>
                <c:pt idx="24">
                  <c:v>6.6</c:v>
                </c:pt>
                <c:pt idx="25">
                  <c:v>10.199999999999999</c:v>
                </c:pt>
                <c:pt idx="26">
                  <c:v>5.9</c:v>
                </c:pt>
                <c:pt idx="27">
                  <c:v>6.4</c:v>
                </c:pt>
                <c:pt idx="28">
                  <c:v>5.8000000000000007</c:v>
                </c:pt>
                <c:pt idx="29">
                  <c:v>11</c:v>
                </c:pt>
                <c:pt idx="30">
                  <c:v>4.5999999999999996</c:v>
                </c:pt>
                <c:pt idx="31">
                  <c:v>10.3</c:v>
                </c:pt>
                <c:pt idx="32">
                  <c:v>3.4000000000000004</c:v>
                </c:pt>
                <c:pt idx="33">
                  <c:v>4.1999999999999993</c:v>
                </c:pt>
                <c:pt idx="34">
                  <c:v>3.2</c:v>
                </c:pt>
                <c:pt idx="35">
                  <c:v>11.5</c:v>
                </c:pt>
                <c:pt idx="36">
                  <c:v>9.6999999999999993</c:v>
                </c:pt>
                <c:pt idx="37">
                  <c:v>13.5</c:v>
                </c:pt>
                <c:pt idx="38">
                  <c:v>10.6</c:v>
                </c:pt>
                <c:pt idx="39">
                  <c:v>11</c:v>
                </c:pt>
                <c:pt idx="40">
                  <c:v>7.3</c:v>
                </c:pt>
                <c:pt idx="41">
                  <c:v>7.7</c:v>
                </c:pt>
                <c:pt idx="42">
                  <c:v>5.8000000000000007</c:v>
                </c:pt>
                <c:pt idx="43">
                  <c:v>5.3000000000000007</c:v>
                </c:pt>
                <c:pt idx="44">
                  <c:v>3.9000000000000004</c:v>
                </c:pt>
                <c:pt idx="45">
                  <c:v>8.6</c:v>
                </c:pt>
                <c:pt idx="46">
                  <c:v>6.5</c:v>
                </c:pt>
                <c:pt idx="47">
                  <c:v>5.9</c:v>
                </c:pt>
                <c:pt idx="48">
                  <c:v>5.6</c:v>
                </c:pt>
                <c:pt idx="49">
                  <c:v>6.8000000000000007</c:v>
                </c:pt>
                <c:pt idx="50">
                  <c:v>6.4</c:v>
                </c:pt>
                <c:pt idx="51">
                  <c:v>3</c:v>
                </c:pt>
                <c:pt idx="52">
                  <c:v>4.9000000000000004</c:v>
                </c:pt>
                <c:pt idx="53">
                  <c:v>4.3000000000000007</c:v>
                </c:pt>
                <c:pt idx="54">
                  <c:v>11.3</c:v>
                </c:pt>
                <c:pt idx="55">
                  <c:v>5.3000000000000007</c:v>
                </c:pt>
                <c:pt idx="56">
                  <c:v>27.2</c:v>
                </c:pt>
                <c:pt idx="57">
                  <c:v>7.6999999999999993</c:v>
                </c:pt>
                <c:pt idx="58">
                  <c:v>4.5999999999999996</c:v>
                </c:pt>
              </c:numCache>
            </c:numRef>
          </c:val>
          <c:extLst>
            <c:ext xmlns:c16="http://schemas.microsoft.com/office/drawing/2014/chart" uri="{C3380CC4-5D6E-409C-BE32-E72D297353CC}">
              <c16:uniqueId val="{00000000-EA44-4FB8-915A-A4D998125FA6}"/>
            </c:ext>
          </c:extLst>
        </c:ser>
        <c:ser>
          <c:idx val="1"/>
          <c:order val="1"/>
          <c:tx>
            <c:strRef>
              <c:f>O_Results!$C$4</c:f>
              <c:strCache>
                <c:ptCount val="1"/>
                <c:pt idx="0">
                  <c:v>_over</c:v>
                </c:pt>
              </c:strCache>
            </c:strRef>
          </c:tx>
          <c:spPr>
            <a:gradFill flip="none" rotWithShape="1">
              <a:gsLst>
                <a:gs pos="0">
                  <a:schemeClr val="accent4"/>
                </a:gs>
                <a:gs pos="100000">
                  <a:schemeClr val="bg1"/>
                </a:gs>
              </a:gsLst>
              <a:lin ang="5400000" scaled="1"/>
              <a:tileRect/>
            </a:gradFill>
            <a:ln>
              <a:noFill/>
            </a:ln>
            <a:effectLst/>
          </c:spPr>
          <c:invertIfNegative val="0"/>
          <c:cat>
            <c:multiLvlStrRef>
              <c:f>O_Results!$A$5:$A$88</c:f>
              <c:multiLvlStrCache>
                <c:ptCount val="59"/>
                <c:lvl>
                  <c:pt idx="0">
                    <c:v>Austria 1800 UC CorrALF-2100 (2013, 2020)</c:v>
                  </c:pt>
                  <c:pt idx="1">
                    <c:v>Germany 1800-2100 (2019)</c:v>
                  </c:pt>
                  <c:pt idx="2">
                    <c:v>Hungary 1800 Ext5Y-2100 Ext5Y (2020)</c:v>
                  </c:pt>
                  <c:pt idx="3">
                    <c:v>Slovenia 2300-2100 (2021)</c:v>
                  </c:pt>
                  <c:pt idx="4">
                    <c:v>Austria 3600-2100 (2020) - UK 3.4 GHz (2018)</c:v>
                  </c:pt>
                  <c:pt idx="5">
                    <c:v>Germany 3600-2100 (2019) - UK 3.4 GHz (2018)</c:v>
                  </c:pt>
                  <c:pt idx="6">
                    <c:v>Hungary 3600-2100 (2020) - UK 3.4 GHz (2018)</c:v>
                  </c:pt>
                  <c:pt idx="7">
                    <c:v>Slovenia 3600-2100 (2021) - UK 3.4 GHz (2018)</c:v>
                  </c:pt>
                  <c:pt idx="8">
                    <c:v>Austria 3600-2100 (2020) - UK 3.6 GHz (2021)</c:v>
                  </c:pt>
                  <c:pt idx="9">
                    <c:v>Germany 3600-2100 (2019) - UK 3.6 GHz (2021)</c:v>
                  </c:pt>
                  <c:pt idx="10">
                    <c:v>Hungary 3600-2100 (2020) - UK 3.6 GHz (2021)</c:v>
                  </c:pt>
                  <c:pt idx="11">
                    <c:v>Slovenia 3600-2100 (2021) - UK 3.6 GHz (2021)</c:v>
                  </c:pt>
                  <c:pt idx="12">
                    <c:v>Austria 700 NoExtCov-2100 (2020)</c:v>
                  </c:pt>
                  <c:pt idx="13">
                    <c:v>Germany 700-2100 (2019)</c:v>
                  </c:pt>
                  <c:pt idx="14">
                    <c:v>Hungary 700 Ext5Y-2100 Ext5Y (2020)</c:v>
                  </c:pt>
                  <c:pt idx="15">
                    <c:v>Netherlands 700-2100 (2020)</c:v>
                  </c:pt>
                  <c:pt idx="16">
                    <c:v>Slovenia 700-2100 (2021)</c:v>
                  </c:pt>
                  <c:pt idx="17">
                    <c:v>Netherlands 700-2300(p2100) (2020)</c:v>
                  </c:pt>
                  <c:pt idx="18">
                    <c:v>Netherlands 700-2300(p700) (2020)</c:v>
                  </c:pt>
                  <c:pt idx="19">
                    <c:v>Slovenia 700-2300 (2021)</c:v>
                  </c:pt>
                  <c:pt idx="20">
                    <c:v>Austria 700 NoExtCov-2600 (2020)</c:v>
                  </c:pt>
                  <c:pt idx="21">
                    <c:v>Germany 700-2600 (2019)</c:v>
                  </c:pt>
                  <c:pt idx="22">
                    <c:v>Netherlands 700-2600(p2100) (2020)</c:v>
                  </c:pt>
                  <c:pt idx="23">
                    <c:v>Netherlands 700-2600(p700) (2020)</c:v>
                  </c:pt>
                  <c:pt idx="24">
                    <c:v>Austria 700 NoExtCov-3600 (2020) - UK 3.4 GHz (2018)</c:v>
                  </c:pt>
                  <c:pt idx="25">
                    <c:v>Germany 700-3600 (2019) - UK 3.4 GHz (2018)</c:v>
                  </c:pt>
                  <c:pt idx="26">
                    <c:v>Hungary 700-3600 Ext5Y (2020) - UK 3.4 GHz (2018)</c:v>
                  </c:pt>
                  <c:pt idx="27">
                    <c:v>Netherlands 700-3600(p2100) (2020) - UK 3.4 GHz (2018)</c:v>
                  </c:pt>
                  <c:pt idx="28">
                    <c:v>Netherlands 700-3600(p700) (2020) - UK 3.4 GHz (2018)</c:v>
                  </c:pt>
                  <c:pt idx="29">
                    <c:v>Slovenia 700-3600 (2021) - UK 3.4 GHz (2018)</c:v>
                  </c:pt>
                  <c:pt idx="30">
                    <c:v>Austria 700 NoExtCov-3600 (2020) - UK 3.6 GHz (2021)</c:v>
                  </c:pt>
                  <c:pt idx="31">
                    <c:v>Germany 700-3600 (2019) - UK 3.6 GHz (2021)</c:v>
                  </c:pt>
                  <c:pt idx="32">
                    <c:v>Hungary 700-3600 Ext5Y (2020) - UK 3.6 GHz (2021)</c:v>
                  </c:pt>
                  <c:pt idx="33">
                    <c:v>Netherlands 700-3600(p2100) (2020) - UK 3.6 GHz (2021)</c:v>
                  </c:pt>
                  <c:pt idx="34">
                    <c:v>Netherlands 700-3600(p700) (2020) - UK 3.6 GHz (2021)</c:v>
                  </c:pt>
                  <c:pt idx="35">
                    <c:v>Slovenia 700-3600 (2021) - UK 3.6 GHz (2021)</c:v>
                  </c:pt>
                  <c:pt idx="36">
                    <c:v>Austria 800 UC-2600 (2020)</c:v>
                  </c:pt>
                  <c:pt idx="37">
                    <c:v>Germany 800-2600 (2019)</c:v>
                  </c:pt>
                  <c:pt idx="38">
                    <c:v>Austria 800 UC-3600 (2020) - UK 3.4 GHz (2018)</c:v>
                  </c:pt>
                  <c:pt idx="39">
                    <c:v>Germany 800-3600 (2019) - UK 3.4 GHz (2018)</c:v>
                  </c:pt>
                  <c:pt idx="40">
                    <c:v>Austria 800 UC-3600 (2020) - UK 3.6 GHz (2021)</c:v>
                  </c:pt>
                  <c:pt idx="41">
                    <c:v>Germany 800-3600 (2019) - UK 3.6 GHz (2021)</c:v>
                  </c:pt>
                  <c:pt idx="42">
                    <c:v>Norway 700-2300(p2100) (2019)</c:v>
                  </c:pt>
                  <c:pt idx="43">
                    <c:v>Norway 700-2300(p700) (2019)</c:v>
                  </c:pt>
                  <c:pt idx="44">
                    <c:v>Greece 700-2600 (2020)</c:v>
                  </c:pt>
                  <c:pt idx="45">
                    <c:v>Iceland 700-2600 (2017)</c:v>
                  </c:pt>
                  <c:pt idx="46">
                    <c:v>Norway 700-2600(p2100) (2019)</c:v>
                  </c:pt>
                  <c:pt idx="47">
                    <c:v>Norway 700-2600(p700) (2019)</c:v>
                  </c:pt>
                  <c:pt idx="48">
                    <c:v>Greece 700-3500 (2020) - UK 3.4 GHz (2018)</c:v>
                  </c:pt>
                  <c:pt idx="49">
                    <c:v>Norway 700-3600(p2100) (2019) - UK 3.4 GHz (2018)</c:v>
                  </c:pt>
                  <c:pt idx="50">
                    <c:v>Norway 700-3600(p700) (2019) - UK 3.4 GHz (2018)</c:v>
                  </c:pt>
                  <c:pt idx="51">
                    <c:v>Greece 700-3500 (2020) - UK 3.6 GHz (2021)</c:v>
                  </c:pt>
                  <c:pt idx="52">
                    <c:v>Norway 700-3600(p2100) (2019) - UK 3.6 GHz (2021)</c:v>
                  </c:pt>
                  <c:pt idx="53">
                    <c:v>Norway 700-3600(p700) (2019) - UK 3.6 GHz (2021)</c:v>
                  </c:pt>
                  <c:pt idx="54">
                    <c:v>Croatia 800-2600(p)</c:v>
                  </c:pt>
                  <c:pt idx="55">
                    <c:v>Greece 800-2600 (2020)</c:v>
                  </c:pt>
                  <c:pt idx="56">
                    <c:v>Iceland 800-2600 (2017)</c:v>
                  </c:pt>
                  <c:pt idx="57">
                    <c:v>Greece 800-3500 (2020) - UK 3.4 GHz (2018)</c:v>
                  </c:pt>
                  <c:pt idx="58">
                    <c:v>Greece 800-3500 (2020) - UK 3.6 GHz (2021)</c:v>
                  </c:pt>
                </c:lvl>
                <c:lvl>
                  <c:pt idx="0">
                    <c:v>1800</c:v>
                  </c:pt>
                  <c:pt idx="3">
                    <c:v>2300</c:v>
                  </c:pt>
                  <c:pt idx="4">
                    <c:v>3400</c:v>
                  </c:pt>
                  <c:pt idx="8">
                    <c:v>3600</c:v>
                  </c:pt>
                  <c:pt idx="12">
                    <c:v>700</c:v>
                  </c:pt>
                  <c:pt idx="17">
                    <c:v>700-2300</c:v>
                  </c:pt>
                  <c:pt idx="20">
                    <c:v>700-2600</c:v>
                  </c:pt>
                  <c:pt idx="24">
                    <c:v>700-3400</c:v>
                  </c:pt>
                  <c:pt idx="30">
                    <c:v>700-3600</c:v>
                  </c:pt>
                  <c:pt idx="36">
                    <c:v>800-2600</c:v>
                  </c:pt>
                  <c:pt idx="38">
                    <c:v>800-3400</c:v>
                  </c:pt>
                  <c:pt idx="40">
                    <c:v>800-3600</c:v>
                  </c:pt>
                  <c:pt idx="42">
                    <c:v>700-2300</c:v>
                  </c:pt>
                  <c:pt idx="44">
                    <c:v>700-2600</c:v>
                  </c:pt>
                  <c:pt idx="48">
                    <c:v>700-3400</c:v>
                  </c:pt>
                  <c:pt idx="51">
                    <c:v>700-3600</c:v>
                  </c:pt>
                  <c:pt idx="54">
                    <c:v>800-2600</c:v>
                  </c:pt>
                  <c:pt idx="57">
                    <c:v>800-3400</c:v>
                  </c:pt>
                  <c:pt idx="58">
                    <c:v>800-3600</c:v>
                  </c:pt>
                </c:lvl>
                <c:lvl>
                  <c:pt idx="0">
                    <c:v>1</c:v>
                  </c:pt>
                  <c:pt idx="17">
                    <c:v>1</c:v>
                  </c:pt>
                  <c:pt idx="42">
                    <c:v>3</c:v>
                  </c:pt>
                </c:lvl>
                <c:lvl>
                  <c:pt idx="0">
                    <c:v>Paired</c:v>
                  </c:pt>
                  <c:pt idx="17">
                    <c:v>Distance</c:v>
                  </c:pt>
                </c:lvl>
              </c:multiLvlStrCache>
            </c:multiLvlStrRef>
          </c:cat>
          <c:val>
            <c:numRef>
              <c:f>O_Results!$C$5:$C$88</c:f>
              <c:numCache>
                <c:formatCode>General</c:formatCode>
                <c:ptCount val="59"/>
                <c:pt idx="0">
                  <c:v>0</c:v>
                </c:pt>
                <c:pt idx="1">
                  <c:v>6</c:v>
                </c:pt>
                <c:pt idx="2">
                  <c:v>6</c:v>
                </c:pt>
                <c:pt idx="3">
                  <c:v>4</c:v>
                </c:pt>
                <c:pt idx="4">
                  <c:v>4</c:v>
                </c:pt>
                <c:pt idx="5">
                  <c:v>4</c:v>
                </c:pt>
                <c:pt idx="6">
                  <c:v>4</c:v>
                </c:pt>
                <c:pt idx="7">
                  <c:v>4</c:v>
                </c:pt>
                <c:pt idx="8">
                  <c:v>4</c:v>
                </c:pt>
                <c:pt idx="9">
                  <c:v>4</c:v>
                </c:pt>
                <c:pt idx="10">
                  <c:v>4</c:v>
                </c:pt>
                <c:pt idx="11">
                  <c:v>4</c:v>
                </c:pt>
                <c:pt idx="12">
                  <c:v>4</c:v>
                </c:pt>
                <c:pt idx="13">
                  <c:v>4</c:v>
                </c:pt>
                <c:pt idx="14">
                  <c:v>4</c:v>
                </c:pt>
                <c:pt idx="15">
                  <c:v>4</c:v>
                </c:pt>
                <c:pt idx="16">
                  <c:v>4</c:v>
                </c:pt>
                <c:pt idx="17">
                  <c:v>4</c:v>
                </c:pt>
                <c:pt idx="18">
                  <c:v>4</c:v>
                </c:pt>
                <c:pt idx="19">
                  <c:v>4</c:v>
                </c:pt>
                <c:pt idx="20">
                  <c:v>4</c:v>
                </c:pt>
                <c:pt idx="21">
                  <c:v>6</c:v>
                </c:pt>
                <c:pt idx="22">
                  <c:v>4</c:v>
                </c:pt>
                <c:pt idx="23">
                  <c:v>4</c:v>
                </c:pt>
                <c:pt idx="24">
                  <c:v>4</c:v>
                </c:pt>
                <c:pt idx="25">
                  <c:v>4</c:v>
                </c:pt>
                <c:pt idx="26">
                  <c:v>4</c:v>
                </c:pt>
                <c:pt idx="27">
                  <c:v>4</c:v>
                </c:pt>
                <c:pt idx="28">
                  <c:v>4</c:v>
                </c:pt>
                <c:pt idx="29">
                  <c:v>4</c:v>
                </c:pt>
                <c:pt idx="30">
                  <c:v>4</c:v>
                </c:pt>
                <c:pt idx="31">
                  <c:v>4</c:v>
                </c:pt>
                <c:pt idx="32">
                  <c:v>4</c:v>
                </c:pt>
                <c:pt idx="33">
                  <c:v>4</c:v>
                </c:pt>
                <c:pt idx="34">
                  <c:v>4</c:v>
                </c:pt>
                <c:pt idx="35">
                  <c:v>4</c:v>
                </c:pt>
                <c:pt idx="36">
                  <c:v>0</c:v>
                </c:pt>
                <c:pt idx="37">
                  <c:v>0</c:v>
                </c:pt>
                <c:pt idx="38">
                  <c:v>0</c:v>
                </c:pt>
                <c:pt idx="39">
                  <c:v>0</c:v>
                </c:pt>
                <c:pt idx="40">
                  <c:v>0</c:v>
                </c:pt>
                <c:pt idx="41">
                  <c:v>0</c:v>
                </c:pt>
                <c:pt idx="42">
                  <c:v>4</c:v>
                </c:pt>
                <c:pt idx="43">
                  <c:v>4</c:v>
                </c:pt>
                <c:pt idx="44">
                  <c:v>4</c:v>
                </c:pt>
                <c:pt idx="45">
                  <c:v>4</c:v>
                </c:pt>
                <c:pt idx="46">
                  <c:v>4</c:v>
                </c:pt>
                <c:pt idx="47">
                  <c:v>4</c:v>
                </c:pt>
                <c:pt idx="48">
                  <c:v>4</c:v>
                </c:pt>
                <c:pt idx="49">
                  <c:v>4</c:v>
                </c:pt>
                <c:pt idx="50">
                  <c:v>4</c:v>
                </c:pt>
                <c:pt idx="51">
                  <c:v>4</c:v>
                </c:pt>
                <c:pt idx="52">
                  <c:v>4</c:v>
                </c:pt>
                <c:pt idx="53">
                  <c:v>4</c:v>
                </c:pt>
                <c:pt idx="54">
                  <c:v>4</c:v>
                </c:pt>
                <c:pt idx="55">
                  <c:v>4</c:v>
                </c:pt>
                <c:pt idx="56">
                  <c:v>4</c:v>
                </c:pt>
                <c:pt idx="57">
                  <c:v>4</c:v>
                </c:pt>
                <c:pt idx="58">
                  <c:v>4</c:v>
                </c:pt>
              </c:numCache>
            </c:numRef>
          </c:val>
          <c:extLst>
            <c:ext xmlns:c16="http://schemas.microsoft.com/office/drawing/2014/chart" uri="{C3380CC4-5D6E-409C-BE32-E72D297353CC}">
              <c16:uniqueId val="{00000001-EA44-4FB8-915A-A4D998125FA6}"/>
            </c:ext>
          </c:extLst>
        </c:ser>
        <c:ser>
          <c:idx val="2"/>
          <c:order val="2"/>
          <c:tx>
            <c:strRef>
              <c:f>O_Results!$D$4</c:f>
              <c:strCache>
                <c:ptCount val="1"/>
                <c:pt idx="0">
                  <c:v>_under</c:v>
                </c:pt>
              </c:strCache>
            </c:strRef>
          </c:tx>
          <c:spPr>
            <a:gradFill>
              <a:gsLst>
                <a:gs pos="0">
                  <a:schemeClr val="accent4"/>
                </a:gs>
                <a:gs pos="100000">
                  <a:schemeClr val="bg1"/>
                </a:gs>
              </a:gsLst>
              <a:lin ang="16200000" scaled="1"/>
            </a:gradFill>
            <a:ln>
              <a:noFill/>
            </a:ln>
            <a:effectLst/>
          </c:spPr>
          <c:invertIfNegative val="0"/>
          <c:cat>
            <c:multiLvlStrRef>
              <c:f>O_Results!$A$5:$A$88</c:f>
              <c:multiLvlStrCache>
                <c:ptCount val="59"/>
                <c:lvl>
                  <c:pt idx="0">
                    <c:v>Austria 1800 UC CorrALF-2100 (2013, 2020)</c:v>
                  </c:pt>
                  <c:pt idx="1">
                    <c:v>Germany 1800-2100 (2019)</c:v>
                  </c:pt>
                  <c:pt idx="2">
                    <c:v>Hungary 1800 Ext5Y-2100 Ext5Y (2020)</c:v>
                  </c:pt>
                  <c:pt idx="3">
                    <c:v>Slovenia 2300-2100 (2021)</c:v>
                  </c:pt>
                  <c:pt idx="4">
                    <c:v>Austria 3600-2100 (2020) - UK 3.4 GHz (2018)</c:v>
                  </c:pt>
                  <c:pt idx="5">
                    <c:v>Germany 3600-2100 (2019) - UK 3.4 GHz (2018)</c:v>
                  </c:pt>
                  <c:pt idx="6">
                    <c:v>Hungary 3600-2100 (2020) - UK 3.4 GHz (2018)</c:v>
                  </c:pt>
                  <c:pt idx="7">
                    <c:v>Slovenia 3600-2100 (2021) - UK 3.4 GHz (2018)</c:v>
                  </c:pt>
                  <c:pt idx="8">
                    <c:v>Austria 3600-2100 (2020) - UK 3.6 GHz (2021)</c:v>
                  </c:pt>
                  <c:pt idx="9">
                    <c:v>Germany 3600-2100 (2019) - UK 3.6 GHz (2021)</c:v>
                  </c:pt>
                  <c:pt idx="10">
                    <c:v>Hungary 3600-2100 (2020) - UK 3.6 GHz (2021)</c:v>
                  </c:pt>
                  <c:pt idx="11">
                    <c:v>Slovenia 3600-2100 (2021) - UK 3.6 GHz (2021)</c:v>
                  </c:pt>
                  <c:pt idx="12">
                    <c:v>Austria 700 NoExtCov-2100 (2020)</c:v>
                  </c:pt>
                  <c:pt idx="13">
                    <c:v>Germany 700-2100 (2019)</c:v>
                  </c:pt>
                  <c:pt idx="14">
                    <c:v>Hungary 700 Ext5Y-2100 Ext5Y (2020)</c:v>
                  </c:pt>
                  <c:pt idx="15">
                    <c:v>Netherlands 700-2100 (2020)</c:v>
                  </c:pt>
                  <c:pt idx="16">
                    <c:v>Slovenia 700-2100 (2021)</c:v>
                  </c:pt>
                  <c:pt idx="17">
                    <c:v>Netherlands 700-2300(p2100) (2020)</c:v>
                  </c:pt>
                  <c:pt idx="18">
                    <c:v>Netherlands 700-2300(p700) (2020)</c:v>
                  </c:pt>
                  <c:pt idx="19">
                    <c:v>Slovenia 700-2300 (2021)</c:v>
                  </c:pt>
                  <c:pt idx="20">
                    <c:v>Austria 700 NoExtCov-2600 (2020)</c:v>
                  </c:pt>
                  <c:pt idx="21">
                    <c:v>Germany 700-2600 (2019)</c:v>
                  </c:pt>
                  <c:pt idx="22">
                    <c:v>Netherlands 700-2600(p2100) (2020)</c:v>
                  </c:pt>
                  <c:pt idx="23">
                    <c:v>Netherlands 700-2600(p700) (2020)</c:v>
                  </c:pt>
                  <c:pt idx="24">
                    <c:v>Austria 700 NoExtCov-3600 (2020) - UK 3.4 GHz (2018)</c:v>
                  </c:pt>
                  <c:pt idx="25">
                    <c:v>Germany 700-3600 (2019) - UK 3.4 GHz (2018)</c:v>
                  </c:pt>
                  <c:pt idx="26">
                    <c:v>Hungary 700-3600 Ext5Y (2020) - UK 3.4 GHz (2018)</c:v>
                  </c:pt>
                  <c:pt idx="27">
                    <c:v>Netherlands 700-3600(p2100) (2020) - UK 3.4 GHz (2018)</c:v>
                  </c:pt>
                  <c:pt idx="28">
                    <c:v>Netherlands 700-3600(p700) (2020) - UK 3.4 GHz (2018)</c:v>
                  </c:pt>
                  <c:pt idx="29">
                    <c:v>Slovenia 700-3600 (2021) - UK 3.4 GHz (2018)</c:v>
                  </c:pt>
                  <c:pt idx="30">
                    <c:v>Austria 700 NoExtCov-3600 (2020) - UK 3.6 GHz (2021)</c:v>
                  </c:pt>
                  <c:pt idx="31">
                    <c:v>Germany 700-3600 (2019) - UK 3.6 GHz (2021)</c:v>
                  </c:pt>
                  <c:pt idx="32">
                    <c:v>Hungary 700-3600 Ext5Y (2020) - UK 3.6 GHz (2021)</c:v>
                  </c:pt>
                  <c:pt idx="33">
                    <c:v>Netherlands 700-3600(p2100) (2020) - UK 3.6 GHz (2021)</c:v>
                  </c:pt>
                  <c:pt idx="34">
                    <c:v>Netherlands 700-3600(p700) (2020) - UK 3.6 GHz (2021)</c:v>
                  </c:pt>
                  <c:pt idx="35">
                    <c:v>Slovenia 700-3600 (2021) - UK 3.6 GHz (2021)</c:v>
                  </c:pt>
                  <c:pt idx="36">
                    <c:v>Austria 800 UC-2600 (2020)</c:v>
                  </c:pt>
                  <c:pt idx="37">
                    <c:v>Germany 800-2600 (2019)</c:v>
                  </c:pt>
                  <c:pt idx="38">
                    <c:v>Austria 800 UC-3600 (2020) - UK 3.4 GHz (2018)</c:v>
                  </c:pt>
                  <c:pt idx="39">
                    <c:v>Germany 800-3600 (2019) - UK 3.4 GHz (2018)</c:v>
                  </c:pt>
                  <c:pt idx="40">
                    <c:v>Austria 800 UC-3600 (2020) - UK 3.6 GHz (2021)</c:v>
                  </c:pt>
                  <c:pt idx="41">
                    <c:v>Germany 800-3600 (2019) - UK 3.6 GHz (2021)</c:v>
                  </c:pt>
                  <c:pt idx="42">
                    <c:v>Norway 700-2300(p2100) (2019)</c:v>
                  </c:pt>
                  <c:pt idx="43">
                    <c:v>Norway 700-2300(p700) (2019)</c:v>
                  </c:pt>
                  <c:pt idx="44">
                    <c:v>Greece 700-2600 (2020)</c:v>
                  </c:pt>
                  <c:pt idx="45">
                    <c:v>Iceland 700-2600 (2017)</c:v>
                  </c:pt>
                  <c:pt idx="46">
                    <c:v>Norway 700-2600(p2100) (2019)</c:v>
                  </c:pt>
                  <c:pt idx="47">
                    <c:v>Norway 700-2600(p700) (2019)</c:v>
                  </c:pt>
                  <c:pt idx="48">
                    <c:v>Greece 700-3500 (2020) - UK 3.4 GHz (2018)</c:v>
                  </c:pt>
                  <c:pt idx="49">
                    <c:v>Norway 700-3600(p2100) (2019) - UK 3.4 GHz (2018)</c:v>
                  </c:pt>
                  <c:pt idx="50">
                    <c:v>Norway 700-3600(p700) (2019) - UK 3.4 GHz (2018)</c:v>
                  </c:pt>
                  <c:pt idx="51">
                    <c:v>Greece 700-3500 (2020) - UK 3.6 GHz (2021)</c:v>
                  </c:pt>
                  <c:pt idx="52">
                    <c:v>Norway 700-3600(p2100) (2019) - UK 3.6 GHz (2021)</c:v>
                  </c:pt>
                  <c:pt idx="53">
                    <c:v>Norway 700-3600(p700) (2019) - UK 3.6 GHz (2021)</c:v>
                  </c:pt>
                  <c:pt idx="54">
                    <c:v>Croatia 800-2600(p)</c:v>
                  </c:pt>
                  <c:pt idx="55">
                    <c:v>Greece 800-2600 (2020)</c:v>
                  </c:pt>
                  <c:pt idx="56">
                    <c:v>Iceland 800-2600 (2017)</c:v>
                  </c:pt>
                  <c:pt idx="57">
                    <c:v>Greece 800-3500 (2020) - UK 3.4 GHz (2018)</c:v>
                  </c:pt>
                  <c:pt idx="58">
                    <c:v>Greece 800-3500 (2020) - UK 3.6 GHz (2021)</c:v>
                  </c:pt>
                </c:lvl>
                <c:lvl>
                  <c:pt idx="0">
                    <c:v>1800</c:v>
                  </c:pt>
                  <c:pt idx="3">
                    <c:v>2300</c:v>
                  </c:pt>
                  <c:pt idx="4">
                    <c:v>3400</c:v>
                  </c:pt>
                  <c:pt idx="8">
                    <c:v>3600</c:v>
                  </c:pt>
                  <c:pt idx="12">
                    <c:v>700</c:v>
                  </c:pt>
                  <c:pt idx="17">
                    <c:v>700-2300</c:v>
                  </c:pt>
                  <c:pt idx="20">
                    <c:v>700-2600</c:v>
                  </c:pt>
                  <c:pt idx="24">
                    <c:v>700-3400</c:v>
                  </c:pt>
                  <c:pt idx="30">
                    <c:v>700-3600</c:v>
                  </c:pt>
                  <c:pt idx="36">
                    <c:v>800-2600</c:v>
                  </c:pt>
                  <c:pt idx="38">
                    <c:v>800-3400</c:v>
                  </c:pt>
                  <c:pt idx="40">
                    <c:v>800-3600</c:v>
                  </c:pt>
                  <c:pt idx="42">
                    <c:v>700-2300</c:v>
                  </c:pt>
                  <c:pt idx="44">
                    <c:v>700-2600</c:v>
                  </c:pt>
                  <c:pt idx="48">
                    <c:v>700-3400</c:v>
                  </c:pt>
                  <c:pt idx="51">
                    <c:v>700-3600</c:v>
                  </c:pt>
                  <c:pt idx="54">
                    <c:v>800-2600</c:v>
                  </c:pt>
                  <c:pt idx="57">
                    <c:v>800-3400</c:v>
                  </c:pt>
                  <c:pt idx="58">
                    <c:v>800-3600</c:v>
                  </c:pt>
                </c:lvl>
                <c:lvl>
                  <c:pt idx="0">
                    <c:v>1</c:v>
                  </c:pt>
                  <c:pt idx="17">
                    <c:v>1</c:v>
                  </c:pt>
                  <c:pt idx="42">
                    <c:v>3</c:v>
                  </c:pt>
                </c:lvl>
                <c:lvl>
                  <c:pt idx="0">
                    <c:v>Paired</c:v>
                  </c:pt>
                  <c:pt idx="17">
                    <c:v>Distance</c:v>
                  </c:pt>
                </c:lvl>
              </c:multiLvlStrCache>
            </c:multiLvlStrRef>
          </c:cat>
          <c:val>
            <c:numRef>
              <c:f>O_Results!$D$5:$D$88</c:f>
              <c:numCache>
                <c:formatCode>General</c:formatCode>
                <c:ptCount val="59"/>
                <c:pt idx="0">
                  <c:v>6</c:v>
                </c:pt>
                <c:pt idx="1">
                  <c:v>0</c:v>
                </c:pt>
                <c:pt idx="2">
                  <c:v>6</c:v>
                </c:pt>
                <c:pt idx="3">
                  <c:v>4</c:v>
                </c:pt>
                <c:pt idx="4">
                  <c:v>4</c:v>
                </c:pt>
                <c:pt idx="5">
                  <c:v>4</c:v>
                </c:pt>
                <c:pt idx="6">
                  <c:v>4</c:v>
                </c:pt>
                <c:pt idx="7">
                  <c:v>4</c:v>
                </c:pt>
                <c:pt idx="8">
                  <c:v>4</c:v>
                </c:pt>
                <c:pt idx="9">
                  <c:v>4</c:v>
                </c:pt>
                <c:pt idx="10">
                  <c:v>4</c:v>
                </c:pt>
                <c:pt idx="11">
                  <c:v>4</c:v>
                </c:pt>
                <c:pt idx="12">
                  <c:v>4</c:v>
                </c:pt>
                <c:pt idx="13">
                  <c:v>0</c:v>
                </c:pt>
                <c:pt idx="14">
                  <c:v>4</c:v>
                </c:pt>
                <c:pt idx="15">
                  <c:v>4</c:v>
                </c:pt>
                <c:pt idx="16">
                  <c:v>0</c:v>
                </c:pt>
                <c:pt idx="17">
                  <c:v>4</c:v>
                </c:pt>
                <c:pt idx="18">
                  <c:v>4</c:v>
                </c:pt>
                <c:pt idx="19">
                  <c:v>0</c:v>
                </c:pt>
                <c:pt idx="20">
                  <c:v>4</c:v>
                </c:pt>
                <c:pt idx="21">
                  <c:v>0</c:v>
                </c:pt>
                <c:pt idx="22">
                  <c:v>4</c:v>
                </c:pt>
                <c:pt idx="23">
                  <c:v>4</c:v>
                </c:pt>
                <c:pt idx="24">
                  <c:v>4</c:v>
                </c:pt>
                <c:pt idx="25">
                  <c:v>0</c:v>
                </c:pt>
                <c:pt idx="26">
                  <c:v>4</c:v>
                </c:pt>
                <c:pt idx="27">
                  <c:v>4</c:v>
                </c:pt>
                <c:pt idx="28">
                  <c:v>4</c:v>
                </c:pt>
                <c:pt idx="29">
                  <c:v>0</c:v>
                </c:pt>
                <c:pt idx="30">
                  <c:v>4</c:v>
                </c:pt>
                <c:pt idx="31">
                  <c:v>0</c:v>
                </c:pt>
                <c:pt idx="32">
                  <c:v>4</c:v>
                </c:pt>
                <c:pt idx="33">
                  <c:v>4</c:v>
                </c:pt>
                <c:pt idx="34">
                  <c:v>4</c:v>
                </c:pt>
                <c:pt idx="35">
                  <c:v>0</c:v>
                </c:pt>
                <c:pt idx="36">
                  <c:v>4</c:v>
                </c:pt>
                <c:pt idx="37">
                  <c:v>6</c:v>
                </c:pt>
                <c:pt idx="38">
                  <c:v>4</c:v>
                </c:pt>
                <c:pt idx="39">
                  <c:v>9</c:v>
                </c:pt>
                <c:pt idx="40">
                  <c:v>4</c:v>
                </c:pt>
                <c:pt idx="41">
                  <c:v>9</c:v>
                </c:pt>
                <c:pt idx="42">
                  <c:v>4</c:v>
                </c:pt>
                <c:pt idx="43">
                  <c:v>4</c:v>
                </c:pt>
                <c:pt idx="44">
                  <c:v>4</c:v>
                </c:pt>
                <c:pt idx="45">
                  <c:v>4</c:v>
                </c:pt>
                <c:pt idx="46">
                  <c:v>4</c:v>
                </c:pt>
                <c:pt idx="47">
                  <c:v>4</c:v>
                </c:pt>
                <c:pt idx="48">
                  <c:v>4</c:v>
                </c:pt>
                <c:pt idx="49">
                  <c:v>4</c:v>
                </c:pt>
                <c:pt idx="50">
                  <c:v>4</c:v>
                </c:pt>
                <c:pt idx="51">
                  <c:v>4</c:v>
                </c:pt>
                <c:pt idx="52">
                  <c:v>4</c:v>
                </c:pt>
                <c:pt idx="53">
                  <c:v>4</c:v>
                </c:pt>
                <c:pt idx="54">
                  <c:v>4</c:v>
                </c:pt>
                <c:pt idx="55">
                  <c:v>4</c:v>
                </c:pt>
                <c:pt idx="56">
                  <c:v>4</c:v>
                </c:pt>
                <c:pt idx="57">
                  <c:v>4</c:v>
                </c:pt>
                <c:pt idx="58">
                  <c:v>4</c:v>
                </c:pt>
              </c:numCache>
            </c:numRef>
          </c:val>
          <c:extLst>
            <c:ext xmlns:c16="http://schemas.microsoft.com/office/drawing/2014/chart" uri="{C3380CC4-5D6E-409C-BE32-E72D297353CC}">
              <c16:uniqueId val="{00000002-EA44-4FB8-915A-A4D998125FA6}"/>
            </c:ext>
          </c:extLst>
        </c:ser>
        <c:dLbls>
          <c:showLegendKey val="0"/>
          <c:showVal val="0"/>
          <c:showCatName val="0"/>
          <c:showSerName val="0"/>
          <c:showPercent val="0"/>
          <c:showBubbleSize val="0"/>
        </c:dLbls>
        <c:gapWidth val="219"/>
        <c:overlap val="100"/>
        <c:axId val="528563016"/>
        <c:axId val="528564000"/>
      </c:barChart>
      <c:lineChart>
        <c:grouping val="standard"/>
        <c:varyColors val="0"/>
        <c:ser>
          <c:idx val="3"/>
          <c:order val="3"/>
          <c:tx>
            <c:strRef>
              <c:f>O_Results!$E$4</c:f>
              <c:strCache>
                <c:ptCount val="1"/>
                <c:pt idx="0">
                  <c:v>_£m_per_mhz</c:v>
                </c:pt>
              </c:strCache>
            </c:strRef>
          </c:tx>
          <c:spPr>
            <a:ln w="28575" cap="rnd">
              <a:noFill/>
              <a:round/>
            </a:ln>
            <a:effectLst/>
          </c:spPr>
          <c:marker>
            <c:symbol val="dash"/>
            <c:size val="8"/>
            <c:spPr>
              <a:solidFill>
                <a:srgbClr val="C00000"/>
              </a:solidFill>
              <a:ln w="9525">
                <a:solidFill>
                  <a:srgbClr val="C00000">
                    <a:alpha val="98000"/>
                  </a:srgb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O_Results!$A$5:$A$88</c:f>
              <c:multiLvlStrCache>
                <c:ptCount val="59"/>
                <c:lvl>
                  <c:pt idx="0">
                    <c:v>Austria 1800 UC CorrALF-2100 (2013, 2020)</c:v>
                  </c:pt>
                  <c:pt idx="1">
                    <c:v>Germany 1800-2100 (2019)</c:v>
                  </c:pt>
                  <c:pt idx="2">
                    <c:v>Hungary 1800 Ext5Y-2100 Ext5Y (2020)</c:v>
                  </c:pt>
                  <c:pt idx="3">
                    <c:v>Slovenia 2300-2100 (2021)</c:v>
                  </c:pt>
                  <c:pt idx="4">
                    <c:v>Austria 3600-2100 (2020) - UK 3.4 GHz (2018)</c:v>
                  </c:pt>
                  <c:pt idx="5">
                    <c:v>Germany 3600-2100 (2019) - UK 3.4 GHz (2018)</c:v>
                  </c:pt>
                  <c:pt idx="6">
                    <c:v>Hungary 3600-2100 (2020) - UK 3.4 GHz (2018)</c:v>
                  </c:pt>
                  <c:pt idx="7">
                    <c:v>Slovenia 3600-2100 (2021) - UK 3.4 GHz (2018)</c:v>
                  </c:pt>
                  <c:pt idx="8">
                    <c:v>Austria 3600-2100 (2020) - UK 3.6 GHz (2021)</c:v>
                  </c:pt>
                  <c:pt idx="9">
                    <c:v>Germany 3600-2100 (2019) - UK 3.6 GHz (2021)</c:v>
                  </c:pt>
                  <c:pt idx="10">
                    <c:v>Hungary 3600-2100 (2020) - UK 3.6 GHz (2021)</c:v>
                  </c:pt>
                  <c:pt idx="11">
                    <c:v>Slovenia 3600-2100 (2021) - UK 3.6 GHz (2021)</c:v>
                  </c:pt>
                  <c:pt idx="12">
                    <c:v>Austria 700 NoExtCov-2100 (2020)</c:v>
                  </c:pt>
                  <c:pt idx="13">
                    <c:v>Germany 700-2100 (2019)</c:v>
                  </c:pt>
                  <c:pt idx="14">
                    <c:v>Hungary 700 Ext5Y-2100 Ext5Y (2020)</c:v>
                  </c:pt>
                  <c:pt idx="15">
                    <c:v>Netherlands 700-2100 (2020)</c:v>
                  </c:pt>
                  <c:pt idx="16">
                    <c:v>Slovenia 700-2100 (2021)</c:v>
                  </c:pt>
                  <c:pt idx="17">
                    <c:v>Netherlands 700-2300(p2100) (2020)</c:v>
                  </c:pt>
                  <c:pt idx="18">
                    <c:v>Netherlands 700-2300(p700) (2020)</c:v>
                  </c:pt>
                  <c:pt idx="19">
                    <c:v>Slovenia 700-2300 (2021)</c:v>
                  </c:pt>
                  <c:pt idx="20">
                    <c:v>Austria 700 NoExtCov-2600 (2020)</c:v>
                  </c:pt>
                  <c:pt idx="21">
                    <c:v>Germany 700-2600 (2019)</c:v>
                  </c:pt>
                  <c:pt idx="22">
                    <c:v>Netherlands 700-2600(p2100) (2020)</c:v>
                  </c:pt>
                  <c:pt idx="23">
                    <c:v>Netherlands 700-2600(p700) (2020)</c:v>
                  </c:pt>
                  <c:pt idx="24">
                    <c:v>Austria 700 NoExtCov-3600 (2020) - UK 3.4 GHz (2018)</c:v>
                  </c:pt>
                  <c:pt idx="25">
                    <c:v>Germany 700-3600 (2019) - UK 3.4 GHz (2018)</c:v>
                  </c:pt>
                  <c:pt idx="26">
                    <c:v>Hungary 700-3600 Ext5Y (2020) - UK 3.4 GHz (2018)</c:v>
                  </c:pt>
                  <c:pt idx="27">
                    <c:v>Netherlands 700-3600(p2100) (2020) - UK 3.4 GHz (2018)</c:v>
                  </c:pt>
                  <c:pt idx="28">
                    <c:v>Netherlands 700-3600(p700) (2020) - UK 3.4 GHz (2018)</c:v>
                  </c:pt>
                  <c:pt idx="29">
                    <c:v>Slovenia 700-3600 (2021) - UK 3.4 GHz (2018)</c:v>
                  </c:pt>
                  <c:pt idx="30">
                    <c:v>Austria 700 NoExtCov-3600 (2020) - UK 3.6 GHz (2021)</c:v>
                  </c:pt>
                  <c:pt idx="31">
                    <c:v>Germany 700-3600 (2019) - UK 3.6 GHz (2021)</c:v>
                  </c:pt>
                  <c:pt idx="32">
                    <c:v>Hungary 700-3600 Ext5Y (2020) - UK 3.6 GHz (2021)</c:v>
                  </c:pt>
                  <c:pt idx="33">
                    <c:v>Netherlands 700-3600(p2100) (2020) - UK 3.6 GHz (2021)</c:v>
                  </c:pt>
                  <c:pt idx="34">
                    <c:v>Netherlands 700-3600(p700) (2020) - UK 3.6 GHz (2021)</c:v>
                  </c:pt>
                  <c:pt idx="35">
                    <c:v>Slovenia 700-3600 (2021) - UK 3.6 GHz (2021)</c:v>
                  </c:pt>
                  <c:pt idx="36">
                    <c:v>Austria 800 UC-2600 (2020)</c:v>
                  </c:pt>
                  <c:pt idx="37">
                    <c:v>Germany 800-2600 (2019)</c:v>
                  </c:pt>
                  <c:pt idx="38">
                    <c:v>Austria 800 UC-3600 (2020) - UK 3.4 GHz (2018)</c:v>
                  </c:pt>
                  <c:pt idx="39">
                    <c:v>Germany 800-3600 (2019) - UK 3.4 GHz (2018)</c:v>
                  </c:pt>
                  <c:pt idx="40">
                    <c:v>Austria 800 UC-3600 (2020) - UK 3.6 GHz (2021)</c:v>
                  </c:pt>
                  <c:pt idx="41">
                    <c:v>Germany 800-3600 (2019) - UK 3.6 GHz (2021)</c:v>
                  </c:pt>
                  <c:pt idx="42">
                    <c:v>Norway 700-2300(p2100) (2019)</c:v>
                  </c:pt>
                  <c:pt idx="43">
                    <c:v>Norway 700-2300(p700) (2019)</c:v>
                  </c:pt>
                  <c:pt idx="44">
                    <c:v>Greece 700-2600 (2020)</c:v>
                  </c:pt>
                  <c:pt idx="45">
                    <c:v>Iceland 700-2600 (2017)</c:v>
                  </c:pt>
                  <c:pt idx="46">
                    <c:v>Norway 700-2600(p2100) (2019)</c:v>
                  </c:pt>
                  <c:pt idx="47">
                    <c:v>Norway 700-2600(p700) (2019)</c:v>
                  </c:pt>
                  <c:pt idx="48">
                    <c:v>Greece 700-3500 (2020) - UK 3.4 GHz (2018)</c:v>
                  </c:pt>
                  <c:pt idx="49">
                    <c:v>Norway 700-3600(p2100) (2019) - UK 3.4 GHz (2018)</c:v>
                  </c:pt>
                  <c:pt idx="50">
                    <c:v>Norway 700-3600(p700) (2019) - UK 3.4 GHz (2018)</c:v>
                  </c:pt>
                  <c:pt idx="51">
                    <c:v>Greece 700-3500 (2020) - UK 3.6 GHz (2021)</c:v>
                  </c:pt>
                  <c:pt idx="52">
                    <c:v>Norway 700-3600(p2100) (2019) - UK 3.6 GHz (2021)</c:v>
                  </c:pt>
                  <c:pt idx="53">
                    <c:v>Norway 700-3600(p700) (2019) - UK 3.6 GHz (2021)</c:v>
                  </c:pt>
                  <c:pt idx="54">
                    <c:v>Croatia 800-2600(p)</c:v>
                  </c:pt>
                  <c:pt idx="55">
                    <c:v>Greece 800-2600 (2020)</c:v>
                  </c:pt>
                  <c:pt idx="56">
                    <c:v>Iceland 800-2600 (2017)</c:v>
                  </c:pt>
                  <c:pt idx="57">
                    <c:v>Greece 800-3500 (2020) - UK 3.4 GHz (2018)</c:v>
                  </c:pt>
                  <c:pt idx="58">
                    <c:v>Greece 800-3500 (2020) - UK 3.6 GHz (2021)</c:v>
                  </c:pt>
                </c:lvl>
                <c:lvl>
                  <c:pt idx="0">
                    <c:v>1800</c:v>
                  </c:pt>
                  <c:pt idx="3">
                    <c:v>2300</c:v>
                  </c:pt>
                  <c:pt idx="4">
                    <c:v>3400</c:v>
                  </c:pt>
                  <c:pt idx="8">
                    <c:v>3600</c:v>
                  </c:pt>
                  <c:pt idx="12">
                    <c:v>700</c:v>
                  </c:pt>
                  <c:pt idx="17">
                    <c:v>700-2300</c:v>
                  </c:pt>
                  <c:pt idx="20">
                    <c:v>700-2600</c:v>
                  </c:pt>
                  <c:pt idx="24">
                    <c:v>700-3400</c:v>
                  </c:pt>
                  <c:pt idx="30">
                    <c:v>700-3600</c:v>
                  </c:pt>
                  <c:pt idx="36">
                    <c:v>800-2600</c:v>
                  </c:pt>
                  <c:pt idx="38">
                    <c:v>800-3400</c:v>
                  </c:pt>
                  <c:pt idx="40">
                    <c:v>800-3600</c:v>
                  </c:pt>
                  <c:pt idx="42">
                    <c:v>700-2300</c:v>
                  </c:pt>
                  <c:pt idx="44">
                    <c:v>700-2600</c:v>
                  </c:pt>
                  <c:pt idx="48">
                    <c:v>700-3400</c:v>
                  </c:pt>
                  <c:pt idx="51">
                    <c:v>700-3600</c:v>
                  </c:pt>
                  <c:pt idx="54">
                    <c:v>800-2600</c:v>
                  </c:pt>
                  <c:pt idx="57">
                    <c:v>800-3400</c:v>
                  </c:pt>
                  <c:pt idx="58">
                    <c:v>800-3600</c:v>
                  </c:pt>
                </c:lvl>
                <c:lvl>
                  <c:pt idx="0">
                    <c:v>1</c:v>
                  </c:pt>
                  <c:pt idx="17">
                    <c:v>1</c:v>
                  </c:pt>
                  <c:pt idx="42">
                    <c:v>3</c:v>
                  </c:pt>
                </c:lvl>
                <c:lvl>
                  <c:pt idx="0">
                    <c:v>Paired</c:v>
                  </c:pt>
                  <c:pt idx="17">
                    <c:v>Distance</c:v>
                  </c:pt>
                </c:lvl>
              </c:multiLvlStrCache>
            </c:multiLvlStrRef>
          </c:cat>
          <c:val>
            <c:numRef>
              <c:f>O_Results!$E$5:$E$88</c:f>
              <c:numCache>
                <c:formatCode>General</c:formatCode>
                <c:ptCount val="59"/>
                <c:pt idx="0">
                  <c:v>2.9</c:v>
                </c:pt>
                <c:pt idx="1">
                  <c:v>10.6</c:v>
                </c:pt>
                <c:pt idx="2">
                  <c:v>11.7</c:v>
                </c:pt>
                <c:pt idx="3">
                  <c:v>19.600000000000001</c:v>
                </c:pt>
                <c:pt idx="4">
                  <c:v>21.8</c:v>
                </c:pt>
                <c:pt idx="5">
                  <c:v>11.9</c:v>
                </c:pt>
                <c:pt idx="6">
                  <c:v>25.4</c:v>
                </c:pt>
                <c:pt idx="7">
                  <c:v>37.4</c:v>
                </c:pt>
                <c:pt idx="8">
                  <c:v>11.7</c:v>
                </c:pt>
                <c:pt idx="9">
                  <c:v>6.4</c:v>
                </c:pt>
                <c:pt idx="10">
                  <c:v>13.6</c:v>
                </c:pt>
                <c:pt idx="11">
                  <c:v>20</c:v>
                </c:pt>
                <c:pt idx="12">
                  <c:v>7.8</c:v>
                </c:pt>
                <c:pt idx="13">
                  <c:v>14.2</c:v>
                </c:pt>
                <c:pt idx="14">
                  <c:v>5.8</c:v>
                </c:pt>
                <c:pt idx="15">
                  <c:v>7.3</c:v>
                </c:pt>
                <c:pt idx="16">
                  <c:v>15.7</c:v>
                </c:pt>
                <c:pt idx="17">
                  <c:v>9.1999999999999993</c:v>
                </c:pt>
                <c:pt idx="18">
                  <c:v>8.5</c:v>
                </c:pt>
                <c:pt idx="19">
                  <c:v>15.5</c:v>
                </c:pt>
                <c:pt idx="20">
                  <c:v>10.1</c:v>
                </c:pt>
                <c:pt idx="21">
                  <c:v>14.1</c:v>
                </c:pt>
                <c:pt idx="22">
                  <c:v>10</c:v>
                </c:pt>
                <c:pt idx="23">
                  <c:v>9.1999999999999993</c:v>
                </c:pt>
                <c:pt idx="24">
                  <c:v>10.6</c:v>
                </c:pt>
                <c:pt idx="25">
                  <c:v>14.2</c:v>
                </c:pt>
                <c:pt idx="26">
                  <c:v>9.9</c:v>
                </c:pt>
                <c:pt idx="27">
                  <c:v>10.4</c:v>
                </c:pt>
                <c:pt idx="28">
                  <c:v>9.8000000000000007</c:v>
                </c:pt>
                <c:pt idx="29">
                  <c:v>15</c:v>
                </c:pt>
                <c:pt idx="30">
                  <c:v>8.6</c:v>
                </c:pt>
                <c:pt idx="31">
                  <c:v>14.3</c:v>
                </c:pt>
                <c:pt idx="32">
                  <c:v>7.4</c:v>
                </c:pt>
                <c:pt idx="33">
                  <c:v>8.1999999999999993</c:v>
                </c:pt>
                <c:pt idx="34">
                  <c:v>7.2</c:v>
                </c:pt>
                <c:pt idx="35">
                  <c:v>15.5</c:v>
                </c:pt>
                <c:pt idx="36">
                  <c:v>9.6999999999999993</c:v>
                </c:pt>
                <c:pt idx="37">
                  <c:v>13.5</c:v>
                </c:pt>
                <c:pt idx="38">
                  <c:v>10.6</c:v>
                </c:pt>
                <c:pt idx="39">
                  <c:v>11</c:v>
                </c:pt>
                <c:pt idx="40">
                  <c:v>7.3</c:v>
                </c:pt>
                <c:pt idx="41">
                  <c:v>7.7</c:v>
                </c:pt>
                <c:pt idx="42">
                  <c:v>9.8000000000000007</c:v>
                </c:pt>
                <c:pt idx="43">
                  <c:v>9.3000000000000007</c:v>
                </c:pt>
                <c:pt idx="44">
                  <c:v>7.9</c:v>
                </c:pt>
                <c:pt idx="45">
                  <c:v>12.6</c:v>
                </c:pt>
                <c:pt idx="46">
                  <c:v>10.5</c:v>
                </c:pt>
                <c:pt idx="47">
                  <c:v>9.9</c:v>
                </c:pt>
                <c:pt idx="48">
                  <c:v>9.6</c:v>
                </c:pt>
                <c:pt idx="49">
                  <c:v>10.8</c:v>
                </c:pt>
                <c:pt idx="50">
                  <c:v>10.4</c:v>
                </c:pt>
                <c:pt idx="51">
                  <c:v>7</c:v>
                </c:pt>
                <c:pt idx="52">
                  <c:v>8.9</c:v>
                </c:pt>
                <c:pt idx="53">
                  <c:v>8.3000000000000007</c:v>
                </c:pt>
                <c:pt idx="54">
                  <c:v>15.3</c:v>
                </c:pt>
                <c:pt idx="55">
                  <c:v>9.3000000000000007</c:v>
                </c:pt>
                <c:pt idx="56">
                  <c:v>31.2</c:v>
                </c:pt>
                <c:pt idx="57">
                  <c:v>11.7</c:v>
                </c:pt>
                <c:pt idx="58">
                  <c:v>8.6</c:v>
                </c:pt>
              </c:numCache>
            </c:numRef>
          </c:val>
          <c:smooth val="0"/>
          <c:extLst>
            <c:ext xmlns:c16="http://schemas.microsoft.com/office/drawing/2014/chart" uri="{C3380CC4-5D6E-409C-BE32-E72D297353CC}">
              <c16:uniqueId val="{00000001-8FC2-426C-A97C-5AC6AB2515AF}"/>
            </c:ext>
          </c:extLst>
        </c:ser>
        <c:dLbls>
          <c:showLegendKey val="0"/>
          <c:showVal val="0"/>
          <c:showCatName val="0"/>
          <c:showSerName val="0"/>
          <c:showPercent val="0"/>
          <c:showBubbleSize val="0"/>
        </c:dLbls>
        <c:marker val="1"/>
        <c:smooth val="0"/>
        <c:axId val="528563016"/>
        <c:axId val="528564000"/>
      </c:lineChart>
      <c:catAx>
        <c:axId val="528563016"/>
        <c:scaling>
          <c:orientation val="minMax"/>
        </c:scaling>
        <c:delete val="0"/>
        <c:axPos val="b"/>
        <c:numFmt formatCode="General" sourceLinked="1"/>
        <c:majorTickMark val="none"/>
        <c:minorTickMark val="none"/>
        <c:tickLblPos val="nextTo"/>
        <c:spPr>
          <a:noFill/>
          <a:ln w="9525" cap="flat" cmpd="sng" algn="ctr">
            <a:solidFill>
              <a:schemeClr val="accent4"/>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8564000"/>
        <c:crosses val="autoZero"/>
        <c:auto val="1"/>
        <c:lblAlgn val="ctr"/>
        <c:lblOffset val="100"/>
        <c:noMultiLvlLbl val="0"/>
      </c:catAx>
      <c:valAx>
        <c:axId val="5285640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856301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solidFill>
        <a:schemeClr val="tx1">
          <a:lumMod val="15000"/>
          <a:lumOff val="85000"/>
        </a:schemeClr>
      </a:solidFill>
      <a:round/>
    </a:ln>
    <a:effectLst/>
  </c:spPr>
  <c:txPr>
    <a:bodyPr/>
    <a:lstStyle/>
    <a:p>
      <a:pPr>
        <a:defRPr/>
      </a:pPr>
      <a:endParaRPr lang="en-US"/>
    </a:p>
  </c:txPr>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5.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1CBD0CEF-763B-4E21-946E-E3E9612BA637}">
  <sheetPr/>
  <sheetViews>
    <sheetView workbookViewId="0"/>
  </sheetViews>
  <pageMargins left="0.7" right="0.7" top="0.75" bottom="0.75" header="0.3" footer="0.3"/>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600075</xdr:colOff>
      <xdr:row>2</xdr:row>
      <xdr:rowOff>9525</xdr:rowOff>
    </xdr:to>
    <xdr:pic>
      <xdr:nvPicPr>
        <xdr:cNvPr id="7" name="Picture 4" descr="image003">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28850"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xdr:colOff>
      <xdr:row>0</xdr:row>
      <xdr:rowOff>57150</xdr:rowOff>
    </xdr:from>
    <xdr:to>
      <xdr:col>1</xdr:col>
      <xdr:colOff>509588</xdr:colOff>
      <xdr:row>2</xdr:row>
      <xdr:rowOff>19050</xdr:rowOff>
    </xdr:to>
    <xdr:pic>
      <xdr:nvPicPr>
        <xdr:cNvPr id="3087" name="Picture 66">
          <a:extLst>
            <a:ext uri="{FF2B5EF4-FFF2-40B4-BE49-F238E27FC236}">
              <a16:creationId xmlns:a16="http://schemas.microsoft.com/office/drawing/2014/main" id="{00000000-0008-0000-0100-00000F0C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7150" y="57150"/>
          <a:ext cx="2209800" cy="647700"/>
        </a:xfrm>
        <a:prstGeom prst="rect">
          <a:avLst/>
        </a:prstGeom>
        <a:noFill/>
        <a:ln w="1">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2057400</xdr:colOff>
      <xdr:row>2</xdr:row>
      <xdr:rowOff>9525</xdr:rowOff>
    </xdr:to>
    <xdr:pic>
      <xdr:nvPicPr>
        <xdr:cNvPr id="6" name="Picture 5" descr="image003">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28850"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absoluteAnchor>
    <xdr:pos x="0" y="0"/>
    <xdr:ext cx="8667750" cy="6296025"/>
    <xdr:graphicFrame macro="">
      <xdr:nvGraphicFramePr>
        <xdr:cNvPr id="2" name="Chart 1">
          <a:extLst>
            <a:ext uri="{FF2B5EF4-FFF2-40B4-BE49-F238E27FC236}">
              <a16:creationId xmlns:a16="http://schemas.microsoft.com/office/drawing/2014/main" id="{00000000-0008-0000-1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4406.734822453705" backgroundQuery="1" createdVersion="6" refreshedVersion="6" minRefreshableVersion="3" recordCount="59" xr:uid="{C0085783-BD4F-4160-8046-A64ACC95F59A}">
  <cacheSource type="external" connectionId="11"/>
  <cacheFields count="20">
    <cacheField name="benchmark_id" numFmtId="0">
      <sharedItems count="59">
        <s v="Austria 1800 UC CorrALF-2100 (2013, 2020)"/>
        <s v="Austria 3600-2100 (2020) - UK 3.4 GHz (2018)"/>
        <s v="Austria 3600-2100 (2020) - UK 3.6 GHz (2021)"/>
        <s v="Austria 700 NoExtCov-2100 (2020)"/>
        <s v="Germany 1800-2100 (2019)"/>
        <s v="Germany 3600-2100 (2019) - UK 3.4 GHz (2018)"/>
        <s v="Germany 3600-2100 (2019) - UK 3.6 GHz (2021)"/>
        <s v="Germany 700-2100 (2019)"/>
        <s v="Hungary 1800 Ext5Y-2100 Ext5Y (2020)"/>
        <s v="Hungary 3600-2100 (2020) - UK 3.4 GHz (2018)"/>
        <s v="Hungary 3600-2100 (2020) - UK 3.6 GHz (2021)"/>
        <s v="Hungary 700 Ext5Y-2100 Ext5Y (2020)"/>
        <s v="Netherlands 700-2100 (2020)"/>
        <s v="Slovenia 2300-2100 (2021)"/>
        <s v="Slovenia 3600-2100 (2021) - UK 3.4 GHz (2018)"/>
        <s v="Slovenia 3600-2100 (2021) - UK 3.6 GHz (2021)"/>
        <s v="Slovenia 700-2100 (2021)"/>
        <s v="Austria 700 NoExtCov-2600 (2020)"/>
        <s v="Austria 700 NoExtCov-3600 (2020) - UK 3.4 GHz (2018)"/>
        <s v="Austria 700 NoExtCov-3600 (2020) - UK 3.6 GHz (2021)"/>
        <s v="Austria 800 UC-2600 (2020)"/>
        <s v="Austria 800 UC-3600 (2020) - UK 3.4 GHz (2018)"/>
        <s v="Austria 800 UC-3600 (2020) - UK 3.6 GHz (2021)"/>
        <s v="Germany 700-2600 (2019)"/>
        <s v="Germany 700-3600 (2019) - UK 3.4 GHz (2018)"/>
        <s v="Germany 700-3600 (2019) - UK 3.6 GHz (2021)"/>
        <s v="Germany 800-2600 (2019)"/>
        <s v="Germany 800-3600 (2019) - UK 3.4 GHz (2018)"/>
        <s v="Germany 800-3600 (2019) - UK 3.6 GHz (2021)"/>
        <s v="Hungary 700-3600 Ext5Y (2020) - UK 3.4 GHz (2018)"/>
        <s v="Hungary 700-3600 Ext5Y (2020) - UK 3.6 GHz (2021)"/>
        <s v="Netherlands 700-2300(p2100) (2020)"/>
        <s v="Netherlands 700-2300(p700) (2020)"/>
        <s v="Netherlands 700-2600(p2100) (2020)"/>
        <s v="Netherlands 700-2600(p700) (2020)"/>
        <s v="Netherlands 700-3600(p2100) (2020) - UK 3.4 GHz (2018)"/>
        <s v="Netherlands 700-3600(p2100) (2020) - UK 3.6 GHz (2021)"/>
        <s v="Netherlands 700-3600(p700) (2020) - UK 3.4 GHz (2018)"/>
        <s v="Netherlands 700-3600(p700) (2020) - UK 3.6 GHz (2021)"/>
        <s v="Slovenia 700-2300 (2021)"/>
        <s v="Slovenia 700-3600 (2021) - UK 3.4 GHz (2018)"/>
        <s v="Slovenia 700-3600 (2021) - UK 3.6 GHz (2021)"/>
        <s v="Croatia 800-2600(p)"/>
        <s v="Greece 700-2600 (2020)"/>
        <s v="Greece 700-3500 (2020) - UK 3.4 GHz (2018)"/>
        <s v="Greece 700-3500 (2020) - UK 3.6 GHz (2021)"/>
        <s v="Greece 800-2600 (2020)"/>
        <s v="Greece 800-3500 (2020) - UK 3.4 GHz (2018)"/>
        <s v="Greece 800-3500 (2020) - UK 3.6 GHz (2021)"/>
        <s v="Iceland 700-2600 (2017)"/>
        <s v="Iceland 800-2600 (2017)"/>
        <s v="Norway 700-2300(p2100) (2019)"/>
        <s v="Norway 700-2300(p700) (2019)"/>
        <s v="Norway 700-2600(p2100) (2019)"/>
        <s v="Norway 700-2600(p700) (2019)"/>
        <s v="Norway 700-3600(p2100) (2019) - UK 3.4 GHz (2018)"/>
        <s v="Norway 700-3600(p2100) (2019) - UK 3.6 GHz (2021)"/>
        <s v="Norway 700-3600(p700) (2019) - UK 3.4 GHz (2018)"/>
        <s v="Norway 700-3600(p700) (2019) - UK 3.6 GHz (2021)"/>
      </sharedItems>
    </cacheField>
    <cacheField name="target_band" numFmtId="0">
      <sharedItems containsSemiMixedTypes="0" containsString="0" containsNumber="1" containsInteger="1" minValue="1800" maxValue="2100" count="2">
        <n v="2100"/>
        <n v="1800" u="1"/>
      </sharedItems>
    </cacheField>
    <cacheField name="comp_band" numFmtId="0">
      <sharedItems count="12">
        <s v="1800"/>
        <s v="3400"/>
        <s v="3600"/>
        <s v="700"/>
        <s v="2300"/>
        <s v="700-2600"/>
        <s v="700-3400"/>
        <s v="700-3600"/>
        <s v="800-2600"/>
        <s v="800-3400"/>
        <s v="800-3600"/>
        <s v="700-2300"/>
      </sharedItems>
    </cacheField>
    <cacheField name="country" numFmtId="0">
      <sharedItems count="9">
        <s v="Austria"/>
        <s v="Germany"/>
        <s v="Hungary"/>
        <s v="Netherlands"/>
        <s v="Slovenia"/>
        <s v="Croatia"/>
        <s v="Greece"/>
        <s v="Iceland"/>
        <s v="Norway"/>
      </sharedItems>
    </cacheField>
    <cacheField name="tier" numFmtId="0">
      <sharedItems containsSemiMixedTypes="0" containsString="0" containsNumber="1" containsInteger="1" minValue="1" maxValue="3" count="2">
        <n v="1"/>
        <n v="3"/>
      </sharedItems>
    </cacheField>
    <cacheField name="bias_risk" numFmtId="0">
      <sharedItems count="2">
        <s v="Larger"/>
        <s v="Unknown"/>
      </sharedItems>
    </cacheField>
    <cacheField name="bias_scale" numFmtId="0">
      <sharedItems count="2">
        <s v="Unknown"/>
        <s v="Larger"/>
      </sharedItems>
    </cacheField>
    <cacheField name="bias_direction" numFmtId="0">
      <sharedItems count="3">
        <s v="Under"/>
        <s v="Unknown"/>
        <s v="Over"/>
      </sharedItems>
    </cacheField>
    <cacheField name="ratio_2_1" numFmtId="0">
      <sharedItems containsString="0" containsBlank="1" containsNumber="1" minValue="0.20012688570005807" maxValue="4.736765937168455" count="14">
        <n v="0.20012688570005807"/>
        <n v="2.7592385977212883"/>
        <n v="0.55522878263902764"/>
        <n v="0.72313548915933623"/>
        <n v="1.5071868064076306"/>
        <n v="1.005544647014156"/>
        <n v="0.79696286622641521"/>
        <n v="3.207996480243466"/>
        <n v="0.40847739858033516"/>
        <n v="0.52110105294254183"/>
        <n v="3.6388687980172341"/>
        <n v="4.736765937168455"/>
        <n v="1.1109042401488143"/>
        <m/>
      </sharedItems>
    </cacheField>
    <cacheField name="lsv_per_mhz_uk2" numFmtId="0">
      <sharedItems containsSemiMixedTypes="0" containsString="0" containsNumber="1" minValue="2926713.2980841519" maxValue="37430539.226378202"/>
    </cacheField>
    <cacheField name="method" numFmtId="0">
      <sharedItems count="2">
        <s v="Paired"/>
        <s v="Distance"/>
      </sharedItems>
    </cacheField>
    <cacheField name="ratio_y_x" numFmtId="0">
      <sharedItems containsString="0" containsBlank="1" containsNumber="1" minValue="9.3454806963056886E-2" maxValue="1.1596406792133265" count="30">
        <m/>
        <n v="0.50174464294247834"/>
        <n v="0.44318310122767052"/>
        <n v="0.11537962094929237"/>
        <n v="9.3454806963056886E-2"/>
        <n v="1.0062912217352544"/>
        <n v="1.0166589244333599"/>
        <n v="0.23821178059870624"/>
        <n v="0.1065906484698514"/>
        <n v="0.32451302774332175"/>
        <n v="0.44105828966777533"/>
        <n v="0.36087053190770985"/>
        <n v="0.47882245599390783"/>
        <n v="0.38494357048808847"/>
        <n v="0.40077953172332964"/>
        <n v="0.3064924129332936"/>
        <n v="1.1596406792133265"/>
        <n v="1.144883470722631"/>
        <n v="0.33153364274339286"/>
        <n v="0.2224406109480353"/>
        <n v="0.27751157131044596"/>
        <n v="0.11415884978690284"/>
        <n v="0.14750746790461322"/>
        <n v="0.80997620685235872"/>
        <n v="0.51301005303526415"/>
        <n v="0.45585676066776087"/>
        <n v="0.5508632597218186"/>
        <n v="0.4763521091811011"/>
        <n v="0.4717057600605416"/>
        <n v="0.40956021625109823"/>
      </sharedItems>
    </cacheField>
    <cacheField name="lsv_£m_per_mhz" numFmtId="0">
      <sharedItems containsSemiMixedTypes="0" containsString="0" containsNumber="1" minValue="2.9" maxValue="37.4"/>
    </cacheField>
    <cacheField name="bias_risk_val" numFmtId="0">
      <sharedItems containsSemiMixedTypes="0" containsString="0" containsNumber="1" containsInteger="1" minValue="2" maxValue="3" count="2">
        <n v="3"/>
        <n v="2"/>
      </sharedItems>
    </cacheField>
    <cacheField name="bias_scale_val" numFmtId="0">
      <sharedItems containsSemiMixedTypes="0" containsString="0" containsNumber="1" containsInteger="1" minValue="2" maxValue="3" count="2">
        <n v="2"/>
        <n v="3"/>
      </sharedItems>
    </cacheField>
    <cacheField name="bias_over" numFmtId="0">
      <sharedItems containsSemiMixedTypes="0" containsString="0" containsNumber="1" containsInteger="1" minValue="0" maxValue="1" count="2">
        <n v="0"/>
        <n v="1"/>
      </sharedItems>
    </cacheField>
    <cacheField name="bias_under" numFmtId="0">
      <sharedItems containsSemiMixedTypes="0" containsString="0" containsNumber="1" containsInteger="1" minValue="0" maxValue="1" count="2">
        <n v="1"/>
        <n v="0"/>
      </sharedItems>
    </cacheField>
    <cacheField name="bias_over_val" numFmtId="0">
      <sharedItems containsSemiMixedTypes="0" containsString="0" containsNumber="1" containsInteger="1" minValue="0" maxValue="6" count="3">
        <n v="0"/>
        <n v="4"/>
        <n v="6"/>
      </sharedItems>
    </cacheField>
    <cacheField name="bias_under_val" numFmtId="0">
      <sharedItems containsSemiMixedTypes="0" containsString="0" containsNumber="1" containsInteger="1" minValue="0" maxValue="9" count="4">
        <n v="6"/>
        <n v="4"/>
        <n v="0"/>
        <n v="9"/>
      </sharedItems>
    </cacheField>
    <cacheField name="base" numFmtId="0">
      <sharedItems containsSemiMixedTypes="0" containsString="0" containsNumber="1" minValue="1.7999999999999998" maxValue="33.4"/>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9">
  <r>
    <x v="0"/>
    <x v="0"/>
    <x v="0"/>
    <x v="0"/>
    <x v="0"/>
    <x v="0"/>
    <x v="0"/>
    <x v="0"/>
    <x v="0"/>
    <n v="2926713.2980841519"/>
    <x v="0"/>
    <x v="0"/>
    <n v="2.9"/>
    <x v="0"/>
    <x v="0"/>
    <x v="0"/>
    <x v="0"/>
    <x v="0"/>
    <x v="0"/>
    <n v="2.9"/>
  </r>
  <r>
    <x v="1"/>
    <x v="0"/>
    <x v="1"/>
    <x v="0"/>
    <x v="0"/>
    <x v="1"/>
    <x v="0"/>
    <x v="1"/>
    <x v="1"/>
    <n v="21803861.524279173"/>
    <x v="0"/>
    <x v="0"/>
    <n v="21.8"/>
    <x v="1"/>
    <x v="0"/>
    <x v="1"/>
    <x v="0"/>
    <x v="1"/>
    <x v="1"/>
    <n v="17.8"/>
  </r>
  <r>
    <x v="2"/>
    <x v="0"/>
    <x v="2"/>
    <x v="0"/>
    <x v="0"/>
    <x v="1"/>
    <x v="0"/>
    <x v="1"/>
    <x v="1"/>
    <n v="11662953.495048253"/>
    <x v="0"/>
    <x v="0"/>
    <n v="11.7"/>
    <x v="1"/>
    <x v="0"/>
    <x v="1"/>
    <x v="0"/>
    <x v="1"/>
    <x v="1"/>
    <n v="7.6999999999999993"/>
  </r>
  <r>
    <x v="3"/>
    <x v="0"/>
    <x v="3"/>
    <x v="0"/>
    <x v="0"/>
    <x v="1"/>
    <x v="0"/>
    <x v="1"/>
    <x v="2"/>
    <n v="7822940.0873838915"/>
    <x v="0"/>
    <x v="0"/>
    <n v="7.8"/>
    <x v="1"/>
    <x v="0"/>
    <x v="1"/>
    <x v="0"/>
    <x v="1"/>
    <x v="1"/>
    <n v="3.8"/>
  </r>
  <r>
    <x v="4"/>
    <x v="0"/>
    <x v="0"/>
    <x v="1"/>
    <x v="0"/>
    <x v="0"/>
    <x v="0"/>
    <x v="2"/>
    <x v="3"/>
    <n v="10575341.963853901"/>
    <x v="0"/>
    <x v="0"/>
    <n v="10.6"/>
    <x v="0"/>
    <x v="0"/>
    <x v="1"/>
    <x v="1"/>
    <x v="2"/>
    <x v="2"/>
    <n v="4.5999999999999996"/>
  </r>
  <r>
    <x v="5"/>
    <x v="0"/>
    <x v="1"/>
    <x v="1"/>
    <x v="0"/>
    <x v="1"/>
    <x v="0"/>
    <x v="1"/>
    <x v="4"/>
    <n v="11909985.763924861"/>
    <x v="0"/>
    <x v="0"/>
    <n v="11.9"/>
    <x v="1"/>
    <x v="0"/>
    <x v="1"/>
    <x v="0"/>
    <x v="1"/>
    <x v="1"/>
    <n v="7.9"/>
  </r>
  <r>
    <x v="6"/>
    <x v="0"/>
    <x v="2"/>
    <x v="1"/>
    <x v="0"/>
    <x v="1"/>
    <x v="0"/>
    <x v="1"/>
    <x v="4"/>
    <n v="6370688.5102286739"/>
    <x v="0"/>
    <x v="0"/>
    <n v="6.4"/>
    <x v="1"/>
    <x v="0"/>
    <x v="1"/>
    <x v="0"/>
    <x v="1"/>
    <x v="1"/>
    <n v="2.4000000000000004"/>
  </r>
  <r>
    <x v="7"/>
    <x v="0"/>
    <x v="3"/>
    <x v="1"/>
    <x v="0"/>
    <x v="1"/>
    <x v="0"/>
    <x v="2"/>
    <x v="5"/>
    <n v="14167701.269722313"/>
    <x v="0"/>
    <x v="0"/>
    <n v="14.2"/>
    <x v="1"/>
    <x v="0"/>
    <x v="1"/>
    <x v="1"/>
    <x v="1"/>
    <x v="2"/>
    <n v="10.199999999999999"/>
  </r>
  <r>
    <x v="8"/>
    <x v="0"/>
    <x v="0"/>
    <x v="2"/>
    <x v="0"/>
    <x v="0"/>
    <x v="0"/>
    <x v="1"/>
    <x v="6"/>
    <n v="11655014.819747597"/>
    <x v="0"/>
    <x v="0"/>
    <n v="11.7"/>
    <x v="0"/>
    <x v="0"/>
    <x v="1"/>
    <x v="0"/>
    <x v="2"/>
    <x v="0"/>
    <n v="5.6999999999999993"/>
  </r>
  <r>
    <x v="9"/>
    <x v="0"/>
    <x v="1"/>
    <x v="2"/>
    <x v="0"/>
    <x v="1"/>
    <x v="0"/>
    <x v="1"/>
    <x v="7"/>
    <n v="25350004.556825522"/>
    <x v="0"/>
    <x v="0"/>
    <n v="25.4"/>
    <x v="1"/>
    <x v="0"/>
    <x v="1"/>
    <x v="0"/>
    <x v="1"/>
    <x v="1"/>
    <n v="21.4"/>
  </r>
  <r>
    <x v="10"/>
    <x v="0"/>
    <x v="2"/>
    <x v="2"/>
    <x v="0"/>
    <x v="1"/>
    <x v="0"/>
    <x v="1"/>
    <x v="7"/>
    <n v="13559796.456985231"/>
    <x v="0"/>
    <x v="0"/>
    <n v="13.6"/>
    <x v="1"/>
    <x v="0"/>
    <x v="1"/>
    <x v="0"/>
    <x v="1"/>
    <x v="1"/>
    <n v="9.6"/>
  </r>
  <r>
    <x v="11"/>
    <x v="0"/>
    <x v="3"/>
    <x v="2"/>
    <x v="0"/>
    <x v="1"/>
    <x v="0"/>
    <x v="1"/>
    <x v="8"/>
    <n v="5755274.7913320754"/>
    <x v="0"/>
    <x v="0"/>
    <n v="5.8"/>
    <x v="1"/>
    <x v="0"/>
    <x v="1"/>
    <x v="0"/>
    <x v="1"/>
    <x v="1"/>
    <n v="1.7999999999999998"/>
  </r>
  <r>
    <x v="12"/>
    <x v="0"/>
    <x v="3"/>
    <x v="3"/>
    <x v="0"/>
    <x v="1"/>
    <x v="0"/>
    <x v="1"/>
    <x v="9"/>
    <n v="7342094.7258284688"/>
    <x v="0"/>
    <x v="0"/>
    <n v="7.3"/>
    <x v="1"/>
    <x v="0"/>
    <x v="1"/>
    <x v="0"/>
    <x v="1"/>
    <x v="1"/>
    <n v="3.3"/>
  </r>
  <r>
    <x v="13"/>
    <x v="0"/>
    <x v="4"/>
    <x v="4"/>
    <x v="0"/>
    <x v="1"/>
    <x v="0"/>
    <x v="1"/>
    <x v="10"/>
    <n v="19565953.784873068"/>
    <x v="0"/>
    <x v="0"/>
    <n v="19.600000000000001"/>
    <x v="1"/>
    <x v="0"/>
    <x v="1"/>
    <x v="0"/>
    <x v="1"/>
    <x v="1"/>
    <n v="15.600000000000001"/>
  </r>
  <r>
    <x v="14"/>
    <x v="0"/>
    <x v="1"/>
    <x v="4"/>
    <x v="0"/>
    <x v="1"/>
    <x v="0"/>
    <x v="1"/>
    <x v="11"/>
    <n v="37430539.226378202"/>
    <x v="0"/>
    <x v="0"/>
    <n v="37.4"/>
    <x v="1"/>
    <x v="0"/>
    <x v="1"/>
    <x v="0"/>
    <x v="1"/>
    <x v="1"/>
    <n v="33.4"/>
  </r>
  <r>
    <x v="15"/>
    <x v="0"/>
    <x v="2"/>
    <x v="4"/>
    <x v="0"/>
    <x v="1"/>
    <x v="0"/>
    <x v="1"/>
    <x v="11"/>
    <n v="20021712.108459216"/>
    <x v="0"/>
    <x v="0"/>
    <n v="20"/>
    <x v="1"/>
    <x v="0"/>
    <x v="1"/>
    <x v="0"/>
    <x v="1"/>
    <x v="1"/>
    <n v="16"/>
  </r>
  <r>
    <x v="16"/>
    <x v="0"/>
    <x v="3"/>
    <x v="4"/>
    <x v="0"/>
    <x v="1"/>
    <x v="0"/>
    <x v="2"/>
    <x v="12"/>
    <n v="15652173.635881018"/>
    <x v="0"/>
    <x v="0"/>
    <n v="15.7"/>
    <x v="1"/>
    <x v="0"/>
    <x v="1"/>
    <x v="1"/>
    <x v="1"/>
    <x v="2"/>
    <n v="11.7"/>
  </r>
  <r>
    <x v="17"/>
    <x v="0"/>
    <x v="5"/>
    <x v="0"/>
    <x v="0"/>
    <x v="1"/>
    <x v="0"/>
    <x v="1"/>
    <x v="13"/>
    <n v="10144993.18305148"/>
    <x v="1"/>
    <x v="1"/>
    <n v="10.1"/>
    <x v="1"/>
    <x v="0"/>
    <x v="1"/>
    <x v="0"/>
    <x v="1"/>
    <x v="1"/>
    <n v="6.1"/>
  </r>
  <r>
    <x v="18"/>
    <x v="0"/>
    <x v="6"/>
    <x v="0"/>
    <x v="0"/>
    <x v="1"/>
    <x v="0"/>
    <x v="1"/>
    <x v="13"/>
    <n v="10644302.952813756"/>
    <x v="1"/>
    <x v="2"/>
    <n v="10.6"/>
    <x v="1"/>
    <x v="0"/>
    <x v="1"/>
    <x v="0"/>
    <x v="1"/>
    <x v="1"/>
    <n v="6.6"/>
  </r>
  <r>
    <x v="19"/>
    <x v="0"/>
    <x v="7"/>
    <x v="0"/>
    <x v="0"/>
    <x v="1"/>
    <x v="0"/>
    <x v="1"/>
    <x v="13"/>
    <n v="8597858.3415231481"/>
    <x v="1"/>
    <x v="2"/>
    <n v="8.6"/>
    <x v="1"/>
    <x v="0"/>
    <x v="1"/>
    <x v="0"/>
    <x v="1"/>
    <x v="1"/>
    <n v="4.5999999999999996"/>
  </r>
  <r>
    <x v="20"/>
    <x v="0"/>
    <x v="8"/>
    <x v="0"/>
    <x v="0"/>
    <x v="1"/>
    <x v="0"/>
    <x v="0"/>
    <x v="13"/>
    <n v="9733849.6159961373"/>
    <x v="1"/>
    <x v="3"/>
    <n v="9.6999999999999993"/>
    <x v="1"/>
    <x v="0"/>
    <x v="0"/>
    <x v="0"/>
    <x v="0"/>
    <x v="1"/>
    <n v="9.6999999999999993"/>
  </r>
  <r>
    <x v="21"/>
    <x v="0"/>
    <x v="9"/>
    <x v="0"/>
    <x v="0"/>
    <x v="1"/>
    <x v="0"/>
    <x v="0"/>
    <x v="13"/>
    <n v="10624895.168864653"/>
    <x v="1"/>
    <x v="4"/>
    <n v="10.6"/>
    <x v="1"/>
    <x v="0"/>
    <x v="0"/>
    <x v="0"/>
    <x v="0"/>
    <x v="1"/>
    <n v="10.6"/>
  </r>
  <r>
    <x v="22"/>
    <x v="0"/>
    <x v="10"/>
    <x v="0"/>
    <x v="0"/>
    <x v="1"/>
    <x v="0"/>
    <x v="0"/>
    <x v="13"/>
    <n v="7293109.5688367281"/>
    <x v="1"/>
    <x v="4"/>
    <n v="7.3"/>
    <x v="1"/>
    <x v="0"/>
    <x v="0"/>
    <x v="0"/>
    <x v="0"/>
    <x v="1"/>
    <n v="7.3"/>
  </r>
  <r>
    <x v="23"/>
    <x v="0"/>
    <x v="5"/>
    <x v="1"/>
    <x v="0"/>
    <x v="0"/>
    <x v="0"/>
    <x v="2"/>
    <x v="13"/>
    <n v="14139385.847838543"/>
    <x v="1"/>
    <x v="5"/>
    <n v="14.1"/>
    <x v="0"/>
    <x v="0"/>
    <x v="1"/>
    <x v="1"/>
    <x v="2"/>
    <x v="2"/>
    <n v="8.1"/>
  </r>
  <r>
    <x v="24"/>
    <x v="0"/>
    <x v="6"/>
    <x v="1"/>
    <x v="0"/>
    <x v="1"/>
    <x v="0"/>
    <x v="2"/>
    <x v="13"/>
    <n v="14192655.78222415"/>
    <x v="1"/>
    <x v="6"/>
    <n v="14.2"/>
    <x v="1"/>
    <x v="0"/>
    <x v="1"/>
    <x v="1"/>
    <x v="1"/>
    <x v="2"/>
    <n v="10.199999999999999"/>
  </r>
  <r>
    <x v="25"/>
    <x v="0"/>
    <x v="7"/>
    <x v="1"/>
    <x v="0"/>
    <x v="1"/>
    <x v="0"/>
    <x v="2"/>
    <x v="13"/>
    <n v="14253881.593099706"/>
    <x v="1"/>
    <x v="6"/>
    <n v="14.3"/>
    <x v="1"/>
    <x v="0"/>
    <x v="1"/>
    <x v="1"/>
    <x v="1"/>
    <x v="2"/>
    <n v="10.3"/>
  </r>
  <r>
    <x v="26"/>
    <x v="0"/>
    <x v="8"/>
    <x v="1"/>
    <x v="0"/>
    <x v="0"/>
    <x v="0"/>
    <x v="0"/>
    <x v="13"/>
    <n v="13524930.873677209"/>
    <x v="1"/>
    <x v="7"/>
    <n v="13.5"/>
    <x v="0"/>
    <x v="0"/>
    <x v="0"/>
    <x v="0"/>
    <x v="0"/>
    <x v="0"/>
    <n v="13.5"/>
  </r>
  <r>
    <x v="27"/>
    <x v="0"/>
    <x v="9"/>
    <x v="1"/>
    <x v="0"/>
    <x v="0"/>
    <x v="1"/>
    <x v="0"/>
    <x v="13"/>
    <n v="11007602.229341397"/>
    <x v="1"/>
    <x v="8"/>
    <n v="11"/>
    <x v="0"/>
    <x v="1"/>
    <x v="0"/>
    <x v="0"/>
    <x v="0"/>
    <x v="3"/>
    <n v="11"/>
  </r>
  <r>
    <x v="28"/>
    <x v="0"/>
    <x v="10"/>
    <x v="1"/>
    <x v="0"/>
    <x v="0"/>
    <x v="1"/>
    <x v="0"/>
    <x v="13"/>
    <n v="7724094.2087576604"/>
    <x v="1"/>
    <x v="8"/>
    <n v="7.7"/>
    <x v="0"/>
    <x v="1"/>
    <x v="0"/>
    <x v="0"/>
    <x v="0"/>
    <x v="3"/>
    <n v="7.7"/>
  </r>
  <r>
    <x v="29"/>
    <x v="0"/>
    <x v="6"/>
    <x v="2"/>
    <x v="0"/>
    <x v="1"/>
    <x v="0"/>
    <x v="1"/>
    <x v="13"/>
    <n v="9910037.8382694256"/>
    <x v="1"/>
    <x v="9"/>
    <n v="9.9"/>
    <x v="1"/>
    <x v="0"/>
    <x v="1"/>
    <x v="0"/>
    <x v="1"/>
    <x v="1"/>
    <n v="5.9"/>
  </r>
  <r>
    <x v="30"/>
    <x v="0"/>
    <x v="7"/>
    <x v="2"/>
    <x v="0"/>
    <x v="1"/>
    <x v="0"/>
    <x v="1"/>
    <x v="13"/>
    <n v="7427450.3352329964"/>
    <x v="1"/>
    <x v="9"/>
    <n v="7.4"/>
    <x v="1"/>
    <x v="0"/>
    <x v="1"/>
    <x v="0"/>
    <x v="1"/>
    <x v="1"/>
    <n v="3.4000000000000004"/>
  </r>
  <r>
    <x v="31"/>
    <x v="0"/>
    <x v="11"/>
    <x v="3"/>
    <x v="0"/>
    <x v="1"/>
    <x v="0"/>
    <x v="1"/>
    <x v="13"/>
    <n v="9219717.9842007775"/>
    <x v="1"/>
    <x v="10"/>
    <n v="9.1999999999999993"/>
    <x v="1"/>
    <x v="0"/>
    <x v="1"/>
    <x v="0"/>
    <x v="1"/>
    <x v="1"/>
    <n v="5.1999999999999993"/>
  </r>
  <r>
    <x v="32"/>
    <x v="0"/>
    <x v="11"/>
    <x v="3"/>
    <x v="0"/>
    <x v="1"/>
    <x v="0"/>
    <x v="1"/>
    <x v="13"/>
    <n v="8521070.3966000844"/>
    <x v="1"/>
    <x v="11"/>
    <n v="8.5"/>
    <x v="1"/>
    <x v="0"/>
    <x v="1"/>
    <x v="0"/>
    <x v="1"/>
    <x v="1"/>
    <n v="4.5"/>
  </r>
  <r>
    <x v="33"/>
    <x v="0"/>
    <x v="5"/>
    <x v="3"/>
    <x v="0"/>
    <x v="1"/>
    <x v="0"/>
    <x v="1"/>
    <x v="13"/>
    <n v="9963522.8902049344"/>
    <x v="1"/>
    <x v="12"/>
    <n v="10"/>
    <x v="1"/>
    <x v="0"/>
    <x v="1"/>
    <x v="0"/>
    <x v="1"/>
    <x v="1"/>
    <n v="6"/>
  </r>
  <r>
    <x v="34"/>
    <x v="0"/>
    <x v="5"/>
    <x v="3"/>
    <x v="0"/>
    <x v="1"/>
    <x v="0"/>
    <x v="1"/>
    <x v="13"/>
    <n v="9220302.8439208772"/>
    <x v="1"/>
    <x v="13"/>
    <n v="9.1999999999999993"/>
    <x v="1"/>
    <x v="0"/>
    <x v="1"/>
    <x v="0"/>
    <x v="1"/>
    <x v="1"/>
    <n v="5.1999999999999993"/>
  </r>
  <r>
    <x v="35"/>
    <x v="0"/>
    <x v="6"/>
    <x v="3"/>
    <x v="0"/>
    <x v="1"/>
    <x v="0"/>
    <x v="1"/>
    <x v="13"/>
    <n v="10381932.997988543"/>
    <x v="1"/>
    <x v="14"/>
    <n v="10.4"/>
    <x v="1"/>
    <x v="0"/>
    <x v="1"/>
    <x v="0"/>
    <x v="1"/>
    <x v="1"/>
    <n v="6.4"/>
  </r>
  <r>
    <x v="36"/>
    <x v="0"/>
    <x v="7"/>
    <x v="3"/>
    <x v="0"/>
    <x v="1"/>
    <x v="0"/>
    <x v="1"/>
    <x v="13"/>
    <n v="8179644.4162599519"/>
    <x v="1"/>
    <x v="14"/>
    <n v="8.1999999999999993"/>
    <x v="1"/>
    <x v="0"/>
    <x v="1"/>
    <x v="0"/>
    <x v="1"/>
    <x v="1"/>
    <n v="4.1999999999999993"/>
  </r>
  <r>
    <x v="37"/>
    <x v="0"/>
    <x v="6"/>
    <x v="3"/>
    <x v="0"/>
    <x v="1"/>
    <x v="0"/>
    <x v="1"/>
    <x v="13"/>
    <n v="9798536.189967256"/>
    <x v="1"/>
    <x v="15"/>
    <n v="9.8000000000000007"/>
    <x v="1"/>
    <x v="0"/>
    <x v="1"/>
    <x v="0"/>
    <x v="1"/>
    <x v="1"/>
    <n v="5.8000000000000007"/>
  </r>
  <r>
    <x v="38"/>
    <x v="0"/>
    <x v="7"/>
    <x v="3"/>
    <x v="0"/>
    <x v="1"/>
    <x v="0"/>
    <x v="1"/>
    <x v="13"/>
    <n v="7249718.3154183328"/>
    <x v="1"/>
    <x v="15"/>
    <n v="7.2"/>
    <x v="1"/>
    <x v="0"/>
    <x v="1"/>
    <x v="0"/>
    <x v="1"/>
    <x v="1"/>
    <n v="3.2"/>
  </r>
  <r>
    <x v="39"/>
    <x v="0"/>
    <x v="11"/>
    <x v="4"/>
    <x v="0"/>
    <x v="1"/>
    <x v="0"/>
    <x v="2"/>
    <x v="13"/>
    <n v="15480472.330899324"/>
    <x v="1"/>
    <x v="16"/>
    <n v="15.5"/>
    <x v="1"/>
    <x v="0"/>
    <x v="1"/>
    <x v="1"/>
    <x v="1"/>
    <x v="2"/>
    <n v="11.5"/>
  </r>
  <r>
    <x v="40"/>
    <x v="0"/>
    <x v="6"/>
    <x v="4"/>
    <x v="0"/>
    <x v="1"/>
    <x v="0"/>
    <x v="2"/>
    <x v="13"/>
    <n v="14986038.716978157"/>
    <x v="1"/>
    <x v="17"/>
    <n v="15"/>
    <x v="1"/>
    <x v="0"/>
    <x v="1"/>
    <x v="1"/>
    <x v="1"/>
    <x v="2"/>
    <n v="11"/>
  </r>
  <r>
    <x v="41"/>
    <x v="0"/>
    <x v="7"/>
    <x v="4"/>
    <x v="0"/>
    <x v="1"/>
    <x v="0"/>
    <x v="2"/>
    <x v="13"/>
    <n v="15518522.5524708"/>
    <x v="1"/>
    <x v="17"/>
    <n v="15.5"/>
    <x v="1"/>
    <x v="0"/>
    <x v="1"/>
    <x v="1"/>
    <x v="1"/>
    <x v="2"/>
    <n v="11.5"/>
  </r>
  <r>
    <x v="42"/>
    <x v="0"/>
    <x v="8"/>
    <x v="5"/>
    <x v="1"/>
    <x v="1"/>
    <x v="0"/>
    <x v="1"/>
    <x v="13"/>
    <n v="15288944.185710162"/>
    <x v="1"/>
    <x v="18"/>
    <n v="15.3"/>
    <x v="1"/>
    <x v="0"/>
    <x v="1"/>
    <x v="0"/>
    <x v="1"/>
    <x v="1"/>
    <n v="11.3"/>
  </r>
  <r>
    <x v="43"/>
    <x v="0"/>
    <x v="5"/>
    <x v="6"/>
    <x v="1"/>
    <x v="1"/>
    <x v="0"/>
    <x v="1"/>
    <x v="13"/>
    <n v="7933799.9582089689"/>
    <x v="1"/>
    <x v="19"/>
    <n v="7.9"/>
    <x v="1"/>
    <x v="0"/>
    <x v="1"/>
    <x v="0"/>
    <x v="1"/>
    <x v="1"/>
    <n v="3.9000000000000004"/>
  </r>
  <r>
    <x v="44"/>
    <x v="0"/>
    <x v="6"/>
    <x v="6"/>
    <x v="1"/>
    <x v="1"/>
    <x v="0"/>
    <x v="1"/>
    <x v="13"/>
    <n v="9619218.6891940068"/>
    <x v="1"/>
    <x v="20"/>
    <n v="9.6"/>
    <x v="1"/>
    <x v="0"/>
    <x v="1"/>
    <x v="0"/>
    <x v="1"/>
    <x v="1"/>
    <n v="5.6"/>
  </r>
  <r>
    <x v="45"/>
    <x v="0"/>
    <x v="7"/>
    <x v="6"/>
    <x v="1"/>
    <x v="1"/>
    <x v="0"/>
    <x v="1"/>
    <x v="13"/>
    <n v="6963888.8045022432"/>
    <x v="1"/>
    <x v="20"/>
    <n v="7"/>
    <x v="1"/>
    <x v="0"/>
    <x v="1"/>
    <x v="0"/>
    <x v="1"/>
    <x v="1"/>
    <n v="3"/>
  </r>
  <r>
    <x v="46"/>
    <x v="0"/>
    <x v="8"/>
    <x v="6"/>
    <x v="1"/>
    <x v="1"/>
    <x v="0"/>
    <x v="1"/>
    <x v="13"/>
    <n v="9311802.1341251992"/>
    <x v="1"/>
    <x v="21"/>
    <n v="9.3000000000000007"/>
    <x v="1"/>
    <x v="0"/>
    <x v="1"/>
    <x v="0"/>
    <x v="1"/>
    <x v="1"/>
    <n v="5.3000000000000007"/>
  </r>
  <r>
    <x v="47"/>
    <x v="0"/>
    <x v="9"/>
    <x v="6"/>
    <x v="1"/>
    <x v="1"/>
    <x v="0"/>
    <x v="1"/>
    <x v="13"/>
    <n v="11703042.480669973"/>
    <x v="1"/>
    <x v="22"/>
    <n v="11.7"/>
    <x v="1"/>
    <x v="0"/>
    <x v="1"/>
    <x v="0"/>
    <x v="1"/>
    <x v="1"/>
    <n v="7.6999999999999993"/>
  </r>
  <r>
    <x v="48"/>
    <x v="0"/>
    <x v="10"/>
    <x v="6"/>
    <x v="1"/>
    <x v="1"/>
    <x v="0"/>
    <x v="1"/>
    <x v="13"/>
    <n v="8569914.2435088232"/>
    <x v="1"/>
    <x v="22"/>
    <n v="8.6"/>
    <x v="1"/>
    <x v="0"/>
    <x v="1"/>
    <x v="0"/>
    <x v="1"/>
    <x v="1"/>
    <n v="4.5999999999999996"/>
  </r>
  <r>
    <x v="49"/>
    <x v="0"/>
    <x v="5"/>
    <x v="7"/>
    <x v="1"/>
    <x v="1"/>
    <x v="0"/>
    <x v="1"/>
    <x v="13"/>
    <n v="12585199.795656696"/>
    <x v="1"/>
    <x v="23"/>
    <n v="12.6"/>
    <x v="1"/>
    <x v="0"/>
    <x v="1"/>
    <x v="0"/>
    <x v="1"/>
    <x v="1"/>
    <n v="8.6"/>
  </r>
  <r>
    <x v="50"/>
    <x v="0"/>
    <x v="8"/>
    <x v="7"/>
    <x v="1"/>
    <x v="1"/>
    <x v="0"/>
    <x v="1"/>
    <x v="13"/>
    <n v="31171819.167148143"/>
    <x v="1"/>
    <x v="23"/>
    <n v="31.2"/>
    <x v="1"/>
    <x v="0"/>
    <x v="1"/>
    <x v="0"/>
    <x v="1"/>
    <x v="1"/>
    <n v="27.2"/>
  </r>
  <r>
    <x v="51"/>
    <x v="0"/>
    <x v="11"/>
    <x v="8"/>
    <x v="1"/>
    <x v="1"/>
    <x v="0"/>
    <x v="1"/>
    <x v="13"/>
    <n v="9846608.2640203536"/>
    <x v="1"/>
    <x v="24"/>
    <n v="9.8000000000000007"/>
    <x v="1"/>
    <x v="0"/>
    <x v="1"/>
    <x v="0"/>
    <x v="1"/>
    <x v="1"/>
    <n v="5.8000000000000007"/>
  </r>
  <r>
    <x v="52"/>
    <x v="0"/>
    <x v="11"/>
    <x v="8"/>
    <x v="1"/>
    <x v="1"/>
    <x v="0"/>
    <x v="1"/>
    <x v="13"/>
    <n v="9348651.8308766559"/>
    <x v="1"/>
    <x v="25"/>
    <n v="9.3000000000000007"/>
    <x v="1"/>
    <x v="0"/>
    <x v="1"/>
    <x v="0"/>
    <x v="1"/>
    <x v="1"/>
    <n v="5.3000000000000007"/>
  </r>
  <r>
    <x v="53"/>
    <x v="0"/>
    <x v="5"/>
    <x v="8"/>
    <x v="1"/>
    <x v="1"/>
    <x v="0"/>
    <x v="1"/>
    <x v="13"/>
    <n v="10533855.283825856"/>
    <x v="1"/>
    <x v="26"/>
    <n v="10.5"/>
    <x v="1"/>
    <x v="0"/>
    <x v="1"/>
    <x v="0"/>
    <x v="1"/>
    <x v="1"/>
    <n v="6.5"/>
  </r>
  <r>
    <x v="54"/>
    <x v="0"/>
    <x v="5"/>
    <x v="8"/>
    <x v="1"/>
    <x v="1"/>
    <x v="0"/>
    <x v="1"/>
    <x v="13"/>
    <n v="9943965.6568328142"/>
    <x v="1"/>
    <x v="27"/>
    <n v="9.9"/>
    <x v="1"/>
    <x v="0"/>
    <x v="1"/>
    <x v="0"/>
    <x v="1"/>
    <x v="1"/>
    <n v="5.9"/>
  </r>
  <r>
    <x v="55"/>
    <x v="0"/>
    <x v="6"/>
    <x v="8"/>
    <x v="1"/>
    <x v="1"/>
    <x v="0"/>
    <x v="1"/>
    <x v="13"/>
    <n v="10820785.47060531"/>
    <x v="1"/>
    <x v="28"/>
    <n v="10.8"/>
    <x v="1"/>
    <x v="0"/>
    <x v="1"/>
    <x v="0"/>
    <x v="1"/>
    <x v="1"/>
    <n v="6.8000000000000007"/>
  </r>
  <r>
    <x v="56"/>
    <x v="0"/>
    <x v="7"/>
    <x v="8"/>
    <x v="1"/>
    <x v="1"/>
    <x v="0"/>
    <x v="1"/>
    <x v="13"/>
    <n v="8879168.9304398894"/>
    <x v="1"/>
    <x v="28"/>
    <n v="8.9"/>
    <x v="1"/>
    <x v="0"/>
    <x v="1"/>
    <x v="0"/>
    <x v="1"/>
    <x v="1"/>
    <n v="4.9000000000000004"/>
  </r>
  <r>
    <x v="57"/>
    <x v="0"/>
    <x v="6"/>
    <x v="8"/>
    <x v="1"/>
    <x v="1"/>
    <x v="0"/>
    <x v="1"/>
    <x v="13"/>
    <n v="10436263.04212903"/>
    <x v="1"/>
    <x v="29"/>
    <n v="10.4"/>
    <x v="1"/>
    <x v="0"/>
    <x v="1"/>
    <x v="0"/>
    <x v="1"/>
    <x v="1"/>
    <n v="6.4"/>
  </r>
  <r>
    <x v="58"/>
    <x v="0"/>
    <x v="7"/>
    <x v="8"/>
    <x v="1"/>
    <x v="1"/>
    <x v="0"/>
    <x v="1"/>
    <x v="13"/>
    <n v="8266245.7233145386"/>
    <x v="1"/>
    <x v="29"/>
    <n v="8.3000000000000007"/>
    <x v="1"/>
    <x v="0"/>
    <x v="1"/>
    <x v="0"/>
    <x v="1"/>
    <x v="1"/>
    <n v="4.3000000000000007"/>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E287EA1-962D-439F-877A-D75FE9F4DD74}" name="PivotTable2"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9" fieldListSortAscending="1">
  <location ref="A4:E88" firstHeaderRow="0" firstDataRow="1" firstDataCol="1" rowPageCount="1" colPageCount="1"/>
  <pivotFields count="20">
    <pivotField axis="axisRow" showAll="0" sortType="ascending">
      <items count="60">
        <item x="0"/>
        <item x="1"/>
        <item x="2"/>
        <item x="3"/>
        <item x="17"/>
        <item x="18"/>
        <item x="19"/>
        <item x="20"/>
        <item x="21"/>
        <item x="22"/>
        <item x="42"/>
        <item x="4"/>
        <item x="5"/>
        <item x="6"/>
        <item x="7"/>
        <item x="23"/>
        <item x="24"/>
        <item x="25"/>
        <item x="26"/>
        <item x="27"/>
        <item x="28"/>
        <item x="43"/>
        <item x="44"/>
        <item x="45"/>
        <item x="46"/>
        <item x="47"/>
        <item x="48"/>
        <item x="8"/>
        <item x="9"/>
        <item x="10"/>
        <item x="11"/>
        <item x="29"/>
        <item x="30"/>
        <item x="49"/>
        <item x="50"/>
        <item x="12"/>
        <item x="31"/>
        <item x="32"/>
        <item x="33"/>
        <item x="34"/>
        <item x="35"/>
        <item x="36"/>
        <item x="37"/>
        <item x="38"/>
        <item x="51"/>
        <item x="52"/>
        <item x="53"/>
        <item x="54"/>
        <item x="55"/>
        <item x="56"/>
        <item x="57"/>
        <item x="58"/>
        <item x="13"/>
        <item x="14"/>
        <item x="15"/>
        <item x="16"/>
        <item x="39"/>
        <item x="40"/>
        <item x="41"/>
        <item t="default"/>
      </items>
    </pivotField>
    <pivotField axis="axisPage" multipleItemSelectionAllowed="1" showAll="0">
      <items count="3">
        <item h="1" m="1" x="1"/>
        <item x="0"/>
        <item t="default"/>
      </items>
    </pivotField>
    <pivotField axis="axisRow" showAll="0" sortType="ascending">
      <items count="13">
        <item x="0"/>
        <item x="4"/>
        <item x="1"/>
        <item x="2"/>
        <item x="3"/>
        <item x="11"/>
        <item x="5"/>
        <item x="6"/>
        <item x="7"/>
        <item x="8"/>
        <item x="9"/>
        <item x="10"/>
        <item t="default"/>
      </items>
    </pivotField>
    <pivotField showAll="0"/>
    <pivotField axis="axisRow" showAll="0" sortType="ascending">
      <items count="3">
        <item x="0"/>
        <item x="1"/>
        <item t="default"/>
      </items>
    </pivotField>
    <pivotField showAll="0"/>
    <pivotField showAll="0"/>
    <pivotField showAll="0"/>
    <pivotField showAll="0"/>
    <pivotField showAll="0"/>
    <pivotField axis="axisRow" showAll="0" sortType="descending">
      <items count="3">
        <item x="0"/>
        <item x="1"/>
        <item t="default"/>
      </items>
    </pivotField>
    <pivotField showAll="0"/>
    <pivotField dataField="1" showAll="0"/>
    <pivotField showAll="0"/>
    <pivotField showAll="0"/>
    <pivotField showAll="0"/>
    <pivotField showAll="0"/>
    <pivotField dataField="1" showAll="0"/>
    <pivotField dataField="1" showAll="0"/>
    <pivotField dataField="1" showAll="0"/>
  </pivotFields>
  <rowFields count="4">
    <field x="10"/>
    <field x="4"/>
    <field x="2"/>
    <field x="0"/>
  </rowFields>
  <rowItems count="84">
    <i>
      <x/>
    </i>
    <i r="1">
      <x/>
    </i>
    <i r="2">
      <x/>
    </i>
    <i r="3">
      <x/>
    </i>
    <i r="3">
      <x v="11"/>
    </i>
    <i r="3">
      <x v="27"/>
    </i>
    <i r="2">
      <x v="1"/>
    </i>
    <i r="3">
      <x v="52"/>
    </i>
    <i r="2">
      <x v="2"/>
    </i>
    <i r="3">
      <x v="1"/>
    </i>
    <i r="3">
      <x v="12"/>
    </i>
    <i r="3">
      <x v="28"/>
    </i>
    <i r="3">
      <x v="53"/>
    </i>
    <i r="2">
      <x v="3"/>
    </i>
    <i r="3">
      <x v="2"/>
    </i>
    <i r="3">
      <x v="13"/>
    </i>
    <i r="3">
      <x v="29"/>
    </i>
    <i r="3">
      <x v="54"/>
    </i>
    <i r="2">
      <x v="4"/>
    </i>
    <i r="3">
      <x v="3"/>
    </i>
    <i r="3">
      <x v="14"/>
    </i>
    <i r="3">
      <x v="30"/>
    </i>
    <i r="3">
      <x v="35"/>
    </i>
    <i r="3">
      <x v="55"/>
    </i>
    <i>
      <x v="1"/>
    </i>
    <i r="1">
      <x/>
    </i>
    <i r="2">
      <x v="5"/>
    </i>
    <i r="3">
      <x v="36"/>
    </i>
    <i r="3">
      <x v="37"/>
    </i>
    <i r="3">
      <x v="56"/>
    </i>
    <i r="2">
      <x v="6"/>
    </i>
    <i r="3">
      <x v="4"/>
    </i>
    <i r="3">
      <x v="15"/>
    </i>
    <i r="3">
      <x v="38"/>
    </i>
    <i r="3">
      <x v="39"/>
    </i>
    <i r="2">
      <x v="7"/>
    </i>
    <i r="3">
      <x v="5"/>
    </i>
    <i r="3">
      <x v="16"/>
    </i>
    <i r="3">
      <x v="31"/>
    </i>
    <i r="3">
      <x v="40"/>
    </i>
    <i r="3">
      <x v="42"/>
    </i>
    <i r="3">
      <x v="57"/>
    </i>
    <i r="2">
      <x v="8"/>
    </i>
    <i r="3">
      <x v="6"/>
    </i>
    <i r="3">
      <x v="17"/>
    </i>
    <i r="3">
      <x v="32"/>
    </i>
    <i r="3">
      <x v="41"/>
    </i>
    <i r="3">
      <x v="43"/>
    </i>
    <i r="3">
      <x v="58"/>
    </i>
    <i r="2">
      <x v="9"/>
    </i>
    <i r="3">
      <x v="7"/>
    </i>
    <i r="3">
      <x v="18"/>
    </i>
    <i r="2">
      <x v="10"/>
    </i>
    <i r="3">
      <x v="8"/>
    </i>
    <i r="3">
      <x v="19"/>
    </i>
    <i r="2">
      <x v="11"/>
    </i>
    <i r="3">
      <x v="9"/>
    </i>
    <i r="3">
      <x v="20"/>
    </i>
    <i r="1">
      <x v="1"/>
    </i>
    <i r="2">
      <x v="5"/>
    </i>
    <i r="3">
      <x v="44"/>
    </i>
    <i r="3">
      <x v="45"/>
    </i>
    <i r="2">
      <x v="6"/>
    </i>
    <i r="3">
      <x v="21"/>
    </i>
    <i r="3">
      <x v="33"/>
    </i>
    <i r="3">
      <x v="46"/>
    </i>
    <i r="3">
      <x v="47"/>
    </i>
    <i r="2">
      <x v="7"/>
    </i>
    <i r="3">
      <x v="22"/>
    </i>
    <i r="3">
      <x v="48"/>
    </i>
    <i r="3">
      <x v="50"/>
    </i>
    <i r="2">
      <x v="8"/>
    </i>
    <i r="3">
      <x v="23"/>
    </i>
    <i r="3">
      <x v="49"/>
    </i>
    <i r="3">
      <x v="51"/>
    </i>
    <i r="2">
      <x v="9"/>
    </i>
    <i r="3">
      <x v="10"/>
    </i>
    <i r="3">
      <x v="24"/>
    </i>
    <i r="3">
      <x v="34"/>
    </i>
    <i r="2">
      <x v="10"/>
    </i>
    <i r="3">
      <x v="25"/>
    </i>
    <i r="2">
      <x v="11"/>
    </i>
    <i r="3">
      <x v="26"/>
    </i>
    <i t="grand">
      <x/>
    </i>
  </rowItems>
  <colFields count="1">
    <field x="-2"/>
  </colFields>
  <colItems count="4">
    <i>
      <x/>
    </i>
    <i i="1">
      <x v="1"/>
    </i>
    <i i="2">
      <x v="2"/>
    </i>
    <i i="3">
      <x v="3"/>
    </i>
  </colItems>
  <pageFields count="1">
    <pageField fld="1" hier="-1"/>
  </pageFields>
  <dataFields count="4">
    <dataField name="_base" fld="19" subtotal="average" baseField="0" baseItem="0"/>
    <dataField name="_over" fld="17" subtotal="average" baseField="0" baseItem="0"/>
    <dataField name="_under" fld="18" subtotal="average" baseField="0" baseItem="0"/>
    <dataField name="_£m_per_mhz" fld="12" subtotal="average" baseField="3" baseItem="0"/>
  </dataFields>
  <chartFormats count="18">
    <chartFormat chart="1" format="94" series="1">
      <pivotArea type="data" outline="0" fieldPosition="0">
        <references count="1">
          <reference field="4294967294" count="1" selected="0">
            <x v="0"/>
          </reference>
        </references>
      </pivotArea>
    </chartFormat>
    <chartFormat chart="1" format="95" series="1">
      <pivotArea type="data" outline="0" fieldPosition="0">
        <references count="1">
          <reference field="4294967294" count="1" selected="0">
            <x v="1"/>
          </reference>
        </references>
      </pivotArea>
    </chartFormat>
    <chartFormat chart="1" format="98" series="1">
      <pivotArea type="data" outline="0" fieldPosition="0">
        <references count="1">
          <reference field="4294967294" count="1" selected="0">
            <x v="2"/>
          </reference>
        </references>
      </pivotArea>
    </chartFormat>
    <chartFormat chart="11" format="100" series="1">
      <pivotArea type="data" outline="0" fieldPosition="0">
        <references count="1">
          <reference field="4294967294" count="1" selected="0">
            <x v="0"/>
          </reference>
        </references>
      </pivotArea>
    </chartFormat>
    <chartFormat chart="11" format="101" series="1">
      <pivotArea type="data" outline="0" fieldPosition="0">
        <references count="1">
          <reference field="4294967294" count="1" selected="0">
            <x v="1"/>
          </reference>
        </references>
      </pivotArea>
    </chartFormat>
    <chartFormat chart="11" format="102" series="1">
      <pivotArea type="data" outline="0" fieldPosition="0">
        <references count="1">
          <reference field="4294967294" count="1" selected="0">
            <x v="2"/>
          </reference>
        </references>
      </pivotArea>
    </chartFormat>
    <chartFormat chart="12" format="104" series="1">
      <pivotArea type="data" outline="0" fieldPosition="0">
        <references count="1">
          <reference field="4294967294" count="1" selected="0">
            <x v="0"/>
          </reference>
        </references>
      </pivotArea>
    </chartFormat>
    <chartFormat chart="12" format="105" series="1">
      <pivotArea type="data" outline="0" fieldPosition="0">
        <references count="1">
          <reference field="4294967294" count="1" selected="0">
            <x v="1"/>
          </reference>
        </references>
      </pivotArea>
    </chartFormat>
    <chartFormat chart="12" format="106" series="1">
      <pivotArea type="data" outline="0" fieldPosition="0">
        <references count="1">
          <reference field="4294967294" count="1" selected="0">
            <x v="2"/>
          </reference>
        </references>
      </pivotArea>
    </chartFormat>
    <chartFormat chart="1" format="100" series="1">
      <pivotArea type="data" outline="0" fieldPosition="0">
        <references count="1">
          <reference field="4294967294" count="1" selected="0">
            <x v="3"/>
          </reference>
        </references>
      </pivotArea>
    </chartFormat>
    <chartFormat chart="13" format="102" series="1">
      <pivotArea type="data" outline="0" fieldPosition="0">
        <references count="1">
          <reference field="4294967294" count="1" selected="0">
            <x v="0"/>
          </reference>
        </references>
      </pivotArea>
    </chartFormat>
    <chartFormat chart="13" format="103" series="1">
      <pivotArea type="data" outline="0" fieldPosition="0">
        <references count="1">
          <reference field="4294967294" count="1" selected="0">
            <x v="1"/>
          </reference>
        </references>
      </pivotArea>
    </chartFormat>
    <chartFormat chart="13" format="104" series="1">
      <pivotArea type="data" outline="0" fieldPosition="0">
        <references count="1">
          <reference field="4294967294" count="1" selected="0">
            <x v="2"/>
          </reference>
        </references>
      </pivotArea>
    </chartFormat>
    <chartFormat chart="13" format="105" series="1">
      <pivotArea type="data" outline="0" fieldPosition="0">
        <references count="1">
          <reference field="4294967294" count="1" selected="0">
            <x v="3"/>
          </reference>
        </references>
      </pivotArea>
    </chartFormat>
    <chartFormat chart="14" format="106" series="1">
      <pivotArea type="data" outline="0" fieldPosition="0">
        <references count="1">
          <reference field="4294967294" count="1" selected="0">
            <x v="0"/>
          </reference>
        </references>
      </pivotArea>
    </chartFormat>
    <chartFormat chart="14" format="107" series="1">
      <pivotArea type="data" outline="0" fieldPosition="0">
        <references count="1">
          <reference field="4294967294" count="1" selected="0">
            <x v="1"/>
          </reference>
        </references>
      </pivotArea>
    </chartFormat>
    <chartFormat chart="14" format="108" series="1">
      <pivotArea type="data" outline="0" fieldPosition="0">
        <references count="1">
          <reference field="4294967294" count="1" selected="0">
            <x v="2"/>
          </reference>
        </references>
      </pivotArea>
    </chartFormat>
    <chartFormat chart="14" format="109" series="1">
      <pivotArea type="data" outline="0" fieldPosition="0">
        <references count="1">
          <reference field="4294967294"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2" xr16:uid="{744A4EE1-D66F-48EC-928D-D728400E9D1B}" autoFormatId="16" applyNumberFormats="0" applyBorderFormats="0" applyFontFormats="0" applyPatternFormats="0" applyAlignmentFormats="0" applyWidthHeightFormats="0">
  <queryTableRefresh nextId="14">
    <queryTableFields count="13">
      <queryTableField id="1" name="award_id" tableColumnId="1"/>
      <queryTableField id="2" name="country" tableColumnId="2"/>
      <queryTableField id="3" name="band" tableColumnId="3"/>
      <queryTableField id="4" name="award_date" tableColumnId="4"/>
      <queryTableField id="5" name="licensee" tableColumnId="5"/>
      <queryTableField id="6" name="amount_mhz" tableColumnId="6"/>
      <queryTableField id="7" name="duration_years" tableColumnId="7"/>
      <queryTableField id="8" name="lcu" tableColumnId="8"/>
      <queryTableField id="9" name="headline_price" tableColumnId="9"/>
      <queryTableField id="10" name="alf" tableColumnId="10"/>
      <queryTableField id="11" name="reserve_price" tableColumnId="11"/>
      <queryTableField id="12" name="start_date" tableColumnId="12"/>
      <queryTableField id="13" name="end_date" tableColumnId="13"/>
    </queryTableFields>
  </queryTableRefresh>
</queryTable>
</file>

<file path=xl/queryTables/queryTable10.xml><?xml version="1.0" encoding="utf-8"?>
<queryTable xmlns="http://schemas.openxmlformats.org/spreadsheetml/2006/main" xmlns:mc="http://schemas.openxmlformats.org/markup-compatibility/2006" xmlns:xr16="http://schemas.microsoft.com/office/spreadsheetml/2017/revision16" mc:Ignorable="xr16" name="ExternalData_1" connectionId="5" xr16:uid="{6C3281B3-E65F-4E35-AF6C-D4689248D342}" autoFormatId="16" applyNumberFormats="0" applyBorderFormats="0" applyFontFormats="0" applyPatternFormats="0" applyAlignmentFormats="0" applyWidthHeightFormats="0">
  <queryTableRefresh nextId="7" unboundColumnsRight="3">
    <queryTableFields count="6">
      <queryTableField id="1" name="comp_id" tableColumnId="1"/>
      <queryTableField id="2" name="proxy_id" tableColumnId="2"/>
      <queryTableField id="3" name="base_id" tableColumnId="3"/>
      <queryTableField id="4" dataBound="0" tableColumnId="4"/>
      <queryTableField id="5" dataBound="0" tableColumnId="5"/>
      <queryTableField id="6" dataBound="0" tableColumnId="6"/>
    </queryTableFields>
  </queryTableRefresh>
</queryTable>
</file>

<file path=xl/queryTables/queryTable11.xml><?xml version="1.0" encoding="utf-8"?>
<queryTable xmlns="http://schemas.openxmlformats.org/spreadsheetml/2006/main" xmlns:mc="http://schemas.openxmlformats.org/markup-compatibility/2006" xmlns:xr16="http://schemas.microsoft.com/office/spreadsheetml/2017/revision16" mc:Ignorable="xr16" name="ExternalData_1" connectionId="1" xr16:uid="{4B1C49CC-1AD8-4A09-938E-4563402762CA}" autoFormatId="16" applyNumberFormats="0" applyBorderFormats="0" applyFontFormats="0" applyPatternFormats="0" applyAlignmentFormats="0" applyWidthHeightFormats="0">
  <queryTableRefresh nextId="3">
    <queryTableFields count="2">
      <queryTableField id="1" name="comp_id" tableColumnId="1"/>
      <queryTableField id="2" name="lsv_per_mhz" tableColumnId="2"/>
    </queryTableFields>
  </queryTableRefresh>
</queryTable>
</file>

<file path=xl/queryTables/queryTable12.xml><?xml version="1.0" encoding="utf-8"?>
<queryTable xmlns="http://schemas.openxmlformats.org/spreadsheetml/2006/main" xmlns:mc="http://schemas.openxmlformats.org/markup-compatibility/2006" xmlns:xr16="http://schemas.microsoft.com/office/spreadsheetml/2017/revision16" mc:Ignorable="xr16" name="ExternalData_1" connectionId="3" xr16:uid="{8CC00BE3-9B5A-417C-A0A1-69596024CFF5}" autoFormatId="16" applyNumberFormats="0" applyBorderFormats="0" applyFontFormats="0" applyPatternFormats="0" applyAlignmentFormats="0" applyWidthHeightFormats="0">
  <queryTableRefresh nextId="23" unboundColumnsRight="5">
    <queryTableFields count="16">
      <queryTableField id="1" name="benchmark_id" tableColumnId="1"/>
      <queryTableField id="21" name="target_band" tableColumnId="16"/>
      <queryTableField id="19" name="comp_band" tableColumnId="14"/>
      <queryTableField id="16" name="country" tableColumnId="15"/>
      <queryTableField id="2" name="int_comp1" tableColumnId="2"/>
      <queryTableField id="3" name="int_comp2" tableColumnId="3"/>
      <queryTableField id="5" name="uk_comp1" tableColumnId="5"/>
      <queryTableField id="4" name="tier" tableColumnId="4"/>
      <queryTableField id="12" name="bias_risk" tableColumnId="11"/>
      <queryTableField id="13" name="bias_scale" tableColumnId="12"/>
      <queryTableField id="14" name="bias_direction" tableColumnId="13"/>
      <queryTableField id="6" dataBound="0" tableColumnId="6"/>
      <queryTableField id="7" dataBound="0" tableColumnId="7"/>
      <queryTableField id="8" dataBound="0" tableColumnId="8"/>
      <queryTableField id="9" dataBound="0" tableColumnId="9"/>
      <queryTableField id="10" dataBound="0" tableColumnId="10"/>
    </queryTableFields>
  </queryTableRefresh>
</queryTable>
</file>

<file path=xl/queryTables/queryTable13.xml><?xml version="1.0" encoding="utf-8"?>
<queryTable xmlns="http://schemas.openxmlformats.org/spreadsheetml/2006/main" xmlns:mc="http://schemas.openxmlformats.org/markup-compatibility/2006" xmlns:xr16="http://schemas.microsoft.com/office/spreadsheetml/2017/revision16" mc:Ignorable="xr16" name="ExternalData_1" connectionId="2" xr16:uid="{BC6B0D97-65FC-470B-8207-B9807EC7F84B}" autoFormatId="16" applyNumberFormats="0" applyBorderFormats="0" applyFontFormats="0" applyPatternFormats="0" applyAlignmentFormats="0" applyWidthHeightFormats="0">
  <queryTableRefresh nextId="30" unboundColumnsRight="9">
    <queryTableFields count="22">
      <queryTableField id="1" name="benchmark_id" tableColumnId="1"/>
      <queryTableField id="28" name="target_band" tableColumnId="22"/>
      <queryTableField id="26" name="comp_band" tableColumnId="20"/>
      <queryTableField id="23" name="country" tableColumnId="21"/>
      <queryTableField id="2" name="int_comp1" tableColumnId="2"/>
      <queryTableField id="3" name="int_comp2" tableColumnId="3"/>
      <queryTableField id="4" name="int_comp3" tableColumnId="4"/>
      <queryTableField id="6" name="uk_comp1" tableColumnId="6"/>
      <queryTableField id="7" name="uk_comp3" tableColumnId="7"/>
      <queryTableField id="5" name="tier" tableColumnId="5"/>
      <queryTableField id="19" name="bias_risk" tableColumnId="17"/>
      <queryTableField id="20" name="bias_scale" tableColumnId="18"/>
      <queryTableField id="21" name="bias_direction" tableColumnId="19"/>
      <queryTableField id="8" dataBound="0" tableColumnId="8"/>
      <queryTableField id="9" dataBound="0" tableColumnId="9"/>
      <queryTableField id="10" dataBound="0" tableColumnId="10"/>
      <queryTableField id="11" dataBound="0" tableColumnId="11"/>
      <queryTableField id="12" dataBound="0" tableColumnId="12"/>
      <queryTableField id="13" dataBound="0" tableColumnId="13"/>
      <queryTableField id="14" dataBound="0" tableColumnId="14"/>
      <queryTableField id="15" dataBound="0" tableColumnId="15"/>
      <queryTableField id="16" dataBound="0" tableColumnId="16"/>
    </queryTableFields>
  </queryTableRefresh>
</queryTable>
</file>

<file path=xl/queryTables/queryTable14.xml><?xml version="1.0" encoding="utf-8"?>
<queryTable xmlns="http://schemas.openxmlformats.org/spreadsheetml/2006/main" xmlns:mc="http://schemas.openxmlformats.org/markup-compatibility/2006" xmlns:xr16="http://schemas.microsoft.com/office/spreadsheetml/2017/revision16" mc:Ignorable="xr16" name="ExternalData_1" connectionId="18" xr16:uid="{E580357B-0AAD-40D3-BBE8-6C349E658E69}" autoFormatId="16" applyNumberFormats="0" applyBorderFormats="0" applyFontFormats="0" applyPatternFormats="0" applyAlignmentFormats="0" applyWidthHeightFormats="0">
  <queryTableRefresh nextId="14">
    <queryTableFields count="5">
      <queryTableField id="10" name="Lower Band" tableColumnId="10"/>
      <queryTableField id="11" name="Upper Band" tableColumnId="11"/>
      <queryTableField id="7" name="Lower Band £m per MHz" tableColumnId="7"/>
      <queryTableField id="8" name="Upper Band £m per MHz" tableColumnId="8"/>
      <queryTableField id="9" name="Ratio Upper to Lower" tableColumnId="9"/>
    </queryTableFields>
  </queryTableRefresh>
</queryTable>
</file>

<file path=xl/queryTables/queryTable15.xml><?xml version="1.0" encoding="utf-8"?>
<queryTable xmlns="http://schemas.openxmlformats.org/spreadsheetml/2006/main" xmlns:mc="http://schemas.openxmlformats.org/markup-compatibility/2006" xmlns:xr16="http://schemas.microsoft.com/office/spreadsheetml/2017/revision16" mc:Ignorable="xr16" name="ExternalData_1" connectionId="17" xr16:uid="{66C16EA3-CAB0-48B5-88C3-E975567088ED}" autoFormatId="16" applyNumberFormats="0" applyBorderFormats="0" applyFontFormats="0" applyPatternFormats="0" applyAlignmentFormats="0" applyWidthHeightFormats="0">
  <queryTableRefresh nextId="31">
    <queryTableFields count="10">
      <queryTableField id="21" name="benchmark_id" tableColumnId="1"/>
      <queryTableField id="29" name="target_band" tableColumnId="10"/>
      <queryTableField id="27" name="comp_band" tableColumnId="3"/>
      <queryTableField id="16" name="country" tableColumnId="9"/>
      <queryTableField id="2" name="Tier" tableColumnId="2"/>
      <queryTableField id="5" name="bias_risk" tableColumnId="5"/>
      <queryTableField id="6" name="bias_scale" tableColumnId="6"/>
      <queryTableField id="7" name="bias_direction" tableColumnId="7"/>
      <queryTableField id="23" name="ratio_2_1" tableColumnId="4"/>
      <queryTableField id="24" name="lsv_per_mhz_uk2" tableColumnId="8"/>
    </queryTableFields>
  </queryTableRefresh>
</queryTable>
</file>

<file path=xl/queryTables/queryTable16.xml><?xml version="1.0" encoding="utf-8"?>
<queryTable xmlns="http://schemas.openxmlformats.org/spreadsheetml/2006/main" xmlns:mc="http://schemas.openxmlformats.org/markup-compatibility/2006" xmlns:xr16="http://schemas.microsoft.com/office/spreadsheetml/2017/revision16" mc:Ignorable="xr16" name="ExternalData_1" connectionId="16" xr16:uid="{E8EBDFED-1BC8-4D2E-BFDE-F97DBDE38510}" autoFormatId="16" applyNumberFormats="0" applyBorderFormats="0" applyFontFormats="0" applyPatternFormats="0" applyAlignmentFormats="0" applyWidthHeightFormats="0">
  <queryTableRefresh nextId="27">
    <queryTableFields count="10">
      <queryTableField id="17" name="benchmark_id" tableColumnId="1"/>
      <queryTableField id="25" name="target_band" tableColumnId="10"/>
      <queryTableField id="23" name="comp_band" tableColumnId="3"/>
      <queryTableField id="12" name="country" tableColumnId="9"/>
      <queryTableField id="2" name="Tier" tableColumnId="2"/>
      <queryTableField id="5" name="bias_risk" tableColumnId="5"/>
      <queryTableField id="6" name="bias_scale" tableColumnId="6"/>
      <queryTableField id="7" name="bias_direction" tableColumnId="7"/>
      <queryTableField id="19" name="ratio_y_x" tableColumnId="4"/>
      <queryTableField id="20" name="lsv_per_mhz_uk2" tableColumnId="8"/>
    </queryTableFields>
  </queryTableRefresh>
</queryTable>
</file>

<file path=xl/queryTables/queryTable17.xml><?xml version="1.0" encoding="utf-8"?>
<queryTable xmlns="http://schemas.openxmlformats.org/spreadsheetml/2006/main" xmlns:mc="http://schemas.openxmlformats.org/markup-compatibility/2006" xmlns:xr16="http://schemas.microsoft.com/office/spreadsheetml/2017/revision16" mc:Ignorable="xr16" name="ExternalData_1" connectionId="10" xr16:uid="{A868D7A0-B1FB-4F3F-9550-F399B2894BC1}" autoFormatId="16" applyNumberFormats="0" applyBorderFormats="0" applyFontFormats="0" applyPatternFormats="0" applyAlignmentFormats="0" applyWidthHeightFormats="0">
  <queryTableRefresh nextId="22">
    <queryTableFields count="20">
      <queryTableField id="1" name="benchmark_id" tableColumnId="1"/>
      <queryTableField id="20" name="target_band" tableColumnId="20"/>
      <queryTableField id="2" name="comp_band" tableColumnId="2"/>
      <queryTableField id="3" name="country" tableColumnId="3"/>
      <queryTableField id="4" name="tier" tableColumnId="4"/>
      <queryTableField id="5" name="bias_risk" tableColumnId="5"/>
      <queryTableField id="6" name="bias_scale" tableColumnId="6"/>
      <queryTableField id="7" name="bias_direction" tableColumnId="7"/>
      <queryTableField id="8" name="ratio_2_1" tableColumnId="8"/>
      <queryTableField id="9" name="lsv_per_mhz_uk2" tableColumnId="9"/>
      <queryTableField id="10" name="method" tableColumnId="10"/>
      <queryTableField id="11" name="ratio_y_x" tableColumnId="11"/>
      <queryTableField id="12" name="lsv_£m_per_mhz" tableColumnId="12"/>
      <queryTableField id="13" name="bias_risk_val" tableColumnId="13"/>
      <queryTableField id="14" name="bias_scale_val" tableColumnId="14"/>
      <queryTableField id="15" name="bias_over" tableColumnId="15"/>
      <queryTableField id="16" name="bias_under" tableColumnId="16"/>
      <queryTableField id="17" name="bias_over_val" tableColumnId="17"/>
      <queryTableField id="18" name="bias_under_val" tableColumnId="18"/>
      <queryTableField id="19" name="base" tableColumnId="19"/>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alData_1" connectionId="15" xr16:uid="{6D3BAA81-3804-4E27-B078-35D5CD5FCED6}" autoFormatId="16" applyNumberFormats="0" applyBorderFormats="0" applyFontFormats="0" applyPatternFormats="0" applyAlignmentFormats="0" applyWidthHeightFormats="0">
  <queryTableRefresh nextId="14">
    <queryTableFields count="13">
      <queryTableField id="1" name="country" tableColumnId="1"/>
      <queryTableField id="2" name="2010" tableColumnId="2"/>
      <queryTableField id="3" name="2011" tableColumnId="3"/>
      <queryTableField id="4" name="2012" tableColumnId="4"/>
      <queryTableField id="5" name="2013" tableColumnId="5"/>
      <queryTableField id="6" name="2014" tableColumnId="6"/>
      <queryTableField id="7" name="2015" tableColumnId="7"/>
      <queryTableField id="8" name="2016" tableColumnId="8"/>
      <queryTableField id="9" name="2017" tableColumnId="9"/>
      <queryTableField id="10" name="2018" tableColumnId="10"/>
      <queryTableField id="11" name="2019" tableColumnId="11"/>
      <queryTableField id="12" name="2020" tableColumnId="12"/>
      <queryTableField id="13" name="2021" tableColumnId="13"/>
    </queryTableFields>
  </queryTableRefresh>
</queryTable>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ExternalData_1" connectionId="14" xr16:uid="{A742F805-FF9D-4B31-9CD4-9E2DD0AD6BBC}" autoFormatId="16" applyNumberFormats="0" applyBorderFormats="0" applyFontFormats="0" applyPatternFormats="0" applyAlignmentFormats="0" applyWidthHeightFormats="0">
  <queryTableRefresh nextId="14">
    <queryTableFields count="13">
      <queryTableField id="1" name="country" tableColumnId="1"/>
      <queryTableField id="2" name="2010" tableColumnId="2"/>
      <queryTableField id="3" name="2011" tableColumnId="3"/>
      <queryTableField id="4" name="2012" tableColumnId="4"/>
      <queryTableField id="5" name="2013" tableColumnId="5"/>
      <queryTableField id="6" name="2014" tableColumnId="6"/>
      <queryTableField id="7" name="2015" tableColumnId="7"/>
      <queryTableField id="8" name="2016" tableColumnId="8"/>
      <queryTableField id="9" name="2017" tableColumnId="9"/>
      <queryTableField id="10" name="2018" tableColumnId="10"/>
      <queryTableField id="11" name="2019" tableColumnId="11"/>
      <queryTableField id="12" name="2020" tableColumnId="12"/>
      <queryTableField id="13" name="2021" tableColumnId="13"/>
    </queryTableFields>
  </queryTableRefresh>
</queryTable>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ExternalData_1" connectionId="13" xr16:uid="{F85BB4A9-4F4F-483D-955D-EDE1D2663C98}" autoFormatId="16" applyNumberFormats="0" applyBorderFormats="0" applyFontFormats="0" applyPatternFormats="0" applyAlignmentFormats="0" applyWidthHeightFormats="0">
  <queryTableRefresh nextId="3">
    <queryTableFields count="2">
      <queryTableField id="1" name="month" tableColumnId="1"/>
      <queryTableField id="2" name="index" tableColumnId="2"/>
    </queryTableFields>
  </queryTableRefresh>
</queryTable>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ExternalData_1" connectionId="7" xr16:uid="{3C0335A7-D9C4-4389-863E-A0E32E231724}" autoFormatId="16" applyNumberFormats="0" applyBorderFormats="0" applyFontFormats="0" applyPatternFormats="0" applyAlignmentFormats="0" applyWidthHeightFormats="0">
  <queryTableRefresh nextId="35" unboundColumnsRight="12">
    <queryTableFields count="28">
      <queryTableField id="1" name="award_id" tableColumnId="1"/>
      <queryTableField id="2" name="country" tableColumnId="2"/>
      <queryTableField id="3" name="award_date" tableColumnId="3"/>
      <queryTableField id="4" name="licensee" tableColumnId="4"/>
      <queryTableField id="5" name="amount_mhz" tableColumnId="5"/>
      <queryTableField id="6" name="duration_years" tableColumnId="6"/>
      <queryTableField id="7" name="lcu" tableColumnId="7"/>
      <queryTableField id="8" name="headline_price" tableColumnId="8"/>
      <queryTableField id="9" name="alf" tableColumnId="9"/>
      <queryTableField id="10" name="start_date" tableColumnId="10"/>
      <queryTableField id="11" name="award_year" tableColumnId="11"/>
      <queryTableField id="12" name="cod_pretax_nom" tableColumnId="12"/>
      <queryTableField id="31" name="source_cod_pretax_nom" tableColumnId="15"/>
      <queryTableField id="13" name="wacc_posttax_real" tableColumnId="13"/>
      <queryTableField id="32" name="source_wacc_posttax_real" tableColumnId="16"/>
      <queryTableField id="30" name="delay_days" tableColumnId="28"/>
      <queryTableField id="14" dataBound="0" tableColumnId="14"/>
      <queryTableField id="17" dataBound="0" tableColumnId="17"/>
      <queryTableField id="18" dataBound="0" tableColumnId="18"/>
      <queryTableField id="19" dataBound="0" tableColumnId="19"/>
      <queryTableField id="20" dataBound="0" tableColumnId="20"/>
      <queryTableField id="21" dataBound="0" tableColumnId="21"/>
      <queryTableField id="22" dataBound="0" tableColumnId="22"/>
      <queryTableField id="23" dataBound="0" tableColumnId="23"/>
      <queryTableField id="24" dataBound="0" tableColumnId="24"/>
      <queryTableField id="25" dataBound="0" tableColumnId="25"/>
      <queryTableField id="26" dataBound="0" tableColumnId="26"/>
      <queryTableField id="27" dataBound="0" tableColumnId="27"/>
    </queryTableFields>
  </queryTableRefresh>
</queryTable>
</file>

<file path=xl/queryTables/queryTable6.xml><?xml version="1.0" encoding="utf-8"?>
<queryTable xmlns="http://schemas.openxmlformats.org/spreadsheetml/2006/main" xmlns:mc="http://schemas.openxmlformats.org/markup-compatibility/2006" xmlns:xr16="http://schemas.microsoft.com/office/spreadsheetml/2017/revision16" mc:Ignorable="xr16" name="ExternalData_1" connectionId="9" xr16:uid="{FFCFDE1F-EE0C-4E23-9415-3B1CB97A9666}" autoFormatId="16" applyNumberFormats="0" applyBorderFormats="0" applyFontFormats="0" applyPatternFormats="0" applyAlignmentFormats="0" applyWidthHeightFormats="0">
  <queryTableRefresh nextId="5" unboundColumnsRight="2">
    <queryTableFields count="3">
      <queryTableField id="1" name="award_id" tableColumnId="1"/>
      <queryTableField id="2" dataBound="0" tableColumnId="2"/>
      <queryTableField id="3" dataBound="0" tableColumnId="3"/>
    </queryTableFields>
  </queryTableRefresh>
</queryTable>
</file>

<file path=xl/queryTables/queryTable7.xml><?xml version="1.0" encoding="utf-8"?>
<queryTable xmlns="http://schemas.openxmlformats.org/spreadsheetml/2006/main" xmlns:mc="http://schemas.openxmlformats.org/markup-compatibility/2006" xmlns:xr16="http://schemas.microsoft.com/office/spreadsheetml/2017/revision16" mc:Ignorable="xr16" name="ExternalData_1" connectionId="6" xr16:uid="{36DB0AD1-5473-4A6B-94E0-5269B7BAF818}" autoFormatId="16" applyNumberFormats="0" applyBorderFormats="0" applyFontFormats="0" applyPatternFormats="0" applyAlignmentFormats="0" applyWidthHeightFormats="0">
  <queryTableRefresh nextId="13" unboundColumnsRight="4">
    <queryTableFields count="11">
      <queryTableField id="1" name="comp_id" tableColumnId="1"/>
      <queryTableField id="2" name="comp_date" tableColumnId="2"/>
      <queryTableField id="3" name="duration_years" tableColumnId="3"/>
      <queryTableField id="4" name="amount_mhz" tableColumnId="4"/>
      <queryTableField id="5" name="lsv_nom_gbp" tableColumnId="5"/>
      <queryTableField id="6" name="comp_year" tableColumnId="6"/>
      <queryTableField id="7" name="wacc_posttax_real" tableColumnId="7"/>
      <queryTableField id="8" dataBound="0" tableColumnId="8"/>
      <queryTableField id="9" dataBound="0" tableColumnId="9"/>
      <queryTableField id="10" dataBound="0" tableColumnId="10"/>
      <queryTableField id="11" dataBound="0" tableColumnId="11"/>
    </queryTableFields>
  </queryTableRefresh>
</queryTable>
</file>

<file path=xl/queryTables/queryTable8.xml><?xml version="1.0" encoding="utf-8"?>
<queryTable xmlns="http://schemas.openxmlformats.org/spreadsheetml/2006/main" xmlns:mc="http://schemas.openxmlformats.org/markup-compatibility/2006" xmlns:xr16="http://schemas.microsoft.com/office/spreadsheetml/2017/revision16" mc:Ignorable="xr16" name="ExternalData_1" connectionId="8" xr16:uid="{73C28A24-6A3A-4BAF-8D82-465F567A35D6}" autoFormatId="16" applyNumberFormats="0" applyBorderFormats="0" applyFontFormats="0" applyPatternFormats="0" applyAlignmentFormats="0" applyWidthHeightFormats="0">
  <queryTableRefresh nextId="6" unboundColumnsRight="1">
    <queryTableFields count="4">
      <queryTableField id="1" name="comp_id" tableColumnId="1"/>
      <queryTableField id="2" name="amount_mhz" tableColumnId="2"/>
      <queryTableField id="3" name="lsv_total" tableColumnId="3"/>
      <queryTableField id="5" dataBound="0" tableColumnId="5"/>
    </queryTableFields>
  </queryTableRefresh>
</queryTable>
</file>

<file path=xl/queryTables/queryTable9.xml><?xml version="1.0" encoding="utf-8"?>
<queryTable xmlns="http://schemas.openxmlformats.org/spreadsheetml/2006/main" xmlns:mc="http://schemas.openxmlformats.org/markup-compatibility/2006" xmlns:xr16="http://schemas.microsoft.com/office/spreadsheetml/2017/revision16" mc:Ignorable="xr16" name="ExternalData_1" connectionId="4" xr16:uid="{ED2819F1-9A12-4964-8901-59F5EEC86CA3}" autoFormatId="16" applyNumberFormats="0" applyBorderFormats="0" applyFontFormats="0" applyPatternFormats="0" applyAlignmentFormats="0" applyWidthHeightFormats="0">
  <queryTableRefresh nextId="8" unboundColumnsRight="3">
    <queryTableFields count="6">
      <queryTableField id="1" name="proxy_id" tableColumnId="1"/>
      <queryTableField id="2" name="comp1" tableColumnId="2"/>
      <queryTableField id="3" name="comp2" tableColumnId="3"/>
      <queryTableField id="4" dataBound="0" tableColumnId="4"/>
      <queryTableField id="5" dataBound="0" tableColumnId="5"/>
      <queryTableField id="7" dataBound="0" tableColumnId="7"/>
    </queryTableFields>
  </queryTableRefresh>
</queryTable>
</file>

<file path=xl/tables/_rels/table10.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1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1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15.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16.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_rels/table17.xml.rels><?xml version="1.0" encoding="UTF-8" standalone="yes"?>
<Relationships xmlns="http://schemas.openxmlformats.org/package/2006/relationships"><Relationship Id="rId1" Type="http://schemas.openxmlformats.org/officeDocument/2006/relationships/queryTable" Target="../queryTables/queryTable6.xml"/></Relationships>
</file>

<file path=xl/tables/_rels/table18.xml.rels><?xml version="1.0" encoding="UTF-8" standalone="yes"?>
<Relationships xmlns="http://schemas.openxmlformats.org/package/2006/relationships"><Relationship Id="rId1" Type="http://schemas.openxmlformats.org/officeDocument/2006/relationships/queryTable" Target="../queryTables/queryTable7.xml"/></Relationships>
</file>

<file path=xl/tables/_rels/table19.xml.rels><?xml version="1.0" encoding="UTF-8" standalone="yes"?>
<Relationships xmlns="http://schemas.openxmlformats.org/package/2006/relationships"><Relationship Id="rId1" Type="http://schemas.openxmlformats.org/officeDocument/2006/relationships/queryTable" Target="../queryTables/queryTable8.xml"/></Relationships>
</file>

<file path=xl/tables/_rels/table20.xml.rels><?xml version="1.0" encoding="UTF-8" standalone="yes"?>
<Relationships xmlns="http://schemas.openxmlformats.org/package/2006/relationships"><Relationship Id="rId1" Type="http://schemas.openxmlformats.org/officeDocument/2006/relationships/queryTable" Target="../queryTables/queryTable9.xml"/></Relationships>
</file>

<file path=xl/tables/_rels/table21.xml.rels><?xml version="1.0" encoding="UTF-8" standalone="yes"?>
<Relationships xmlns="http://schemas.openxmlformats.org/package/2006/relationships"><Relationship Id="rId1" Type="http://schemas.openxmlformats.org/officeDocument/2006/relationships/queryTable" Target="../queryTables/queryTable10.xml"/></Relationships>
</file>

<file path=xl/tables/_rels/table22.xml.rels><?xml version="1.0" encoding="UTF-8" standalone="yes"?>
<Relationships xmlns="http://schemas.openxmlformats.org/package/2006/relationships"><Relationship Id="rId1" Type="http://schemas.openxmlformats.org/officeDocument/2006/relationships/queryTable" Target="../queryTables/queryTable11.xml"/></Relationships>
</file>

<file path=xl/tables/_rels/table23.xml.rels><?xml version="1.0" encoding="UTF-8" standalone="yes"?>
<Relationships xmlns="http://schemas.openxmlformats.org/package/2006/relationships"><Relationship Id="rId1" Type="http://schemas.openxmlformats.org/officeDocument/2006/relationships/queryTable" Target="../queryTables/queryTable12.xml"/></Relationships>
</file>

<file path=xl/tables/_rels/table24.xml.rels><?xml version="1.0" encoding="UTF-8" standalone="yes"?>
<Relationships xmlns="http://schemas.openxmlformats.org/package/2006/relationships"><Relationship Id="rId1" Type="http://schemas.openxmlformats.org/officeDocument/2006/relationships/queryTable" Target="../queryTables/queryTable13.xml"/></Relationships>
</file>

<file path=xl/tables/_rels/table25.xml.rels><?xml version="1.0" encoding="UTF-8" standalone="yes"?>
<Relationships xmlns="http://schemas.openxmlformats.org/package/2006/relationships"><Relationship Id="rId1" Type="http://schemas.openxmlformats.org/officeDocument/2006/relationships/queryTable" Target="../queryTables/queryTable14.xml"/></Relationships>
</file>

<file path=xl/tables/_rels/table26.xml.rels><?xml version="1.0" encoding="UTF-8" standalone="yes"?>
<Relationships xmlns="http://schemas.openxmlformats.org/package/2006/relationships"><Relationship Id="rId1" Type="http://schemas.openxmlformats.org/officeDocument/2006/relationships/queryTable" Target="../queryTables/queryTable15.xml"/></Relationships>
</file>

<file path=xl/tables/_rels/table27.xml.rels><?xml version="1.0" encoding="UTF-8" standalone="yes"?>
<Relationships xmlns="http://schemas.openxmlformats.org/package/2006/relationships"><Relationship Id="rId1" Type="http://schemas.openxmlformats.org/officeDocument/2006/relationships/queryTable" Target="../queryTables/queryTable16.xml"/></Relationships>
</file>

<file path=xl/tables/_rels/table28.xml.rels><?xml version="1.0" encoding="UTF-8" standalone="yes"?>
<Relationships xmlns="http://schemas.openxmlformats.org/package/2006/relationships"><Relationship Id="rId1" Type="http://schemas.openxmlformats.org/officeDocument/2006/relationships/queryTable" Target="../queryTables/queryTable17.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7542A8F-6120-43FB-A11E-60F37924403A}" name="I_Paired" displayName="I_Paired" ref="D21:N38" totalsRowShown="0">
  <autoFilter ref="D21:N38" xr:uid="{CC263AB6-973A-4A5F-9FD1-D1821096DF14}"/>
  <tableColumns count="11">
    <tableColumn id="5" xr3:uid="{38309431-5358-43FE-9DF7-09B4B603ED71}" name="benchmark_id"/>
    <tableColumn id="11" xr3:uid="{A32EF262-49CE-4EBB-BC12-00AAAF06A264}" name="target_band"/>
    <tableColumn id="9" xr3:uid="{1C8651D4-3136-4837-80E7-520BEB6D4CB2}" name="comp_band"/>
    <tableColumn id="10" xr3:uid="{FF09493A-FC00-44FE-B711-F647CB0559BD}" name="country"/>
    <tableColumn id="1" xr3:uid="{1C050237-27C2-419B-8C31-B90F3B413F9B}" name="int_comp1"/>
    <tableColumn id="2" xr3:uid="{08436E5F-16E5-45B8-8387-31F5BE755155}" name="int_comp2"/>
    <tableColumn id="3" xr3:uid="{53A8CAC0-6E77-4FB4-B179-2900BA7BB30B}" name="uk_comp1"/>
    <tableColumn id="4" xr3:uid="{1F3BCD42-1B11-4A8B-9D3F-4A5BD8DB6A5E}" name="tier"/>
    <tableColumn id="6" xr3:uid="{DC619C27-9E60-46FA-BFE2-217711A0252A}" name="bias_risk"/>
    <tableColumn id="7" xr3:uid="{D05FE7BB-220F-4014-B9FF-C4629BD0AF55}" name="bias_scale"/>
    <tableColumn id="8" xr3:uid="{F8681CA8-7AEF-4437-AED4-A688A6F515FF}" name="bias_direction"/>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032CCD4-5D4B-4167-9FB3-87B20ECF0CA4}" name="I_Award" displayName="I_Award" ref="A4:M133" tableType="queryTable" totalsRowShown="0">
  <autoFilter ref="A4:M133" xr:uid="{2AEB2F7D-7D61-4AB9-A7E6-F217893748AE}"/>
  <tableColumns count="13">
    <tableColumn id="1" xr3:uid="{63412808-44E2-4DA5-BEB8-D749CC253BE7}" uniqueName="1" name="award_id" queryTableFieldId="1" dataDxfId="95"/>
    <tableColumn id="2" xr3:uid="{D2C71A2F-D370-4837-B932-1D7F2A1CC785}" uniqueName="2" name="country" queryTableFieldId="2" dataDxfId="94"/>
    <tableColumn id="3" xr3:uid="{942C78CE-CF91-46FA-88FC-73329637670D}" uniqueName="3" name="band" queryTableFieldId="3" dataDxfId="93"/>
    <tableColumn id="4" xr3:uid="{4AD42D06-61BF-46DB-BEA4-AB831BFEB5E2}" uniqueName="4" name="award_date" queryTableFieldId="4" dataDxfId="92"/>
    <tableColumn id="5" xr3:uid="{966EC1BF-3EEC-4D76-8136-FD561C75155F}" uniqueName="5" name="licensee" queryTableFieldId="5" dataDxfId="91"/>
    <tableColumn id="6" xr3:uid="{0EB61CF8-977A-4F03-9AAE-06B400645B0E}" uniqueName="6" name="amount_mhz" queryTableFieldId="6" dataDxfId="90"/>
    <tableColumn id="7" xr3:uid="{3BC5C165-A610-4A71-B9A2-732063889313}" uniqueName="7" name="duration_years" queryTableFieldId="7" dataDxfId="89"/>
    <tableColumn id="8" xr3:uid="{FBA94039-9926-447A-9E13-A1A51BC18242}" uniqueName="8" name="lcu" queryTableFieldId="8" dataDxfId="88"/>
    <tableColumn id="9" xr3:uid="{5F1B8405-171A-43F9-A6A3-C6C1207FC1A9}" uniqueName="9" name="headline_price" queryTableFieldId="9" dataDxfId="87"/>
    <tableColumn id="10" xr3:uid="{5128FD2B-5A90-4981-8B15-BC14CEC8C119}" uniqueName="10" name="alf" queryTableFieldId="10" dataDxfId="86"/>
    <tableColumn id="11" xr3:uid="{B9F203D7-CBC0-47C3-90A4-FF6E7F87A766}" uniqueName="11" name="reserve_price" queryTableFieldId="11" dataDxfId="85"/>
    <tableColumn id="12" xr3:uid="{8E3E603C-A9E9-4E60-92CA-57A3FA9E14B2}" uniqueName="12" name="start_date" queryTableFieldId="12" dataDxfId="84"/>
    <tableColumn id="13" xr3:uid="{E6B50B0B-253D-4998-8ECC-BAC3D2D0FED4}" uniqueName="13" name="end_date" queryTableFieldId="13" dataDxfId="83"/>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3A1C3333-80B5-4A83-A6BB-44441F6FF3E4}" name="I_UKComp" displayName="I_UKComp" ref="A4:G13" totalsRowShown="0">
  <autoFilter ref="A4:G13" xr:uid="{606D56E4-4F09-4E33-B041-45A3EE41237D}"/>
  <tableColumns count="7">
    <tableColumn id="1" xr3:uid="{9031E814-913D-4062-BC95-EEFA543C3414}" name="comp_id"/>
    <tableColumn id="2" xr3:uid="{12266430-3224-4CA7-8AD7-61F1CB1F0EEE}" name="comp_date" dataDxfId="82"/>
    <tableColumn id="3" xr3:uid="{FD79361B-7543-4D8B-A17A-4AD9CB2758C9}" name="duration_years"/>
    <tableColumn id="4" xr3:uid="{6E279C5D-F6E3-42CF-9A63-E1E4A5094A55}" name="amount_mhz"/>
    <tableColumn id="5" xr3:uid="{1DC25563-601F-4A4D-9DBF-8D5EE055F8C3}" name="lsv_nom_gbp" dataDxfId="81"/>
    <tableColumn id="6" xr3:uid="{7AAB8BC2-2B7C-420F-BA69-3E6E0E00D4B8}" name="source"/>
    <tableColumn id="7" xr3:uid="{18014E80-009B-43AD-A96D-9709143F2A03}" name="comment"/>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63BA93C-29AC-4F27-9BE5-86873681D914}" name="I_PPP" displayName="I_PPP" ref="A4:M204" tableType="queryTable" totalsRowShown="0">
  <autoFilter ref="A4:M204" xr:uid="{75987AB2-9CF0-47EC-8A4C-393CB51CBA20}"/>
  <tableColumns count="13">
    <tableColumn id="1" xr3:uid="{FAC7CD41-FE4D-4653-8ADD-C2388BB14F1F}" uniqueName="1" name="country" queryTableFieldId="1" dataDxfId="80"/>
    <tableColumn id="2" xr3:uid="{59507BCC-BAE2-4238-B0F1-508AEF8457E1}" uniqueName="2" name="2010" queryTableFieldId="2"/>
    <tableColumn id="3" xr3:uid="{14F7AABB-AF78-4813-A584-83803D07DC15}" uniqueName="3" name="2011" queryTableFieldId="3"/>
    <tableColumn id="4" xr3:uid="{B0388C9F-C33E-477F-B787-2B6286E1121C}" uniqueName="4" name="2012" queryTableFieldId="4"/>
    <tableColumn id="5" xr3:uid="{74151E9F-B9DD-41A3-BF44-8EB764226090}" uniqueName="5" name="2013" queryTableFieldId="5"/>
    <tableColumn id="6" xr3:uid="{BC2A7114-4479-48BE-9370-07BBFE035D8A}" uniqueName="6" name="2014" queryTableFieldId="6"/>
    <tableColumn id="7" xr3:uid="{2714ADD7-6AEF-4D15-AA2D-9CF01297CE4D}" uniqueName="7" name="2015" queryTableFieldId="7"/>
    <tableColumn id="8" xr3:uid="{FDDDE254-461D-42D1-99C5-AF75A037A407}" uniqueName="8" name="2016" queryTableFieldId="8"/>
    <tableColumn id="9" xr3:uid="{3663EFF7-F612-4135-BEF9-71D21E51C1D9}" uniqueName="9" name="2017" queryTableFieldId="9"/>
    <tableColumn id="10" xr3:uid="{F5D0C512-EEFD-4E3A-BF2B-C4022FFB9B96}" uniqueName="10" name="2018" queryTableFieldId="10"/>
    <tableColumn id="11" xr3:uid="{CE9C0049-75BC-489E-A031-A4B13F176561}" uniqueName="11" name="2019" queryTableFieldId="11"/>
    <tableColumn id="12" xr3:uid="{769E4D99-36E2-47AD-9424-8DE5E1F147E1}" uniqueName="12" name="2020" queryTableFieldId="12"/>
    <tableColumn id="13" xr3:uid="{9F8ABCD6-E3B0-4196-B3F3-297D2F3FAE07}" uniqueName="13" name="2021" queryTableFieldId="13" dataDxfId="79"/>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7F438BF-87F3-48DA-953E-4928BEBF6107}" name="I_Population" displayName="I_Population" ref="A4:M267" tableType="queryTable" totalsRowShown="0">
  <autoFilter ref="A4:M267" xr:uid="{2A9DCA8B-B5EC-49E7-A961-578220B94228}"/>
  <tableColumns count="13">
    <tableColumn id="1" xr3:uid="{026F646C-C444-4411-9065-93F95D620FB4}" uniqueName="1" name="country" queryTableFieldId="1" dataDxfId="78"/>
    <tableColumn id="2" xr3:uid="{AB3D1478-D113-4657-9307-D95D9FB7E3A3}" uniqueName="2" name="2010" queryTableFieldId="2"/>
    <tableColumn id="3" xr3:uid="{6957FFC6-C802-415E-9F5A-2A8CCC7AD95E}" uniqueName="3" name="2011" queryTableFieldId="3"/>
    <tableColumn id="4" xr3:uid="{9A71596E-2448-4E76-9AF4-B0E70CDE70D7}" uniqueName="4" name="2012" queryTableFieldId="4"/>
    <tableColumn id="5" xr3:uid="{E67C9B8C-B571-455E-8C4A-7EDC10C1B476}" uniqueName="5" name="2013" queryTableFieldId="5"/>
    <tableColumn id="6" xr3:uid="{8AC3BF3B-8BC0-4358-9902-B6B051340AD0}" uniqueName="6" name="2014" queryTableFieldId="6"/>
    <tableColumn id="7" xr3:uid="{380510D8-4FFC-4EEF-AC29-2BF745519F6D}" uniqueName="7" name="2015" queryTableFieldId="7"/>
    <tableColumn id="8" xr3:uid="{47854BDD-7EA5-4DCB-84AB-89860DC59F7A}" uniqueName="8" name="2016" queryTableFieldId="8"/>
    <tableColumn id="9" xr3:uid="{50E3C2C6-9040-409F-9633-86BB2BFD9872}" uniqueName="9" name="2017" queryTableFieldId="9"/>
    <tableColumn id="10" xr3:uid="{897B4726-E95B-418B-966D-22DD6BD68A02}" uniqueName="10" name="2018" queryTableFieldId="10"/>
    <tableColumn id="11" xr3:uid="{17096D91-3136-4CB8-A783-0C4C5784905F}" uniqueName="11" name="2019" queryTableFieldId="11"/>
    <tableColumn id="12" xr3:uid="{A2D53408-D8A4-4C00-AF37-8DFB9A4BE402}" uniqueName="12" name="2020" queryTableFieldId="12"/>
    <tableColumn id="13" xr3:uid="{253B1892-3BC0-4908-BF39-D15434652634}" uniqueName="13" name="2021" queryTableFieldId="13"/>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3F126416-C8D2-4E2C-8EED-892427BA3569}" name="I_CoD_WACC" displayName="I_CoD_WACC" ref="A4:N57" totalsRowShown="0">
  <autoFilter ref="A4:N57" xr:uid="{D3539F8B-0FB7-498D-8D4A-9FBBDC07A735}"/>
  <tableColumns count="14">
    <tableColumn id="1" xr3:uid="{98EF2DB5-F79B-40A8-8146-8C11E093DDDF}" name="country"/>
    <tableColumn id="2" xr3:uid="{8205DDC2-6543-44A8-9342-9BACCDBC64D9}" name="year"/>
    <tableColumn id="3" xr3:uid="{77728CA3-A13D-419F-B822-929A33AA185B}" name="cod_pretax_real"/>
    <tableColumn id="4" xr3:uid="{C5981CD0-2982-4372-9477-6A46C55557ED}" name="inflation_rate"/>
    <tableColumn id="5" xr3:uid="{2BB99BFE-F566-4DE3-92F4-988E83B6F595}" name="cod_pretax_nom"/>
    <tableColumn id="6" xr3:uid="{B2DAEF7A-BFDF-4CB2-87F2-A1815B40E9D2}" name="tax_rate"/>
    <tableColumn id="7" xr3:uid="{4CCF0F35-2E48-43F1-9A69-BF6B871CB66F}" name="cod_posttax_nom"/>
    <tableColumn id="8" xr3:uid="{7EA49E9C-FF54-492E-BB2E-EE6470B65B07}" name="cod_posttax_real"/>
    <tableColumn id="9" xr3:uid="{B812456E-7949-41EB-9DDD-1239466FC5F6}" name="wacc_pretax_nom"/>
    <tableColumn id="10" xr3:uid="{AFFD2C4D-B55E-484D-9A5E-7642BF9A4441}" name="wacc_pretax_real"/>
    <tableColumn id="11" xr3:uid="{2B2C3E62-6DDC-4D7B-8EFD-C82841A6AA21}" name="wacc_posttax_real"/>
    <tableColumn id="12" xr3:uid="{AD1B50A9-30BD-4192-85C7-ECDC404B20BA}" name="note"/>
    <tableColumn id="13" xr3:uid="{E868385A-708E-4D06-96CA-96868F6A13F0}" name="source"/>
    <tableColumn id="14" xr3:uid="{F932DB1B-D9A7-4B09-BD97-82F79542E59F}" name="source2"/>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F8AEBEE-5469-43CA-889B-EC6B4A11947D}" name="I_CPI_UK" displayName="I_CPI_UK" ref="A4:B140" tableType="queryTable" totalsRowShown="0">
  <autoFilter ref="A4:B140" xr:uid="{CD6E3009-F3FB-4130-B8D9-86275A0D4589}"/>
  <tableColumns count="2">
    <tableColumn id="1" xr3:uid="{1CDEB719-F317-4D1C-AEA0-D44A6C7EA2FD}" uniqueName="1" name="month" queryTableFieldId="1" dataDxfId="77"/>
    <tableColumn id="2" xr3:uid="{389950C9-871A-4CBC-A1FB-9917F1CD1BDB}" uniqueName="2" name="index" queryTableFieldId="2"/>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A7D6E5F2-14FD-484A-A694-96F9140883A5}" name="C_UKEq_detail" displayName="C_UKEq_detail" ref="A4:AB133" tableType="queryTable" totalsRowShown="0">
  <autoFilter ref="A4:AB133" xr:uid="{02294C39-4AF6-4D71-968A-1F2214A3632A}"/>
  <tableColumns count="28">
    <tableColumn id="1" xr3:uid="{BCE533A6-FB0D-4391-B3C3-7F3B56A2EA43}" uniqueName="1" name="award_id" queryTableFieldId="1" dataDxfId="76"/>
    <tableColumn id="2" xr3:uid="{C58AE38C-D468-4BC9-ADB1-0FA76BFAA726}" uniqueName="2" name="country" queryTableFieldId="2" dataDxfId="75"/>
    <tableColumn id="3" xr3:uid="{C425CBC7-2740-4B12-946F-477B988B3B74}" uniqueName="3" name="award_date" queryTableFieldId="3" dataDxfId="74"/>
    <tableColumn id="4" xr3:uid="{6BFE1983-F957-44B8-B1B8-6B7C46D8F314}" uniqueName="4" name="licensee" queryTableFieldId="4" dataDxfId="73"/>
    <tableColumn id="5" xr3:uid="{86B41C4E-1764-463E-9D95-1B5D0BF90B1E}" uniqueName="5" name="amount_mhz" queryTableFieldId="5"/>
    <tableColumn id="6" xr3:uid="{44D7FFD2-CBCD-4410-B406-4F4CC50B0769}" uniqueName="6" name="duration_years" queryTableFieldId="6"/>
    <tableColumn id="7" xr3:uid="{B669CC97-5289-4411-9701-128C90125D42}" uniqueName="7" name="lcu" queryTableFieldId="7" dataDxfId="72"/>
    <tableColumn id="8" xr3:uid="{5E5DE332-8AFA-43CB-B585-911A0C5C53D9}" uniqueName="8" name="headline_price" queryTableFieldId="8"/>
    <tableColumn id="9" xr3:uid="{95BA89AD-9419-4C16-97C4-272961AAB217}" uniqueName="9" name="alf" queryTableFieldId="9"/>
    <tableColumn id="10" xr3:uid="{4F7BB9DB-8BD0-408A-88DC-F885CC17B80B}" uniqueName="10" name="start_date" queryTableFieldId="10" dataDxfId="71"/>
    <tableColumn id="11" xr3:uid="{832D1C9D-450C-4D50-BEAB-33BDB7AD9EB5}" uniqueName="11" name="award_year" queryTableFieldId="11"/>
    <tableColumn id="12" xr3:uid="{4632EC62-B4C0-402A-B18F-C159FFAA4D04}" uniqueName="12" name="cod_pretax_nom" queryTableFieldId="12"/>
    <tableColumn id="15" xr3:uid="{CE339096-F36C-450F-9849-113EE7E63C89}" uniqueName="15" name="source_cod_pretax_nom" queryTableFieldId="31"/>
    <tableColumn id="13" xr3:uid="{97817F74-8ED9-4AA7-BA0C-52AA7F22B551}" uniqueName="13" name="wacc_posttax_real" queryTableFieldId="13" dataDxfId="70"/>
    <tableColumn id="16" xr3:uid="{4015C29E-8FB8-411F-9053-6A05A3A43392}" uniqueName="16" name="source_wacc_posttax_real" queryTableFieldId="32"/>
    <tableColumn id="28" xr3:uid="{A2EADF0A-ABCC-4F46-8DE3-A659A4274C61}" uniqueName="28" name="delay_days" queryTableFieldId="30"/>
    <tableColumn id="14" xr3:uid="{F5BFD2FE-F021-4CAD-A263-26F7D5513121}" uniqueName="14" name="lf_pv_lcy" queryTableFieldId="14" dataDxfId="69">
      <calculatedColumnFormula>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calculatedColumnFormula>
    </tableColumn>
    <tableColumn id="17" xr3:uid="{57977964-C99F-4A0C-B916-ED6F0C86B23A}" uniqueName="17" name="lsv_lcy" queryTableFieldId="17" dataDxfId="68">
      <calculatedColumnFormula>C_UKEq_detail[[#This Row],[lf_pv_lcy]]*(1+C_UKEq_detail[[#This Row],[wacc_posttax_real]])^(YEARFRAC(C_UKEq_detail[[#This Row],[award_date]],C_UKEq_detail[[#This Row],[award_date]]+C_UKEq_detail[[#This Row],[delay_days]])*delay_adj*(C_UKEq_detail[[#This Row],[delay_days]]&gt;delay_threshold))</calculatedColumnFormula>
    </tableColumn>
    <tableColumn id="18" xr3:uid="{C63D6707-0259-43CC-9FBE-3255738E465C}" uniqueName="18" name="annuity_lcy" queryTableFieldId="18" dataDxfId="67">
      <calculatedColumnFormula>-PMT(C_UKEq_detail[[#This Row],[wacc_posttax_real]],C_UKEq_detail[[#This Row],[duration_years]],C_UKEq_detail[[#This Row],[lsv_lcy]])</calculatedColumnFormula>
    </tableColumn>
    <tableColumn id="19" xr3:uid="{11D026D2-EE6F-4036-8A14-761DED413219}" uniqueName="19" name="lsv_norm_lcy" queryTableFieldId="19" dataDxfId="66">
      <calculatedColumnFormula>-PV(C_UKEq_detail[[#This Row],[wacc_posttax_real]],notional_term,C_UKEq_detail[[#This Row],[annuity_lcy]])</calculatedColumnFormula>
    </tableColumn>
    <tableColumn id="20" xr3:uid="{17AC8658-D77A-4DED-89A0-F7F953C1A121}" uniqueName="20" name="ppp_lcy" queryTableFieldId="20" dataDxfId="65">
      <calculatedColumnFormula>INDEX(I_PPP[],MATCH(C_UKEq_detail[[#This Row],[country]],I_PPP[country],0), MATCH(TEXT(C_UKEq_detail[[#This Row],[award_year]], "#"),I_PPP[#Headers],0))</calculatedColumnFormula>
    </tableColumn>
    <tableColumn id="21" xr3:uid="{BBA67F6F-7BC9-4FC2-8AA1-CB6ED933F068}" uniqueName="21" name="ppp_gbp" queryTableFieldId="21" dataDxfId="64">
      <calculatedColumnFormula>INDEX(I_PPP[],MATCH("United Kingdom",I_PPP[country],0), MATCH(TEXT(C_UKEq_detail[[#This Row],[award_year]], "#"),I_PPP[#Headers],0))</calculatedColumnFormula>
    </tableColumn>
    <tableColumn id="22" xr3:uid="{BAC9F4AE-F96E-4FAE-B626-5CA4FD91AFC8}" uniqueName="22" name="lsv_norm_gbp" queryTableFieldId="22" dataDxfId="63">
      <calculatedColumnFormula>C_UKEq_detail[[#This Row],[lsv_norm_lcy]]*C_UKEq_detail[[#This Row],[ppp_gbp]]/C_UKEq_detail[[#This Row],[ppp_lcy]]</calculatedColumnFormula>
    </tableColumn>
    <tableColumn id="23" xr3:uid="{CC170430-ABCC-458E-9D83-63427D2BE585}" uniqueName="23" name="cpi_factor" queryTableFieldId="23" dataDxfId="62">
      <calculatedColumnFormula>eff_cpi_uk/SUMIFS(I_CPI_UK[index],I_CPI_UK[month],TEXT(C_UKEq_detail[[#This Row],[award_date]],"YYYY MMM"))</calculatedColumnFormula>
    </tableColumn>
    <tableColumn id="24" xr3:uid="{5D784BE4-C658-45BD-B932-1F0BAAD5A423}" uniqueName="24" name="lsv_real_gbp" queryTableFieldId="24" dataDxfId="61">
      <calculatedColumnFormula>C_UKEq_detail[[#This Row],[lsv_norm_gbp]]*C_UKEq_detail[[#This Row],[cpi_factor]]</calculatedColumnFormula>
    </tableColumn>
    <tableColumn id="25" xr3:uid="{9FD21300-945E-4B7C-9F9E-ADB6A86B8D6E}" uniqueName="25" name="population" queryTableFieldId="25" dataDxfId="60">
      <calculatedColumnFormula>INDEX(I_Population[], MATCH(C_UKEq_detail[[#This Row],[country]], I_Population[country], 0), MATCH(TEXT(C_UKEq_detail[[#This Row],[award_year]],"#"), I_Population[#Headers], 0))</calculatedColumnFormula>
    </tableColumn>
    <tableColumn id="26" xr3:uid="{049FDB8A-7AA5-43EC-8847-5A9AE45B6294}" uniqueName="26" name="pop_factor" queryTableFieldId="26" dataDxfId="59">
      <calculatedColumnFormula>eff_pop_uk/C_UKEq_detail[[#This Row],[population]]</calculatedColumnFormula>
    </tableColumn>
    <tableColumn id="27" xr3:uid="{0205D351-C1E0-4F95-8BAC-A0E97F0DACE6}" uniqueName="27" name="lsv_ukeq" queryTableFieldId="27" dataDxfId="58">
      <calculatedColumnFormula>C_UKEq_detail[[#This Row],[lsv_real_gbp]]*C_UKEq_detail[[#This Row],[pop_factor]]</calculatedColumnFormula>
    </tableColumn>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C6C69D69-DC73-4825-98A9-FCE050EF7E3F}" name="C_UKEqComp" displayName="C_UKEqComp" ref="A4:C46" tableType="queryTable" totalsRowShown="0">
  <autoFilter ref="A4:C46" xr:uid="{0D92EE62-1D0C-49FB-84DD-EC0B426DE8E1}"/>
  <tableColumns count="3">
    <tableColumn id="1" xr3:uid="{0E22D2C6-C54E-4A05-A767-78BAD153A6E6}" uniqueName="1" name="award_id" queryTableFieldId="1" dataDxfId="57"/>
    <tableColumn id="2" xr3:uid="{29E97E54-DF69-4223-89EF-035BCF97C9E6}" uniqueName="2" name="amount_mhz" queryTableFieldId="2" dataDxfId="56">
      <calculatedColumnFormula>SUMIFS(I_Award[amount_mhz], I_Award[award_id], C_UKEqComp[[#This Row],[award_id]])</calculatedColumnFormula>
    </tableColumn>
    <tableColumn id="3" xr3:uid="{96CB55A4-512E-4A67-9AF5-998560F305EE}" uniqueName="3" name="lsv_ukeq" queryTableFieldId="3" dataDxfId="55">
      <calculatedColumnFormula>SUMIFS(C_UKEq_detail[lsv_ukeq], C_UKEq_detail[award_id], C_UKEqComp[[#This Row],[award_id]])</calculatedColumnFormula>
    </tableColumn>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37F80C73-7ABC-4942-A657-C026275E60A7}" name="C_UKComp" displayName="C_UKComp" ref="A4:K13" tableType="queryTable" totalsRowShown="0">
  <autoFilter ref="A4:K13" xr:uid="{7633DA8D-5B27-4504-A0B0-9E0CE9A6A611}"/>
  <tableColumns count="11">
    <tableColumn id="1" xr3:uid="{2AF7223E-6047-4805-8E20-DFCCD6B02955}" uniqueName="1" name="comp_id" queryTableFieldId="1" dataDxfId="54"/>
    <tableColumn id="2" xr3:uid="{B3022AA1-8DC7-49BE-B32D-16F9A8744FCC}" uniqueName="2" name="comp_date" queryTableFieldId="2" dataDxfId="53"/>
    <tableColumn id="3" xr3:uid="{7225D51C-B319-4F80-82BE-FE56CC700BDC}" uniqueName="3" name="duration_years" queryTableFieldId="3"/>
    <tableColumn id="4" xr3:uid="{DB531126-A0FC-4BCC-B56B-EA9CC0D51528}" uniqueName="4" name="amount_mhz" queryTableFieldId="4"/>
    <tableColumn id="5" xr3:uid="{E7130464-A34A-416C-BB4F-C6E3394AED71}" uniqueName="5" name="lsv_nom_gbp" queryTableFieldId="5" dataDxfId="52"/>
    <tableColumn id="6" xr3:uid="{B5A77650-418A-4BDA-BA06-D5FEED4D8648}" uniqueName="6" name="comp_year" queryTableFieldId="6"/>
    <tableColumn id="7" xr3:uid="{FD236C1A-52C2-41A0-9C3F-13DF46581512}" uniqueName="7" name="wacc_posttax_real" queryTableFieldId="7" dataDxfId="51"/>
    <tableColumn id="8" xr3:uid="{4DDAF22B-5FAA-466F-8E22-F5F0F5880010}" uniqueName="8" name="annuity" queryTableFieldId="8" dataDxfId="50">
      <calculatedColumnFormula>-PMT(C_UKComp[[#This Row],[wacc_posttax_real]],C_UKComp[[#This Row],[duration_years]],C_UKComp[[#This Row],[lsv_nom_gbp]])</calculatedColumnFormula>
    </tableColumn>
    <tableColumn id="9" xr3:uid="{0B9542DB-E044-41A0-8187-AE1801753288}" uniqueName="9" name="lsv_norm" queryTableFieldId="9" dataDxfId="49">
      <calculatedColumnFormula>-PV(C_UKComp[[#This Row],[wacc_posttax_real]],notional_term,C_UKComp[[#This Row],[annuity]])</calculatedColumnFormula>
    </tableColumn>
    <tableColumn id="10" xr3:uid="{5BCF535E-FACF-43EC-B60E-C2ACF4EC9573}" uniqueName="10" name="cpi_factor" queryTableFieldId="10" dataDxfId="48">
      <calculatedColumnFormula>eff_cpi_uk/SUMIFS(I_CPI_UK[index], I_CPI_UK[month], TEXT(C_UKComp[[#This Row],[comp_date]], "YYYY MMM"))</calculatedColumnFormula>
    </tableColumn>
    <tableColumn id="11" xr3:uid="{A71FB553-B80B-4742-B723-505220A0D0FD}" uniqueName="11" name="lsv_total" queryTableFieldId="11" dataDxfId="47">
      <calculatedColumnFormula>C_UKComp[[#This Row],[lsv_norm]]*C_UKComp[[#This Row],[cpi_factor]]</calculatedColumnFormula>
    </tableColumn>
  </tableColumns>
  <tableStyleInfo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7BA00C0F-92D0-40F3-88CE-7E4CFCFC31A3}" name="C_UKEq_UKComp" displayName="C_UKEq_UKComp" ref="A4:D55" tableType="queryTable" totalsRowShown="0">
  <autoFilter ref="A4:D55" xr:uid="{AA6A9A3A-FFBF-4C3C-9717-17D5AD56C9DE}"/>
  <tableColumns count="4">
    <tableColumn id="1" xr3:uid="{9E36C86B-4E36-4FBB-A1AF-FD0FA6EA698A}" uniqueName="1" name="comp_id" queryTableFieldId="1"/>
    <tableColumn id="2" xr3:uid="{18CB7492-A06A-4960-9ADF-0B563117930E}" uniqueName="2" name="amount_mhz" queryTableFieldId="2"/>
    <tableColumn id="3" xr3:uid="{5133410A-C032-4D9C-9FA2-70A406E4A9AC}" uniqueName="3" name="lsv_total" queryTableFieldId="3" dataDxfId="46"/>
    <tableColumn id="5" xr3:uid="{2655F92A-F2D5-4881-898B-34A514A348C0}" uniqueName="5" name="lsv_per_mhz" queryTableFieldId="5" dataDxfId="45">
      <calculatedColumnFormula>C_UKEq_UKComp[[#This Row],[lsv_total]]/C_UKEq_UKComp[[#This Row],[amount_mhz]]</calculatedColumnFormula>
    </tableColumn>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30F6AE4-3D14-4A83-B42F-0AED76CADADA}" name="I_Distance" displayName="I_Distance" ref="D43:P85" totalsRowShown="0">
  <autoFilter ref="D43:P85" xr:uid="{3C63D113-2B16-484C-87B3-1A91B120E816}"/>
  <tableColumns count="13">
    <tableColumn id="7" xr3:uid="{662E4F9C-FCC0-4670-8CA5-FE99BAB8ACDF}" name="benchmark_id"/>
    <tableColumn id="13" xr3:uid="{FDECB1F4-B9A8-450E-820E-E9B6807C2200}" name="target_band"/>
    <tableColumn id="12" xr3:uid="{AEE6045A-8485-4A1E-8774-CC1E2BE2A1C6}" name="comp_band"/>
    <tableColumn id="11" xr3:uid="{9C0BAC13-AFDF-4F45-894F-53C4EA409134}" name="country"/>
    <tableColumn id="1" xr3:uid="{CE0E6CC0-A6C8-414F-92E2-CE3A35DA5CF3}" name="int_comp1"/>
    <tableColumn id="2" xr3:uid="{C0FEEE2A-7AFC-4BDE-A945-90540FF1ED1C}" name="int_comp2"/>
    <tableColumn id="3" xr3:uid="{D5CA8F3B-F281-4135-A5C2-EDC2FB3638EC}" name="int_comp3"/>
    <tableColumn id="4" xr3:uid="{EDD502AB-2E6D-49D0-AA5A-BEFD9663A87F}" name="uk_comp1"/>
    <tableColumn id="5" xr3:uid="{8FF0058F-8BDD-47F0-AB89-C58E1DBAA558}" name="uk_comp3"/>
    <tableColumn id="6" xr3:uid="{8531860A-39E1-4328-BEF6-906DAC6EBA8C}" name="tier"/>
    <tableColumn id="8" xr3:uid="{35A06702-372B-458C-ABB9-41E97BD37F52}" name="bias_risk"/>
    <tableColumn id="9" xr3:uid="{F403712E-40B6-4521-82CD-B311E7A95EEA}" name="bias_scale"/>
    <tableColumn id="10" xr3:uid="{A861DC2A-2083-4485-867A-203BD763C866}" name="bias_direction"/>
  </tableColumns>
  <tableStyleInfo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B26419CA-711C-418F-8393-FC63B8037AC6}" name="C_Proxy_sample" displayName="C_Proxy_sample" ref="A4:F25" tableType="queryTable" totalsRowShown="0">
  <autoFilter ref="A4:F25" xr:uid="{4B12F2FE-E604-4326-8AD6-0DD21FAADF61}"/>
  <tableColumns count="6">
    <tableColumn id="1" xr3:uid="{83C6BABA-70E4-4583-A466-A62C0E9BA9EF}" uniqueName="1" name="proxy_id" queryTableFieldId="1"/>
    <tableColumn id="2" xr3:uid="{37573956-92EB-4796-A9B0-948F0515AB9A}" uniqueName="2" name="comp1" queryTableFieldId="2"/>
    <tableColumn id="3" xr3:uid="{9E26B2C1-3BAB-4F18-8ADE-6FB45E279A98}" uniqueName="3" name="comp2" queryTableFieldId="3"/>
    <tableColumn id="4" xr3:uid="{169E0BB0-885E-4DA6-8360-53369358D4CB}" uniqueName="4" name="lsv_per_mhz_1" queryTableFieldId="4" dataDxfId="44">
      <calculatedColumnFormula>INDEX(C_UKEq_UKComp[lsv_per_mhz],MATCH(C_Proxy_sample[[#This Row],[comp1]], C_UKEq_UKComp[comp_id], 0))</calculatedColumnFormula>
    </tableColumn>
    <tableColumn id="5" xr3:uid="{642A0801-B692-45EA-A8DC-CC97322BE93E}" uniqueName="5" name="lsv_per_mhz_2" queryTableFieldId="5" dataDxfId="43">
      <calculatedColumnFormula>INDEX(C_UKEq_UKComp[lsv_per_mhz],MATCH(C_Proxy_sample[[#This Row],[comp2]], C_UKEq_UKComp[comp_id], 0))</calculatedColumnFormula>
    </tableColumn>
    <tableColumn id="7" xr3:uid="{E0EA5BD3-33AF-49E1-B9E4-B7E43E10B87B}" uniqueName="7" name="ratio_2_1" queryTableFieldId="7" dataDxfId="42">
      <calculatedColumnFormula>C_Proxy_sample[[#This Row],[lsv_per_mhz_2]]/C_Proxy_sample[[#This Row],[lsv_per_mhz_1]]</calculatedColumnFormula>
    </tableColumn>
  </tableColumns>
  <tableStyleInfo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5ABAD36D-6633-4C63-8E02-F7B43A698798}" name="C_ProxyComp" displayName="C_ProxyComp" ref="A4:F17" tableType="queryTable" totalsRowShown="0">
  <autoFilter ref="A4:F17" xr:uid="{E31ACE73-333C-462C-83D1-6EE227BE3CEF}"/>
  <tableColumns count="6">
    <tableColumn id="1" xr3:uid="{76046F0B-C3AE-4B0E-9CFD-5AC48CFBB7F2}" uniqueName="1" name="comp_id" queryTableFieldId="1" dataDxfId="41"/>
    <tableColumn id="2" xr3:uid="{9667CD83-2B0E-46B6-A7B9-EC95126A9D0B}" uniqueName="2" name="proxy_id" queryTableFieldId="2" dataDxfId="40"/>
    <tableColumn id="3" xr3:uid="{93AC6CB3-5219-4843-B04C-C8806887225D}" uniqueName="3" name="base_id" queryTableFieldId="3" dataDxfId="39"/>
    <tableColumn id="4" xr3:uid="{BF874F6F-9BA3-47C7-86D7-58C770AEFC2E}" uniqueName="4" name="base_lsv_per_mhz" queryTableFieldId="4" dataDxfId="38">
      <calculatedColumnFormula>INDEX(C_UKEq_UKComp[lsv_per_mhz], MATCH(C_ProxyComp[[#This Row],[base_id]], C_UKEq_UKComp[comp_id], 0))</calculatedColumnFormula>
    </tableColumn>
    <tableColumn id="5" xr3:uid="{5A52E204-1AC2-40B0-83A9-CAA7CD7C0D12}" uniqueName="5" name="proxy_ratio" queryTableFieldId="5" dataDxfId="37">
      <calculatedColumnFormula>AVERAGEIFS(C_Proxy_sample[ratio_2_1], C_Proxy_sample[proxy_id], C_ProxyComp[[#This Row],[proxy_id]])</calculatedColumnFormula>
    </tableColumn>
    <tableColumn id="6" xr3:uid="{B1BBF6FF-E1EA-4DD7-87B3-14B1A63F8A2A}" uniqueName="6" name="lsv_per_mhz" queryTableFieldId="6" dataDxfId="36">
      <calculatedColumnFormula>C_ProxyComp[[#This Row],[base_lsv_per_mhz]]*C_ProxyComp[[#This Row],[proxy_ratio]]</calculatedColumnFormula>
    </tableColumn>
  </tableColumns>
  <tableStyleInfo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B106EAC1-A5DC-414E-A5ED-12E088FAEE1F}" name="C_AllComp" displayName="C_AllComp" ref="A4:B68" tableType="queryTable" totalsRowShown="0">
  <autoFilter ref="A4:B68" xr:uid="{83BBFC4B-5142-4BB2-A65F-39D6D5651C0D}"/>
  <tableColumns count="2">
    <tableColumn id="1" xr3:uid="{EABC9CE8-7056-4564-BC78-226E70E4F00F}" uniqueName="1" name="comp_id" queryTableFieldId="1"/>
    <tableColumn id="2" xr3:uid="{11DF2BEC-38C5-4D97-A635-5F7070FE099A}" uniqueName="2" name="lsv_per_mhz" queryTableFieldId="2" dataDxfId="35"/>
  </tableColumns>
  <tableStyleInfo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9911A18D-F555-4250-8577-7F5F02049ED1}" name="C_Paired" displayName="C_Paired" ref="A4:P21" tableType="queryTable" totalsRowShown="0">
  <autoFilter ref="A4:P21" xr:uid="{BF755627-133C-4BD9-824D-6CB09075ED0A}"/>
  <tableColumns count="16">
    <tableColumn id="1" xr3:uid="{F52A90FF-B596-4FEB-9CAA-270C77D6F90A}" uniqueName="1" name="benchmark_id" queryTableFieldId="1" dataDxfId="34"/>
    <tableColumn id="16" xr3:uid="{3B782230-3EBF-44AE-9FE7-BFD08FA45461}" uniqueName="16" name="target_band" queryTableFieldId="21"/>
    <tableColumn id="14" xr3:uid="{7509CE1D-CB03-47D2-9C41-720BDF28BCCA}" uniqueName="14" name="comp_band" queryTableFieldId="19"/>
    <tableColumn id="15" xr3:uid="{28D5C8FB-38AC-4FD5-B387-69566B0C07D4}" uniqueName="15" name="country" queryTableFieldId="16"/>
    <tableColumn id="2" xr3:uid="{E634041D-9ACC-42A2-B8D5-914CD46A018C}" uniqueName="2" name="int_comp1" queryTableFieldId="2" dataDxfId="33"/>
    <tableColumn id="3" xr3:uid="{114904E3-98E2-4152-9D4E-B68A9FDF8B53}" uniqueName="3" name="int_comp2" queryTableFieldId="3" dataDxfId="32"/>
    <tableColumn id="5" xr3:uid="{4995F336-7787-405A-9A5E-D454223C4DE3}" uniqueName="5" name="uk_comp1" queryTableFieldId="5" dataDxfId="31"/>
    <tableColumn id="4" xr3:uid="{F67FC929-5232-42DD-A971-9379E3B268E0}" uniqueName="4" name="tier" queryTableFieldId="4" dataDxfId="30"/>
    <tableColumn id="11" xr3:uid="{15C2B334-1AB0-4E45-830D-58F2808CCBF8}" uniqueName="11" name="bias_risk" queryTableFieldId="12"/>
    <tableColumn id="12" xr3:uid="{A12691FD-C50F-4170-9308-03848B1AA580}" uniqueName="12" name="bias_scale" queryTableFieldId="13"/>
    <tableColumn id="13" xr3:uid="{30BCBD24-8AC4-4038-8246-4086EF0D133B}" uniqueName="13" name="bias_direction" queryTableFieldId="14"/>
    <tableColumn id="6" xr3:uid="{18DAA1FA-42BB-48EB-8D87-2C5673CC40D9}" uniqueName="6" name="lsv_per_mhz_1" queryTableFieldId="6" dataDxfId="29">
      <calculatedColumnFormula>INDEX(C_AllComp[lsv_per_mhz], MATCH(C_Paired[[#This Row],[int_comp1]], C_AllComp[comp_id], 0))</calculatedColumnFormula>
    </tableColumn>
    <tableColumn id="7" xr3:uid="{38626D2E-CBA4-46F6-A7B7-FD7AA004434D}" uniqueName="7" name="lsv_per_mhz_2" queryTableFieldId="7" dataDxfId="28">
      <calculatedColumnFormula>INDEX(C_AllComp[lsv_per_mhz], MATCH(C_Paired[[#This Row],[int_comp2]], C_AllComp[comp_id], 0))</calculatedColumnFormula>
    </tableColumn>
    <tableColumn id="8" xr3:uid="{820113F9-852D-4CEA-B5E3-3FA615939797}" uniqueName="8" name="lsv_per_mhz_uk1" queryTableFieldId="8" dataDxfId="27">
      <calculatedColumnFormula>INDEX(C_AllComp[lsv_per_mhz], MATCH(C_Paired[[#This Row],[uk_comp1]], C_AllComp[comp_id], 0))</calculatedColumnFormula>
    </tableColumn>
    <tableColumn id="9" xr3:uid="{E41F5B7F-CADC-4FA0-A241-BAC4942562A3}" uniqueName="9" name="ratio_2_1" queryTableFieldId="9" dataDxfId="26">
      <calculatedColumnFormula>C_Paired[[#This Row],[lsv_per_mhz_2]]/C_Paired[[#This Row],[lsv_per_mhz_1]]</calculatedColumnFormula>
    </tableColumn>
    <tableColumn id="10" xr3:uid="{4B7125D6-9DC8-4746-850D-4937787EF01E}" uniqueName="10" name="lsv_per_mhz_uk2" queryTableFieldId="10" dataDxfId="25">
      <calculatedColumnFormula>C_Paired[[#This Row],[lsv_per_mhz_uk1]]*C_Paired[[#This Row],[ratio_2_1]]</calculatedColumnFormula>
    </tableColumn>
  </tableColumns>
  <tableStyleInfo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633C1E94-F47E-4655-873C-133CFF7E3BB2}" name="C_Distance" displayName="C_Distance" ref="A4:V46" tableType="queryTable" totalsRowShown="0">
  <autoFilter ref="A4:V46" xr:uid="{1A968C7E-71AA-4608-ADB8-FB685E4F3B12}"/>
  <tableColumns count="22">
    <tableColumn id="1" xr3:uid="{F86D54E2-F8AC-4DDF-BA7C-88E3DE01FD76}" uniqueName="1" name="benchmark_id" queryTableFieldId="1" dataDxfId="24"/>
    <tableColumn id="22" xr3:uid="{3BA1F5D6-A2B6-429C-B37E-A34BC9C600C9}" uniqueName="22" name="target_band" queryTableFieldId="28"/>
    <tableColumn id="20" xr3:uid="{2FD3317B-8A30-4C42-BD3F-30028ECC5F8A}" uniqueName="20" name="comp_band" queryTableFieldId="26"/>
    <tableColumn id="21" xr3:uid="{28FB8F6A-756C-4E58-A0B5-91D3A6406E76}" uniqueName="21" name="country" queryTableFieldId="23"/>
    <tableColumn id="2" xr3:uid="{2774F26D-DB8B-49E3-BB12-67A81042106B}" uniqueName="2" name="int_comp1" queryTableFieldId="2" dataDxfId="23"/>
    <tableColumn id="3" xr3:uid="{196B2FE8-E3E4-49DE-B01D-D794B9EFDF58}" uniqueName="3" name="int_comp2" queryTableFieldId="3" dataDxfId="22"/>
    <tableColumn id="4" xr3:uid="{2DBFD462-4FE2-4C99-A3B7-C8EF703C928E}" uniqueName="4" name="int_comp3" queryTableFieldId="4" dataDxfId="21"/>
    <tableColumn id="6" xr3:uid="{63AC362B-72A0-4810-BB53-CED38B639587}" uniqueName="6" name="uk_comp1" queryTableFieldId="6" dataDxfId="20"/>
    <tableColumn id="7" xr3:uid="{E796D9D8-EC40-4CF3-9EA3-36A37FE09866}" uniqueName="7" name="uk_comp3" queryTableFieldId="7" dataDxfId="19"/>
    <tableColumn id="5" xr3:uid="{62AF8277-3355-4671-AF63-6F6E962EBFDB}" uniqueName="5" name="tier" queryTableFieldId="5" dataDxfId="18"/>
    <tableColumn id="17" xr3:uid="{A37AAC7F-D5C6-4B1A-A4AB-6CADD92DE0EE}" uniqueName="17" name="bias_risk" queryTableFieldId="19"/>
    <tableColumn id="18" xr3:uid="{BCBA3EAD-93F4-4B58-85DF-9A21EB3BF08B}" uniqueName="18" name="bias_scale" queryTableFieldId="20"/>
    <tableColumn id="19" xr3:uid="{0218C9F7-AF5E-4D68-B9DC-5F8C868F2560}" uniqueName="19" name="bias_direction" queryTableFieldId="21"/>
    <tableColumn id="8" xr3:uid="{FCC6FCBC-53D8-42D8-A6B5-6E2EC53E7999}" uniqueName="8" name="lsv_per_mhz_1" queryTableFieldId="8" dataDxfId="17">
      <calculatedColumnFormula>INDEX(C_AllComp[lsv_per_mhz], MATCH(C_Distance[[#This Row],[int_comp1]], C_AllComp[comp_id], 0))</calculatedColumnFormula>
    </tableColumn>
    <tableColumn id="9" xr3:uid="{AEF3943F-0980-482B-9207-BA6883667875}" uniqueName="9" name="lsv_per_mhz_2" queryTableFieldId="9" dataDxfId="16">
      <calculatedColumnFormula>INDEX(C_AllComp[lsv_per_mhz], MATCH(C_Distance[[#This Row],[int_comp2]], C_AllComp[comp_id], 0))</calculatedColumnFormula>
    </tableColumn>
    <tableColumn id="10" xr3:uid="{B46283F0-52C9-4FDA-B152-9238B95D733A}" uniqueName="10" name="lsv_per_mhz_3" queryTableFieldId="10" dataDxfId="15">
      <calculatedColumnFormula>INDEX(C_AllComp[lsv_per_mhz], MATCH(C_Distance[[#This Row],[int_comp3]], C_AllComp[comp_id], 0))</calculatedColumnFormula>
    </tableColumn>
    <tableColumn id="11" xr3:uid="{1D07AF2E-23E2-4E6E-88A1-B9E85FD7EEEB}" uniqueName="11" name="dist_x_1_3" queryTableFieldId="11" dataDxfId="14">
      <calculatedColumnFormula>C_Distance[[#This Row],[lsv_per_mhz_1]]-C_Distance[[#This Row],[lsv_per_mhz_3]]</calculatedColumnFormula>
    </tableColumn>
    <tableColumn id="12" xr3:uid="{69E4517F-798A-4148-9AE1-994A8E5FDA14}" uniqueName="12" name="dist_y_2_3" queryTableFieldId="12" dataDxfId="13">
      <calculatedColumnFormula>C_Distance[[#This Row],[lsv_per_mhz_2]]-C_Distance[[#This Row],[lsv_per_mhz_3]]</calculatedColumnFormula>
    </tableColumn>
    <tableColumn id="13" xr3:uid="{E4A727CB-DD98-4AC5-8E7F-72E48B763CAA}" uniqueName="13" name="ratio_y_x" queryTableFieldId="13" dataDxfId="12">
      <calculatedColumnFormula>C_Distance[[#This Row],[dist_y_2_3]]/C_Distance[[#This Row],[dist_x_1_3]]</calculatedColumnFormula>
    </tableColumn>
    <tableColumn id="14" xr3:uid="{F55AA605-57E4-452D-83E5-3F2841478EB5}" uniqueName="14" name="lsv_per_mhz_uk1" queryTableFieldId="14" dataDxfId="11">
      <calculatedColumnFormula>INDEX(C_AllComp[lsv_per_mhz], MATCH(C_Distance[[#This Row],[uk_comp1]], C_AllComp[comp_id], 0))</calculatedColumnFormula>
    </tableColumn>
    <tableColumn id="15" xr3:uid="{8D66B037-6464-4876-A40B-7013BB6CC658}" uniqueName="15" name="lsv_per_mhz_uk3" queryTableFieldId="15" dataDxfId="10">
      <calculatedColumnFormula>INDEX(C_AllComp[lsv_per_mhz], MATCH(C_Distance[[#This Row],[uk_comp3]], C_AllComp[comp_id], 0))</calculatedColumnFormula>
    </tableColumn>
    <tableColumn id="16" xr3:uid="{7021844E-1D1B-4638-A0B7-44FB9C9C579C}" uniqueName="16" name="lsv_per_mhz_uk2" queryTableFieldId="16" dataDxfId="9">
      <calculatedColumnFormula>C_Distance[[#This Row],[lsv_per_mhz_uk3]]+C_Distance[[#This Row],[ratio_y_x]]*(C_Distance[[#This Row],[lsv_per_mhz_uk1]]-C_Distance[[#This Row],[lsv_per_mhz_uk3]])</calculatedColumnFormula>
    </tableColumn>
  </tableColumns>
  <tableStyleInfo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91828776-13AC-4531-9F94-99AA40B88C8F}" name="O_Proxy_sample" displayName="O_Proxy_sample" ref="A4:E25" tableType="queryTable" totalsRowShown="0">
  <autoFilter ref="A4:E25" xr:uid="{6025A767-0B9F-4924-BAB0-6C991DAB2ABD}"/>
  <tableColumns count="5">
    <tableColumn id="10" xr3:uid="{7FD7CB6E-CEB2-4D4D-A8FF-6287155DC4CB}" uniqueName="10" name="Lower Band" queryTableFieldId="10"/>
    <tableColumn id="11" xr3:uid="{9FBE3EB9-9738-4854-9C62-F01A2ED5FF7A}" uniqueName="11" name="Upper Band" queryTableFieldId="11"/>
    <tableColumn id="7" xr3:uid="{CB4A8DB1-7CF5-4171-B2C1-9FEAAAA7792A}" uniqueName="7" name="Lower Band £m per MHz" queryTableFieldId="7" dataDxfId="8"/>
    <tableColumn id="8" xr3:uid="{664828BE-C2CB-4A6E-BCB6-146780004A65}" uniqueName="8" name="Upper Band £m per MHz" queryTableFieldId="8" dataDxfId="7"/>
    <tableColumn id="9" xr3:uid="{15BE3C8A-CB72-48D3-B402-43A42841F60D}" uniqueName="9" name="Ratio Upper to Lower" queryTableFieldId="9" dataDxfId="6"/>
  </tableColumns>
  <tableStyleInfo name="TableStyleLight10"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4FD247BA-ED59-4782-8FA1-C939DC646F29}" name="O_Paired" displayName="O_Paired" ref="A4:J21" tableType="queryTable" totalsRowShown="0">
  <autoFilter ref="A4:J21" xr:uid="{28E038E0-FE4C-4BA8-9E0F-C3EF4737458C}"/>
  <tableColumns count="10">
    <tableColumn id="1" xr3:uid="{FAFD6313-1F1A-47D8-B417-46E6EE96E80E}" uniqueName="1" name="benchmark_id" queryTableFieldId="21"/>
    <tableColumn id="10" xr3:uid="{A84DB09E-5204-4A7D-A5CA-4BCC26A4C848}" uniqueName="10" name="target_band" queryTableFieldId="29"/>
    <tableColumn id="3" xr3:uid="{10B5CAC3-F9E6-4D54-AC58-A27E2F67C517}" uniqueName="3" name="comp_band" queryTableFieldId="27" dataDxfId="5"/>
    <tableColumn id="9" xr3:uid="{9A54EDA4-876F-4E29-BF37-F52F624A68BC}" uniqueName="9" name="country" queryTableFieldId="16"/>
    <tableColumn id="2" xr3:uid="{D99E22C4-8D45-4EDD-8F3C-264473163539}" uniqueName="2" name="tier" queryTableFieldId="2"/>
    <tableColumn id="5" xr3:uid="{7037C657-0369-47BE-9A12-7788D2A1C98D}" uniqueName="5" name="bias_risk" queryTableFieldId="5"/>
    <tableColumn id="6" xr3:uid="{7387B573-CFEA-4427-A531-9BF1A5800889}" uniqueName="6" name="bias_scale" queryTableFieldId="6"/>
    <tableColumn id="7" xr3:uid="{C4452FAA-1F32-4CD9-9816-0972B35530E2}" uniqueName="7" name="bias_direction" queryTableFieldId="7"/>
    <tableColumn id="4" xr3:uid="{A9CF27FD-BC63-4C3D-A393-312ACCE31D1E}" uniqueName="4" name="ratio_2_1" queryTableFieldId="23" dataDxfId="4"/>
    <tableColumn id="8" xr3:uid="{029CC2BC-D3EE-4E2C-8325-8D674B7B65AA}" uniqueName="8" name="lsv_per_mhz_uk2" queryTableFieldId="24" dataDxfId="3"/>
  </tableColumns>
  <tableStyleInfo name="TableStyleLight10"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D3DA874D-F24A-4D3E-B23E-70BB9C14D57D}" name="O_Distance" displayName="O_Distance" ref="A4:J46" tableType="queryTable" totalsRowShown="0">
  <autoFilter ref="A4:J46" xr:uid="{01F788E3-1C3C-4102-9AAB-9814435F0616}"/>
  <tableColumns count="10">
    <tableColumn id="1" xr3:uid="{2E953BAB-60D2-4627-B273-FAE82FCFD57C}" uniqueName="1" name="benchmark_id" queryTableFieldId="17"/>
    <tableColumn id="10" xr3:uid="{4B697F2D-B814-496F-9144-895679BFCF9D}" uniqueName="10" name="target_band" queryTableFieldId="25"/>
    <tableColumn id="3" xr3:uid="{DFEEE99E-5BE2-4082-8A9A-0CF3821016B7}" uniqueName="3" name="comp_band" queryTableFieldId="23"/>
    <tableColumn id="9" xr3:uid="{7EEA851E-B16E-48CD-899F-25541EF2B09D}" uniqueName="9" name="country" queryTableFieldId="12"/>
    <tableColumn id="2" xr3:uid="{70784EDC-B1DF-4DB9-96B8-788F0D5BBE31}" uniqueName="2" name="tier" queryTableFieldId="2"/>
    <tableColumn id="5" xr3:uid="{A6A71A09-9297-465B-80B7-FBC8B74232DB}" uniqueName="5" name="bias_risk" queryTableFieldId="5"/>
    <tableColumn id="6" xr3:uid="{97A91BEE-4914-45F1-99A1-50562B49E480}" uniqueName="6" name="bias_scale" queryTableFieldId="6"/>
    <tableColumn id="7" xr3:uid="{F36918F8-700E-4766-81F7-60AC533A6D71}" uniqueName="7" name="bias_direction" queryTableFieldId="7"/>
    <tableColumn id="4" xr3:uid="{800B1A19-77AA-4752-ADB1-B742A8ABFBE3}" uniqueName="4" name="ratio_y_x" queryTableFieldId="19" dataDxfId="2"/>
    <tableColumn id="8" xr3:uid="{04D7446A-9DBF-4FA1-8C35-6C24B5AC2DCA}" uniqueName="8" name="lsv_per_mhz_uk2" queryTableFieldId="20" dataDxfId="1"/>
  </tableColumns>
  <tableStyleInfo name="TableStyleLight10"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70E57E7A-AFF4-4222-AB3C-9C45BFAF67B7}" name="E_Results" displayName="E_Results" ref="A4:T63" tableType="queryTable" totalsRowShown="0">
  <autoFilter ref="A4:T63" xr:uid="{E59956A4-E233-4D4D-82F7-711A98043662}"/>
  <tableColumns count="20">
    <tableColumn id="1" xr3:uid="{A7126FEA-C076-4637-80A9-6FEC379B2894}" uniqueName="1" name="benchmark_id" queryTableFieldId="1"/>
    <tableColumn id="20" xr3:uid="{AD0ECBA4-C2A7-4329-882E-A85150003E01}" uniqueName="20" name="target_band" queryTableFieldId="20"/>
    <tableColumn id="2" xr3:uid="{D15AB544-0F0E-403C-BE19-19020734C9C6}" uniqueName="2" name="comp_band" queryTableFieldId="2"/>
    <tableColumn id="3" xr3:uid="{8048573B-B8DA-40FC-A109-1D72CC74629A}" uniqueName="3" name="country" queryTableFieldId="3"/>
    <tableColumn id="4" xr3:uid="{F37F80EF-DD6B-46BC-BDA1-FF6E3F5474A7}" uniqueName="4" name="tier" queryTableFieldId="4" dataDxfId="0"/>
    <tableColumn id="5" xr3:uid="{D975E546-99CA-4E41-A5D0-23A1B1FD1DC4}" uniqueName="5" name="bias_risk" queryTableFieldId="5"/>
    <tableColumn id="6" xr3:uid="{6C8913A6-7CCE-48B1-A0F6-DD8F4E6661F7}" uniqueName="6" name="bias_scale" queryTableFieldId="6"/>
    <tableColumn id="7" xr3:uid="{05573481-5AEE-4B45-BE44-A44D6C7C5E16}" uniqueName="7" name="bias_direction" queryTableFieldId="7"/>
    <tableColumn id="8" xr3:uid="{8C442175-6F53-4941-BF67-7423B64DA3EB}" uniqueName="8" name="ratio_2_1" queryTableFieldId="8"/>
    <tableColumn id="9" xr3:uid="{4BE1A3C7-CE0C-4CD6-A98C-509510F0EA93}" uniqueName="9" name="lsv_per_mhz_uk2" queryTableFieldId="9"/>
    <tableColumn id="10" xr3:uid="{F2CE3794-082B-4272-93C5-661EA75AC327}" uniqueName="10" name="method" queryTableFieldId="10"/>
    <tableColumn id="11" xr3:uid="{BE9B1BA0-5375-4FC5-BEDE-CB8CE8573E2A}" uniqueName="11" name="ratio_y_x" queryTableFieldId="11"/>
    <tableColumn id="12" xr3:uid="{DFA3CE20-8C59-4B6D-91F9-ED71D7C79C5A}" uniqueName="12" name="lsv_£m_per_mhz" queryTableFieldId="12"/>
    <tableColumn id="13" xr3:uid="{51779007-79C4-4C32-B457-21BAE619773E}" uniqueName="13" name="bias_risk_val" queryTableFieldId="13"/>
    <tableColumn id="14" xr3:uid="{8EDF2E2B-7403-44BC-9F60-B52240B6340B}" uniqueName="14" name="bias_scale_val" queryTableFieldId="14"/>
    <tableColumn id="15" xr3:uid="{B1D4F759-099C-4F82-A6C1-D8A17A667E02}" uniqueName="15" name="bias_over" queryTableFieldId="15"/>
    <tableColumn id="16" xr3:uid="{5BEFB1C7-AAA3-4E68-94E7-D30532BBC51E}" uniqueName="16" name="bias_under" queryTableFieldId="16"/>
    <tableColumn id="17" xr3:uid="{7FF97C83-0B70-4470-955A-48B2429C412A}" uniqueName="17" name="bias_over_val" queryTableFieldId="17"/>
    <tableColumn id="18" xr3:uid="{98A7CEEF-893A-4311-ADB7-15A34DB06041}" uniqueName="18" name="bias_under_val" queryTableFieldId="18"/>
    <tableColumn id="19" xr3:uid="{B263FF7D-442C-44F1-8DB5-872739B218C1}" uniqueName="19" name="base" queryTableFieldId="19"/>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66B1572D-70CD-4C54-9C06-DEA719CC48AE}" name="I_Proxy_sample" displayName="I_Proxy_sample" ref="D90:F111" totalsRowShown="0">
  <autoFilter ref="D90:F111" xr:uid="{A4B85B02-1891-4759-ADDB-DBA32CA6F889}"/>
  <tableColumns count="3">
    <tableColumn id="1" xr3:uid="{B53FFE87-F26D-4778-995D-07099A5DD4FE}" name="proxy_id"/>
    <tableColumn id="2" xr3:uid="{53C8BF14-B4D3-4671-9B17-DB2203D74E52}" name="comp1"/>
    <tableColumn id="3" xr3:uid="{3AC110CD-DF8C-4885-8B0D-E2714A42FB08}" name="comp2"/>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9A624CE-5DE5-45B4-B0B3-90B2C51E6DA5}" name="I_ProxyComp" displayName="I_ProxyComp" ref="D116:F129" totalsRowShown="0">
  <autoFilter ref="D116:F129" xr:uid="{C0A288AA-3CE9-4246-B1CB-241EB5577B10}"/>
  <tableColumns count="3">
    <tableColumn id="1" xr3:uid="{DFA84E79-8AFC-4A60-A7CF-1C2C766A903E}" name="comp_id"/>
    <tableColumn id="2" xr3:uid="{42D1E291-D7C3-487C-A121-CA417FFEF81E}" name="proxy_id"/>
    <tableColumn id="3" xr3:uid="{8C08508F-6183-4B3A-BC8C-7875E3A3B035}" name="base_id"/>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FD6691A2-4DFF-4797-9CF4-3636242CE394}" name="I_Bias_risk" displayName="I_Bias_risk" ref="D134:E137" totalsRowShown="0">
  <autoFilter ref="D134:E137" xr:uid="{B39BDFD3-CFD6-463A-ACED-D60C03DCB157}"/>
  <tableColumns count="2">
    <tableColumn id="1" xr3:uid="{4B49520A-41CD-4DE7-8227-89D65BAF2C68}" name="bias_risk"/>
    <tableColumn id="2" xr3:uid="{0315DCA1-5BF2-412E-B865-3257BBD81F4E}" name="bias_risk_val"/>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796E08AF-9A98-44E4-BF97-10CFC066A9D0}" name="I_Bias_scale" displayName="I_Bias_scale" ref="D140:E143" totalsRowShown="0">
  <autoFilter ref="D140:E143" xr:uid="{B7F6129C-1B43-493D-9327-96A865CC7FC4}"/>
  <tableColumns count="2">
    <tableColumn id="1" xr3:uid="{C1492781-C2A0-479E-92C3-6268C267694E}" name="bias_scale"/>
    <tableColumn id="2" xr3:uid="{28FD2BB6-2F9D-4483-9922-2EC26BF45F6C}" name="bias_scale_val"/>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C906DB57-AA83-49F1-915A-0110380C6F8F}" name="I_Bias_direction" displayName="I_Bias_direction" ref="D146:F149" totalsRowShown="0">
  <autoFilter ref="D146:F149" xr:uid="{C393F359-F068-4A24-A55C-AF6546542F96}"/>
  <tableColumns count="3">
    <tableColumn id="1" xr3:uid="{0F4ED4E8-8AFA-4014-9841-7AC799731272}" name="bias_direction"/>
    <tableColumn id="2" xr3:uid="{2B8B79F5-4EA9-413F-8ABF-74CAAC66124B}" name="bias_over"/>
    <tableColumn id="3" xr3:uid="{2DF1AE40-ECC7-4FAA-80CD-FE15038F946A}" name="bias_under"/>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92A23ED0-EC16-42D3-907F-0305646EB0E5}" name="I_Year" displayName="I_Year" ref="A4:A16" totalsRowShown="0">
  <autoFilter ref="A4:A16" xr:uid="{D10DF21F-FA30-48C6-B32C-B00F6D9EDA94}"/>
  <tableColumns count="1">
    <tableColumn id="1" xr3:uid="{B70727EB-CB95-4018-B48C-E6BA5C895841}" name="year"/>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C4B9D6F9-F580-47C4-8D2F-934EBD812F8B}" name="I_Month" displayName="I_Month" ref="C4:C140" totalsRowShown="0">
  <autoFilter ref="C4:C140" xr:uid="{BCB3D451-7873-4728-A1B1-AB73BEA79FA0}"/>
  <tableColumns count="1">
    <tableColumn id="1" xr3:uid="{3259AD8F-36FF-4BE3-87E7-E9E8B5DE9932}" name="month"/>
  </tableColumns>
  <tableStyleInfo showFirstColumn="0" showLastColumn="0" showRowStripes="1" showColumnStripes="0"/>
</table>
</file>

<file path=xl/theme/theme1.xml><?xml version="1.0" encoding="utf-8"?>
<a:theme xmlns:a="http://schemas.openxmlformats.org/drawingml/2006/main" name="Ofcom Template 2017">
  <a:themeElements>
    <a:clrScheme name="Ofcom Corporate RGB">
      <a:dk1>
        <a:srgbClr val="38393A"/>
      </a:dk1>
      <a:lt1>
        <a:srgbClr val="FFFFFF"/>
      </a:lt1>
      <a:dk2>
        <a:srgbClr val="532A57"/>
      </a:dk2>
      <a:lt2>
        <a:srgbClr val="81276D"/>
      </a:lt2>
      <a:accent1>
        <a:srgbClr val="B6CA4B"/>
      </a:accent1>
      <a:accent2>
        <a:srgbClr val="AE153B"/>
      </a:accent2>
      <a:accent3>
        <a:srgbClr val="C51370"/>
      </a:accent3>
      <a:accent4>
        <a:srgbClr val="0F9ECA"/>
      </a:accent4>
      <a:accent5>
        <a:srgbClr val="E8B738"/>
      </a:accent5>
      <a:accent6>
        <a:srgbClr val="E27B29"/>
      </a:accent6>
      <a:hlink>
        <a:srgbClr val="5980E4"/>
      </a:hlink>
      <a:folHlink>
        <a:srgbClr val="9F3280"/>
      </a:folHlink>
    </a:clrScheme>
    <a:fontScheme name="Office">
      <a:majorFont>
        <a:latin typeface="Calibri"/>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Theme1" id="{78E21BDC-0BBA-4DEA-AC4C-41ECB09CE9C9}" vid="{370F15BA-8EDA-46B7-B648-151EDFD9108D}"/>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hyperlink" Target="https://berec.europa.eu/eng/document_register/subject_matter/berec/download/1/8310-berec-report-regulatory-accounting-in-pr_1.pdf" TargetMode="External"/><Relationship Id="rId13" Type="http://schemas.openxmlformats.org/officeDocument/2006/relationships/hyperlink" Target="https://www.ecb.europa.eu/stats/ecb_surveys/survey_of_professional_forecasters/html/table_hist_hicp.en.html" TargetMode="External"/><Relationship Id="rId3" Type="http://schemas.openxmlformats.org/officeDocument/2006/relationships/hyperlink" Target="https://www.ofcom.org.uk/__data/assets/pdf_file/0022/112459/MCT-review-statement-annexes-115.pdf" TargetMode="External"/><Relationship Id="rId7" Type="http://schemas.openxmlformats.org/officeDocument/2006/relationships/hyperlink" Target="https://berec.europa.eu/eng/document_register/subject_matter/berec/download/1/8907-berec-report-regulatory-accounting-in-pr_1.pdf" TargetMode="External"/><Relationship Id="rId12" Type="http://schemas.openxmlformats.org/officeDocument/2006/relationships/hyperlink" Target="https://berec.europa.eu/eng/document_register/subject_matter/berec/download/1/8310-berec-report-regulatory-accounting-in-pr_1.pdf" TargetMode="External"/><Relationship Id="rId17" Type="http://schemas.openxmlformats.org/officeDocument/2006/relationships/table" Target="../tables/table14.xml"/><Relationship Id="rId2" Type="http://schemas.openxmlformats.org/officeDocument/2006/relationships/hyperlink" Target="https://www.ofcom.org.uk/__data/assets/pdf_file/0019/72109/annexes_7-13.pdf" TargetMode="External"/><Relationship Id="rId16" Type="http://schemas.openxmlformats.org/officeDocument/2006/relationships/printerSettings" Target="../printerSettings/printerSettings10.bin"/><Relationship Id="rId1" Type="http://schemas.openxmlformats.org/officeDocument/2006/relationships/hyperlink" Target="https://www.ofcom.org.uk/__data/assets/pdf_file/0026/53981/mct_statement_annex_6-10.pdf" TargetMode="External"/><Relationship Id="rId6" Type="http://schemas.openxmlformats.org/officeDocument/2006/relationships/hyperlink" Target="https://berec.europa.eu/eng/document_register/subject_matter/berec/download/1/8907-berec-report-regulatory-accounting-in-pr_1.pdf" TargetMode="External"/><Relationship Id="rId11" Type="http://schemas.openxmlformats.org/officeDocument/2006/relationships/hyperlink" Target="https://berec.europa.eu/eng/document_register/subject_matter/berec/download/1/8907-berec-report-regulatory-accounting-in-pr_1.pdf" TargetMode="External"/><Relationship Id="rId5" Type="http://schemas.openxmlformats.org/officeDocument/2006/relationships/hyperlink" Target="https://berec.europa.eu/eng/document_register/subject_matter/berec/download/1/9718-berec-report-on-regulatory-accounting-in_1.pdf" TargetMode="External"/><Relationship Id="rId15" Type="http://schemas.openxmlformats.org/officeDocument/2006/relationships/hyperlink" Target="../../../../../epc/1900_2100%20MHz/CONDOC_June_2021/1900_2100%20annex.docx" TargetMode="External"/><Relationship Id="rId10" Type="http://schemas.openxmlformats.org/officeDocument/2006/relationships/hyperlink" Target="https://berec.europa.eu/eng/document_register/subject_matter/berec/download/1/9718-berec-report-on-regulatory-accounting-in_1.pdf" TargetMode="External"/><Relationship Id="rId4" Type="http://schemas.openxmlformats.org/officeDocument/2006/relationships/hyperlink" Target="https://berec.europa.eu/eng/document_register/subject_matter/berec/download/1/9718-berec-report-on-regulatory-accounting-in_1.pdf" TargetMode="External"/><Relationship Id="rId9" Type="http://schemas.openxmlformats.org/officeDocument/2006/relationships/hyperlink" Target="https://berec.europa.eu/eng/document_register/subject_matter/berec/download/1/8310-berec-report-regulatory-accounting-in-pr_1.pdf" TargetMode="External"/><Relationship Id="rId14" Type="http://schemas.openxmlformats.org/officeDocument/2006/relationships/hyperlink" Target="https://www.ecb.europa.eu/stats/ecb_surveys/survey_of_professional_forecasters/html/table_hist_hicp.en.html" TargetMode="External"/></Relationships>
</file>

<file path=xl/worksheets/_rels/sheet11.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25.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26.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27.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ivotTable" Target="../pivotTables/pivotTable1.xml"/></Relationships>
</file>

<file path=xl/worksheets/_rels/sheet25.xml.rels><?xml version="1.0" encoding="UTF-8" standalone="yes"?>
<Relationships xmlns="http://schemas.openxmlformats.org/package/2006/relationships"><Relationship Id="rId2" Type="http://schemas.openxmlformats.org/officeDocument/2006/relationships/table" Target="../tables/table28.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4.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table" Target="../tables/table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table" Target="../tables/table11.xml"/><Relationship Id="rId3" Type="http://schemas.openxmlformats.org/officeDocument/2006/relationships/hyperlink" Target="https://www.ofcom.org.uk/__data/assets/pdf_file/0033/79764/statement.pdf" TargetMode="External"/><Relationship Id="rId7" Type="http://schemas.openxmlformats.org/officeDocument/2006/relationships/printerSettings" Target="../printerSettings/printerSettings7.bin"/><Relationship Id="rId2" Type="http://schemas.openxmlformats.org/officeDocument/2006/relationships/hyperlink" Target="https://www.ofcom.org.uk/__data/assets/pdf_file/0017/216107/publication-ps-results-reg-49.pdf" TargetMode="External"/><Relationship Id="rId1" Type="http://schemas.openxmlformats.org/officeDocument/2006/relationships/hyperlink" Target="https://www.ofcom.org.uk/__data/assets/pdf_file/0017/216107/publication-ps-results-reg-49.pdf" TargetMode="External"/><Relationship Id="rId6" Type="http://schemas.openxmlformats.org/officeDocument/2006/relationships/hyperlink" Target="https://www.ofcom.org.uk/__data/assets/pdf_file/0018/112932/Regulation-111-Final-outcome-of-award.pdf" TargetMode="External"/><Relationship Id="rId5" Type="http://schemas.openxmlformats.org/officeDocument/2006/relationships/hyperlink" Target="https://www.ofcom.org.uk/__data/assets/pdf_file/0018/112932/Regulation-111-Final-outcome-of-award.pdf" TargetMode="External"/><Relationship Id="rId4" Type="http://schemas.openxmlformats.org/officeDocument/2006/relationships/hyperlink" Target="https://www.ofcom.org.uk/__data/assets/pdf_file/0033/79764/statement.pdf" TargetMode="External"/></Relationships>
</file>

<file path=xl/worksheets/_rels/sheet8.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reamble1">
    <outlinePr summaryBelow="0"/>
    <pageSetUpPr autoPageBreaks="0"/>
  </sheetPr>
  <dimension ref="A1:F53"/>
  <sheetViews>
    <sheetView showGridLines="0" tabSelected="1" defaultGridColor="0" colorId="22" zoomScaleNormal="95" zoomScaleSheetLayoutView="75" workbookViewId="0">
      <pane ySplit="2" topLeftCell="A3" activePane="bottomLeft" state="frozen"/>
      <selection pane="bottomLeft" activeCell="B15" sqref="B15"/>
    </sheetView>
  </sheetViews>
  <sheetFormatPr defaultColWidth="12.59765625" defaultRowHeight="14.25" x14ac:dyDescent="0.45"/>
  <cols>
    <col min="1" max="1" width="24.3984375" style="15" customWidth="1"/>
    <col min="2" max="2" width="50.86328125" style="15" customWidth="1"/>
    <col min="3" max="3" width="37.3984375" style="15" customWidth="1"/>
    <col min="4" max="4" width="16.1328125" style="15" bestFit="1" customWidth="1"/>
    <col min="5" max="5" width="15" style="15" customWidth="1"/>
  </cols>
  <sheetData>
    <row r="1" spans="1:6" ht="12" customHeight="1" x14ac:dyDescent="0.75">
      <c r="C1" s="23"/>
    </row>
    <row r="2" spans="1:6" ht="64.5" customHeight="1" x14ac:dyDescent="0.9">
      <c r="A2"/>
      <c r="B2"/>
      <c r="C2"/>
      <c r="D2"/>
      <c r="E2"/>
      <c r="F2" s="45" t="str">
        <f>Workbook.Title</f>
        <v>ALF 2100 MHz Benchmark Valuation Model - Consultation</v>
      </c>
    </row>
    <row r="3" spans="1:6" ht="7.5" customHeight="1" x14ac:dyDescent="0.45">
      <c r="A3"/>
      <c r="B3"/>
      <c r="C3"/>
      <c r="D3"/>
      <c r="E3"/>
    </row>
    <row r="4" spans="1:6" s="1" customFormat="1" ht="21" x14ac:dyDescent="0.65">
      <c r="A4" s="14" t="s">
        <v>25</v>
      </c>
      <c r="C4"/>
      <c r="D4" s="16"/>
    </row>
    <row r="5" spans="1:6" ht="6" customHeight="1" x14ac:dyDescent="0.45">
      <c r="A5"/>
      <c r="B5"/>
      <c r="C5"/>
      <c r="D5"/>
      <c r="E5"/>
    </row>
    <row r="6" spans="1:6" x14ac:dyDescent="0.45">
      <c r="A6" s="25" t="s">
        <v>23</v>
      </c>
      <c r="B6" s="25" t="s">
        <v>911</v>
      </c>
      <c r="C6"/>
      <c r="D6"/>
    </row>
    <row r="7" spans="1:6" x14ac:dyDescent="0.45">
      <c r="A7" s="25" t="s">
        <v>42</v>
      </c>
      <c r="B7" s="25"/>
      <c r="C7"/>
      <c r="D7"/>
      <c r="E7"/>
    </row>
    <row r="8" spans="1:6" x14ac:dyDescent="0.45">
      <c r="A8" s="25" t="s">
        <v>22</v>
      </c>
      <c r="B8" s="25" t="s">
        <v>897</v>
      </c>
      <c r="C8"/>
      <c r="D8" s="19"/>
      <c r="E8"/>
    </row>
    <row r="9" spans="1:6" x14ac:dyDescent="0.45">
      <c r="A9" s="25" t="s">
        <v>21</v>
      </c>
      <c r="B9" s="25" t="s">
        <v>898</v>
      </c>
      <c r="C9"/>
    </row>
    <row r="10" spans="1:6" x14ac:dyDescent="0.45">
      <c r="A10" s="25" t="s">
        <v>2</v>
      </c>
      <c r="B10" s="25" t="s">
        <v>914</v>
      </c>
      <c r="C10" s="18"/>
      <c r="D10"/>
    </row>
    <row r="11" spans="1:6" x14ac:dyDescent="0.45">
      <c r="A11" s="25" t="s">
        <v>24</v>
      </c>
      <c r="B11" s="25" t="s">
        <v>910</v>
      </c>
      <c r="C11" s="1"/>
      <c r="D11"/>
      <c r="E11"/>
    </row>
    <row r="12" spans="1:6" x14ac:dyDescent="0.45">
      <c r="A12" s="25"/>
      <c r="B12" s="25"/>
      <c r="C12"/>
      <c r="D12"/>
      <c r="E12"/>
    </row>
    <row r="13" spans="1:6" x14ac:dyDescent="0.45">
      <c r="A13" s="25" t="s">
        <v>32</v>
      </c>
      <c r="B13" s="25" t="s">
        <v>909</v>
      </c>
      <c r="C13"/>
      <c r="D13"/>
      <c r="E13"/>
    </row>
    <row r="14" spans="1:6" x14ac:dyDescent="0.45">
      <c r="A14" s="25"/>
      <c r="B14" s="25"/>
      <c r="C14"/>
      <c r="D14"/>
      <c r="E14"/>
    </row>
    <row r="15" spans="1:6" s="1" customFormat="1" ht="21" x14ac:dyDescent="0.65">
      <c r="A15" s="14" t="s">
        <v>27</v>
      </c>
      <c r="C15"/>
    </row>
    <row r="16" spans="1:6" x14ac:dyDescent="0.45">
      <c r="A16"/>
      <c r="B16"/>
      <c r="C16"/>
      <c r="D16"/>
      <c r="E16"/>
    </row>
    <row r="17" spans="1:5" ht="18" x14ac:dyDescent="0.55000000000000004">
      <c r="A17" s="3" t="s">
        <v>0</v>
      </c>
      <c r="B17" s="3" t="s">
        <v>1</v>
      </c>
      <c r="C17" s="7"/>
      <c r="D17" s="3" t="s">
        <v>2</v>
      </c>
      <c r="E17" s="3" t="s">
        <v>3</v>
      </c>
    </row>
    <row r="18" spans="1:5" x14ac:dyDescent="0.45">
      <c r="A18" s="15" t="s">
        <v>27</v>
      </c>
      <c r="B18" s="15" t="s">
        <v>31</v>
      </c>
      <c r="D18" s="15" t="s">
        <v>914</v>
      </c>
    </row>
    <row r="19" spans="1:5" x14ac:dyDescent="0.45">
      <c r="A19" s="15" t="s">
        <v>28</v>
      </c>
      <c r="B19" s="15" t="s">
        <v>29</v>
      </c>
      <c r="D19" s="15" t="s">
        <v>914</v>
      </c>
    </row>
    <row r="20" spans="1:5" x14ac:dyDescent="0.45">
      <c r="A20" s="15" t="s">
        <v>7</v>
      </c>
      <c r="B20" s="15" t="s">
        <v>30</v>
      </c>
      <c r="D20" s="15" t="s">
        <v>914</v>
      </c>
    </row>
    <row r="22" spans="1:5" x14ac:dyDescent="0.45">
      <c r="A22" s="47" t="s">
        <v>36</v>
      </c>
    </row>
    <row r="23" spans="1:5" x14ac:dyDescent="0.45">
      <c r="A23" s="15" t="s">
        <v>704</v>
      </c>
      <c r="B23" s="25" t="s">
        <v>738</v>
      </c>
      <c r="D23" s="15" t="s">
        <v>914</v>
      </c>
    </row>
    <row r="24" spans="1:5" s="25" customFormat="1" x14ac:dyDescent="0.45">
      <c r="A24" s="15" t="s">
        <v>705</v>
      </c>
      <c r="B24" s="25" t="s">
        <v>739</v>
      </c>
      <c r="C24" s="15"/>
      <c r="D24" s="15" t="s">
        <v>914</v>
      </c>
      <c r="E24" s="15"/>
    </row>
    <row r="25" spans="1:5" s="25" customFormat="1" x14ac:dyDescent="0.45">
      <c r="A25" s="15" t="s">
        <v>706</v>
      </c>
      <c r="B25" s="25" t="s">
        <v>908</v>
      </c>
      <c r="C25" s="15"/>
      <c r="D25" s="15" t="s">
        <v>914</v>
      </c>
      <c r="E25" s="15"/>
    </row>
    <row r="26" spans="1:5" s="25" customFormat="1" x14ac:dyDescent="0.45">
      <c r="A26" s="15" t="s">
        <v>709</v>
      </c>
      <c r="B26" s="25" t="s">
        <v>740</v>
      </c>
      <c r="C26" s="15"/>
      <c r="D26" s="15" t="s">
        <v>914</v>
      </c>
      <c r="E26" s="15"/>
    </row>
    <row r="27" spans="1:5" s="25" customFormat="1" x14ac:dyDescent="0.45">
      <c r="A27" s="15" t="s">
        <v>710</v>
      </c>
      <c r="B27" s="25" t="s">
        <v>741</v>
      </c>
      <c r="C27" s="15"/>
      <c r="D27" s="15" t="s">
        <v>914</v>
      </c>
      <c r="E27" s="15"/>
    </row>
    <row r="28" spans="1:5" s="25" customFormat="1" x14ac:dyDescent="0.45">
      <c r="A28" s="15" t="s">
        <v>712</v>
      </c>
      <c r="B28" s="25" t="s">
        <v>742</v>
      </c>
      <c r="C28" s="15"/>
      <c r="D28" s="15" t="s">
        <v>914</v>
      </c>
      <c r="E28" s="15"/>
    </row>
    <row r="29" spans="1:5" s="25" customFormat="1" x14ac:dyDescent="0.45">
      <c r="A29" s="15" t="s">
        <v>714</v>
      </c>
      <c r="B29" s="25" t="s">
        <v>743</v>
      </c>
      <c r="C29" s="15"/>
      <c r="D29" s="15" t="s">
        <v>914</v>
      </c>
      <c r="E29" s="15"/>
    </row>
    <row r="30" spans="1:5" s="25" customFormat="1" x14ac:dyDescent="0.45">
      <c r="A30" s="15" t="s">
        <v>715</v>
      </c>
      <c r="B30" s="25" t="s">
        <v>744</v>
      </c>
      <c r="C30" s="15"/>
      <c r="D30" s="15" t="s">
        <v>914</v>
      </c>
      <c r="E30" s="15"/>
    </row>
    <row r="31" spans="1:5" s="25" customFormat="1" x14ac:dyDescent="0.45">
      <c r="A31" s="15" t="s">
        <v>716</v>
      </c>
      <c r="B31" s="25" t="s">
        <v>745</v>
      </c>
      <c r="C31" s="15"/>
      <c r="D31" s="15" t="s">
        <v>914</v>
      </c>
      <c r="E31" s="15"/>
    </row>
    <row r="32" spans="1:5" s="25" customFormat="1" x14ac:dyDescent="0.45">
      <c r="A32" s="15" t="s">
        <v>718</v>
      </c>
      <c r="B32" s="25" t="s">
        <v>746</v>
      </c>
      <c r="C32" s="15"/>
      <c r="D32" s="15" t="s">
        <v>914</v>
      </c>
      <c r="E32" s="15"/>
    </row>
    <row r="33" spans="1:5" s="25" customFormat="1" x14ac:dyDescent="0.45">
      <c r="A33" s="15" t="s">
        <v>720</v>
      </c>
      <c r="B33" s="25" t="s">
        <v>747</v>
      </c>
      <c r="C33" s="15"/>
      <c r="D33" s="15" t="s">
        <v>914</v>
      </c>
      <c r="E33" s="15"/>
    </row>
    <row r="34" spans="1:5" s="25" customFormat="1" x14ac:dyDescent="0.45">
      <c r="A34" s="15" t="s">
        <v>722</v>
      </c>
      <c r="B34" s="25" t="s">
        <v>749</v>
      </c>
      <c r="C34" s="15"/>
      <c r="D34" s="15" t="s">
        <v>914</v>
      </c>
      <c r="E34" s="15"/>
    </row>
    <row r="35" spans="1:5" s="25" customFormat="1" x14ac:dyDescent="0.45">
      <c r="A35" s="15" t="s">
        <v>724</v>
      </c>
      <c r="B35" s="25" t="s">
        <v>748</v>
      </c>
      <c r="C35" s="15"/>
      <c r="D35" s="15" t="s">
        <v>914</v>
      </c>
      <c r="E35" s="15"/>
    </row>
    <row r="36" spans="1:5" s="25" customFormat="1" x14ac:dyDescent="0.45">
      <c r="A36" s="15" t="s">
        <v>725</v>
      </c>
      <c r="B36" s="25" t="s">
        <v>751</v>
      </c>
      <c r="C36" s="15"/>
      <c r="D36" s="15" t="s">
        <v>914</v>
      </c>
      <c r="E36" s="15"/>
    </row>
    <row r="37" spans="1:5" s="25" customFormat="1" x14ac:dyDescent="0.45">
      <c r="A37" s="15" t="s">
        <v>728</v>
      </c>
      <c r="B37" s="25" t="s">
        <v>750</v>
      </c>
      <c r="C37" s="15"/>
      <c r="D37" s="15" t="s">
        <v>914</v>
      </c>
      <c r="E37" s="15"/>
    </row>
    <row r="38" spans="1:5" s="25" customFormat="1" x14ac:dyDescent="0.45">
      <c r="A38" s="15" t="s">
        <v>899</v>
      </c>
      <c r="B38" s="25" t="s">
        <v>900</v>
      </c>
      <c r="C38" s="15"/>
      <c r="D38" s="15" t="s">
        <v>914</v>
      </c>
      <c r="E38" s="15"/>
    </row>
    <row r="39" spans="1:5" s="25" customFormat="1" x14ac:dyDescent="0.45">
      <c r="A39" s="15" t="s">
        <v>733</v>
      </c>
      <c r="B39" s="25" t="s">
        <v>752</v>
      </c>
      <c r="C39" s="15"/>
      <c r="D39" s="15" t="s">
        <v>914</v>
      </c>
      <c r="E39" s="15"/>
    </row>
    <row r="40" spans="1:5" s="25" customFormat="1" x14ac:dyDescent="0.45">
      <c r="A40" s="15" t="s">
        <v>734</v>
      </c>
      <c r="B40" s="25" t="s">
        <v>732</v>
      </c>
      <c r="C40" s="15"/>
      <c r="D40" s="15" t="s">
        <v>914</v>
      </c>
      <c r="E40" s="15"/>
    </row>
    <row r="41" spans="1:5" s="25" customFormat="1" x14ac:dyDescent="0.45">
      <c r="A41" s="15" t="s">
        <v>901</v>
      </c>
      <c r="B41" s="25" t="s">
        <v>759</v>
      </c>
      <c r="C41" s="15"/>
      <c r="D41" s="15" t="s">
        <v>914</v>
      </c>
      <c r="E41" s="15"/>
    </row>
    <row r="42" spans="1:5" s="25" customFormat="1" x14ac:dyDescent="0.45">
      <c r="A42" s="15" t="s">
        <v>735</v>
      </c>
      <c r="B42" s="25" t="s">
        <v>731</v>
      </c>
      <c r="C42" s="15"/>
      <c r="D42" s="15" t="s">
        <v>914</v>
      </c>
      <c r="E42" s="15"/>
    </row>
    <row r="43" spans="1:5" s="25" customFormat="1" x14ac:dyDescent="0.45">
      <c r="A43" s="15" t="s">
        <v>736</v>
      </c>
      <c r="B43" s="25" t="s">
        <v>753</v>
      </c>
      <c r="C43" s="15"/>
      <c r="D43" s="15" t="s">
        <v>914</v>
      </c>
      <c r="E43" s="15"/>
    </row>
    <row r="44" spans="1:5" s="25" customFormat="1" x14ac:dyDescent="0.45">
      <c r="A44" s="15" t="s">
        <v>737</v>
      </c>
      <c r="B44" s="25" t="s">
        <v>754</v>
      </c>
      <c r="C44" s="15"/>
      <c r="D44" s="15" t="s">
        <v>914</v>
      </c>
      <c r="E44" s="15"/>
    </row>
    <row r="45" spans="1:5" s="25" customFormat="1" x14ac:dyDescent="0.45">
      <c r="A45" s="15" t="s">
        <v>902</v>
      </c>
      <c r="B45" s="25" t="s">
        <v>903</v>
      </c>
      <c r="C45" s="15"/>
      <c r="D45" s="15" t="s">
        <v>914</v>
      </c>
      <c r="E45" s="15"/>
    </row>
    <row r="47" spans="1:5" ht="21" x14ac:dyDescent="0.45">
      <c r="A47" s="46" t="s">
        <v>70</v>
      </c>
    </row>
    <row r="48" spans="1:5" ht="340.5" customHeight="1" x14ac:dyDescent="0.45">
      <c r="A48" s="70" t="s">
        <v>913</v>
      </c>
      <c r="B48" s="70"/>
      <c r="C48" s="70"/>
      <c r="D48" s="70"/>
      <c r="E48" s="70"/>
    </row>
    <row r="49" spans="1:5" x14ac:dyDescent="0.45">
      <c r="A49"/>
      <c r="B49"/>
      <c r="C49"/>
      <c r="D49"/>
      <c r="E49"/>
    </row>
    <row r="50" spans="1:5" x14ac:dyDescent="0.45">
      <c r="A50"/>
      <c r="B50"/>
      <c r="C50"/>
      <c r="D50"/>
      <c r="E50"/>
    </row>
    <row r="51" spans="1:5" x14ac:dyDescent="0.45">
      <c r="A51"/>
      <c r="B51"/>
      <c r="C51"/>
      <c r="D51"/>
      <c r="E51"/>
    </row>
    <row r="52" spans="1:5" x14ac:dyDescent="0.45">
      <c r="A52"/>
      <c r="B52"/>
      <c r="C52"/>
      <c r="D52"/>
      <c r="E52"/>
    </row>
    <row r="53" spans="1:5" x14ac:dyDescent="0.45">
      <c r="A53"/>
      <c r="B53"/>
      <c r="C53"/>
      <c r="D53"/>
      <c r="E53"/>
    </row>
  </sheetData>
  <mergeCells count="1">
    <mergeCell ref="A48:E48"/>
  </mergeCells>
  <phoneticPr fontId="0" type="noConversion"/>
  <dataValidations count="1">
    <dataValidation type="list" allowBlank="1" showInputMessage="1" promptTitle="Input Parameter" prompt="Select from list" sqref="B10 D18:D20 D23:D45" xr:uid="{00000000-0002-0000-0000-000001000000}">
      <formula1>"Work in progress, Ready for review, Approved for release, Archived"</formula1>
    </dataValidation>
  </dataValidations>
  <pageMargins left="0.70866141732283472" right="0.70866141732283472" top="0.51181102362204722" bottom="0.51181102362204722" header="0.51181102362204722" footer="0.35433070866141736"/>
  <pageSetup paperSize="9" orientation="landscape" horizontalDpi="4294967292" verticalDpi="4294967292" r:id="rId1"/>
  <headerFooter alignWithMargins="0">
    <oddFooter>&amp;L&amp;A :page&amp;P&amp;COfcom Confidential&amp;R&amp;D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59B89-2E1E-4573-AF39-6BA5180266C9}">
  <dimension ref="A1:N57"/>
  <sheetViews>
    <sheetView defaultGridColor="0" colorId="22" workbookViewId="0">
      <pane ySplit="4" topLeftCell="A5" activePane="bottomLeft" state="frozen"/>
      <selection pane="bottomLeft" activeCell="A5" sqref="A5"/>
    </sheetView>
  </sheetViews>
  <sheetFormatPr defaultColWidth="12.59765625" defaultRowHeight="14.25" x14ac:dyDescent="0.45"/>
  <cols>
    <col min="1" max="1" width="19" customWidth="1"/>
    <col min="2" max="2" width="7.59765625" customWidth="1"/>
    <col min="3" max="3" width="15.59765625" customWidth="1"/>
    <col min="4" max="4" width="13.59765625" customWidth="1"/>
    <col min="5" max="5" width="16.1328125" customWidth="1"/>
    <col min="6" max="6" width="9.1328125" customWidth="1"/>
    <col min="7" max="7" width="17.1328125" customWidth="1"/>
    <col min="8" max="8" width="16.59765625" customWidth="1"/>
    <col min="9" max="9" width="17.3984375" customWidth="1"/>
    <col min="10" max="10" width="16.86328125" customWidth="1"/>
    <col min="11" max="11" width="17.59765625" customWidth="1"/>
    <col min="12" max="12" width="12.86328125" bestFit="1" customWidth="1"/>
    <col min="13" max="13" width="55.3984375" bestFit="1" customWidth="1"/>
    <col min="14" max="14" width="19.86328125" bestFit="1" customWidth="1"/>
  </cols>
  <sheetData>
    <row r="1" spans="1:14" ht="40.5" customHeight="1" x14ac:dyDescent="0.45">
      <c r="A1" s="48" t="s">
        <v>592</v>
      </c>
    </row>
    <row r="2" spans="1:14" x14ac:dyDescent="0.45">
      <c r="A2" s="29" t="s">
        <v>579</v>
      </c>
    </row>
    <row r="4" spans="1:14" x14ac:dyDescent="0.45">
      <c r="A4" t="s">
        <v>142</v>
      </c>
      <c r="B4" t="s">
        <v>582</v>
      </c>
      <c r="C4" t="s">
        <v>599</v>
      </c>
      <c r="D4" t="s">
        <v>595</v>
      </c>
      <c r="E4" t="s">
        <v>593</v>
      </c>
      <c r="F4" t="s">
        <v>594</v>
      </c>
      <c r="G4" t="s">
        <v>600</v>
      </c>
      <c r="H4" t="s">
        <v>596</v>
      </c>
      <c r="I4" t="s">
        <v>597</v>
      </c>
      <c r="J4" t="s">
        <v>601</v>
      </c>
      <c r="K4" t="s">
        <v>598</v>
      </c>
      <c r="L4" t="s">
        <v>580</v>
      </c>
      <c r="M4" t="s">
        <v>581</v>
      </c>
      <c r="N4" t="s">
        <v>792</v>
      </c>
    </row>
    <row r="5" spans="1:14" x14ac:dyDescent="0.45">
      <c r="A5" t="s">
        <v>413</v>
      </c>
      <c r="B5">
        <v>2011</v>
      </c>
      <c r="C5">
        <v>0.03</v>
      </c>
      <c r="D5">
        <v>2.5000000000000001E-2</v>
      </c>
      <c r="E5">
        <v>5.5E-2</v>
      </c>
      <c r="F5">
        <v>0.24</v>
      </c>
      <c r="I5">
        <v>8.8999999999999996E-2</v>
      </c>
      <c r="J5">
        <v>6.2E-2</v>
      </c>
      <c r="M5" s="55" t="s">
        <v>602</v>
      </c>
    </row>
    <row r="6" spans="1:14" x14ac:dyDescent="0.45">
      <c r="A6" t="s">
        <v>413</v>
      </c>
      <c r="B6">
        <v>2015</v>
      </c>
      <c r="D6">
        <v>0.02</v>
      </c>
      <c r="E6">
        <v>5.3999999999999999E-2</v>
      </c>
      <c r="F6">
        <v>0.2</v>
      </c>
      <c r="I6">
        <v>9.0999999999999998E-2</v>
      </c>
      <c r="J6">
        <v>7.0000000000000007E-2</v>
      </c>
      <c r="M6" s="55" t="s">
        <v>603</v>
      </c>
    </row>
    <row r="7" spans="1:14" x14ac:dyDescent="0.45">
      <c r="A7" t="s">
        <v>413</v>
      </c>
      <c r="B7">
        <v>2018</v>
      </c>
      <c r="D7">
        <v>0.02</v>
      </c>
      <c r="E7">
        <v>4.5499999999999999E-2</v>
      </c>
      <c r="F7">
        <v>0.17</v>
      </c>
      <c r="J7">
        <v>7.0000000000000007E-2</v>
      </c>
      <c r="M7" s="55" t="s">
        <v>604</v>
      </c>
    </row>
    <row r="8" spans="1:14" x14ac:dyDescent="0.45">
      <c r="A8" t="s">
        <v>413</v>
      </c>
      <c r="B8">
        <v>2021</v>
      </c>
      <c r="D8">
        <v>0.02</v>
      </c>
      <c r="E8">
        <v>1.9E-2</v>
      </c>
      <c r="F8">
        <v>0.249</v>
      </c>
      <c r="I8">
        <v>7.5999999999999998E-2</v>
      </c>
      <c r="K8">
        <v>3.5999999999999997E-2</v>
      </c>
      <c r="M8" s="55" t="s">
        <v>896</v>
      </c>
    </row>
    <row r="9" spans="1:14" s="25" customFormat="1" x14ac:dyDescent="0.45">
      <c r="A9" s="25" t="s">
        <v>203</v>
      </c>
      <c r="B9" s="25">
        <v>2013</v>
      </c>
      <c r="D9" s="25">
        <v>1.7500000000000002E-2</v>
      </c>
      <c r="E9" s="25">
        <v>7.2800000000000004E-2</v>
      </c>
      <c r="F9" s="25">
        <v>0.25</v>
      </c>
      <c r="I9" s="25">
        <v>0.1137</v>
      </c>
      <c r="M9" s="25" t="s">
        <v>775</v>
      </c>
    </row>
    <row r="10" spans="1:14" s="25" customFormat="1" x14ac:dyDescent="0.45">
      <c r="A10" s="25" t="s">
        <v>153</v>
      </c>
      <c r="B10" s="25">
        <v>2013</v>
      </c>
      <c r="D10" s="25">
        <v>1.7500000000000002E-2</v>
      </c>
      <c r="E10" s="25">
        <v>4.5109999999999997E-2</v>
      </c>
      <c r="F10" s="25">
        <v>0.19</v>
      </c>
      <c r="I10" s="25">
        <v>8.2600000000000007E-2</v>
      </c>
      <c r="M10" s="25" t="s">
        <v>775</v>
      </c>
    </row>
    <row r="11" spans="1:14" s="25" customFormat="1" x14ac:dyDescent="0.45">
      <c r="A11" s="25" t="s">
        <v>153</v>
      </c>
      <c r="B11" s="25">
        <v>2016</v>
      </c>
      <c r="D11" s="25">
        <v>1.7500000000000002E-2</v>
      </c>
      <c r="E11" s="25">
        <v>3.7100000000000001E-2</v>
      </c>
      <c r="F11" s="25">
        <v>0.19</v>
      </c>
      <c r="I11" s="25">
        <v>7.8899999999999998E-2</v>
      </c>
      <c r="M11" s="25" t="s">
        <v>775</v>
      </c>
    </row>
    <row r="12" spans="1:14" s="25" customFormat="1" x14ac:dyDescent="0.45">
      <c r="A12" s="25" t="s">
        <v>168</v>
      </c>
      <c r="B12" s="25">
        <v>2010</v>
      </c>
      <c r="D12" s="25">
        <v>1.4999999999999999E-2</v>
      </c>
      <c r="E12" s="25">
        <v>5.4100000000000002E-2</v>
      </c>
      <c r="F12" s="25">
        <v>0.22</v>
      </c>
      <c r="I12" s="25">
        <v>7.6999999999999999E-2</v>
      </c>
      <c r="M12" s="25" t="s">
        <v>775</v>
      </c>
    </row>
    <row r="13" spans="1:14" s="25" customFormat="1" x14ac:dyDescent="0.45">
      <c r="A13" s="25" t="s">
        <v>168</v>
      </c>
      <c r="B13" s="25">
        <v>2016</v>
      </c>
      <c r="D13" s="25">
        <v>1.4999999999999999E-2</v>
      </c>
      <c r="E13" s="25">
        <v>5.4100000000000002E-2</v>
      </c>
      <c r="F13" s="25">
        <v>0.22</v>
      </c>
      <c r="I13" s="25">
        <v>7.1499999999999994E-2</v>
      </c>
      <c r="M13" s="25" t="s">
        <v>775</v>
      </c>
    </row>
    <row r="14" spans="1:14" s="25" customFormat="1" x14ac:dyDescent="0.45">
      <c r="A14" s="25" t="s">
        <v>158</v>
      </c>
      <c r="B14" s="25">
        <v>2010</v>
      </c>
      <c r="D14" s="25">
        <v>1.0200000000000001E-2</v>
      </c>
      <c r="E14" s="25">
        <v>4.9500000000000002E-2</v>
      </c>
      <c r="F14" s="25">
        <v>0.29409999999999997</v>
      </c>
      <c r="I14" s="25">
        <v>7.9399999999999998E-2</v>
      </c>
      <c r="M14" s="25" t="s">
        <v>775</v>
      </c>
    </row>
    <row r="15" spans="1:14" s="25" customFormat="1" x14ac:dyDescent="0.45">
      <c r="A15" s="25" t="s">
        <v>158</v>
      </c>
      <c r="B15" s="25">
        <v>2015</v>
      </c>
      <c r="D15" s="25">
        <v>1.15E-2</v>
      </c>
      <c r="E15" s="25">
        <v>4.0599999999999997E-2</v>
      </c>
      <c r="F15" s="25">
        <v>0.29649999999999999</v>
      </c>
      <c r="I15" s="25">
        <v>6.4600000000000005E-2</v>
      </c>
      <c r="M15" s="25" t="s">
        <v>775</v>
      </c>
    </row>
    <row r="16" spans="1:14" s="25" customFormat="1" x14ac:dyDescent="0.45">
      <c r="A16" s="25" t="s">
        <v>293</v>
      </c>
      <c r="B16" s="25">
        <v>2012</v>
      </c>
      <c r="D16" s="25">
        <v>2.2100000000000002E-2</v>
      </c>
      <c r="E16" s="25">
        <v>6.9000000000000006E-2</v>
      </c>
      <c r="F16" s="25">
        <v>0.125</v>
      </c>
      <c r="I16" s="25">
        <v>0.1021</v>
      </c>
      <c r="M16" s="25" t="s">
        <v>775</v>
      </c>
    </row>
    <row r="17" spans="1:14" s="25" customFormat="1" x14ac:dyDescent="0.45">
      <c r="A17" s="25" t="s">
        <v>163</v>
      </c>
      <c r="B17" s="25">
        <v>2011</v>
      </c>
      <c r="D17" s="25">
        <v>2.1000000000000001E-2</v>
      </c>
      <c r="E17" s="25">
        <v>6.9000000000000006E-2</v>
      </c>
      <c r="F17" s="25">
        <v>0.37</v>
      </c>
      <c r="I17" s="25">
        <v>0.104</v>
      </c>
      <c r="M17" s="25" t="s">
        <v>775</v>
      </c>
    </row>
    <row r="18" spans="1:14" s="25" customFormat="1" x14ac:dyDescent="0.45">
      <c r="A18" s="25" t="s">
        <v>178</v>
      </c>
      <c r="B18" s="25">
        <v>2011</v>
      </c>
      <c r="D18" s="25">
        <v>1.7000000000000001E-2</v>
      </c>
      <c r="E18" s="25">
        <v>6.0999999999999999E-2</v>
      </c>
      <c r="F18" s="25">
        <v>0.28999999999999998</v>
      </c>
      <c r="I18" s="25">
        <v>0.111</v>
      </c>
      <c r="M18" s="25" t="s">
        <v>775</v>
      </c>
    </row>
    <row r="19" spans="1:14" s="25" customFormat="1" x14ac:dyDescent="0.45">
      <c r="A19" s="25" t="s">
        <v>179</v>
      </c>
      <c r="B19" s="25">
        <v>2011</v>
      </c>
      <c r="D19" s="25">
        <v>1.7000000000000001E-2</v>
      </c>
      <c r="E19" s="25">
        <v>5.5E-2</v>
      </c>
      <c r="F19" s="25">
        <v>0.30099999999999999</v>
      </c>
      <c r="I19" s="25">
        <v>0.1144</v>
      </c>
      <c r="M19" s="25" t="s">
        <v>775</v>
      </c>
    </row>
    <row r="20" spans="1:14" s="25" customFormat="1" x14ac:dyDescent="0.45">
      <c r="A20" s="25" t="s">
        <v>146</v>
      </c>
      <c r="B20" s="25">
        <v>2011</v>
      </c>
      <c r="D20" s="25">
        <v>0.02</v>
      </c>
      <c r="E20" s="25">
        <v>3.8399999999999997E-2</v>
      </c>
      <c r="F20" s="25">
        <v>0.26300000000000001</v>
      </c>
      <c r="I20" s="25">
        <v>9.4399999999999998E-2</v>
      </c>
      <c r="M20" s="25" t="s">
        <v>775</v>
      </c>
    </row>
    <row r="21" spans="1:14" s="25" customFormat="1" x14ac:dyDescent="0.45">
      <c r="A21" s="25" t="s">
        <v>146</v>
      </c>
      <c r="B21" s="25">
        <v>2016</v>
      </c>
      <c r="D21" s="25">
        <v>0.02</v>
      </c>
      <c r="E21" s="25">
        <v>3.8399999999999997E-2</v>
      </c>
      <c r="F21" s="25">
        <v>0.26300000000000001</v>
      </c>
      <c r="I21" s="25">
        <v>9.4399999999999998E-2</v>
      </c>
      <c r="M21" s="25" t="s">
        <v>775</v>
      </c>
    </row>
    <row r="22" spans="1:14" x14ac:dyDescent="0.45">
      <c r="A22" t="s">
        <v>203</v>
      </c>
      <c r="B22">
        <v>2020</v>
      </c>
      <c r="D22" s="25">
        <v>1.6750000000000001E-2</v>
      </c>
      <c r="E22">
        <v>2.53E-2</v>
      </c>
      <c r="F22">
        <v>0.25</v>
      </c>
      <c r="I22">
        <v>7.9100000000000004E-2</v>
      </c>
      <c r="M22" s="55" t="s">
        <v>698</v>
      </c>
      <c r="N22" s="55" t="s">
        <v>793</v>
      </c>
    </row>
    <row r="23" spans="1:14" x14ac:dyDescent="0.45">
      <c r="A23" t="s">
        <v>153</v>
      </c>
      <c r="B23">
        <v>2020</v>
      </c>
      <c r="D23">
        <v>1.6750000000000001E-2</v>
      </c>
      <c r="E23">
        <v>3.73E-2</v>
      </c>
      <c r="F23">
        <v>0.19</v>
      </c>
      <c r="I23">
        <v>7.2499999999999995E-2</v>
      </c>
      <c r="M23" s="55" t="s">
        <v>698</v>
      </c>
      <c r="N23" s="55" t="s">
        <v>793</v>
      </c>
    </row>
    <row r="24" spans="1:14" x14ac:dyDescent="0.45">
      <c r="A24" t="s">
        <v>158</v>
      </c>
      <c r="B24">
        <v>2020</v>
      </c>
      <c r="M24" s="55" t="s">
        <v>698</v>
      </c>
      <c r="N24" s="55" t="s">
        <v>793</v>
      </c>
    </row>
    <row r="25" spans="1:14" x14ac:dyDescent="0.45">
      <c r="A25" t="s">
        <v>149</v>
      </c>
      <c r="B25">
        <v>2020</v>
      </c>
      <c r="D25">
        <v>1.6750000000000001E-2</v>
      </c>
      <c r="E25">
        <v>4.9099999999999998E-2</v>
      </c>
      <c r="F25">
        <v>0.24</v>
      </c>
      <c r="I25">
        <v>9.3299999999999994E-2</v>
      </c>
      <c r="M25" s="55" t="s">
        <v>698</v>
      </c>
      <c r="N25" s="55" t="s">
        <v>793</v>
      </c>
    </row>
    <row r="26" spans="1:14" x14ac:dyDescent="0.45">
      <c r="A26" t="s">
        <v>161</v>
      </c>
      <c r="B26">
        <v>2020</v>
      </c>
      <c r="D26">
        <v>1.6750000000000001E-2</v>
      </c>
      <c r="E26">
        <v>3.9199999999999999E-2</v>
      </c>
      <c r="F26">
        <v>0.18</v>
      </c>
      <c r="I26">
        <v>6.3799999999999996E-2</v>
      </c>
      <c r="M26" s="55" t="s">
        <v>698</v>
      </c>
      <c r="N26" s="55" t="s">
        <v>793</v>
      </c>
    </row>
    <row r="27" spans="1:14" x14ac:dyDescent="0.45">
      <c r="A27" t="s">
        <v>143</v>
      </c>
      <c r="B27">
        <v>2020</v>
      </c>
      <c r="D27">
        <v>1.6750000000000001E-2</v>
      </c>
      <c r="E27">
        <v>4.2799999999999998E-2</v>
      </c>
      <c r="F27">
        <v>0.09</v>
      </c>
      <c r="I27">
        <v>7.0000000000000007E-2</v>
      </c>
      <c r="M27" s="55" t="s">
        <v>698</v>
      </c>
      <c r="N27" s="55" t="s">
        <v>793</v>
      </c>
    </row>
    <row r="28" spans="1:14" x14ac:dyDescent="0.45">
      <c r="A28" t="s">
        <v>165</v>
      </c>
      <c r="B28">
        <v>2020</v>
      </c>
      <c r="D28">
        <v>1.6750000000000001E-2</v>
      </c>
      <c r="E28">
        <v>5.4899999999999997E-2</v>
      </c>
      <c r="F28">
        <v>0.2</v>
      </c>
      <c r="I28">
        <v>7.0699999999999999E-2</v>
      </c>
      <c r="L28" t="s">
        <v>776</v>
      </c>
      <c r="M28" s="55" t="s">
        <v>698</v>
      </c>
      <c r="N28" s="55" t="s">
        <v>793</v>
      </c>
    </row>
    <row r="29" spans="1:14" x14ac:dyDescent="0.45">
      <c r="A29" t="s">
        <v>163</v>
      </c>
      <c r="B29">
        <v>2020</v>
      </c>
      <c r="D29">
        <v>1.6750000000000001E-2</v>
      </c>
      <c r="E29">
        <v>4.6100000000000002E-2</v>
      </c>
      <c r="F29">
        <v>0.32900000000000001</v>
      </c>
      <c r="I29">
        <v>8.5500000000000007E-2</v>
      </c>
      <c r="M29" s="55" t="s">
        <v>698</v>
      </c>
      <c r="N29" s="55" t="s">
        <v>793</v>
      </c>
    </row>
    <row r="30" spans="1:14" x14ac:dyDescent="0.45">
      <c r="A30" t="s">
        <v>156</v>
      </c>
      <c r="B30">
        <v>2020</v>
      </c>
      <c r="D30">
        <v>1.6750000000000001E-2</v>
      </c>
      <c r="E30">
        <v>2.9100000000000001E-2</v>
      </c>
      <c r="F30">
        <v>0.25</v>
      </c>
      <c r="I30">
        <v>5.7099999999999998E-2</v>
      </c>
      <c r="M30" s="55" t="s">
        <v>698</v>
      </c>
      <c r="N30" s="55" t="s">
        <v>793</v>
      </c>
    </row>
    <row r="31" spans="1:14" x14ac:dyDescent="0.45">
      <c r="A31" t="s">
        <v>159</v>
      </c>
      <c r="B31">
        <v>2020</v>
      </c>
      <c r="D31">
        <v>1.6750000000000001E-2</v>
      </c>
      <c r="E31">
        <v>0.05</v>
      </c>
      <c r="F31">
        <v>0.23</v>
      </c>
      <c r="I31">
        <v>9.0499999999999997E-2</v>
      </c>
      <c r="M31" s="55" t="s">
        <v>698</v>
      </c>
      <c r="N31" s="55" t="s">
        <v>793</v>
      </c>
    </row>
    <row r="32" spans="1:14" x14ac:dyDescent="0.45">
      <c r="A32" t="s">
        <v>169</v>
      </c>
      <c r="B32">
        <v>2020</v>
      </c>
      <c r="D32">
        <v>1.6750000000000001E-2</v>
      </c>
      <c r="E32">
        <v>4.0500000000000001E-2</v>
      </c>
      <c r="F32">
        <v>0.19</v>
      </c>
      <c r="I32">
        <v>7.1599999999999997E-2</v>
      </c>
      <c r="L32" t="s">
        <v>776</v>
      </c>
      <c r="M32" s="55" t="s">
        <v>698</v>
      </c>
      <c r="N32" s="55" t="s">
        <v>793</v>
      </c>
    </row>
    <row r="33" spans="1:14" s="25" customFormat="1" x14ac:dyDescent="0.45">
      <c r="A33" s="25" t="s">
        <v>146</v>
      </c>
      <c r="B33" s="25">
        <v>2020</v>
      </c>
      <c r="D33" s="25">
        <v>1.6750000000000001E-2</v>
      </c>
      <c r="E33" s="25">
        <v>3.2399999999999998E-2</v>
      </c>
      <c r="F33" s="25">
        <v>0.214</v>
      </c>
      <c r="I33" s="25">
        <v>6.4500000000000002E-2</v>
      </c>
      <c r="M33" s="55" t="s">
        <v>698</v>
      </c>
      <c r="N33" s="55" t="s">
        <v>793</v>
      </c>
    </row>
    <row r="34" spans="1:14" x14ac:dyDescent="0.45">
      <c r="A34" s="25" t="s">
        <v>203</v>
      </c>
      <c r="B34">
        <v>2019</v>
      </c>
      <c r="D34">
        <v>1.7500000000000002E-2</v>
      </c>
      <c r="E34">
        <v>2.53E-2</v>
      </c>
      <c r="F34">
        <v>0.25</v>
      </c>
      <c r="I34">
        <v>7.9100000000000004E-2</v>
      </c>
      <c r="M34" s="55" t="s">
        <v>699</v>
      </c>
      <c r="N34" s="55" t="s">
        <v>793</v>
      </c>
    </row>
    <row r="35" spans="1:14" x14ac:dyDescent="0.45">
      <c r="A35" s="25" t="s">
        <v>153</v>
      </c>
      <c r="B35">
        <v>2019</v>
      </c>
      <c r="D35">
        <v>1.7500000000000002E-2</v>
      </c>
      <c r="E35">
        <v>3.7100000000000001E-2</v>
      </c>
      <c r="F35">
        <v>0.19</v>
      </c>
      <c r="I35">
        <v>7.2499999999999995E-2</v>
      </c>
      <c r="M35" s="55" t="s">
        <v>699</v>
      </c>
      <c r="N35" s="55" t="s">
        <v>793</v>
      </c>
    </row>
    <row r="36" spans="1:14" x14ac:dyDescent="0.45">
      <c r="A36" s="25" t="s">
        <v>158</v>
      </c>
      <c r="B36">
        <v>2019</v>
      </c>
      <c r="D36">
        <v>1.7500000000000002E-2</v>
      </c>
      <c r="E36">
        <v>3.15E-2</v>
      </c>
      <c r="F36">
        <v>0.31090000000000001</v>
      </c>
      <c r="I36">
        <v>5.5500000000000001E-2</v>
      </c>
      <c r="M36" s="55" t="s">
        <v>699</v>
      </c>
      <c r="N36" s="55" t="s">
        <v>793</v>
      </c>
    </row>
    <row r="37" spans="1:14" x14ac:dyDescent="0.45">
      <c r="A37" s="25" t="s">
        <v>149</v>
      </c>
      <c r="B37">
        <v>2019</v>
      </c>
      <c r="D37">
        <v>1.7500000000000002E-2</v>
      </c>
      <c r="E37">
        <v>0.03</v>
      </c>
      <c r="F37">
        <v>0.19850000000000001</v>
      </c>
      <c r="I37">
        <v>0.1429</v>
      </c>
      <c r="M37" s="55" t="s">
        <v>699</v>
      </c>
      <c r="N37" s="55" t="s">
        <v>793</v>
      </c>
    </row>
    <row r="38" spans="1:14" x14ac:dyDescent="0.45">
      <c r="A38" s="25" t="s">
        <v>161</v>
      </c>
      <c r="B38">
        <v>2019</v>
      </c>
      <c r="D38">
        <v>1.7500000000000002E-2</v>
      </c>
      <c r="E38">
        <v>5.7799999999999997E-2</v>
      </c>
      <c r="F38">
        <v>0.2</v>
      </c>
      <c r="I38">
        <v>9.1300000000000006E-2</v>
      </c>
      <c r="M38" s="55" t="s">
        <v>699</v>
      </c>
      <c r="N38" s="55" t="s">
        <v>793</v>
      </c>
    </row>
    <row r="39" spans="1:14" x14ac:dyDescent="0.45">
      <c r="A39" s="25" t="s">
        <v>143</v>
      </c>
      <c r="B39">
        <v>2019</v>
      </c>
      <c r="D39">
        <v>1.7500000000000002E-2</v>
      </c>
      <c r="E39">
        <v>3.5000000000000003E-2</v>
      </c>
      <c r="F39">
        <v>0.09</v>
      </c>
      <c r="I39">
        <v>7.4899999999999994E-2</v>
      </c>
      <c r="M39" s="55" t="s">
        <v>699</v>
      </c>
      <c r="N39" s="55" t="s">
        <v>793</v>
      </c>
    </row>
    <row r="40" spans="1:14" x14ac:dyDescent="0.45">
      <c r="A40" s="25" t="s">
        <v>165</v>
      </c>
      <c r="B40">
        <v>2019</v>
      </c>
      <c r="D40">
        <v>1.7500000000000002E-2</v>
      </c>
      <c r="E40">
        <v>5.4899999999999997E-2</v>
      </c>
      <c r="F40">
        <v>0.2</v>
      </c>
      <c r="I40">
        <v>7.0699999999999999E-2</v>
      </c>
      <c r="L40" t="s">
        <v>776</v>
      </c>
      <c r="M40" s="55" t="s">
        <v>699</v>
      </c>
      <c r="N40" s="55" t="s">
        <v>793</v>
      </c>
    </row>
    <row r="41" spans="1:14" x14ac:dyDescent="0.45">
      <c r="A41" s="25" t="s">
        <v>163</v>
      </c>
      <c r="B41">
        <v>2019</v>
      </c>
      <c r="D41">
        <v>1.7500000000000002E-2</v>
      </c>
      <c r="E41">
        <v>4.6100000000000002E-2</v>
      </c>
      <c r="F41">
        <v>0.32900000000000001</v>
      </c>
      <c r="I41">
        <v>8.5500000000000007E-2</v>
      </c>
      <c r="M41" s="55" t="s">
        <v>699</v>
      </c>
      <c r="N41" s="55" t="s">
        <v>793</v>
      </c>
    </row>
    <row r="42" spans="1:14" x14ac:dyDescent="0.45">
      <c r="A42" s="25" t="s">
        <v>156</v>
      </c>
      <c r="B42">
        <v>2019</v>
      </c>
      <c r="D42">
        <v>1.7500000000000002E-2</v>
      </c>
      <c r="E42">
        <v>2.9100000000000001E-2</v>
      </c>
      <c r="F42">
        <v>0.25</v>
      </c>
      <c r="I42">
        <v>5.7099999999999998E-2</v>
      </c>
      <c r="M42" s="55" t="s">
        <v>699</v>
      </c>
      <c r="N42" s="55" t="s">
        <v>793</v>
      </c>
    </row>
    <row r="43" spans="1:14" x14ac:dyDescent="0.45">
      <c r="A43" s="25" t="s">
        <v>159</v>
      </c>
      <c r="B43">
        <v>2019</v>
      </c>
      <c r="D43">
        <v>1.7500000000000002E-2</v>
      </c>
      <c r="E43">
        <v>0.05</v>
      </c>
      <c r="F43">
        <v>0.23</v>
      </c>
      <c r="I43">
        <v>9.0499999999999997E-2</v>
      </c>
      <c r="M43" s="55" t="s">
        <v>699</v>
      </c>
      <c r="N43" s="55" t="s">
        <v>793</v>
      </c>
    </row>
    <row r="44" spans="1:14" x14ac:dyDescent="0.45">
      <c r="A44" s="25" t="s">
        <v>169</v>
      </c>
      <c r="B44">
        <v>2019</v>
      </c>
      <c r="D44">
        <v>1.7500000000000002E-2</v>
      </c>
      <c r="E44">
        <v>4.0500000000000001E-2</v>
      </c>
      <c r="F44">
        <v>0.19</v>
      </c>
      <c r="I44">
        <v>7.1599999999999997E-2</v>
      </c>
      <c r="L44" t="s">
        <v>776</v>
      </c>
      <c r="M44" s="55" t="s">
        <v>699</v>
      </c>
      <c r="N44" s="55" t="s">
        <v>793</v>
      </c>
    </row>
    <row r="45" spans="1:14" s="25" customFormat="1" x14ac:dyDescent="0.45">
      <c r="A45" s="25" t="s">
        <v>146</v>
      </c>
      <c r="B45" s="25">
        <v>2019</v>
      </c>
      <c r="D45" s="25">
        <v>1.7500000000000002E-2</v>
      </c>
      <c r="E45" s="25">
        <v>4.1599999999999998E-2</v>
      </c>
      <c r="F45" s="25">
        <v>0.22</v>
      </c>
      <c r="I45" s="25">
        <v>7.2800000000000004E-2</v>
      </c>
      <c r="M45" s="55" t="s">
        <v>699</v>
      </c>
      <c r="N45" s="55" t="s">
        <v>793</v>
      </c>
    </row>
    <row r="46" spans="1:14" x14ac:dyDescent="0.45">
      <c r="A46" s="25" t="s">
        <v>203</v>
      </c>
      <c r="B46">
        <v>2018</v>
      </c>
      <c r="D46">
        <v>1.9E-2</v>
      </c>
      <c r="E46">
        <v>2.53E-2</v>
      </c>
      <c r="F46">
        <v>0.25</v>
      </c>
      <c r="I46">
        <v>7.9100000000000004E-2</v>
      </c>
      <c r="M46" s="55" t="s">
        <v>700</v>
      </c>
      <c r="N46" s="55" t="s">
        <v>793</v>
      </c>
    </row>
    <row r="47" spans="1:14" x14ac:dyDescent="0.45">
      <c r="A47" s="25" t="s">
        <v>153</v>
      </c>
      <c r="B47">
        <v>2018</v>
      </c>
      <c r="D47">
        <v>1.9E-2</v>
      </c>
      <c r="E47">
        <v>3.7100000000000001E-2</v>
      </c>
      <c r="F47">
        <v>0.19</v>
      </c>
      <c r="I47">
        <v>7.8899999999999998E-2</v>
      </c>
      <c r="M47" s="55" t="s">
        <v>700</v>
      </c>
      <c r="N47" s="55" t="s">
        <v>793</v>
      </c>
    </row>
    <row r="48" spans="1:14" x14ac:dyDescent="0.45">
      <c r="A48" s="25" t="s">
        <v>158</v>
      </c>
      <c r="B48">
        <v>2018</v>
      </c>
      <c r="D48">
        <v>1.9E-2</v>
      </c>
      <c r="E48">
        <v>3.1600000000000003E-2</v>
      </c>
      <c r="F48">
        <v>0.31090000000000001</v>
      </c>
      <c r="I48">
        <v>5.6599999999999998E-2</v>
      </c>
      <c r="M48" s="55" t="s">
        <v>700</v>
      </c>
      <c r="N48" s="55" t="s">
        <v>793</v>
      </c>
    </row>
    <row r="49" spans="1:14" x14ac:dyDescent="0.45">
      <c r="A49" s="25" t="s">
        <v>149</v>
      </c>
      <c r="B49">
        <v>2018</v>
      </c>
      <c r="M49" s="55" t="s">
        <v>700</v>
      </c>
      <c r="N49" s="55" t="s">
        <v>793</v>
      </c>
    </row>
    <row r="50" spans="1:14" x14ac:dyDescent="0.45">
      <c r="A50" s="25" t="s">
        <v>161</v>
      </c>
      <c r="B50">
        <v>2018</v>
      </c>
      <c r="D50">
        <v>1.9E-2</v>
      </c>
      <c r="E50">
        <v>5.7799999999999997E-2</v>
      </c>
      <c r="F50">
        <v>0.2</v>
      </c>
      <c r="I50">
        <v>9.1300000000000006E-2</v>
      </c>
      <c r="M50" s="55" t="s">
        <v>700</v>
      </c>
      <c r="N50" s="55" t="s">
        <v>793</v>
      </c>
    </row>
    <row r="51" spans="1:14" x14ac:dyDescent="0.45">
      <c r="A51" s="25" t="s">
        <v>143</v>
      </c>
      <c r="B51">
        <v>2018</v>
      </c>
      <c r="D51">
        <v>1.9E-2</v>
      </c>
      <c r="E51">
        <v>3.5000000000000003E-2</v>
      </c>
      <c r="F51">
        <v>0.09</v>
      </c>
      <c r="I51">
        <v>8.2400000000000001E-2</v>
      </c>
      <c r="M51" s="55" t="s">
        <v>700</v>
      </c>
      <c r="N51" s="55" t="s">
        <v>793</v>
      </c>
    </row>
    <row r="52" spans="1:14" x14ac:dyDescent="0.45">
      <c r="A52" s="25" t="s">
        <v>165</v>
      </c>
      <c r="B52">
        <v>2018</v>
      </c>
      <c r="D52">
        <v>1.9E-2</v>
      </c>
      <c r="E52">
        <v>5.4899999999999997E-2</v>
      </c>
      <c r="F52">
        <v>0.2</v>
      </c>
      <c r="I52">
        <v>7.0999999999999994E-2</v>
      </c>
      <c r="L52" t="s">
        <v>776</v>
      </c>
      <c r="M52" s="55" t="s">
        <v>700</v>
      </c>
      <c r="N52" s="55" t="s">
        <v>793</v>
      </c>
    </row>
    <row r="53" spans="1:14" x14ac:dyDescent="0.45">
      <c r="A53" s="25" t="s">
        <v>163</v>
      </c>
      <c r="B53">
        <v>2018</v>
      </c>
      <c r="D53">
        <v>1.9E-2</v>
      </c>
      <c r="E53">
        <v>6.9699999999999998E-2</v>
      </c>
      <c r="F53">
        <v>0.36</v>
      </c>
      <c r="I53">
        <v>0.10249999999999999</v>
      </c>
      <c r="M53" s="55" t="s">
        <v>700</v>
      </c>
      <c r="N53" s="55" t="s">
        <v>793</v>
      </c>
    </row>
    <row r="54" spans="1:14" x14ac:dyDescent="0.45">
      <c r="A54" s="25" t="s">
        <v>156</v>
      </c>
      <c r="B54">
        <v>2018</v>
      </c>
      <c r="D54">
        <v>1.9E-2</v>
      </c>
      <c r="E54">
        <v>2.9100000000000001E-2</v>
      </c>
      <c r="F54">
        <v>0.25</v>
      </c>
      <c r="I54">
        <v>5.7099999999999998E-2</v>
      </c>
      <c r="M54" s="55" t="s">
        <v>700</v>
      </c>
      <c r="N54" s="55" t="s">
        <v>793</v>
      </c>
    </row>
    <row r="55" spans="1:14" x14ac:dyDescent="0.45">
      <c r="A55" s="25" t="s">
        <v>159</v>
      </c>
      <c r="B55">
        <v>2018</v>
      </c>
      <c r="D55">
        <v>1.9E-2</v>
      </c>
      <c r="E55">
        <v>0.05</v>
      </c>
      <c r="F55">
        <v>0.23</v>
      </c>
      <c r="I55">
        <v>9.0499999999999997E-2</v>
      </c>
      <c r="M55" s="55" t="s">
        <v>700</v>
      </c>
      <c r="N55" s="55" t="s">
        <v>793</v>
      </c>
    </row>
    <row r="56" spans="1:14" x14ac:dyDescent="0.45">
      <c r="A56" s="25" t="s">
        <v>169</v>
      </c>
      <c r="B56">
        <v>2018</v>
      </c>
      <c r="D56">
        <v>1.9E-2</v>
      </c>
      <c r="E56">
        <v>0.06</v>
      </c>
      <c r="F56">
        <v>0.17</v>
      </c>
      <c r="I56">
        <v>0.10150000000000001</v>
      </c>
      <c r="L56" t="s">
        <v>776</v>
      </c>
      <c r="M56" s="55" t="s">
        <v>700</v>
      </c>
      <c r="N56" s="55" t="s">
        <v>793</v>
      </c>
    </row>
    <row r="57" spans="1:14" x14ac:dyDescent="0.45">
      <c r="A57" t="s">
        <v>146</v>
      </c>
      <c r="B57">
        <v>2018</v>
      </c>
      <c r="D57">
        <v>1.9E-2</v>
      </c>
      <c r="E57">
        <v>4.1599999999999998E-2</v>
      </c>
      <c r="F57">
        <v>0.22</v>
      </c>
      <c r="I57">
        <v>7.2800000000000004E-2</v>
      </c>
      <c r="M57" s="55" t="s">
        <v>700</v>
      </c>
      <c r="N57" s="55" t="s">
        <v>793</v>
      </c>
    </row>
  </sheetData>
  <hyperlinks>
    <hyperlink ref="M5" r:id="rId1" xr:uid="{9BD825A0-2322-46B1-AA48-05DA2A2FA476}"/>
    <hyperlink ref="M6" r:id="rId2" xr:uid="{4F92957C-6FD3-4E48-BC8E-E227D5E9DAE9}"/>
    <hyperlink ref="M7" r:id="rId3" xr:uid="{63B02694-12B3-4DC3-BB19-A7D29CED532C}"/>
    <hyperlink ref="M22" r:id="rId4" xr:uid="{88349EF3-E5FB-4DB2-93D2-370C394FFD23}"/>
    <hyperlink ref="M23:M32" r:id="rId5" display="BEREC Report on Regulatory Accounting in Practice 2020, ch5" xr:uid="{AFA9817F-8D8F-4162-B081-37887A6008FB}"/>
    <hyperlink ref="M34" r:id="rId6" xr:uid="{2BA7907B-1689-43C0-BD6D-DB818C5A07C0}"/>
    <hyperlink ref="M35:M44" r:id="rId7" display="BEREC Report on Regulatory Accounting in Practice 2019, ch5" xr:uid="{089AC734-DB38-4D87-BD95-81BA3FEA4C2A}"/>
    <hyperlink ref="M46" r:id="rId8" xr:uid="{AA3F0241-0CA5-473C-89BF-358029E7093F}"/>
    <hyperlink ref="M47:M56" r:id="rId9" display="BEREC Report on Regulatory Accounting in Practice 2018, ch5" xr:uid="{BD2C9E1B-ACFC-4E53-9BA2-A40FA775C4DA}"/>
    <hyperlink ref="M33" r:id="rId10" xr:uid="{1B6AA5BC-98FE-439E-8D04-324D95E8B26A}"/>
    <hyperlink ref="M45" r:id="rId11" xr:uid="{62F31AB9-09A7-4D4A-AA12-8EC2B12A4C84}"/>
    <hyperlink ref="M57" r:id="rId12" xr:uid="{407A44DC-3577-41BD-B7FA-57DDE9F5059B}"/>
    <hyperlink ref="N22" r:id="rId13" xr:uid="{13EAF1F2-9B12-4719-890B-754F8886B7BA}"/>
    <hyperlink ref="N23:N57" r:id="rId14" display="ECB inflation outlook" xr:uid="{A0C2F919-7314-4846-8505-02F7F1FD8D7A}"/>
    <hyperlink ref="M8" r:id="rId15" display="Annualisation" xr:uid="{35496FC6-7983-4DF3-A186-2404991AB578}"/>
  </hyperlinks>
  <pageMargins left="0.7" right="0.7" top="0.75" bottom="0.75" header="0.3" footer="0.3"/>
  <pageSetup orientation="portrait" r:id="rId16"/>
  <tableParts count="1">
    <tablePart r:id="rId17"/>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896C2-C8C8-4834-B0E7-2D48F6A81A0E}">
  <dimension ref="A1:B140"/>
  <sheetViews>
    <sheetView defaultGridColor="0" colorId="22" workbookViewId="0">
      <pane ySplit="4" topLeftCell="A5" activePane="bottomLeft" state="frozen"/>
      <selection pane="bottomLeft" activeCell="A5" sqref="A5"/>
    </sheetView>
  </sheetViews>
  <sheetFormatPr defaultColWidth="12.86328125" defaultRowHeight="14.25" x14ac:dyDescent="0.45"/>
  <cols>
    <col min="1" max="1" width="9.265625" bestFit="1" customWidth="1"/>
    <col min="2" max="2" width="7.59765625" bestFit="1" customWidth="1"/>
    <col min="3" max="3" width="2.86328125" customWidth="1"/>
    <col min="4" max="4" width="42.86328125" customWidth="1"/>
  </cols>
  <sheetData>
    <row r="1" spans="1:2" ht="40.5" customHeight="1" x14ac:dyDescent="0.45">
      <c r="A1" s="48" t="s">
        <v>427</v>
      </c>
    </row>
    <row r="2" spans="1:2" x14ac:dyDescent="0.45">
      <c r="A2" s="29" t="s">
        <v>713</v>
      </c>
    </row>
    <row r="4" spans="1:2" x14ac:dyDescent="0.45">
      <c r="A4" t="s">
        <v>428</v>
      </c>
      <c r="B4" t="s">
        <v>429</v>
      </c>
    </row>
    <row r="5" spans="1:2" x14ac:dyDescent="0.45">
      <c r="A5" s="50" t="s">
        <v>430</v>
      </c>
      <c r="B5" s="25">
        <v>87.8</v>
      </c>
    </row>
    <row r="6" spans="1:2" x14ac:dyDescent="0.45">
      <c r="A6" s="50" t="s">
        <v>431</v>
      </c>
      <c r="B6" s="25">
        <v>88.2</v>
      </c>
    </row>
    <row r="7" spans="1:2" x14ac:dyDescent="0.45">
      <c r="A7" s="50" t="s">
        <v>432</v>
      </c>
      <c r="B7" s="25">
        <v>88.7</v>
      </c>
    </row>
    <row r="8" spans="1:2" x14ac:dyDescent="0.45">
      <c r="A8" s="50" t="s">
        <v>433</v>
      </c>
      <c r="B8" s="25">
        <v>89.2</v>
      </c>
    </row>
    <row r="9" spans="1:2" x14ac:dyDescent="0.45">
      <c r="A9" s="50" t="s">
        <v>434</v>
      </c>
      <c r="B9" s="25">
        <v>89.4</v>
      </c>
    </row>
    <row r="10" spans="1:2" x14ac:dyDescent="0.45">
      <c r="A10" s="50" t="s">
        <v>435</v>
      </c>
      <c r="B10" s="25">
        <v>89.5</v>
      </c>
    </row>
    <row r="11" spans="1:2" x14ac:dyDescent="0.45">
      <c r="A11" s="50" t="s">
        <v>436</v>
      </c>
      <c r="B11" s="25">
        <v>89.3</v>
      </c>
    </row>
    <row r="12" spans="1:2" x14ac:dyDescent="0.45">
      <c r="A12" s="50" t="s">
        <v>437</v>
      </c>
      <c r="B12" s="25">
        <v>89.8</v>
      </c>
    </row>
    <row r="13" spans="1:2" x14ac:dyDescent="0.45">
      <c r="A13" s="50" t="s">
        <v>438</v>
      </c>
      <c r="B13" s="25">
        <v>89.8</v>
      </c>
    </row>
    <row r="14" spans="1:2" x14ac:dyDescent="0.45">
      <c r="A14" s="50" t="s">
        <v>439</v>
      </c>
      <c r="B14" s="25">
        <v>90</v>
      </c>
    </row>
    <row r="15" spans="1:2" x14ac:dyDescent="0.45">
      <c r="A15" s="50" t="s">
        <v>440</v>
      </c>
      <c r="B15" s="25">
        <v>90.3</v>
      </c>
    </row>
    <row r="16" spans="1:2" x14ac:dyDescent="0.45">
      <c r="A16" s="50" t="s">
        <v>441</v>
      </c>
      <c r="B16" s="25">
        <v>91.2</v>
      </c>
    </row>
    <row r="17" spans="1:2" x14ac:dyDescent="0.45">
      <c r="A17" s="50" t="s">
        <v>442</v>
      </c>
      <c r="B17" s="25">
        <v>91.3</v>
      </c>
    </row>
    <row r="18" spans="1:2" x14ac:dyDescent="0.45">
      <c r="A18" s="50" t="s">
        <v>443</v>
      </c>
      <c r="B18" s="25">
        <v>92</v>
      </c>
    </row>
    <row r="19" spans="1:2" x14ac:dyDescent="0.45">
      <c r="A19" s="50" t="s">
        <v>444</v>
      </c>
      <c r="B19" s="25">
        <v>92.2</v>
      </c>
    </row>
    <row r="20" spans="1:2" x14ac:dyDescent="0.45">
      <c r="A20" s="50" t="s">
        <v>445</v>
      </c>
      <c r="B20" s="25">
        <v>93.2</v>
      </c>
    </row>
    <row r="21" spans="1:2" x14ac:dyDescent="0.45">
      <c r="A21" s="50" t="s">
        <v>446</v>
      </c>
      <c r="B21" s="25">
        <v>93.4</v>
      </c>
    </row>
    <row r="22" spans="1:2" x14ac:dyDescent="0.45">
      <c r="A22" s="50" t="s">
        <v>447</v>
      </c>
      <c r="B22" s="25">
        <v>93.3</v>
      </c>
    </row>
    <row r="23" spans="1:2" x14ac:dyDescent="0.45">
      <c r="A23" s="50" t="s">
        <v>448</v>
      </c>
      <c r="B23" s="25">
        <v>93.3</v>
      </c>
    </row>
    <row r="24" spans="1:2" x14ac:dyDescent="0.45">
      <c r="A24" s="50" t="s">
        <v>449</v>
      </c>
      <c r="B24" s="25">
        <v>93.8</v>
      </c>
    </row>
    <row r="25" spans="1:2" x14ac:dyDescent="0.45">
      <c r="A25" s="50" t="s">
        <v>450</v>
      </c>
      <c r="B25" s="25">
        <v>94.4</v>
      </c>
    </row>
    <row r="26" spans="1:2" x14ac:dyDescent="0.45">
      <c r="A26" s="50" t="s">
        <v>451</v>
      </c>
      <c r="B26" s="25">
        <v>94.5</v>
      </c>
    </row>
    <row r="27" spans="1:2" x14ac:dyDescent="0.45">
      <c r="A27" s="50" t="s">
        <v>452</v>
      </c>
      <c r="B27" s="25">
        <v>94.6</v>
      </c>
    </row>
    <row r="28" spans="1:2" x14ac:dyDescent="0.45">
      <c r="A28" s="50" t="s">
        <v>453</v>
      </c>
      <c r="B28" s="25">
        <v>95.1</v>
      </c>
    </row>
    <row r="29" spans="1:2" x14ac:dyDescent="0.45">
      <c r="A29" s="50" t="s">
        <v>454</v>
      </c>
      <c r="B29" s="25">
        <v>94.6</v>
      </c>
    </row>
    <row r="30" spans="1:2" x14ac:dyDescent="0.45">
      <c r="A30" s="50" t="s">
        <v>455</v>
      </c>
      <c r="B30" s="25">
        <v>95.1</v>
      </c>
    </row>
    <row r="31" spans="1:2" x14ac:dyDescent="0.45">
      <c r="A31" s="50" t="s">
        <v>456</v>
      </c>
      <c r="B31" s="25">
        <v>95.4</v>
      </c>
    </row>
    <row r="32" spans="1:2" x14ac:dyDescent="0.45">
      <c r="A32" s="50" t="s">
        <v>457</v>
      </c>
      <c r="B32" s="25">
        <v>96</v>
      </c>
    </row>
    <row r="33" spans="1:2" x14ac:dyDescent="0.45">
      <c r="A33" s="50" t="s">
        <v>458</v>
      </c>
      <c r="B33" s="25">
        <v>95.9</v>
      </c>
    </row>
    <row r="34" spans="1:2" x14ac:dyDescent="0.45">
      <c r="A34" s="50" t="s">
        <v>459</v>
      </c>
      <c r="B34" s="25">
        <v>95.5</v>
      </c>
    </row>
    <row r="35" spans="1:2" x14ac:dyDescent="0.45">
      <c r="A35" s="50" t="s">
        <v>460</v>
      </c>
      <c r="B35" s="25">
        <v>95.6</v>
      </c>
    </row>
    <row r="36" spans="1:2" x14ac:dyDescent="0.45">
      <c r="A36" s="50" t="s">
        <v>461</v>
      </c>
      <c r="B36" s="25">
        <v>96.1</v>
      </c>
    </row>
    <row r="37" spans="1:2" x14ac:dyDescent="0.45">
      <c r="A37" s="50" t="s">
        <v>462</v>
      </c>
      <c r="B37" s="25">
        <v>96.5</v>
      </c>
    </row>
    <row r="38" spans="1:2" x14ac:dyDescent="0.45">
      <c r="A38" s="50" t="s">
        <v>463</v>
      </c>
      <c r="B38" s="25">
        <v>97</v>
      </c>
    </row>
    <row r="39" spans="1:2" x14ac:dyDescent="0.45">
      <c r="A39" s="50" t="s">
        <v>464</v>
      </c>
      <c r="B39" s="25">
        <v>97.2</v>
      </c>
    </row>
    <row r="40" spans="1:2" x14ac:dyDescent="0.45">
      <c r="A40" s="50" t="s">
        <v>465</v>
      </c>
      <c r="B40" s="25">
        <v>97.6</v>
      </c>
    </row>
    <row r="41" spans="1:2" x14ac:dyDescent="0.45">
      <c r="A41" s="50" t="s">
        <v>466</v>
      </c>
      <c r="B41" s="25">
        <v>97.1</v>
      </c>
    </row>
    <row r="42" spans="1:2" x14ac:dyDescent="0.45">
      <c r="A42" s="50" t="s">
        <v>467</v>
      </c>
      <c r="B42" s="25">
        <v>97.8</v>
      </c>
    </row>
    <row r="43" spans="1:2" x14ac:dyDescent="0.45">
      <c r="A43" s="50" t="s">
        <v>468</v>
      </c>
      <c r="B43" s="25">
        <v>98.1</v>
      </c>
    </row>
    <row r="44" spans="1:2" x14ac:dyDescent="0.45">
      <c r="A44" s="50" t="s">
        <v>469</v>
      </c>
      <c r="B44" s="25">
        <v>98.3</v>
      </c>
    </row>
    <row r="45" spans="1:2" x14ac:dyDescent="0.45">
      <c r="A45" s="50" t="s">
        <v>470</v>
      </c>
      <c r="B45" s="25">
        <v>98.5</v>
      </c>
    </row>
    <row r="46" spans="1:2" x14ac:dyDescent="0.45">
      <c r="A46" s="50" t="s">
        <v>471</v>
      </c>
      <c r="B46" s="25">
        <v>98.3</v>
      </c>
    </row>
    <row r="47" spans="1:2" x14ac:dyDescent="0.45">
      <c r="A47" s="50" t="s">
        <v>472</v>
      </c>
      <c r="B47" s="25">
        <v>98.3</v>
      </c>
    </row>
    <row r="48" spans="1:2" x14ac:dyDescent="0.45">
      <c r="A48" s="50" t="s">
        <v>473</v>
      </c>
      <c r="B48" s="25">
        <v>98.7</v>
      </c>
    </row>
    <row r="49" spans="1:2" x14ac:dyDescent="0.45">
      <c r="A49" s="50" t="s">
        <v>474</v>
      </c>
      <c r="B49" s="25">
        <v>99.1</v>
      </c>
    </row>
    <row r="50" spans="1:2" x14ac:dyDescent="0.45">
      <c r="A50" s="50" t="s">
        <v>475</v>
      </c>
      <c r="B50" s="25">
        <v>99.1</v>
      </c>
    </row>
    <row r="51" spans="1:2" x14ac:dyDescent="0.45">
      <c r="A51" s="50" t="s">
        <v>476</v>
      </c>
      <c r="B51" s="25">
        <v>99.2</v>
      </c>
    </row>
    <row r="52" spans="1:2" x14ac:dyDescent="0.45">
      <c r="A52" s="50" t="s">
        <v>477</v>
      </c>
      <c r="B52" s="25">
        <v>99.6</v>
      </c>
    </row>
    <row r="53" spans="1:2" x14ac:dyDescent="0.45">
      <c r="A53" s="50" t="s">
        <v>478</v>
      </c>
      <c r="B53" s="25">
        <v>99</v>
      </c>
    </row>
    <row r="54" spans="1:2" x14ac:dyDescent="0.45">
      <c r="A54" s="50" t="s">
        <v>479</v>
      </c>
      <c r="B54" s="25">
        <v>99.5</v>
      </c>
    </row>
    <row r="55" spans="1:2" x14ac:dyDescent="0.45">
      <c r="A55" s="50" t="s">
        <v>480</v>
      </c>
      <c r="B55" s="25">
        <v>99.7</v>
      </c>
    </row>
    <row r="56" spans="1:2" x14ac:dyDescent="0.45">
      <c r="A56" s="50" t="s">
        <v>481</v>
      </c>
      <c r="B56" s="25">
        <v>100.1</v>
      </c>
    </row>
    <row r="57" spans="1:2" x14ac:dyDescent="0.45">
      <c r="A57" s="50" t="s">
        <v>482</v>
      </c>
      <c r="B57" s="25">
        <v>100</v>
      </c>
    </row>
    <row r="58" spans="1:2" x14ac:dyDescent="0.45">
      <c r="A58" s="50" t="s">
        <v>483</v>
      </c>
      <c r="B58" s="25">
        <v>100.2</v>
      </c>
    </row>
    <row r="59" spans="1:2" x14ac:dyDescent="0.45">
      <c r="A59" s="50" t="s">
        <v>484</v>
      </c>
      <c r="B59" s="25">
        <v>99.9</v>
      </c>
    </row>
    <row r="60" spans="1:2" x14ac:dyDescent="0.45">
      <c r="A60" s="50" t="s">
        <v>485</v>
      </c>
      <c r="B60" s="25">
        <v>100.2</v>
      </c>
    </row>
    <row r="61" spans="1:2" x14ac:dyDescent="0.45">
      <c r="A61" s="50" t="s">
        <v>486</v>
      </c>
      <c r="B61" s="25">
        <v>100.3</v>
      </c>
    </row>
    <row r="62" spans="1:2" x14ac:dyDescent="0.45">
      <c r="A62" s="50" t="s">
        <v>487</v>
      </c>
      <c r="B62" s="25">
        <v>100.4</v>
      </c>
    </row>
    <row r="63" spans="1:2" x14ac:dyDescent="0.45">
      <c r="A63" s="50" t="s">
        <v>488</v>
      </c>
      <c r="B63" s="25">
        <v>100.1</v>
      </c>
    </row>
    <row r="64" spans="1:2" x14ac:dyDescent="0.45">
      <c r="A64" s="50" t="s">
        <v>489</v>
      </c>
      <c r="B64" s="25">
        <v>100.1</v>
      </c>
    </row>
    <row r="65" spans="1:2" x14ac:dyDescent="0.45">
      <c r="A65" s="50" t="s">
        <v>490</v>
      </c>
      <c r="B65" s="25">
        <v>99.3</v>
      </c>
    </row>
    <row r="66" spans="1:2" x14ac:dyDescent="0.45">
      <c r="A66" s="50" t="s">
        <v>491</v>
      </c>
      <c r="B66" s="25">
        <v>99.5</v>
      </c>
    </row>
    <row r="67" spans="1:2" x14ac:dyDescent="0.45">
      <c r="A67" s="50" t="s">
        <v>492</v>
      </c>
      <c r="B67" s="25">
        <v>99.7</v>
      </c>
    </row>
    <row r="68" spans="1:2" x14ac:dyDescent="0.45">
      <c r="A68" s="50" t="s">
        <v>493</v>
      </c>
      <c r="B68" s="25">
        <v>99.9</v>
      </c>
    </row>
    <row r="69" spans="1:2" x14ac:dyDescent="0.45">
      <c r="A69" s="50" t="s">
        <v>494</v>
      </c>
      <c r="B69" s="25">
        <v>100.1</v>
      </c>
    </row>
    <row r="70" spans="1:2" x14ac:dyDescent="0.45">
      <c r="A70" s="50" t="s">
        <v>495</v>
      </c>
      <c r="B70" s="25">
        <v>100.2</v>
      </c>
    </row>
    <row r="71" spans="1:2" x14ac:dyDescent="0.45">
      <c r="A71" s="50" t="s">
        <v>496</v>
      </c>
      <c r="B71" s="25">
        <v>100</v>
      </c>
    </row>
    <row r="72" spans="1:2" x14ac:dyDescent="0.45">
      <c r="A72" s="50" t="s">
        <v>497</v>
      </c>
      <c r="B72" s="25">
        <v>100.3</v>
      </c>
    </row>
    <row r="73" spans="1:2" x14ac:dyDescent="0.45">
      <c r="A73" s="50" t="s">
        <v>498</v>
      </c>
      <c r="B73" s="25">
        <v>100.2</v>
      </c>
    </row>
    <row r="74" spans="1:2" x14ac:dyDescent="0.45">
      <c r="A74" s="50" t="s">
        <v>499</v>
      </c>
      <c r="B74" s="25">
        <v>100.3</v>
      </c>
    </row>
    <row r="75" spans="1:2" x14ac:dyDescent="0.45">
      <c r="A75" s="50" t="s">
        <v>500</v>
      </c>
      <c r="B75" s="25">
        <v>100.3</v>
      </c>
    </row>
    <row r="76" spans="1:2" x14ac:dyDescent="0.45">
      <c r="A76" s="50" t="s">
        <v>501</v>
      </c>
      <c r="B76" s="25">
        <v>100.3</v>
      </c>
    </row>
    <row r="77" spans="1:2" x14ac:dyDescent="0.45">
      <c r="A77" s="50" t="s">
        <v>502</v>
      </c>
      <c r="B77" s="25">
        <v>99.5</v>
      </c>
    </row>
    <row r="78" spans="1:2" x14ac:dyDescent="0.45">
      <c r="A78" s="50" t="s">
        <v>503</v>
      </c>
      <c r="B78" s="25">
        <v>99.8</v>
      </c>
    </row>
    <row r="79" spans="1:2" x14ac:dyDescent="0.45">
      <c r="A79" s="50" t="s">
        <v>504</v>
      </c>
      <c r="B79" s="25">
        <v>100.2</v>
      </c>
    </row>
    <row r="80" spans="1:2" x14ac:dyDescent="0.45">
      <c r="A80" s="50" t="s">
        <v>505</v>
      </c>
      <c r="B80" s="25">
        <v>100.2</v>
      </c>
    </row>
    <row r="81" spans="1:2" x14ac:dyDescent="0.45">
      <c r="A81" s="50" t="s">
        <v>506</v>
      </c>
      <c r="B81" s="25">
        <v>100.4</v>
      </c>
    </row>
    <row r="82" spans="1:2" x14ac:dyDescent="0.45">
      <c r="A82" s="50" t="s">
        <v>507</v>
      </c>
      <c r="B82" s="25">
        <v>100.6</v>
      </c>
    </row>
    <row r="83" spans="1:2" x14ac:dyDescent="0.45">
      <c r="A83" s="50" t="s">
        <v>508</v>
      </c>
      <c r="B83" s="25">
        <v>100.6</v>
      </c>
    </row>
    <row r="84" spans="1:2" x14ac:dyDescent="0.45">
      <c r="A84" s="50" t="s">
        <v>509</v>
      </c>
      <c r="B84" s="25">
        <v>100.9</v>
      </c>
    </row>
    <row r="85" spans="1:2" x14ac:dyDescent="0.45">
      <c r="A85" s="50" t="s">
        <v>510</v>
      </c>
      <c r="B85" s="25">
        <v>101.1</v>
      </c>
    </row>
    <row r="86" spans="1:2" x14ac:dyDescent="0.45">
      <c r="A86" s="50" t="s">
        <v>511</v>
      </c>
      <c r="B86" s="25">
        <v>101.2</v>
      </c>
    </row>
    <row r="87" spans="1:2" x14ac:dyDescent="0.45">
      <c r="A87" s="50" t="s">
        <v>512</v>
      </c>
      <c r="B87" s="25">
        <v>101.4</v>
      </c>
    </row>
    <row r="88" spans="1:2" x14ac:dyDescent="0.45">
      <c r="A88" s="50" t="s">
        <v>513</v>
      </c>
      <c r="B88" s="25">
        <v>101.9</v>
      </c>
    </row>
    <row r="89" spans="1:2" x14ac:dyDescent="0.45">
      <c r="A89" s="50" t="s">
        <v>514</v>
      </c>
      <c r="B89" s="25">
        <v>101.4</v>
      </c>
    </row>
    <row r="90" spans="1:2" x14ac:dyDescent="0.45">
      <c r="A90" s="50" t="s">
        <v>515</v>
      </c>
      <c r="B90" s="25">
        <v>102.1</v>
      </c>
    </row>
    <row r="91" spans="1:2" x14ac:dyDescent="0.45">
      <c r="A91" s="50" t="s">
        <v>516</v>
      </c>
      <c r="B91" s="25">
        <v>102.5</v>
      </c>
    </row>
    <row r="92" spans="1:2" x14ac:dyDescent="0.45">
      <c r="A92" s="50" t="s">
        <v>517</v>
      </c>
      <c r="B92" s="25">
        <v>102.9</v>
      </c>
    </row>
    <row r="93" spans="1:2" x14ac:dyDescent="0.45">
      <c r="A93" s="50" t="s">
        <v>518</v>
      </c>
      <c r="B93" s="25">
        <v>103.3</v>
      </c>
    </row>
    <row r="94" spans="1:2" x14ac:dyDescent="0.45">
      <c r="A94" s="50" t="s">
        <v>519</v>
      </c>
      <c r="B94" s="25">
        <v>103.3</v>
      </c>
    </row>
    <row r="95" spans="1:2" x14ac:dyDescent="0.45">
      <c r="A95" s="50" t="s">
        <v>520</v>
      </c>
      <c r="B95" s="25">
        <v>103.2</v>
      </c>
    </row>
    <row r="96" spans="1:2" x14ac:dyDescent="0.45">
      <c r="A96" s="50" t="s">
        <v>521</v>
      </c>
      <c r="B96" s="25">
        <v>103.8</v>
      </c>
    </row>
    <row r="97" spans="1:2" x14ac:dyDescent="0.45">
      <c r="A97" s="50" t="s">
        <v>522</v>
      </c>
      <c r="B97" s="25">
        <v>104.1</v>
      </c>
    </row>
    <row r="98" spans="1:2" x14ac:dyDescent="0.45">
      <c r="A98" s="50" t="s">
        <v>523</v>
      </c>
      <c r="B98" s="25">
        <v>104.2</v>
      </c>
    </row>
    <row r="99" spans="1:2" x14ac:dyDescent="0.45">
      <c r="A99" s="50" t="s">
        <v>524</v>
      </c>
      <c r="B99" s="25">
        <v>104.6</v>
      </c>
    </row>
    <row r="100" spans="1:2" x14ac:dyDescent="0.45">
      <c r="A100" s="50" t="s">
        <v>525</v>
      </c>
      <c r="B100" s="25">
        <v>104.9</v>
      </c>
    </row>
    <row r="101" spans="1:2" x14ac:dyDescent="0.45">
      <c r="A101" s="50" t="s">
        <v>526</v>
      </c>
      <c r="B101" s="25">
        <v>104.4</v>
      </c>
    </row>
    <row r="102" spans="1:2" x14ac:dyDescent="0.45">
      <c r="A102" s="50" t="s">
        <v>527</v>
      </c>
      <c r="B102" s="25">
        <v>104.9</v>
      </c>
    </row>
    <row r="103" spans="1:2" x14ac:dyDescent="0.45">
      <c r="A103" s="50" t="s">
        <v>528</v>
      </c>
      <c r="B103" s="25">
        <v>105</v>
      </c>
    </row>
    <row r="104" spans="1:2" x14ac:dyDescent="0.45">
      <c r="A104" s="50" t="s">
        <v>529</v>
      </c>
      <c r="B104" s="25">
        <v>105.4</v>
      </c>
    </row>
    <row r="105" spans="1:2" x14ac:dyDescent="0.45">
      <c r="A105" s="50" t="s">
        <v>530</v>
      </c>
      <c r="B105" s="25">
        <v>105.8</v>
      </c>
    </row>
    <row r="106" spans="1:2" x14ac:dyDescent="0.45">
      <c r="A106" s="50" t="s">
        <v>531</v>
      </c>
      <c r="B106" s="25">
        <v>105.8</v>
      </c>
    </row>
    <row r="107" spans="1:2" x14ac:dyDescent="0.45">
      <c r="A107" s="50" t="s">
        <v>532</v>
      </c>
      <c r="B107" s="25">
        <v>105.8</v>
      </c>
    </row>
    <row r="108" spans="1:2" x14ac:dyDescent="0.45">
      <c r="A108" s="50" t="s">
        <v>533</v>
      </c>
      <c r="B108" s="25">
        <v>106.5</v>
      </c>
    </row>
    <row r="109" spans="1:2" x14ac:dyDescent="0.45">
      <c r="A109" s="50" t="s">
        <v>534</v>
      </c>
      <c r="B109" s="25">
        <v>106.6</v>
      </c>
    </row>
    <row r="110" spans="1:2" x14ac:dyDescent="0.45">
      <c r="A110" s="50" t="s">
        <v>535</v>
      </c>
      <c r="B110" s="25">
        <v>106.7</v>
      </c>
    </row>
    <row r="111" spans="1:2" x14ac:dyDescent="0.45">
      <c r="A111" s="50" t="s">
        <v>536</v>
      </c>
      <c r="B111" s="25">
        <v>107</v>
      </c>
    </row>
    <row r="112" spans="1:2" x14ac:dyDescent="0.45">
      <c r="A112" s="50" t="s">
        <v>537</v>
      </c>
      <c r="B112" s="25">
        <v>107.1</v>
      </c>
    </row>
    <row r="113" spans="1:2" x14ac:dyDescent="0.45">
      <c r="A113" s="50" t="s">
        <v>538</v>
      </c>
      <c r="B113" s="25">
        <v>106.3</v>
      </c>
    </row>
    <row r="114" spans="1:2" x14ac:dyDescent="0.45">
      <c r="A114" s="50" t="s">
        <v>539</v>
      </c>
      <c r="B114" s="25">
        <v>106.8</v>
      </c>
    </row>
    <row r="115" spans="1:2" x14ac:dyDescent="0.45">
      <c r="A115" s="50" t="s">
        <v>540</v>
      </c>
      <c r="B115" s="25">
        <v>107</v>
      </c>
    </row>
    <row r="116" spans="1:2" x14ac:dyDescent="0.45">
      <c r="A116" s="50" t="s">
        <v>541</v>
      </c>
      <c r="B116" s="25">
        <v>107.6</v>
      </c>
    </row>
    <row r="117" spans="1:2" x14ac:dyDescent="0.45">
      <c r="A117" s="50" t="s">
        <v>542</v>
      </c>
      <c r="B117" s="25">
        <v>107.9</v>
      </c>
    </row>
    <row r="118" spans="1:2" x14ac:dyDescent="0.45">
      <c r="A118" s="50" t="s">
        <v>543</v>
      </c>
      <c r="B118" s="25">
        <v>107.9</v>
      </c>
    </row>
    <row r="119" spans="1:2" x14ac:dyDescent="0.45">
      <c r="A119" s="50" t="s">
        <v>544</v>
      </c>
      <c r="B119" s="25">
        <v>107.9</v>
      </c>
    </row>
    <row r="120" spans="1:2" x14ac:dyDescent="0.45">
      <c r="A120" s="50" t="s">
        <v>545</v>
      </c>
      <c r="B120" s="25">
        <v>108.4</v>
      </c>
    </row>
    <row r="121" spans="1:2" x14ac:dyDescent="0.45">
      <c r="A121" s="50" t="s">
        <v>546</v>
      </c>
      <c r="B121" s="25">
        <v>108.5</v>
      </c>
    </row>
    <row r="122" spans="1:2" x14ac:dyDescent="0.45">
      <c r="A122" s="50" t="s">
        <v>547</v>
      </c>
      <c r="B122" s="25">
        <v>108.3</v>
      </c>
    </row>
    <row r="123" spans="1:2" x14ac:dyDescent="0.45">
      <c r="A123" s="50" t="s">
        <v>548</v>
      </c>
      <c r="B123" s="25">
        <v>108.5</v>
      </c>
    </row>
    <row r="124" spans="1:2" x14ac:dyDescent="0.45">
      <c r="A124" s="50" t="s">
        <v>549</v>
      </c>
      <c r="B124" s="25">
        <v>108.5</v>
      </c>
    </row>
    <row r="125" spans="1:2" x14ac:dyDescent="0.45">
      <c r="A125" s="50" t="s">
        <v>550</v>
      </c>
      <c r="B125" s="25">
        <v>108.2</v>
      </c>
    </row>
    <row r="126" spans="1:2" x14ac:dyDescent="0.45">
      <c r="A126" s="50" t="s">
        <v>551</v>
      </c>
      <c r="B126" s="25">
        <v>108.6</v>
      </c>
    </row>
    <row r="127" spans="1:2" x14ac:dyDescent="0.45">
      <c r="A127" s="50" t="s">
        <v>552</v>
      </c>
      <c r="B127" s="25">
        <v>108.6</v>
      </c>
    </row>
    <row r="128" spans="1:2" x14ac:dyDescent="0.45">
      <c r="A128" s="50" t="s">
        <v>553</v>
      </c>
      <c r="B128" s="25">
        <v>108.5</v>
      </c>
    </row>
    <row r="129" spans="1:2" x14ac:dyDescent="0.45">
      <c r="A129" s="50" t="s">
        <v>554</v>
      </c>
      <c r="B129" s="25">
        <v>108.5</v>
      </c>
    </row>
    <row r="130" spans="1:2" x14ac:dyDescent="0.45">
      <c r="A130" s="50" t="s">
        <v>555</v>
      </c>
      <c r="B130" s="25">
        <v>108.6</v>
      </c>
    </row>
    <row r="131" spans="1:2" x14ac:dyDescent="0.45">
      <c r="A131" s="50" t="s">
        <v>556</v>
      </c>
      <c r="B131" s="25">
        <v>109.1</v>
      </c>
    </row>
    <row r="132" spans="1:2" x14ac:dyDescent="0.45">
      <c r="A132" s="50" t="s">
        <v>557</v>
      </c>
      <c r="B132" s="25">
        <v>108.6</v>
      </c>
    </row>
    <row r="133" spans="1:2" x14ac:dyDescent="0.45">
      <c r="A133" s="50" t="s">
        <v>558</v>
      </c>
      <c r="B133" s="25">
        <v>109.1</v>
      </c>
    </row>
    <row r="134" spans="1:2" x14ac:dyDescent="0.45">
      <c r="A134" s="50" t="s">
        <v>559</v>
      </c>
      <c r="B134" s="25">
        <v>109.1</v>
      </c>
    </row>
    <row r="135" spans="1:2" x14ac:dyDescent="0.45">
      <c r="A135" s="50" t="s">
        <v>560</v>
      </c>
      <c r="B135" s="25">
        <v>108.9</v>
      </c>
    </row>
    <row r="136" spans="1:2" x14ac:dyDescent="0.45">
      <c r="A136" s="50" t="s">
        <v>561</v>
      </c>
      <c r="B136" s="25">
        <v>109.2</v>
      </c>
    </row>
    <row r="137" spans="1:2" x14ac:dyDescent="0.45">
      <c r="A137" s="50" t="s">
        <v>562</v>
      </c>
      <c r="B137" s="25">
        <v>109</v>
      </c>
    </row>
    <row r="138" spans="1:2" x14ac:dyDescent="0.45">
      <c r="A138" s="50" t="s">
        <v>563</v>
      </c>
      <c r="B138" s="25">
        <v>109.1</v>
      </c>
    </row>
    <row r="139" spans="1:2" x14ac:dyDescent="0.45">
      <c r="A139" s="50" t="s">
        <v>659</v>
      </c>
      <c r="B139" s="25">
        <v>109.4</v>
      </c>
    </row>
    <row r="140" spans="1:2" x14ac:dyDescent="0.45">
      <c r="A140" s="50" t="s">
        <v>660</v>
      </c>
      <c r="B140" s="25">
        <v>110.1</v>
      </c>
    </row>
  </sheetData>
  <pageMargins left="0.7" right="0.7" top="0.75" bottom="0.75" header="0.3" footer="0.3"/>
  <pageSetup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3AF45-40FE-44CB-83C0-94025DDAB7A5}">
  <dimension ref="A1:AB133"/>
  <sheetViews>
    <sheetView defaultGridColor="0" colorId="22" workbookViewId="0">
      <pane ySplit="4" topLeftCell="A5" activePane="bottomLeft" state="frozen"/>
      <selection pane="bottomLeft" activeCell="A5" sqref="A5"/>
    </sheetView>
  </sheetViews>
  <sheetFormatPr defaultColWidth="12.86328125" defaultRowHeight="14.25" x14ac:dyDescent="0.45"/>
  <cols>
    <col min="1" max="1" width="30.1328125" bestFit="1" customWidth="1"/>
    <col min="2" max="2" width="14" bestFit="1" customWidth="1"/>
    <col min="3" max="3" width="13" bestFit="1" customWidth="1"/>
    <col min="4" max="4" width="30.73046875" bestFit="1" customWidth="1"/>
    <col min="5" max="5" width="13.86328125" bestFit="1" customWidth="1"/>
    <col min="6" max="6" width="15.59765625" bestFit="1" customWidth="1"/>
    <col min="7" max="7" width="5.59765625" bestFit="1" customWidth="1"/>
    <col min="8" max="8" width="15.1328125" bestFit="1" customWidth="1"/>
    <col min="9" max="9" width="11" bestFit="1" customWidth="1"/>
    <col min="10" max="10" width="11.73046875" bestFit="1" customWidth="1"/>
    <col min="11" max="11" width="12.86328125" style="25" bestFit="1" customWidth="1"/>
    <col min="12" max="12" width="17.265625" style="25" bestFit="1" customWidth="1"/>
    <col min="13" max="13" width="23.86328125" style="25" bestFit="1" customWidth="1"/>
    <col min="14" max="14" width="18.73046875" style="25" bestFit="1" customWidth="1"/>
    <col min="15" max="15" width="25.3984375" style="25" bestFit="1" customWidth="1"/>
    <col min="16" max="16" width="12.265625" style="25" bestFit="1" customWidth="1"/>
    <col min="17" max="18" width="13.86328125" style="25" bestFit="1" customWidth="1"/>
    <col min="19" max="19" width="12.73046875" style="25" bestFit="1" customWidth="1"/>
    <col min="20" max="20" width="13.86328125" style="25" bestFit="1" customWidth="1"/>
    <col min="21" max="21" width="9.3984375" bestFit="1" customWidth="1"/>
    <col min="22" max="22" width="10.1328125" bestFit="1" customWidth="1"/>
    <col min="23" max="23" width="14.59765625" bestFit="1" customWidth="1"/>
    <col min="24" max="24" width="11.59765625" bestFit="1" customWidth="1"/>
    <col min="25" max="25" width="13.265625" bestFit="1" customWidth="1"/>
    <col min="26" max="26" width="12" bestFit="1" customWidth="1"/>
    <col min="27" max="27" width="12.265625" bestFit="1" customWidth="1"/>
    <col min="28" max="28" width="12.73046875" bestFit="1" customWidth="1"/>
    <col min="29" max="29" width="12.1328125" bestFit="1" customWidth="1"/>
    <col min="30" max="30" width="10.1328125" bestFit="1" customWidth="1"/>
    <col min="31" max="31" width="12.1328125" bestFit="1" customWidth="1"/>
  </cols>
  <sheetData>
    <row r="1" spans="1:28" ht="40.5" customHeight="1" x14ac:dyDescent="0.45">
      <c r="A1" s="48" t="s">
        <v>583</v>
      </c>
    </row>
    <row r="2" spans="1:28" x14ac:dyDescent="0.45">
      <c r="A2" s="29" t="s">
        <v>904</v>
      </c>
    </row>
    <row r="4" spans="1:28" x14ac:dyDescent="0.45">
      <c r="A4" t="s">
        <v>73</v>
      </c>
      <c r="B4" t="s">
        <v>142</v>
      </c>
      <c r="C4" t="s">
        <v>75</v>
      </c>
      <c r="D4" t="s">
        <v>76</v>
      </c>
      <c r="E4" t="s">
        <v>77</v>
      </c>
      <c r="F4" t="s">
        <v>78</v>
      </c>
      <c r="G4" t="s">
        <v>141</v>
      </c>
      <c r="H4" t="s">
        <v>79</v>
      </c>
      <c r="I4" t="s">
        <v>80</v>
      </c>
      <c r="J4" t="s">
        <v>82</v>
      </c>
      <c r="K4" t="s">
        <v>605</v>
      </c>
      <c r="L4" t="s">
        <v>593</v>
      </c>
      <c r="M4" t="s">
        <v>777</v>
      </c>
      <c r="N4" t="s">
        <v>598</v>
      </c>
      <c r="O4" t="s">
        <v>778</v>
      </c>
      <c r="P4" t="s">
        <v>678</v>
      </c>
      <c r="Q4" t="s">
        <v>606</v>
      </c>
      <c r="R4" t="s">
        <v>607</v>
      </c>
      <c r="S4" t="s">
        <v>608</v>
      </c>
      <c r="T4" t="s">
        <v>609</v>
      </c>
      <c r="U4" t="s">
        <v>610</v>
      </c>
      <c r="V4" t="s">
        <v>611</v>
      </c>
      <c r="W4" t="s">
        <v>612</v>
      </c>
      <c r="X4" t="s">
        <v>613</v>
      </c>
      <c r="Y4" t="s">
        <v>615</v>
      </c>
      <c r="Z4" t="s">
        <v>616</v>
      </c>
      <c r="AA4" t="s">
        <v>614</v>
      </c>
      <c r="AB4" t="s">
        <v>617</v>
      </c>
    </row>
    <row r="5" spans="1:28" x14ac:dyDescent="0.45">
      <c r="A5" s="50" t="s">
        <v>634</v>
      </c>
      <c r="B5" s="50" t="s">
        <v>203</v>
      </c>
      <c r="C5" s="49">
        <v>40441</v>
      </c>
      <c r="D5" s="50" t="s">
        <v>100</v>
      </c>
      <c r="E5" s="25">
        <v>40</v>
      </c>
      <c r="F5" s="25">
        <v>16</v>
      </c>
      <c r="G5" s="50" t="s">
        <v>97</v>
      </c>
      <c r="H5" s="25">
        <v>11247323</v>
      </c>
      <c r="I5" s="25">
        <v>0</v>
      </c>
      <c r="J5" s="49"/>
      <c r="K5">
        <v>2010</v>
      </c>
      <c r="L5">
        <v>7.2800000000000004E-2</v>
      </c>
      <c r="M5" t="s">
        <v>779</v>
      </c>
      <c r="N5" s="50">
        <v>7.0909090909090866E-2</v>
      </c>
      <c r="O5" t="s">
        <v>779</v>
      </c>
      <c r="P5"/>
      <c r="Q5"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11247323</v>
      </c>
      <c r="R5" s="57">
        <f>C_UKEq_detail[[#This Row],[lf_pv_lcy]]*(1+C_UKEq_detail[[#This Row],[wacc_posttax_real]])^(YEARFRAC(C_UKEq_detail[[#This Row],[award_date]],C_UKEq_detail[[#This Row],[award_date]]+C_UKEq_detail[[#This Row],[delay_days]])*delay_adj*(C_UKEq_detail[[#This Row],[delay_days]]&gt;delay_threshold))</f>
        <v>11247323</v>
      </c>
      <c r="S5" s="57">
        <f>-PMT(C_UKEq_detail[[#This Row],[wacc_posttax_real]],C_UKEq_detail[[#This Row],[duration_years]],C_UKEq_detail[[#This Row],[lsv_lcy]])</f>
        <v>1197796.7682516398</v>
      </c>
      <c r="T5" s="57">
        <f>-PV(C_UKEq_detail[[#This Row],[wacc_posttax_real]],notional_term,C_UKEq_detail[[#This Row],[annuity_lcy]])</f>
        <v>12600308.102905879</v>
      </c>
      <c r="U5" s="58">
        <f>INDEX(I_PPP[],MATCH(C_UKEq_detail[[#This Row],[country]],I_PPP[country],0), MATCH(TEXT(C_UKEq_detail[[#This Row],[award_year]], "#"),I_PPP[#Headers],0))</f>
        <v>0.84154799999999996</v>
      </c>
      <c r="V5" s="58">
        <f>INDEX(I_PPP[],MATCH("United Kingdom",I_PPP[country],0), MATCH(TEXT(C_UKEq_detail[[#This Row],[award_year]], "#"),I_PPP[#Headers],0))</f>
        <v>0.70170699999999997</v>
      </c>
      <c r="W5" s="57">
        <f>C_UKEq_detail[[#This Row],[lsv_norm_lcy]]*C_UKEq_detail[[#This Row],[ppp_gbp]]/C_UKEq_detail[[#This Row],[ppp_lcy]]</f>
        <v>10506500.399223546</v>
      </c>
      <c r="X5" s="58">
        <f>eff_cpi_uk/SUMIFS(I_CPI_UK[index],I_CPI_UK[month],TEXT(C_UKEq_detail[[#This Row],[award_date]],"YYYY MMM"))</f>
        <v>1.2260579064587973</v>
      </c>
      <c r="Y5" s="57">
        <f>C_UKEq_detail[[#This Row],[lsv_norm_gbp]]*C_UKEq_detail[[#This Row],[cpi_factor]]</f>
        <v>12881577.883680539</v>
      </c>
      <c r="Z5" s="57">
        <f>INDEX(I_Population[], MATCH(C_UKEq_detail[[#This Row],[country]], I_Population[country], 0), MATCH(TEXT(C_UKEq_detail[[#This Row],[award_year]],"#"), I_Population[#Headers], 0))</f>
        <v>8363404</v>
      </c>
      <c r="AA5" s="58">
        <f>eff_pop_uk/C_UKEq_detail[[#This Row],[population]]</f>
        <v>7.9915219927197105</v>
      </c>
      <c r="AB5" s="57">
        <f>C_UKEq_detail[[#This Row],[lsv_real_gbp]]*C_UKEq_detail[[#This Row],[pop_factor]]</f>
        <v>102943412.95836486</v>
      </c>
    </row>
    <row r="6" spans="1:28" x14ac:dyDescent="0.45">
      <c r="A6" s="50" t="s">
        <v>634</v>
      </c>
      <c r="B6" s="50" t="s">
        <v>203</v>
      </c>
      <c r="C6" s="49">
        <v>40441</v>
      </c>
      <c r="D6" s="50" t="s">
        <v>99</v>
      </c>
      <c r="E6" s="25">
        <v>20</v>
      </c>
      <c r="F6" s="25">
        <v>16</v>
      </c>
      <c r="G6" s="50" t="s">
        <v>97</v>
      </c>
      <c r="H6" s="25">
        <v>4001003</v>
      </c>
      <c r="I6" s="25">
        <v>0</v>
      </c>
      <c r="J6" s="49"/>
      <c r="K6">
        <v>2010</v>
      </c>
      <c r="L6">
        <v>7.2800000000000004E-2</v>
      </c>
      <c r="M6" t="s">
        <v>779</v>
      </c>
      <c r="N6" s="50">
        <v>7.0909090909090866E-2</v>
      </c>
      <c r="O6" t="s">
        <v>779</v>
      </c>
      <c r="P6"/>
      <c r="Q6"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4001003</v>
      </c>
      <c r="R6" s="57">
        <f>C_UKEq_detail[[#This Row],[lf_pv_lcy]]*(1+C_UKEq_detail[[#This Row],[wacc_posttax_real]])^(YEARFRAC(C_UKEq_detail[[#This Row],[award_date]],C_UKEq_detail[[#This Row],[award_date]]+C_UKEq_detail[[#This Row],[delay_days]])*delay_adj*(C_UKEq_detail[[#This Row],[delay_days]]&gt;delay_threshold))</f>
        <v>4001003</v>
      </c>
      <c r="S6" s="57">
        <f>-PMT(C_UKEq_detail[[#This Row],[wacc_posttax_real]],C_UKEq_detail[[#This Row],[duration_years]],C_UKEq_detail[[#This Row],[lsv_lcy]])</f>
        <v>426091.47644867282</v>
      </c>
      <c r="T6" s="57">
        <f>-PV(C_UKEq_detail[[#This Row],[wacc_posttax_real]],notional_term,C_UKEq_detail[[#This Row],[annuity_lcy]])</f>
        <v>4482299.5232421746</v>
      </c>
      <c r="U6" s="58">
        <f>INDEX(I_PPP[],MATCH(C_UKEq_detail[[#This Row],[country]],I_PPP[country],0), MATCH(TEXT(C_UKEq_detail[[#This Row],[award_year]], "#"),I_PPP[#Headers],0))</f>
        <v>0.84154799999999996</v>
      </c>
      <c r="V6" s="58">
        <f>INDEX(I_PPP[],MATCH("United Kingdom",I_PPP[country],0), MATCH(TEXT(C_UKEq_detail[[#This Row],[award_year]], "#"),I_PPP[#Headers],0))</f>
        <v>0.70170699999999997</v>
      </c>
      <c r="W6" s="57">
        <f>C_UKEq_detail[[#This Row],[lsv_norm_lcy]]*C_UKEq_detail[[#This Row],[ppp_gbp]]/C_UKEq_detail[[#This Row],[ppp_lcy]]</f>
        <v>3737470.6511758049</v>
      </c>
      <c r="X6" s="58">
        <f>eff_cpi_uk/SUMIFS(I_CPI_UK[index],I_CPI_UK[month],TEXT(C_UKEq_detail[[#This Row],[award_date]],"YYYY MMM"))</f>
        <v>1.2260579064587973</v>
      </c>
      <c r="Y6" s="57">
        <f>C_UKEq_detail[[#This Row],[lsv_norm_gbp]]*C_UKEq_detail[[#This Row],[cpi_factor]]</f>
        <v>4582355.4420318054</v>
      </c>
      <c r="Z6" s="57">
        <f>INDEX(I_Population[], MATCH(C_UKEq_detail[[#This Row],[country]], I_Population[country], 0), MATCH(TEXT(C_UKEq_detail[[#This Row],[award_year]],"#"), I_Population[#Headers], 0))</f>
        <v>8363404</v>
      </c>
      <c r="AA6" s="58">
        <f>eff_pop_uk/C_UKEq_detail[[#This Row],[population]]</f>
        <v>7.9915219927197105</v>
      </c>
      <c r="AB6" s="57">
        <f>C_UKEq_detail[[#This Row],[lsv_real_gbp]]*C_UKEq_detail[[#This Row],[pop_factor]]</f>
        <v>36619994.293456025</v>
      </c>
    </row>
    <row r="7" spans="1:28" x14ac:dyDescent="0.45">
      <c r="A7" s="50" t="s">
        <v>180</v>
      </c>
      <c r="B7" s="50" t="s">
        <v>158</v>
      </c>
      <c r="C7" s="49">
        <v>40318</v>
      </c>
      <c r="D7" s="50" t="s">
        <v>133</v>
      </c>
      <c r="E7" s="25">
        <v>10</v>
      </c>
      <c r="F7" s="25">
        <v>15</v>
      </c>
      <c r="G7" s="50" t="s">
        <v>97</v>
      </c>
      <c r="H7" s="25">
        <v>19096000</v>
      </c>
      <c r="I7" s="25">
        <v>0</v>
      </c>
      <c r="J7" s="49">
        <v>40420</v>
      </c>
      <c r="K7">
        <v>2010</v>
      </c>
      <c r="L7">
        <v>4.9500000000000002E-2</v>
      </c>
      <c r="M7" t="s">
        <v>779</v>
      </c>
      <c r="N7" s="50">
        <v>4.8355058404276369E-2</v>
      </c>
      <c r="O7" t="s">
        <v>779</v>
      </c>
      <c r="P7">
        <v>102</v>
      </c>
      <c r="Q7"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19096000</v>
      </c>
      <c r="R7" s="57">
        <f>C_UKEq_detail[[#This Row],[lf_pv_lcy]]*(1+C_UKEq_detail[[#This Row],[wacc_posttax_real]])^(YEARFRAC(C_UKEq_detail[[#This Row],[award_date]],C_UKEq_detail[[#This Row],[award_date]]+C_UKEq_detail[[#This Row],[delay_days]])*delay_adj*(C_UKEq_detail[[#This Row],[delay_days]]&gt;delay_threshold))</f>
        <v>19096000</v>
      </c>
      <c r="S7" s="57">
        <f>-PMT(C_UKEq_detail[[#This Row],[wacc_posttax_real]],C_UKEq_detail[[#This Row],[duration_years]],C_UKEq_detail[[#This Row],[lsv_lcy]])</f>
        <v>1819353.388369198</v>
      </c>
      <c r="T7" s="57">
        <f>-PV(C_UKEq_detail[[#This Row],[wacc_posttax_real]],notional_term,C_UKEq_detail[[#This Row],[annuity_lcy]])</f>
        <v>22992762.561770394</v>
      </c>
      <c r="U7" s="58">
        <f>INDEX(I_PPP[],MATCH(C_UKEq_detail[[#This Row],[country]],I_PPP[country],0), MATCH(TEXT(C_UKEq_detail[[#This Row],[award_year]], "#"),I_PPP[#Headers],0))</f>
        <v>0.80442599999999997</v>
      </c>
      <c r="V7" s="58">
        <f>INDEX(I_PPP[],MATCH("United Kingdom",I_PPP[country],0), MATCH(TEXT(C_UKEq_detail[[#This Row],[award_year]], "#"),I_PPP[#Headers],0))</f>
        <v>0.70170699999999997</v>
      </c>
      <c r="W7" s="57">
        <f>C_UKEq_detail[[#This Row],[lsv_norm_lcy]]*C_UKEq_detail[[#This Row],[ppp_gbp]]/C_UKEq_detail[[#This Row],[ppp_lcy]]</f>
        <v>20056764.001825176</v>
      </c>
      <c r="X7" s="58">
        <f>eff_cpi_uk/SUMIFS(I_CPI_UK[index],I_CPI_UK[month],TEXT(C_UKEq_detail[[#This Row],[award_date]],"YYYY MMM"))</f>
        <v>1.2315436241610738</v>
      </c>
      <c r="Y7" s="57">
        <f>C_UKEq_detail[[#This Row],[lsv_norm_gbp]]*C_UKEq_detail[[#This Row],[cpi_factor]]</f>
        <v>24700779.827751137</v>
      </c>
      <c r="Z7" s="57">
        <f>INDEX(I_Population[], MATCH(C_UKEq_detail[[#This Row],[country]], I_Population[country], 0), MATCH(TEXT(C_UKEq_detail[[#This Row],[award_year]],"#"), I_Population[#Headers], 0))</f>
        <v>81776930</v>
      </c>
      <c r="AA7" s="58">
        <f>eff_pop_uk/C_UKEq_detail[[#This Row],[population]]</f>
        <v>0.81730051494963185</v>
      </c>
      <c r="AB7" s="57">
        <f>C_UKEq_detail[[#This Row],[lsv_real_gbp]]*C_UKEq_detail[[#This Row],[pop_factor]]</f>
        <v>20187960.072878484</v>
      </c>
    </row>
    <row r="8" spans="1:28" x14ac:dyDescent="0.45">
      <c r="A8" s="50" t="s">
        <v>180</v>
      </c>
      <c r="B8" s="50" t="s">
        <v>158</v>
      </c>
      <c r="C8" s="49">
        <v>40318</v>
      </c>
      <c r="D8" s="50" t="s">
        <v>133</v>
      </c>
      <c r="E8" s="25">
        <v>10</v>
      </c>
      <c r="F8" s="25">
        <v>15</v>
      </c>
      <c r="G8" s="50" t="s">
        <v>97</v>
      </c>
      <c r="H8" s="25">
        <v>19025000</v>
      </c>
      <c r="I8" s="25">
        <v>0</v>
      </c>
      <c r="J8" s="49">
        <v>40420</v>
      </c>
      <c r="K8">
        <v>2010</v>
      </c>
      <c r="L8">
        <v>4.9500000000000002E-2</v>
      </c>
      <c r="M8" t="s">
        <v>779</v>
      </c>
      <c r="N8" s="50">
        <v>4.8355058404276369E-2</v>
      </c>
      <c r="O8" t="s">
        <v>779</v>
      </c>
      <c r="P8">
        <v>102</v>
      </c>
      <c r="Q8"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19025000</v>
      </c>
      <c r="R8" s="57">
        <f>C_UKEq_detail[[#This Row],[lf_pv_lcy]]*(1+C_UKEq_detail[[#This Row],[wacc_posttax_real]])^(YEARFRAC(C_UKEq_detail[[#This Row],[award_date]],C_UKEq_detail[[#This Row],[award_date]]+C_UKEq_detail[[#This Row],[delay_days]])*delay_adj*(C_UKEq_detail[[#This Row],[delay_days]]&gt;delay_threshold))</f>
        <v>19025000</v>
      </c>
      <c r="S8" s="57">
        <f>-PMT(C_UKEq_detail[[#This Row],[wacc_posttax_real]],C_UKEq_detail[[#This Row],[duration_years]],C_UKEq_detail[[#This Row],[lsv_lcy]])</f>
        <v>1812588.9303374523</v>
      </c>
      <c r="T8" s="57">
        <f>-PV(C_UKEq_detail[[#This Row],[wacc_posttax_real]],notional_term,C_UKEq_detail[[#This Row],[annuity_lcy]])</f>
        <v>22907274.179811571</v>
      </c>
      <c r="U8" s="58">
        <f>INDEX(I_PPP[],MATCH(C_UKEq_detail[[#This Row],[country]],I_PPP[country],0), MATCH(TEXT(C_UKEq_detail[[#This Row],[award_year]], "#"),I_PPP[#Headers],0))</f>
        <v>0.80442599999999997</v>
      </c>
      <c r="V8" s="58">
        <f>INDEX(I_PPP[],MATCH("United Kingdom",I_PPP[country],0), MATCH(TEXT(C_UKEq_detail[[#This Row],[award_year]], "#"),I_PPP[#Headers],0))</f>
        <v>0.70170699999999997</v>
      </c>
      <c r="W8" s="57">
        <f>C_UKEq_detail[[#This Row],[lsv_norm_lcy]]*C_UKEq_detail[[#This Row],[ppp_gbp]]/C_UKEq_detail[[#This Row],[ppp_lcy]]</f>
        <v>19982191.827331584</v>
      </c>
      <c r="X8" s="58">
        <f>eff_cpi_uk/SUMIFS(I_CPI_UK[index],I_CPI_UK[month],TEXT(C_UKEq_detail[[#This Row],[award_date]],"YYYY MMM"))</f>
        <v>1.2315436241610738</v>
      </c>
      <c r="Y8" s="57">
        <f>C_UKEq_detail[[#This Row],[lsv_norm_gbp]]*C_UKEq_detail[[#This Row],[cpi_factor]]</f>
        <v>24608940.941713728</v>
      </c>
      <c r="Z8" s="57">
        <f>INDEX(I_Population[], MATCH(C_UKEq_detail[[#This Row],[country]], I_Population[country], 0), MATCH(TEXT(C_UKEq_detail[[#This Row],[award_year]],"#"), I_Population[#Headers], 0))</f>
        <v>81776930</v>
      </c>
      <c r="AA8" s="58">
        <f>eff_pop_uk/C_UKEq_detail[[#This Row],[population]]</f>
        <v>0.81730051494963185</v>
      </c>
      <c r="AB8" s="57">
        <f>C_UKEq_detail[[#This Row],[lsv_real_gbp]]*C_UKEq_detail[[#This Row],[pop_factor]]</f>
        <v>20112900.104027707</v>
      </c>
    </row>
    <row r="9" spans="1:28" x14ac:dyDescent="0.45">
      <c r="A9" s="50" t="s">
        <v>180</v>
      </c>
      <c r="B9" s="50" t="s">
        <v>158</v>
      </c>
      <c r="C9" s="49">
        <v>40318</v>
      </c>
      <c r="D9" s="50" t="s">
        <v>90</v>
      </c>
      <c r="E9" s="25">
        <v>10</v>
      </c>
      <c r="F9" s="25">
        <v>15</v>
      </c>
      <c r="G9" s="50" t="s">
        <v>97</v>
      </c>
      <c r="H9" s="25">
        <v>17364000</v>
      </c>
      <c r="I9" s="25">
        <v>0</v>
      </c>
      <c r="J9" s="49">
        <v>40420</v>
      </c>
      <c r="K9">
        <v>2010</v>
      </c>
      <c r="L9">
        <v>4.9500000000000002E-2</v>
      </c>
      <c r="M9" t="s">
        <v>779</v>
      </c>
      <c r="N9" s="50">
        <v>4.8355058404276369E-2</v>
      </c>
      <c r="O9" t="s">
        <v>779</v>
      </c>
      <c r="P9">
        <v>102</v>
      </c>
      <c r="Q9"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17364000</v>
      </c>
      <c r="R9" s="57">
        <f>C_UKEq_detail[[#This Row],[lf_pv_lcy]]*(1+C_UKEq_detail[[#This Row],[wacc_posttax_real]])^(YEARFRAC(C_UKEq_detail[[#This Row],[award_date]],C_UKEq_detail[[#This Row],[award_date]]+C_UKEq_detail[[#This Row],[delay_days]])*delay_adj*(C_UKEq_detail[[#This Row],[delay_days]]&gt;delay_threshold))</f>
        <v>17364000</v>
      </c>
      <c r="S9" s="57">
        <f>-PMT(C_UKEq_detail[[#This Row],[wacc_posttax_real]],C_UKEq_detail[[#This Row],[duration_years]],C_UKEq_detail[[#This Row],[lsv_lcy]])</f>
        <v>1654338.7220173206</v>
      </c>
      <c r="T9" s="57">
        <f>-PV(C_UKEq_detail[[#This Row],[wacc_posttax_real]],notional_term,C_UKEq_detail[[#This Row],[annuity_lcy]])</f>
        <v>20907327.666662186</v>
      </c>
      <c r="U9" s="58">
        <f>INDEX(I_PPP[],MATCH(C_UKEq_detail[[#This Row],[country]],I_PPP[country],0), MATCH(TEXT(C_UKEq_detail[[#This Row],[award_year]], "#"),I_PPP[#Headers],0))</f>
        <v>0.80442599999999997</v>
      </c>
      <c r="V9" s="58">
        <f>INDEX(I_PPP[],MATCH("United Kingdom",I_PPP[country],0), MATCH(TEXT(C_UKEq_detail[[#This Row],[award_year]], "#"),I_PPP[#Headers],0))</f>
        <v>0.70170699999999997</v>
      </c>
      <c r="W9" s="57">
        <f>C_UKEq_detail[[#This Row],[lsv_norm_lcy]]*C_UKEq_detail[[#This Row],[ppp_gbp]]/C_UKEq_detail[[#This Row],[ppp_lcy]]</f>
        <v>18237623.069108311</v>
      </c>
      <c r="X9" s="58">
        <f>eff_cpi_uk/SUMIFS(I_CPI_UK[index],I_CPI_UK[month],TEXT(C_UKEq_detail[[#This Row],[award_date]],"YYYY MMM"))</f>
        <v>1.2315436241610738</v>
      </c>
      <c r="Y9" s="57">
        <f>C_UKEq_detail[[#This Row],[lsv_norm_gbp]]*C_UKEq_detail[[#This Row],[cpi_factor]]</f>
        <v>22460428.410613254</v>
      </c>
      <c r="Z9" s="57">
        <f>INDEX(I_Population[], MATCH(C_UKEq_detail[[#This Row],[country]], I_Population[country], 0), MATCH(TEXT(C_UKEq_detail[[#This Row],[award_year]],"#"), I_Population[#Headers], 0))</f>
        <v>81776930</v>
      </c>
      <c r="AA9" s="58">
        <f>eff_pop_uk/C_UKEq_detail[[#This Row],[population]]</f>
        <v>0.81730051494963185</v>
      </c>
      <c r="AB9" s="57">
        <f>C_UKEq_detail[[#This Row],[lsv_real_gbp]]*C_UKEq_detail[[#This Row],[pop_factor]]</f>
        <v>18356919.705983553</v>
      </c>
    </row>
    <row r="10" spans="1:28" x14ac:dyDescent="0.45">
      <c r="A10" s="50" t="s">
        <v>180</v>
      </c>
      <c r="B10" s="50" t="s">
        <v>158</v>
      </c>
      <c r="C10" s="49">
        <v>40318</v>
      </c>
      <c r="D10" s="50" t="s">
        <v>90</v>
      </c>
      <c r="E10" s="25">
        <v>10</v>
      </c>
      <c r="F10" s="25">
        <v>15</v>
      </c>
      <c r="G10" s="50" t="s">
        <v>97</v>
      </c>
      <c r="H10" s="25">
        <v>17364000</v>
      </c>
      <c r="I10" s="25">
        <v>0</v>
      </c>
      <c r="J10" s="49">
        <v>40420</v>
      </c>
      <c r="K10">
        <v>2010</v>
      </c>
      <c r="L10">
        <v>4.9500000000000002E-2</v>
      </c>
      <c r="M10" t="s">
        <v>779</v>
      </c>
      <c r="N10" s="50">
        <v>4.8355058404276369E-2</v>
      </c>
      <c r="O10" t="s">
        <v>779</v>
      </c>
      <c r="P10">
        <v>102</v>
      </c>
      <c r="Q10"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17364000</v>
      </c>
      <c r="R10" s="57">
        <f>C_UKEq_detail[[#This Row],[lf_pv_lcy]]*(1+C_UKEq_detail[[#This Row],[wacc_posttax_real]])^(YEARFRAC(C_UKEq_detail[[#This Row],[award_date]],C_UKEq_detail[[#This Row],[award_date]]+C_UKEq_detail[[#This Row],[delay_days]])*delay_adj*(C_UKEq_detail[[#This Row],[delay_days]]&gt;delay_threshold))</f>
        <v>17364000</v>
      </c>
      <c r="S10" s="57">
        <f>-PMT(C_UKEq_detail[[#This Row],[wacc_posttax_real]],C_UKEq_detail[[#This Row],[duration_years]],C_UKEq_detail[[#This Row],[lsv_lcy]])</f>
        <v>1654338.7220173206</v>
      </c>
      <c r="T10" s="57">
        <f>-PV(C_UKEq_detail[[#This Row],[wacc_posttax_real]],notional_term,C_UKEq_detail[[#This Row],[annuity_lcy]])</f>
        <v>20907327.666662186</v>
      </c>
      <c r="U10" s="58">
        <f>INDEX(I_PPP[],MATCH(C_UKEq_detail[[#This Row],[country]],I_PPP[country],0), MATCH(TEXT(C_UKEq_detail[[#This Row],[award_year]], "#"),I_PPP[#Headers],0))</f>
        <v>0.80442599999999997</v>
      </c>
      <c r="V10" s="58">
        <f>INDEX(I_PPP[],MATCH("United Kingdom",I_PPP[country],0), MATCH(TEXT(C_UKEq_detail[[#This Row],[award_year]], "#"),I_PPP[#Headers],0))</f>
        <v>0.70170699999999997</v>
      </c>
      <c r="W10" s="57">
        <f>C_UKEq_detail[[#This Row],[lsv_norm_lcy]]*C_UKEq_detail[[#This Row],[ppp_gbp]]/C_UKEq_detail[[#This Row],[ppp_lcy]]</f>
        <v>18237623.069108311</v>
      </c>
      <c r="X10" s="58">
        <f>eff_cpi_uk/SUMIFS(I_CPI_UK[index],I_CPI_UK[month],TEXT(C_UKEq_detail[[#This Row],[award_date]],"YYYY MMM"))</f>
        <v>1.2315436241610738</v>
      </c>
      <c r="Y10" s="57">
        <f>C_UKEq_detail[[#This Row],[lsv_norm_gbp]]*C_UKEq_detail[[#This Row],[cpi_factor]]</f>
        <v>22460428.410613254</v>
      </c>
      <c r="Z10" s="57">
        <f>INDEX(I_Population[], MATCH(C_UKEq_detail[[#This Row],[country]], I_Population[country], 0), MATCH(TEXT(C_UKEq_detail[[#This Row],[award_year]],"#"), I_Population[#Headers], 0))</f>
        <v>81776930</v>
      </c>
      <c r="AA10" s="58">
        <f>eff_pop_uk/C_UKEq_detail[[#This Row],[population]]</f>
        <v>0.81730051494963185</v>
      </c>
      <c r="AB10" s="57">
        <f>C_UKEq_detail[[#This Row],[lsv_real_gbp]]*C_UKEq_detail[[#This Row],[pop_factor]]</f>
        <v>18356919.705983553</v>
      </c>
    </row>
    <row r="11" spans="1:28" x14ac:dyDescent="0.45">
      <c r="A11" s="50" t="s">
        <v>180</v>
      </c>
      <c r="B11" s="50" t="s">
        <v>158</v>
      </c>
      <c r="C11" s="49">
        <v>40318</v>
      </c>
      <c r="D11" s="50" t="s">
        <v>85</v>
      </c>
      <c r="E11" s="25">
        <v>10</v>
      </c>
      <c r="F11" s="25">
        <v>15</v>
      </c>
      <c r="G11" s="50" t="s">
        <v>97</v>
      </c>
      <c r="H11" s="25">
        <v>18948000</v>
      </c>
      <c r="I11" s="25">
        <v>0</v>
      </c>
      <c r="J11" s="49">
        <v>40420</v>
      </c>
      <c r="K11">
        <v>2010</v>
      </c>
      <c r="L11">
        <v>4.9500000000000002E-2</v>
      </c>
      <c r="M11" t="s">
        <v>779</v>
      </c>
      <c r="N11" s="50">
        <v>4.8355058404276369E-2</v>
      </c>
      <c r="O11" t="s">
        <v>779</v>
      </c>
      <c r="P11">
        <v>102</v>
      </c>
      <c r="Q11"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18948000</v>
      </c>
      <c r="R11" s="57">
        <f>C_UKEq_detail[[#This Row],[lf_pv_lcy]]*(1+C_UKEq_detail[[#This Row],[wacc_posttax_real]])^(YEARFRAC(C_UKEq_detail[[#This Row],[award_date]],C_UKEq_detail[[#This Row],[award_date]]+C_UKEq_detail[[#This Row],[delay_days]])*delay_adj*(C_UKEq_detail[[#This Row],[delay_days]]&gt;delay_threshold))</f>
        <v>18948000</v>
      </c>
      <c r="S11" s="57">
        <f>-PMT(C_UKEq_detail[[#This Row],[wacc_posttax_real]],C_UKEq_detail[[#This Row],[duration_years]],C_UKEq_detail[[#This Row],[lsv_lcy]])</f>
        <v>1805252.827964996</v>
      </c>
      <c r="T11" s="57">
        <f>-PV(C_UKEq_detail[[#This Row],[wacc_posttax_real]],notional_term,C_UKEq_detail[[#This Row],[annuity_lcy]])</f>
        <v>22814561.427546367</v>
      </c>
      <c r="U11" s="58">
        <f>INDEX(I_PPP[],MATCH(C_UKEq_detail[[#This Row],[country]],I_PPP[country],0), MATCH(TEXT(C_UKEq_detail[[#This Row],[award_year]], "#"),I_PPP[#Headers],0))</f>
        <v>0.80442599999999997</v>
      </c>
      <c r="V11" s="58">
        <f>INDEX(I_PPP[],MATCH("United Kingdom",I_PPP[country],0), MATCH(TEXT(C_UKEq_detail[[#This Row],[award_year]], "#"),I_PPP[#Headers],0))</f>
        <v>0.70170699999999997</v>
      </c>
      <c r="W11" s="57">
        <f>C_UKEq_detail[[#This Row],[lsv_norm_lcy]]*C_UKEq_detail[[#This Row],[ppp_gbp]]/C_UKEq_detail[[#This Row],[ppp_lcy]]</f>
        <v>19901317.778937127</v>
      </c>
      <c r="X11" s="58">
        <f>eff_cpi_uk/SUMIFS(I_CPI_UK[index],I_CPI_UK[month],TEXT(C_UKEq_detail[[#This Row],[award_date]],"YYYY MMM"))</f>
        <v>1.2315436241610738</v>
      </c>
      <c r="Y11" s="57">
        <f>C_UKEq_detail[[#This Row],[lsv_norm_gbp]]*C_UKEq_detail[[#This Row],[cpi_factor]]</f>
        <v>24509341.023053441</v>
      </c>
      <c r="Z11" s="57">
        <f>INDEX(I_Population[], MATCH(C_UKEq_detail[[#This Row],[country]], I_Population[country], 0), MATCH(TEXT(C_UKEq_detail[[#This Row],[award_year]],"#"), I_Population[#Headers], 0))</f>
        <v>81776930</v>
      </c>
      <c r="AA11" s="58">
        <f>eff_pop_uk/C_UKEq_detail[[#This Row],[population]]</f>
        <v>0.81730051494963185</v>
      </c>
      <c r="AB11" s="57">
        <f>C_UKEq_detail[[#This Row],[lsv_real_gbp]]*C_UKEq_detail[[#This Row],[pop_factor]]</f>
        <v>20031497.039217714</v>
      </c>
    </row>
    <row r="12" spans="1:28" x14ac:dyDescent="0.45">
      <c r="A12" s="50" t="s">
        <v>180</v>
      </c>
      <c r="B12" s="50" t="s">
        <v>158</v>
      </c>
      <c r="C12" s="49">
        <v>40318</v>
      </c>
      <c r="D12" s="50" t="s">
        <v>85</v>
      </c>
      <c r="E12" s="25">
        <v>10</v>
      </c>
      <c r="F12" s="25">
        <v>15</v>
      </c>
      <c r="G12" s="50" t="s">
        <v>97</v>
      </c>
      <c r="H12" s="25">
        <v>19025000</v>
      </c>
      <c r="I12" s="25">
        <v>0</v>
      </c>
      <c r="J12" s="49">
        <v>40420</v>
      </c>
      <c r="K12">
        <v>2010</v>
      </c>
      <c r="L12">
        <v>4.9500000000000002E-2</v>
      </c>
      <c r="M12" t="s">
        <v>779</v>
      </c>
      <c r="N12" s="50">
        <v>4.8355058404276369E-2</v>
      </c>
      <c r="O12" t="s">
        <v>779</v>
      </c>
      <c r="P12">
        <v>102</v>
      </c>
      <c r="Q12"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19025000</v>
      </c>
      <c r="R12" s="57">
        <f>C_UKEq_detail[[#This Row],[lf_pv_lcy]]*(1+C_UKEq_detail[[#This Row],[wacc_posttax_real]])^(YEARFRAC(C_UKEq_detail[[#This Row],[award_date]],C_UKEq_detail[[#This Row],[award_date]]+C_UKEq_detail[[#This Row],[delay_days]])*delay_adj*(C_UKEq_detail[[#This Row],[delay_days]]&gt;delay_threshold))</f>
        <v>19025000</v>
      </c>
      <c r="S12" s="57">
        <f>-PMT(C_UKEq_detail[[#This Row],[wacc_posttax_real]],C_UKEq_detail[[#This Row],[duration_years]],C_UKEq_detail[[#This Row],[lsv_lcy]])</f>
        <v>1812588.9303374523</v>
      </c>
      <c r="T12" s="57">
        <f>-PV(C_UKEq_detail[[#This Row],[wacc_posttax_real]],notional_term,C_UKEq_detail[[#This Row],[annuity_lcy]])</f>
        <v>22907274.179811571</v>
      </c>
      <c r="U12" s="58">
        <f>INDEX(I_PPP[],MATCH(C_UKEq_detail[[#This Row],[country]],I_PPP[country],0), MATCH(TEXT(C_UKEq_detail[[#This Row],[award_year]], "#"),I_PPP[#Headers],0))</f>
        <v>0.80442599999999997</v>
      </c>
      <c r="V12" s="58">
        <f>INDEX(I_PPP[],MATCH("United Kingdom",I_PPP[country],0), MATCH(TEXT(C_UKEq_detail[[#This Row],[award_year]], "#"),I_PPP[#Headers],0))</f>
        <v>0.70170699999999997</v>
      </c>
      <c r="W12" s="57">
        <f>C_UKEq_detail[[#This Row],[lsv_norm_lcy]]*C_UKEq_detail[[#This Row],[ppp_gbp]]/C_UKEq_detail[[#This Row],[ppp_lcy]]</f>
        <v>19982191.827331584</v>
      </c>
      <c r="X12" s="58">
        <f>eff_cpi_uk/SUMIFS(I_CPI_UK[index],I_CPI_UK[month],TEXT(C_UKEq_detail[[#This Row],[award_date]],"YYYY MMM"))</f>
        <v>1.2315436241610738</v>
      </c>
      <c r="Y12" s="57">
        <f>C_UKEq_detail[[#This Row],[lsv_norm_gbp]]*C_UKEq_detail[[#This Row],[cpi_factor]]</f>
        <v>24608940.941713728</v>
      </c>
      <c r="Z12" s="57">
        <f>INDEX(I_Population[], MATCH(C_UKEq_detail[[#This Row],[country]], I_Population[country], 0), MATCH(TEXT(C_UKEq_detail[[#This Row],[award_year]],"#"), I_Population[#Headers], 0))</f>
        <v>81776930</v>
      </c>
      <c r="AA12" s="58">
        <f>eff_pop_uk/C_UKEq_detail[[#This Row],[population]]</f>
        <v>0.81730051494963185</v>
      </c>
      <c r="AB12" s="57">
        <f>C_UKEq_detail[[#This Row],[lsv_real_gbp]]*C_UKEq_detail[[#This Row],[pop_factor]]</f>
        <v>20112900.104027707</v>
      </c>
    </row>
    <row r="13" spans="1:28" x14ac:dyDescent="0.45">
      <c r="A13" s="50" t="s">
        <v>180</v>
      </c>
      <c r="B13" s="50" t="s">
        <v>158</v>
      </c>
      <c r="C13" s="49">
        <v>40318</v>
      </c>
      <c r="D13" s="50" t="s">
        <v>133</v>
      </c>
      <c r="E13" s="25">
        <v>10</v>
      </c>
      <c r="F13" s="25">
        <v>15</v>
      </c>
      <c r="G13" s="50" t="s">
        <v>97</v>
      </c>
      <c r="H13" s="25">
        <v>19069000</v>
      </c>
      <c r="I13" s="25">
        <v>0</v>
      </c>
      <c r="J13" s="49">
        <v>40420</v>
      </c>
      <c r="K13">
        <v>2010</v>
      </c>
      <c r="L13">
        <v>4.9500000000000002E-2</v>
      </c>
      <c r="M13" t="s">
        <v>779</v>
      </c>
      <c r="N13" s="50">
        <v>4.8355058404276369E-2</v>
      </c>
      <c r="O13" t="s">
        <v>779</v>
      </c>
      <c r="P13">
        <v>102</v>
      </c>
      <c r="Q13"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19069000</v>
      </c>
      <c r="R13" s="57">
        <f>C_UKEq_detail[[#This Row],[lf_pv_lcy]]*(1+C_UKEq_detail[[#This Row],[wacc_posttax_real]])^(YEARFRAC(C_UKEq_detail[[#This Row],[award_date]],C_UKEq_detail[[#This Row],[award_date]]+C_UKEq_detail[[#This Row],[delay_days]])*delay_adj*(C_UKEq_detail[[#This Row],[delay_days]]&gt;delay_threshold))</f>
        <v>19069000</v>
      </c>
      <c r="S13" s="57">
        <f>-PMT(C_UKEq_detail[[#This Row],[wacc_posttax_real]],C_UKEq_detail[[#This Row],[duration_years]],C_UKEq_detail[[#This Row],[lsv_lcy]])</f>
        <v>1816780.988835999</v>
      </c>
      <c r="T13" s="57">
        <f>-PV(C_UKEq_detail[[#This Row],[wacc_posttax_real]],notional_term,C_UKEq_detail[[#This Row],[annuity_lcy]])</f>
        <v>22960252.895391688</v>
      </c>
      <c r="U13" s="58">
        <f>INDEX(I_PPP[],MATCH(C_UKEq_detail[[#This Row],[country]],I_PPP[country],0), MATCH(TEXT(C_UKEq_detail[[#This Row],[award_year]], "#"),I_PPP[#Headers],0))</f>
        <v>0.80442599999999997</v>
      </c>
      <c r="V13" s="58">
        <f>INDEX(I_PPP[],MATCH("United Kingdom",I_PPP[country],0), MATCH(TEXT(C_UKEq_detail[[#This Row],[award_year]], "#"),I_PPP[#Headers],0))</f>
        <v>0.70170699999999997</v>
      </c>
      <c r="W13" s="57">
        <f>C_UKEq_detail[[#This Row],[lsv_norm_lcy]]*C_UKEq_detail[[#This Row],[ppp_gbp]]/C_UKEq_detail[[#This Row],[ppp_lcy]]</f>
        <v>20028405.569271274</v>
      </c>
      <c r="X13" s="58">
        <f>eff_cpi_uk/SUMIFS(I_CPI_UK[index],I_CPI_UK[month],TEXT(C_UKEq_detail[[#This Row],[award_date]],"YYYY MMM"))</f>
        <v>1.2315436241610738</v>
      </c>
      <c r="Y13" s="57">
        <f>C_UKEq_detail[[#This Row],[lsv_norm_gbp]]*C_UKEq_detail[[#This Row],[cpi_factor]]</f>
        <v>24665855.180948179</v>
      </c>
      <c r="Z13" s="57">
        <f>INDEX(I_Population[], MATCH(C_UKEq_detail[[#This Row],[country]], I_Population[country], 0), MATCH(TEXT(C_UKEq_detail[[#This Row],[award_year]],"#"), I_Population[#Headers], 0))</f>
        <v>81776930</v>
      </c>
      <c r="AA13" s="58">
        <f>eff_pop_uk/C_UKEq_detail[[#This Row],[population]]</f>
        <v>0.81730051494963185</v>
      </c>
      <c r="AB13" s="57">
        <f>C_UKEq_detail[[#This Row],[lsv_real_gbp]]*C_UKEq_detail[[#This Row],[pop_factor]]</f>
        <v>20159416.141061991</v>
      </c>
    </row>
    <row r="14" spans="1:28" x14ac:dyDescent="0.45">
      <c r="A14" s="50" t="s">
        <v>180</v>
      </c>
      <c r="B14" s="50" t="s">
        <v>158</v>
      </c>
      <c r="C14" s="49">
        <v>40318</v>
      </c>
      <c r="D14" s="50" t="s">
        <v>133</v>
      </c>
      <c r="E14" s="25">
        <v>10</v>
      </c>
      <c r="F14" s="25">
        <v>15</v>
      </c>
      <c r="G14" s="50" t="s">
        <v>97</v>
      </c>
      <c r="H14" s="25">
        <v>19038000</v>
      </c>
      <c r="I14" s="25">
        <v>0</v>
      </c>
      <c r="J14" s="49">
        <v>40420</v>
      </c>
      <c r="K14">
        <v>2010</v>
      </c>
      <c r="L14">
        <v>4.9500000000000002E-2</v>
      </c>
      <c r="M14" t="s">
        <v>779</v>
      </c>
      <c r="N14" s="50">
        <v>4.8355058404276369E-2</v>
      </c>
      <c r="O14" t="s">
        <v>779</v>
      </c>
      <c r="P14">
        <v>102</v>
      </c>
      <c r="Q14"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19038000</v>
      </c>
      <c r="R14" s="57">
        <f>C_UKEq_detail[[#This Row],[lf_pv_lcy]]*(1+C_UKEq_detail[[#This Row],[wacc_posttax_real]])^(YEARFRAC(C_UKEq_detail[[#This Row],[award_date]],C_UKEq_detail[[#This Row],[award_date]]+C_UKEq_detail[[#This Row],[delay_days]])*delay_adj*(C_UKEq_detail[[#This Row],[delay_days]]&gt;delay_threshold))</f>
        <v>19038000</v>
      </c>
      <c r="S14" s="57">
        <f>-PMT(C_UKEq_detail[[#This Row],[wacc_posttax_real]],C_UKEq_detail[[#This Row],[duration_years]],C_UKEq_detail[[#This Row],[lsv_lcy]])</f>
        <v>1813827.4930756595</v>
      </c>
      <c r="T14" s="57">
        <f>-PV(C_UKEq_detail[[#This Row],[wacc_posttax_real]],notional_term,C_UKEq_detail[[#This Row],[annuity_lcy]])</f>
        <v>22922926.982142057</v>
      </c>
      <c r="U14" s="58">
        <f>INDEX(I_PPP[],MATCH(C_UKEq_detail[[#This Row],[country]],I_PPP[country],0), MATCH(TEXT(C_UKEq_detail[[#This Row],[award_year]], "#"),I_PPP[#Headers],0))</f>
        <v>0.80442599999999997</v>
      </c>
      <c r="V14" s="58">
        <f>INDEX(I_PPP[],MATCH("United Kingdom",I_PPP[country],0), MATCH(TEXT(C_UKEq_detail[[#This Row],[award_year]], "#"),I_PPP[#Headers],0))</f>
        <v>0.70170699999999997</v>
      </c>
      <c r="W14" s="57">
        <f>C_UKEq_detail[[#This Row],[lsv_norm_lcy]]*C_UKEq_detail[[#This Row],[ppp_gbp]]/C_UKEq_detail[[#This Row],[ppp_lcy]]</f>
        <v>19995845.887450129</v>
      </c>
      <c r="X14" s="58">
        <f>eff_cpi_uk/SUMIFS(I_CPI_UK[index],I_CPI_UK[month],TEXT(C_UKEq_detail[[#This Row],[award_date]],"YYYY MMM"))</f>
        <v>1.2315436241610738</v>
      </c>
      <c r="Y14" s="57">
        <f>C_UKEq_detail[[#This Row],[lsv_norm_gbp]]*C_UKEq_detail[[#This Row],[cpi_factor]]</f>
        <v>24625756.512396634</v>
      </c>
      <c r="Z14" s="57">
        <f>INDEX(I_Population[], MATCH(C_UKEq_detail[[#This Row],[country]], I_Population[country], 0), MATCH(TEXT(C_UKEq_detail[[#This Row],[award_year]],"#"), I_Population[#Headers], 0))</f>
        <v>81776930</v>
      </c>
      <c r="AA14" s="58">
        <f>eff_pop_uk/C_UKEq_detail[[#This Row],[population]]</f>
        <v>0.81730051494963185</v>
      </c>
      <c r="AB14" s="57">
        <f>C_UKEq_detail[[#This Row],[lsv_real_gbp]]*C_UKEq_detail[[#This Row],[pop_factor]]</f>
        <v>20126643.478606019</v>
      </c>
    </row>
    <row r="15" spans="1:28" x14ac:dyDescent="0.45">
      <c r="A15" s="50" t="s">
        <v>180</v>
      </c>
      <c r="B15" s="50" t="s">
        <v>158</v>
      </c>
      <c r="C15" s="49">
        <v>40318</v>
      </c>
      <c r="D15" s="50" t="s">
        <v>90</v>
      </c>
      <c r="E15" s="25">
        <v>10</v>
      </c>
      <c r="F15" s="25">
        <v>15</v>
      </c>
      <c r="G15" s="50" t="s">
        <v>97</v>
      </c>
      <c r="H15" s="25">
        <v>18948000</v>
      </c>
      <c r="I15" s="25">
        <v>0</v>
      </c>
      <c r="J15" s="49">
        <v>40420</v>
      </c>
      <c r="K15">
        <v>2010</v>
      </c>
      <c r="L15">
        <v>4.9500000000000002E-2</v>
      </c>
      <c r="M15" t="s">
        <v>779</v>
      </c>
      <c r="N15" s="50">
        <v>4.8355058404276369E-2</v>
      </c>
      <c r="O15" t="s">
        <v>779</v>
      </c>
      <c r="P15">
        <v>102</v>
      </c>
      <c r="Q15"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18948000</v>
      </c>
      <c r="R15" s="57">
        <f>C_UKEq_detail[[#This Row],[lf_pv_lcy]]*(1+C_UKEq_detail[[#This Row],[wacc_posttax_real]])^(YEARFRAC(C_UKEq_detail[[#This Row],[award_date]],C_UKEq_detail[[#This Row],[award_date]]+C_UKEq_detail[[#This Row],[delay_days]])*delay_adj*(C_UKEq_detail[[#This Row],[delay_days]]&gt;delay_threshold))</f>
        <v>18948000</v>
      </c>
      <c r="S15" s="57">
        <f>-PMT(C_UKEq_detail[[#This Row],[wacc_posttax_real]],C_UKEq_detail[[#This Row],[duration_years]],C_UKEq_detail[[#This Row],[lsv_lcy]])</f>
        <v>1805252.827964996</v>
      </c>
      <c r="T15" s="57">
        <f>-PV(C_UKEq_detail[[#This Row],[wacc_posttax_real]],notional_term,C_UKEq_detail[[#This Row],[annuity_lcy]])</f>
        <v>22814561.427546367</v>
      </c>
      <c r="U15" s="58">
        <f>INDEX(I_PPP[],MATCH(C_UKEq_detail[[#This Row],[country]],I_PPP[country],0), MATCH(TEXT(C_UKEq_detail[[#This Row],[award_year]], "#"),I_PPP[#Headers],0))</f>
        <v>0.80442599999999997</v>
      </c>
      <c r="V15" s="58">
        <f>INDEX(I_PPP[],MATCH("United Kingdom",I_PPP[country],0), MATCH(TEXT(C_UKEq_detail[[#This Row],[award_year]], "#"),I_PPP[#Headers],0))</f>
        <v>0.70170699999999997</v>
      </c>
      <c r="W15" s="57">
        <f>C_UKEq_detail[[#This Row],[lsv_norm_lcy]]*C_UKEq_detail[[#This Row],[ppp_gbp]]/C_UKEq_detail[[#This Row],[ppp_lcy]]</f>
        <v>19901317.778937127</v>
      </c>
      <c r="X15" s="58">
        <f>eff_cpi_uk/SUMIFS(I_CPI_UK[index],I_CPI_UK[month],TEXT(C_UKEq_detail[[#This Row],[award_date]],"YYYY MMM"))</f>
        <v>1.2315436241610738</v>
      </c>
      <c r="Y15" s="57">
        <f>C_UKEq_detail[[#This Row],[lsv_norm_gbp]]*C_UKEq_detail[[#This Row],[cpi_factor]]</f>
        <v>24509341.023053441</v>
      </c>
      <c r="Z15" s="57">
        <f>INDEX(I_Population[], MATCH(C_UKEq_detail[[#This Row],[country]], I_Population[country], 0), MATCH(TEXT(C_UKEq_detail[[#This Row],[award_year]],"#"), I_Population[#Headers], 0))</f>
        <v>81776930</v>
      </c>
      <c r="AA15" s="58">
        <f>eff_pop_uk/C_UKEq_detail[[#This Row],[population]]</f>
        <v>0.81730051494963185</v>
      </c>
      <c r="AB15" s="57">
        <f>C_UKEq_detail[[#This Row],[lsv_real_gbp]]*C_UKEq_detail[[#This Row],[pop_factor]]</f>
        <v>20031497.039217714</v>
      </c>
    </row>
    <row r="16" spans="1:28" x14ac:dyDescent="0.45">
      <c r="A16" s="50" t="s">
        <v>180</v>
      </c>
      <c r="B16" s="50" t="s">
        <v>158</v>
      </c>
      <c r="C16" s="49">
        <v>40318</v>
      </c>
      <c r="D16" s="50" t="s">
        <v>134</v>
      </c>
      <c r="E16" s="25">
        <v>10</v>
      </c>
      <c r="F16" s="25">
        <v>15</v>
      </c>
      <c r="G16" s="50" t="s">
        <v>97</v>
      </c>
      <c r="H16" s="25">
        <v>18931000</v>
      </c>
      <c r="I16" s="25">
        <v>0</v>
      </c>
      <c r="J16" s="49">
        <v>40420</v>
      </c>
      <c r="K16">
        <v>2010</v>
      </c>
      <c r="L16">
        <v>4.9500000000000002E-2</v>
      </c>
      <c r="M16" t="s">
        <v>779</v>
      </c>
      <c r="N16" s="50">
        <v>4.8355058404276369E-2</v>
      </c>
      <c r="O16" t="s">
        <v>779</v>
      </c>
      <c r="P16">
        <v>102</v>
      </c>
      <c r="Q16"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18931000</v>
      </c>
      <c r="R16" s="57">
        <f>C_UKEq_detail[[#This Row],[lf_pv_lcy]]*(1+C_UKEq_detail[[#This Row],[wacc_posttax_real]])^(YEARFRAC(C_UKEq_detail[[#This Row],[award_date]],C_UKEq_detail[[#This Row],[award_date]]+C_UKEq_detail[[#This Row],[delay_days]])*delay_adj*(C_UKEq_detail[[#This Row],[delay_days]]&gt;delay_threshold))</f>
        <v>18931000</v>
      </c>
      <c r="S16" s="57">
        <f>-PMT(C_UKEq_detail[[#This Row],[wacc_posttax_real]],C_UKEq_detail[[#This Row],[duration_years]],C_UKEq_detail[[#This Row],[lsv_lcy]])</f>
        <v>1803633.1689996487</v>
      </c>
      <c r="T16" s="57">
        <f>-PV(C_UKEq_detail[[#This Row],[wacc_posttax_real]],notional_term,C_UKEq_detail[[#This Row],[annuity_lcy]])</f>
        <v>22794092.378344961</v>
      </c>
      <c r="U16" s="58">
        <f>INDEX(I_PPP[],MATCH(C_UKEq_detail[[#This Row],[country]],I_PPP[country],0), MATCH(TEXT(C_UKEq_detail[[#This Row],[award_year]], "#"),I_PPP[#Headers],0))</f>
        <v>0.80442599999999997</v>
      </c>
      <c r="V16" s="58">
        <f>INDEX(I_PPP[],MATCH("United Kingdom",I_PPP[country],0), MATCH(TEXT(C_UKEq_detail[[#This Row],[award_year]], "#"),I_PPP[#Headers],0))</f>
        <v>0.70170699999999997</v>
      </c>
      <c r="W16" s="57">
        <f>C_UKEq_detail[[#This Row],[lsv_norm_lcy]]*C_UKEq_detail[[#This Row],[ppp_gbp]]/C_UKEq_detail[[#This Row],[ppp_lcy]]</f>
        <v>19883462.46955134</v>
      </c>
      <c r="X16" s="58">
        <f>eff_cpi_uk/SUMIFS(I_CPI_UK[index],I_CPI_UK[month],TEXT(C_UKEq_detail[[#This Row],[award_date]],"YYYY MMM"))</f>
        <v>1.2315436241610738</v>
      </c>
      <c r="Y16" s="57">
        <f>C_UKEq_detail[[#This Row],[lsv_norm_gbp]]*C_UKEq_detail[[#This Row],[cpi_factor]]</f>
        <v>24487351.430621952</v>
      </c>
      <c r="Z16" s="57">
        <f>INDEX(I_Population[], MATCH(C_UKEq_detail[[#This Row],[country]], I_Population[country], 0), MATCH(TEXT(C_UKEq_detail[[#This Row],[award_year]],"#"), I_Population[#Headers], 0))</f>
        <v>81776930</v>
      </c>
      <c r="AA16" s="58">
        <f>eff_pop_uk/C_UKEq_detail[[#This Row],[population]]</f>
        <v>0.81730051494963185</v>
      </c>
      <c r="AB16" s="57">
        <f>C_UKEq_detail[[#This Row],[lsv_real_gbp]]*C_UKEq_detail[[#This Row],[pop_factor]]</f>
        <v>20013524.933999926</v>
      </c>
    </row>
    <row r="17" spans="1:28" x14ac:dyDescent="0.45">
      <c r="A17" s="50" t="s">
        <v>180</v>
      </c>
      <c r="B17" s="50" t="s">
        <v>158</v>
      </c>
      <c r="C17" s="49">
        <v>40318</v>
      </c>
      <c r="D17" s="50" t="s">
        <v>134</v>
      </c>
      <c r="E17" s="25">
        <v>10</v>
      </c>
      <c r="F17" s="25">
        <v>15</v>
      </c>
      <c r="G17" s="50" t="s">
        <v>97</v>
      </c>
      <c r="H17" s="25">
        <v>17739000</v>
      </c>
      <c r="I17" s="25">
        <v>0</v>
      </c>
      <c r="J17" s="49">
        <v>40420</v>
      </c>
      <c r="K17">
        <v>2010</v>
      </c>
      <c r="L17">
        <v>4.9500000000000002E-2</v>
      </c>
      <c r="M17" t="s">
        <v>779</v>
      </c>
      <c r="N17" s="50">
        <v>4.8355058404276369E-2</v>
      </c>
      <c r="O17" t="s">
        <v>779</v>
      </c>
      <c r="P17">
        <v>102</v>
      </c>
      <c r="Q17"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17739000</v>
      </c>
      <c r="R17" s="57">
        <f>C_UKEq_detail[[#This Row],[lf_pv_lcy]]*(1+C_UKEq_detail[[#This Row],[wacc_posttax_real]])^(YEARFRAC(C_UKEq_detail[[#This Row],[award_date]],C_UKEq_detail[[#This Row],[award_date]]+C_UKEq_detail[[#This Row],[delay_days]])*delay_adj*(C_UKEq_detail[[#This Row],[delay_days]]&gt;delay_threshold))</f>
        <v>17739000</v>
      </c>
      <c r="S17" s="57">
        <f>-PMT(C_UKEq_detail[[#This Row],[wacc_posttax_real]],C_UKEq_detail[[#This Row],[duration_years]],C_UKEq_detail[[#This Row],[lsv_lcy]])</f>
        <v>1690066.4933117512</v>
      </c>
      <c r="T17" s="57">
        <f>-PV(C_UKEq_detail[[#This Row],[wacc_posttax_real]],notional_term,C_UKEq_detail[[#This Row],[annuity_lcy]])</f>
        <v>21358850.810810901</v>
      </c>
      <c r="U17" s="58">
        <f>INDEX(I_PPP[],MATCH(C_UKEq_detail[[#This Row],[country]],I_PPP[country],0), MATCH(TEXT(C_UKEq_detail[[#This Row],[award_year]], "#"),I_PPP[#Headers],0))</f>
        <v>0.80442599999999997</v>
      </c>
      <c r="V17" s="58">
        <f>INDEX(I_PPP[],MATCH("United Kingdom",I_PPP[country],0), MATCH(TEXT(C_UKEq_detail[[#This Row],[award_year]], "#"),I_PPP[#Headers],0))</f>
        <v>0.70170699999999997</v>
      </c>
      <c r="W17" s="57">
        <f>C_UKEq_detail[[#This Row],[lsv_norm_lcy]]*C_UKEq_detail[[#This Row],[ppp_gbp]]/C_UKEq_detail[[#This Row],[ppp_lcy]]</f>
        <v>18631490.187912479</v>
      </c>
      <c r="X17" s="58">
        <f>eff_cpi_uk/SUMIFS(I_CPI_UK[index],I_CPI_UK[month],TEXT(C_UKEq_detail[[#This Row],[award_date]],"YYYY MMM"))</f>
        <v>1.2315436241610738</v>
      </c>
      <c r="Y17" s="57">
        <f>C_UKEq_detail[[#This Row],[lsv_norm_gbp]]*C_UKEq_detail[[#This Row],[cpi_factor]]</f>
        <v>22945492.949543219</v>
      </c>
      <c r="Z17" s="57">
        <f>INDEX(I_Population[], MATCH(C_UKEq_detail[[#This Row],[country]], I_Population[country], 0), MATCH(TEXT(C_UKEq_detail[[#This Row],[award_year]],"#"), I_Population[#Headers], 0))</f>
        <v>81776930</v>
      </c>
      <c r="AA17" s="58">
        <f>eff_pop_uk/C_UKEq_detail[[#This Row],[population]]</f>
        <v>0.81730051494963185</v>
      </c>
      <c r="AB17" s="57">
        <f>C_UKEq_detail[[#This Row],[lsv_real_gbp]]*C_UKEq_detail[[#This Row],[pop_factor]]</f>
        <v>18753363.203434821</v>
      </c>
    </row>
    <row r="18" spans="1:28" x14ac:dyDescent="0.45">
      <c r="A18" s="50" t="s">
        <v>180</v>
      </c>
      <c r="B18" s="50" t="s">
        <v>158</v>
      </c>
      <c r="C18" s="49">
        <v>40318</v>
      </c>
      <c r="D18" s="50" t="s">
        <v>90</v>
      </c>
      <c r="E18" s="25">
        <v>10</v>
      </c>
      <c r="F18" s="25">
        <v>15</v>
      </c>
      <c r="G18" s="50" t="s">
        <v>97</v>
      </c>
      <c r="H18" s="25">
        <v>17739000</v>
      </c>
      <c r="I18" s="25">
        <v>0</v>
      </c>
      <c r="J18" s="49">
        <v>40420</v>
      </c>
      <c r="K18">
        <v>2010</v>
      </c>
      <c r="L18">
        <v>4.9500000000000002E-2</v>
      </c>
      <c r="M18" t="s">
        <v>779</v>
      </c>
      <c r="N18" s="50">
        <v>4.8355058404276369E-2</v>
      </c>
      <c r="O18" t="s">
        <v>779</v>
      </c>
      <c r="P18">
        <v>102</v>
      </c>
      <c r="Q18"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17739000</v>
      </c>
      <c r="R18" s="57">
        <f>C_UKEq_detail[[#This Row],[lf_pv_lcy]]*(1+C_UKEq_detail[[#This Row],[wacc_posttax_real]])^(YEARFRAC(C_UKEq_detail[[#This Row],[award_date]],C_UKEq_detail[[#This Row],[award_date]]+C_UKEq_detail[[#This Row],[delay_days]])*delay_adj*(C_UKEq_detail[[#This Row],[delay_days]]&gt;delay_threshold))</f>
        <v>17739000</v>
      </c>
      <c r="S18" s="57">
        <f>-PMT(C_UKEq_detail[[#This Row],[wacc_posttax_real]],C_UKEq_detail[[#This Row],[duration_years]],C_UKEq_detail[[#This Row],[lsv_lcy]])</f>
        <v>1690066.4933117512</v>
      </c>
      <c r="T18" s="57">
        <f>-PV(C_UKEq_detail[[#This Row],[wacc_posttax_real]],notional_term,C_UKEq_detail[[#This Row],[annuity_lcy]])</f>
        <v>21358850.810810901</v>
      </c>
      <c r="U18" s="58">
        <f>INDEX(I_PPP[],MATCH(C_UKEq_detail[[#This Row],[country]],I_PPP[country],0), MATCH(TEXT(C_UKEq_detail[[#This Row],[award_year]], "#"),I_PPP[#Headers],0))</f>
        <v>0.80442599999999997</v>
      </c>
      <c r="V18" s="58">
        <f>INDEX(I_PPP[],MATCH("United Kingdom",I_PPP[country],0), MATCH(TEXT(C_UKEq_detail[[#This Row],[award_year]], "#"),I_PPP[#Headers],0))</f>
        <v>0.70170699999999997</v>
      </c>
      <c r="W18" s="57">
        <f>C_UKEq_detail[[#This Row],[lsv_norm_lcy]]*C_UKEq_detail[[#This Row],[ppp_gbp]]/C_UKEq_detail[[#This Row],[ppp_lcy]]</f>
        <v>18631490.187912479</v>
      </c>
      <c r="X18" s="58">
        <f>eff_cpi_uk/SUMIFS(I_CPI_UK[index],I_CPI_UK[month],TEXT(C_UKEq_detail[[#This Row],[award_date]],"YYYY MMM"))</f>
        <v>1.2315436241610738</v>
      </c>
      <c r="Y18" s="57">
        <f>C_UKEq_detail[[#This Row],[lsv_norm_gbp]]*C_UKEq_detail[[#This Row],[cpi_factor]]</f>
        <v>22945492.949543219</v>
      </c>
      <c r="Z18" s="57">
        <f>INDEX(I_Population[], MATCH(C_UKEq_detail[[#This Row],[country]], I_Population[country], 0), MATCH(TEXT(C_UKEq_detail[[#This Row],[award_year]],"#"), I_Population[#Headers], 0))</f>
        <v>81776930</v>
      </c>
      <c r="AA18" s="58">
        <f>eff_pop_uk/C_UKEq_detail[[#This Row],[population]]</f>
        <v>0.81730051494963185</v>
      </c>
      <c r="AB18" s="57">
        <f>C_UKEq_detail[[#This Row],[lsv_real_gbp]]*C_UKEq_detail[[#This Row],[pop_factor]]</f>
        <v>18753363.203434821</v>
      </c>
    </row>
    <row r="19" spans="1:28" x14ac:dyDescent="0.45">
      <c r="A19" s="50" t="s">
        <v>180</v>
      </c>
      <c r="B19" s="50" t="s">
        <v>158</v>
      </c>
      <c r="C19" s="49">
        <v>40318</v>
      </c>
      <c r="D19" s="50" t="s">
        <v>85</v>
      </c>
      <c r="E19" s="25">
        <v>10</v>
      </c>
      <c r="F19" s="25">
        <v>15</v>
      </c>
      <c r="G19" s="50" t="s">
        <v>97</v>
      </c>
      <c r="H19" s="25">
        <v>17739000</v>
      </c>
      <c r="I19" s="25">
        <v>0</v>
      </c>
      <c r="J19" s="49">
        <v>40420</v>
      </c>
      <c r="K19">
        <v>2010</v>
      </c>
      <c r="L19">
        <v>4.9500000000000002E-2</v>
      </c>
      <c r="M19" t="s">
        <v>779</v>
      </c>
      <c r="N19" s="50">
        <v>4.8355058404276369E-2</v>
      </c>
      <c r="O19" t="s">
        <v>779</v>
      </c>
      <c r="P19">
        <v>102</v>
      </c>
      <c r="Q19"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17739000</v>
      </c>
      <c r="R19" s="57">
        <f>C_UKEq_detail[[#This Row],[lf_pv_lcy]]*(1+C_UKEq_detail[[#This Row],[wacc_posttax_real]])^(YEARFRAC(C_UKEq_detail[[#This Row],[award_date]],C_UKEq_detail[[#This Row],[award_date]]+C_UKEq_detail[[#This Row],[delay_days]])*delay_adj*(C_UKEq_detail[[#This Row],[delay_days]]&gt;delay_threshold))</f>
        <v>17739000</v>
      </c>
      <c r="S19" s="57">
        <f>-PMT(C_UKEq_detail[[#This Row],[wacc_posttax_real]],C_UKEq_detail[[#This Row],[duration_years]],C_UKEq_detail[[#This Row],[lsv_lcy]])</f>
        <v>1690066.4933117512</v>
      </c>
      <c r="T19" s="57">
        <f>-PV(C_UKEq_detail[[#This Row],[wacc_posttax_real]],notional_term,C_UKEq_detail[[#This Row],[annuity_lcy]])</f>
        <v>21358850.810810901</v>
      </c>
      <c r="U19" s="58">
        <f>INDEX(I_PPP[],MATCH(C_UKEq_detail[[#This Row],[country]],I_PPP[country],0), MATCH(TEXT(C_UKEq_detail[[#This Row],[award_year]], "#"),I_PPP[#Headers],0))</f>
        <v>0.80442599999999997</v>
      </c>
      <c r="V19" s="58">
        <f>INDEX(I_PPP[],MATCH("United Kingdom",I_PPP[country],0), MATCH(TEXT(C_UKEq_detail[[#This Row],[award_year]], "#"),I_PPP[#Headers],0))</f>
        <v>0.70170699999999997</v>
      </c>
      <c r="W19" s="57">
        <f>C_UKEq_detail[[#This Row],[lsv_norm_lcy]]*C_UKEq_detail[[#This Row],[ppp_gbp]]/C_UKEq_detail[[#This Row],[ppp_lcy]]</f>
        <v>18631490.187912479</v>
      </c>
      <c r="X19" s="58">
        <f>eff_cpi_uk/SUMIFS(I_CPI_UK[index],I_CPI_UK[month],TEXT(C_UKEq_detail[[#This Row],[award_date]],"YYYY MMM"))</f>
        <v>1.2315436241610738</v>
      </c>
      <c r="Y19" s="57">
        <f>C_UKEq_detail[[#This Row],[lsv_norm_gbp]]*C_UKEq_detail[[#This Row],[cpi_factor]]</f>
        <v>22945492.949543219</v>
      </c>
      <c r="Z19" s="57">
        <f>INDEX(I_Population[], MATCH(C_UKEq_detail[[#This Row],[country]], I_Population[country], 0), MATCH(TEXT(C_UKEq_detail[[#This Row],[award_year]],"#"), I_Population[#Headers], 0))</f>
        <v>81776930</v>
      </c>
      <c r="AA19" s="58">
        <f>eff_pop_uk/C_UKEq_detail[[#This Row],[population]]</f>
        <v>0.81730051494963185</v>
      </c>
      <c r="AB19" s="57">
        <f>C_UKEq_detail[[#This Row],[lsv_real_gbp]]*C_UKEq_detail[[#This Row],[pop_factor]]</f>
        <v>18753363.203434821</v>
      </c>
    </row>
    <row r="20" spans="1:28" x14ac:dyDescent="0.45">
      <c r="A20" s="50" t="s">
        <v>180</v>
      </c>
      <c r="B20" s="50" t="s">
        <v>158</v>
      </c>
      <c r="C20" s="49">
        <v>40318</v>
      </c>
      <c r="D20" s="50" t="s">
        <v>85</v>
      </c>
      <c r="E20" s="25">
        <v>10</v>
      </c>
      <c r="F20" s="25">
        <v>15</v>
      </c>
      <c r="G20" s="50" t="s">
        <v>97</v>
      </c>
      <c r="H20" s="25">
        <v>17752000</v>
      </c>
      <c r="I20" s="25">
        <v>0</v>
      </c>
      <c r="J20" s="49">
        <v>40420</v>
      </c>
      <c r="K20">
        <v>2010</v>
      </c>
      <c r="L20">
        <v>4.9500000000000002E-2</v>
      </c>
      <c r="M20" t="s">
        <v>779</v>
      </c>
      <c r="N20" s="50">
        <v>4.8355058404276369E-2</v>
      </c>
      <c r="O20" t="s">
        <v>779</v>
      </c>
      <c r="P20">
        <v>102</v>
      </c>
      <c r="Q20"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17752000</v>
      </c>
      <c r="R20" s="57">
        <f>C_UKEq_detail[[#This Row],[lf_pv_lcy]]*(1+C_UKEq_detail[[#This Row],[wacc_posttax_real]])^(YEARFRAC(C_UKEq_detail[[#This Row],[award_date]],C_UKEq_detail[[#This Row],[award_date]]+C_UKEq_detail[[#This Row],[delay_days]])*delay_adj*(C_UKEq_detail[[#This Row],[delay_days]]&gt;delay_threshold))</f>
        <v>17752000</v>
      </c>
      <c r="S20" s="57">
        <f>-PMT(C_UKEq_detail[[#This Row],[wacc_posttax_real]],C_UKEq_detail[[#This Row],[duration_years]],C_UKEq_detail[[#This Row],[lsv_lcy]])</f>
        <v>1691305.0560499583</v>
      </c>
      <c r="T20" s="57">
        <f>-PV(C_UKEq_detail[[#This Row],[wacc_posttax_real]],notional_term,C_UKEq_detail[[#This Row],[annuity_lcy]])</f>
        <v>21374503.613141395</v>
      </c>
      <c r="U20" s="58">
        <f>INDEX(I_PPP[],MATCH(C_UKEq_detail[[#This Row],[country]],I_PPP[country],0), MATCH(TEXT(C_UKEq_detail[[#This Row],[award_year]], "#"),I_PPP[#Headers],0))</f>
        <v>0.80442599999999997</v>
      </c>
      <c r="V20" s="58">
        <f>INDEX(I_PPP[],MATCH("United Kingdom",I_PPP[country],0), MATCH(TEXT(C_UKEq_detail[[#This Row],[award_year]], "#"),I_PPP[#Headers],0))</f>
        <v>0.70170699999999997</v>
      </c>
      <c r="W20" s="57">
        <f>C_UKEq_detail[[#This Row],[lsv_norm_lcy]]*C_UKEq_detail[[#This Row],[ppp_gbp]]/C_UKEq_detail[[#This Row],[ppp_lcy]]</f>
        <v>18645144.248031031</v>
      </c>
      <c r="X20" s="58">
        <f>eff_cpi_uk/SUMIFS(I_CPI_UK[index],I_CPI_UK[month],TEXT(C_UKEq_detail[[#This Row],[award_date]],"YYYY MMM"))</f>
        <v>1.2315436241610738</v>
      </c>
      <c r="Y20" s="57">
        <f>C_UKEq_detail[[#This Row],[lsv_norm_gbp]]*C_UKEq_detail[[#This Row],[cpi_factor]]</f>
        <v>22962308.520226136</v>
      </c>
      <c r="Z20" s="57">
        <f>INDEX(I_Population[], MATCH(C_UKEq_detail[[#This Row],[country]], I_Population[country], 0), MATCH(TEXT(C_UKEq_detail[[#This Row],[award_year]],"#"), I_Population[#Headers], 0))</f>
        <v>81776930</v>
      </c>
      <c r="AA20" s="58">
        <f>eff_pop_uk/C_UKEq_detail[[#This Row],[population]]</f>
        <v>0.81730051494963185</v>
      </c>
      <c r="AB20" s="57">
        <f>C_UKEq_detail[[#This Row],[lsv_real_gbp]]*C_UKEq_detail[[#This Row],[pop_factor]]</f>
        <v>18767106.578013141</v>
      </c>
    </row>
    <row r="21" spans="1:28" x14ac:dyDescent="0.45">
      <c r="A21" s="50" t="s">
        <v>135</v>
      </c>
      <c r="B21" s="50" t="s">
        <v>158</v>
      </c>
      <c r="C21" s="49">
        <v>40318</v>
      </c>
      <c r="D21" s="50" t="s">
        <v>90</v>
      </c>
      <c r="E21" s="25">
        <v>10</v>
      </c>
      <c r="F21" s="25">
        <v>15</v>
      </c>
      <c r="G21" s="50" t="s">
        <v>97</v>
      </c>
      <c r="H21" s="25">
        <v>616595000</v>
      </c>
      <c r="I21" s="25">
        <v>0</v>
      </c>
      <c r="J21" s="49">
        <v>40420</v>
      </c>
      <c r="K21">
        <v>2010</v>
      </c>
      <c r="L21">
        <v>4.9500000000000002E-2</v>
      </c>
      <c r="M21" t="s">
        <v>779</v>
      </c>
      <c r="N21" s="50">
        <v>4.8355058404276369E-2</v>
      </c>
      <c r="O21" t="s">
        <v>779</v>
      </c>
      <c r="P21">
        <v>102</v>
      </c>
      <c r="Q21"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616595000</v>
      </c>
      <c r="R21" s="57">
        <f>C_UKEq_detail[[#This Row],[lf_pv_lcy]]*(1+C_UKEq_detail[[#This Row],[wacc_posttax_real]])^(YEARFRAC(C_UKEq_detail[[#This Row],[award_date]],C_UKEq_detail[[#This Row],[award_date]]+C_UKEq_detail[[#This Row],[delay_days]])*delay_adj*(C_UKEq_detail[[#This Row],[delay_days]]&gt;delay_threshold))</f>
        <v>616595000</v>
      </c>
      <c r="S21" s="57">
        <f>-PMT(C_UKEq_detail[[#This Row],[wacc_posttax_real]],C_UKEq_detail[[#This Row],[duration_years]],C_UKEq_detail[[#This Row],[lsv_lcy]])</f>
        <v>58745507.04343871</v>
      </c>
      <c r="T21" s="57">
        <f>-PV(C_UKEq_detail[[#This Row],[wacc_posttax_real]],notional_term,C_UKEq_detail[[#This Row],[annuity_lcy]])</f>
        <v>742418434.8436749</v>
      </c>
      <c r="U21" s="58">
        <f>INDEX(I_PPP[],MATCH(C_UKEq_detail[[#This Row],[country]],I_PPP[country],0), MATCH(TEXT(C_UKEq_detail[[#This Row],[award_year]], "#"),I_PPP[#Headers],0))</f>
        <v>0.80442599999999997</v>
      </c>
      <c r="V21" s="58">
        <f>INDEX(I_PPP[],MATCH("United Kingdom",I_PPP[country],0), MATCH(TEXT(C_UKEq_detail[[#This Row],[award_year]], "#"),I_PPP[#Headers],0))</f>
        <v>0.70170699999999997</v>
      </c>
      <c r="W21" s="57">
        <f>C_UKEq_detail[[#This Row],[lsv_norm_lcy]]*C_UKEq_detail[[#This Row],[ppp_gbp]]/C_UKEq_detail[[#This Row],[ppp_lcy]]</f>
        <v>647617322.98415339</v>
      </c>
      <c r="X21" s="58">
        <f>eff_cpi_uk/SUMIFS(I_CPI_UK[index],I_CPI_UK[month],TEXT(C_UKEq_detail[[#This Row],[award_date]],"YYYY MMM"))</f>
        <v>1.2315436241610738</v>
      </c>
      <c r="Y21" s="57">
        <f>C_UKEq_detail[[#This Row],[lsv_norm_gbp]]*C_UKEq_detail[[#This Row],[cpi_factor]]</f>
        <v>797568985.01739693</v>
      </c>
      <c r="Z21" s="57">
        <f>INDEX(I_Population[], MATCH(C_UKEq_detail[[#This Row],[country]], I_Population[country], 0), MATCH(TEXT(C_UKEq_detail[[#This Row],[award_year]],"#"), I_Population[#Headers], 0))</f>
        <v>81776930</v>
      </c>
      <c r="AA21" s="58">
        <f>eff_pop_uk/C_UKEq_detail[[#This Row],[population]]</f>
        <v>0.81730051494963185</v>
      </c>
      <c r="AB21" s="57">
        <f>C_UKEq_detail[[#This Row],[lsv_real_gbp]]*C_UKEq_detail[[#This Row],[pop_factor]]</f>
        <v>651853542.1625737</v>
      </c>
    </row>
    <row r="22" spans="1:28" x14ac:dyDescent="0.45">
      <c r="A22" s="50" t="s">
        <v>135</v>
      </c>
      <c r="B22" s="50" t="s">
        <v>158</v>
      </c>
      <c r="C22" s="49">
        <v>40318</v>
      </c>
      <c r="D22" s="50" t="s">
        <v>90</v>
      </c>
      <c r="E22" s="25">
        <v>10</v>
      </c>
      <c r="F22" s="25">
        <v>15</v>
      </c>
      <c r="G22" s="50" t="s">
        <v>97</v>
      </c>
      <c r="H22" s="25">
        <v>595760000</v>
      </c>
      <c r="I22" s="25">
        <v>0</v>
      </c>
      <c r="J22" s="49">
        <v>40420</v>
      </c>
      <c r="K22">
        <v>2010</v>
      </c>
      <c r="L22">
        <v>4.9500000000000002E-2</v>
      </c>
      <c r="M22" t="s">
        <v>779</v>
      </c>
      <c r="N22" s="50">
        <v>4.8355058404276369E-2</v>
      </c>
      <c r="O22" t="s">
        <v>779</v>
      </c>
      <c r="P22">
        <v>102</v>
      </c>
      <c r="Q22"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595760000</v>
      </c>
      <c r="R22" s="57">
        <f>C_UKEq_detail[[#This Row],[lf_pv_lcy]]*(1+C_UKEq_detail[[#This Row],[wacc_posttax_real]])^(YEARFRAC(C_UKEq_detail[[#This Row],[award_date]],C_UKEq_detail[[#This Row],[award_date]]+C_UKEq_detail[[#This Row],[delay_days]])*delay_adj*(C_UKEq_detail[[#This Row],[delay_days]]&gt;delay_threshold))</f>
        <v>595760000</v>
      </c>
      <c r="S22" s="57">
        <f>-PMT(C_UKEq_detail[[#This Row],[wacc_posttax_real]],C_UKEq_detail[[#This Row],[duration_years]],C_UKEq_detail[[#This Row],[lsv_lcy]])</f>
        <v>56760472.070320137</v>
      </c>
      <c r="T22" s="57">
        <f>-PV(C_UKEq_detail[[#This Row],[wacc_posttax_real]],notional_term,C_UKEq_detail[[#This Row],[annuity_lcy]])</f>
        <v>717331808.95477211</v>
      </c>
      <c r="U22" s="58">
        <f>INDEX(I_PPP[],MATCH(C_UKEq_detail[[#This Row],[country]],I_PPP[country],0), MATCH(TEXT(C_UKEq_detail[[#This Row],[award_year]], "#"),I_PPP[#Headers],0))</f>
        <v>0.80442599999999997</v>
      </c>
      <c r="V22" s="58">
        <f>INDEX(I_PPP[],MATCH("United Kingdom",I_PPP[country],0), MATCH(TEXT(C_UKEq_detail[[#This Row],[award_year]], "#"),I_PPP[#Headers],0))</f>
        <v>0.70170699999999997</v>
      </c>
      <c r="W22" s="57">
        <f>C_UKEq_detail[[#This Row],[lsv_norm_lcy]]*C_UKEq_detail[[#This Row],[ppp_gbp]]/C_UKEq_detail[[#This Row],[ppp_lcy]]</f>
        <v>625734065.86339366</v>
      </c>
      <c r="X22" s="58">
        <f>eff_cpi_uk/SUMIFS(I_CPI_UK[index],I_CPI_UK[month],TEXT(C_UKEq_detail[[#This Row],[award_date]],"YYYY MMM"))</f>
        <v>1.2315436241610738</v>
      </c>
      <c r="Y22" s="57">
        <f>C_UKEq_detail[[#This Row],[lsv_norm_gbp]]*C_UKEq_detail[[#This Row],[cpi_factor]]</f>
        <v>770618799.23444784</v>
      </c>
      <c r="Z22" s="57">
        <f>INDEX(I_Population[], MATCH(C_UKEq_detail[[#This Row],[country]], I_Population[country], 0), MATCH(TEXT(C_UKEq_detail[[#This Row],[award_year]],"#"), I_Population[#Headers], 0))</f>
        <v>81776930</v>
      </c>
      <c r="AA22" s="58">
        <f>eff_pop_uk/C_UKEq_detail[[#This Row],[population]]</f>
        <v>0.81730051494963185</v>
      </c>
      <c r="AB22" s="57">
        <f>C_UKEq_detail[[#This Row],[lsv_real_gbp]]*C_UKEq_detail[[#This Row],[pop_factor]]</f>
        <v>629827141.4441812</v>
      </c>
    </row>
    <row r="23" spans="1:28" x14ac:dyDescent="0.45">
      <c r="A23" s="50" t="s">
        <v>135</v>
      </c>
      <c r="B23" s="50" t="s">
        <v>158</v>
      </c>
      <c r="C23" s="49">
        <v>40318</v>
      </c>
      <c r="D23" s="50" t="s">
        <v>133</v>
      </c>
      <c r="E23" s="25">
        <v>10</v>
      </c>
      <c r="F23" s="25">
        <v>15</v>
      </c>
      <c r="G23" s="50" t="s">
        <v>97</v>
      </c>
      <c r="H23" s="25">
        <v>570849000</v>
      </c>
      <c r="I23" s="25">
        <v>0</v>
      </c>
      <c r="J23" s="49">
        <v>40420</v>
      </c>
      <c r="K23">
        <v>2010</v>
      </c>
      <c r="L23">
        <v>4.9500000000000002E-2</v>
      </c>
      <c r="M23" t="s">
        <v>779</v>
      </c>
      <c r="N23" s="50">
        <v>4.8355058404276369E-2</v>
      </c>
      <c r="O23" t="s">
        <v>779</v>
      </c>
      <c r="P23">
        <v>102</v>
      </c>
      <c r="Q23"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570849000</v>
      </c>
      <c r="R23" s="57">
        <f>C_UKEq_detail[[#This Row],[lf_pv_lcy]]*(1+C_UKEq_detail[[#This Row],[wacc_posttax_real]])^(YEARFRAC(C_UKEq_detail[[#This Row],[award_date]],C_UKEq_detail[[#This Row],[award_date]]+C_UKEq_detail[[#This Row],[delay_days]])*delay_adj*(C_UKEq_detail[[#This Row],[delay_days]]&gt;delay_threshold))</f>
        <v>570849000</v>
      </c>
      <c r="S23" s="57">
        <f>-PMT(C_UKEq_detail[[#This Row],[wacc_posttax_real]],C_UKEq_detail[[#This Row],[duration_years]],C_UKEq_detail[[#This Row],[lsv_lcy]])</f>
        <v>54387100.041745298</v>
      </c>
      <c r="T23" s="57">
        <f>-PV(C_UKEq_detail[[#This Row],[wacc_posttax_real]],notional_term,C_UKEq_detail[[#This Row],[annuity_lcy]])</f>
        <v>687337427.50440228</v>
      </c>
      <c r="U23" s="58">
        <f>INDEX(I_PPP[],MATCH(C_UKEq_detail[[#This Row],[country]],I_PPP[country],0), MATCH(TEXT(C_UKEq_detail[[#This Row],[award_year]], "#"),I_PPP[#Headers],0))</f>
        <v>0.80442599999999997</v>
      </c>
      <c r="V23" s="58">
        <f>INDEX(I_PPP[],MATCH("United Kingdom",I_PPP[country],0), MATCH(TEXT(C_UKEq_detail[[#This Row],[award_year]], "#"),I_PPP[#Headers],0))</f>
        <v>0.70170699999999997</v>
      </c>
      <c r="W23" s="57">
        <f>C_UKEq_detail[[#This Row],[lsv_norm_lcy]]*C_UKEq_detail[[#This Row],[ppp_gbp]]/C_UKEq_detail[[#This Row],[ppp_lcy]]</f>
        <v>599569735.73931181</v>
      </c>
      <c r="X23" s="58">
        <f>eff_cpi_uk/SUMIFS(I_CPI_UK[index],I_CPI_UK[month],TEXT(C_UKEq_detail[[#This Row],[award_date]],"YYYY MMM"))</f>
        <v>1.2315436241610738</v>
      </c>
      <c r="Y23" s="57">
        <f>C_UKEq_detail[[#This Row],[lsv_norm_gbp]]*C_UKEq_detail[[#This Row],[cpi_factor]]</f>
        <v>738396285.2896893</v>
      </c>
      <c r="Z23" s="57">
        <f>INDEX(I_Population[], MATCH(C_UKEq_detail[[#This Row],[country]], I_Population[country], 0), MATCH(TEXT(C_UKEq_detail[[#This Row],[award_year]],"#"), I_Population[#Headers], 0))</f>
        <v>81776930</v>
      </c>
      <c r="AA23" s="58">
        <f>eff_pop_uk/C_UKEq_detail[[#This Row],[population]]</f>
        <v>0.81730051494963185</v>
      </c>
      <c r="AB23" s="57">
        <f>C_UKEq_detail[[#This Row],[lsv_real_gbp]]*C_UKEq_detail[[#This Row],[pop_factor]]</f>
        <v>603491664.20415831</v>
      </c>
    </row>
    <row r="24" spans="1:28" x14ac:dyDescent="0.45">
      <c r="A24" s="50" t="s">
        <v>135</v>
      </c>
      <c r="B24" s="50" t="s">
        <v>158</v>
      </c>
      <c r="C24" s="49">
        <v>40318</v>
      </c>
      <c r="D24" s="50" t="s">
        <v>133</v>
      </c>
      <c r="E24" s="25">
        <v>10</v>
      </c>
      <c r="F24" s="25">
        <v>15</v>
      </c>
      <c r="G24" s="50" t="s">
        <v>97</v>
      </c>
      <c r="H24" s="25">
        <v>582949000</v>
      </c>
      <c r="I24" s="25">
        <v>0</v>
      </c>
      <c r="J24" s="49">
        <v>40420</v>
      </c>
      <c r="K24">
        <v>2010</v>
      </c>
      <c r="L24">
        <v>4.9500000000000002E-2</v>
      </c>
      <c r="M24" t="s">
        <v>779</v>
      </c>
      <c r="N24" s="50">
        <v>4.8355058404276369E-2</v>
      </c>
      <c r="O24" t="s">
        <v>779</v>
      </c>
      <c r="P24">
        <v>102</v>
      </c>
      <c r="Q24"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582949000</v>
      </c>
      <c r="R24" s="57">
        <f>C_UKEq_detail[[#This Row],[lf_pv_lcy]]*(1+C_UKEq_detail[[#This Row],[wacc_posttax_real]])^(YEARFRAC(C_UKEq_detail[[#This Row],[award_date]],C_UKEq_detail[[#This Row],[award_date]]+C_UKEq_detail[[#This Row],[delay_days]])*delay_adj*(C_UKEq_detail[[#This Row],[delay_days]]&gt;delay_threshold))</f>
        <v>582949000</v>
      </c>
      <c r="S24" s="57">
        <f>-PMT(C_UKEq_detail[[#This Row],[wacc_posttax_real]],C_UKEq_detail[[#This Row],[duration_years]],C_UKEq_detail[[#This Row],[lsv_lcy]])</f>
        <v>55539916.128845602</v>
      </c>
      <c r="T24" s="57">
        <f>-PV(C_UKEq_detail[[#This Row],[wacc_posttax_real]],notional_term,C_UKEq_detail[[#This Row],[annuity_lcy]])</f>
        <v>701906574.28893423</v>
      </c>
      <c r="U24" s="58">
        <f>INDEX(I_PPP[],MATCH(C_UKEq_detail[[#This Row],[country]],I_PPP[country],0), MATCH(TEXT(C_UKEq_detail[[#This Row],[award_year]], "#"),I_PPP[#Headers],0))</f>
        <v>0.80442599999999997</v>
      </c>
      <c r="V24" s="58">
        <f>INDEX(I_PPP[],MATCH("United Kingdom",I_PPP[country],0), MATCH(TEXT(C_UKEq_detail[[#This Row],[award_year]], "#"),I_PPP[#Headers],0))</f>
        <v>0.70170699999999997</v>
      </c>
      <c r="W24" s="57">
        <f>C_UKEq_detail[[#This Row],[lsv_norm_lcy]]*C_UKEq_detail[[#This Row],[ppp_gbp]]/C_UKEq_detail[[#This Row],[ppp_lcy]]</f>
        <v>612278514.77272642</v>
      </c>
      <c r="X24" s="58">
        <f>eff_cpi_uk/SUMIFS(I_CPI_UK[index],I_CPI_UK[month],TEXT(C_UKEq_detail[[#This Row],[award_date]],"YYYY MMM"))</f>
        <v>1.2315436241610738</v>
      </c>
      <c r="Y24" s="57">
        <f>C_UKEq_detail[[#This Row],[lsv_norm_gbp]]*C_UKEq_detail[[#This Row],[cpi_factor]]</f>
        <v>754047701.07916307</v>
      </c>
      <c r="Z24" s="57">
        <f>INDEX(I_Population[], MATCH(C_UKEq_detail[[#This Row],[country]], I_Population[country], 0), MATCH(TEXT(C_UKEq_detail[[#This Row],[award_year]],"#"), I_Population[#Headers], 0))</f>
        <v>81776930</v>
      </c>
      <c r="AA24" s="58">
        <f>eff_pop_uk/C_UKEq_detail[[#This Row],[population]]</f>
        <v>0.81730051494963185</v>
      </c>
      <c r="AB24" s="57">
        <f>C_UKEq_detail[[#This Row],[lsv_real_gbp]]*C_UKEq_detail[[#This Row],[pop_factor]]</f>
        <v>616283574.38858604</v>
      </c>
    </row>
    <row r="25" spans="1:28" x14ac:dyDescent="0.45">
      <c r="A25" s="50" t="s">
        <v>135</v>
      </c>
      <c r="B25" s="50" t="s">
        <v>158</v>
      </c>
      <c r="C25" s="49">
        <v>40318</v>
      </c>
      <c r="D25" s="50" t="s">
        <v>85</v>
      </c>
      <c r="E25" s="25">
        <v>10</v>
      </c>
      <c r="F25" s="25">
        <v>15</v>
      </c>
      <c r="G25" s="50" t="s">
        <v>97</v>
      </c>
      <c r="H25" s="25">
        <v>583005000</v>
      </c>
      <c r="I25" s="25">
        <v>0</v>
      </c>
      <c r="J25" s="49">
        <v>40420</v>
      </c>
      <c r="K25">
        <v>2010</v>
      </c>
      <c r="L25">
        <v>4.9500000000000002E-2</v>
      </c>
      <c r="M25" t="s">
        <v>779</v>
      </c>
      <c r="N25" s="50">
        <v>4.8355058404276369E-2</v>
      </c>
      <c r="O25" t="s">
        <v>779</v>
      </c>
      <c r="P25">
        <v>102</v>
      </c>
      <c r="Q25"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583005000</v>
      </c>
      <c r="R25" s="57">
        <f>C_UKEq_detail[[#This Row],[lf_pv_lcy]]*(1+C_UKEq_detail[[#This Row],[wacc_posttax_real]])^(YEARFRAC(C_UKEq_detail[[#This Row],[award_date]],C_UKEq_detail[[#This Row],[award_date]]+C_UKEq_detail[[#This Row],[delay_days]])*delay_adj*(C_UKEq_detail[[#This Row],[delay_days]]&gt;delay_threshold))</f>
        <v>583005000</v>
      </c>
      <c r="S25" s="57">
        <f>-PMT(C_UKEq_detail[[#This Row],[wacc_posttax_real]],C_UKEq_detail[[#This Row],[duration_years]],C_UKEq_detail[[#This Row],[lsv_lcy]])</f>
        <v>55545251.476025574</v>
      </c>
      <c r="T25" s="57">
        <f>-PV(C_UKEq_detail[[#This Row],[wacc_posttax_real]],notional_term,C_UKEq_detail[[#This Row],[annuity_lcy]])</f>
        <v>701974001.7451272</v>
      </c>
      <c r="U25" s="58">
        <f>INDEX(I_PPP[],MATCH(C_UKEq_detail[[#This Row],[country]],I_PPP[country],0), MATCH(TEXT(C_UKEq_detail[[#This Row],[award_year]], "#"),I_PPP[#Headers],0))</f>
        <v>0.80442599999999997</v>
      </c>
      <c r="V25" s="58">
        <f>INDEX(I_PPP[],MATCH("United Kingdom",I_PPP[country],0), MATCH(TEXT(C_UKEq_detail[[#This Row],[award_year]], "#"),I_PPP[#Headers],0))</f>
        <v>0.70170699999999997</v>
      </c>
      <c r="W25" s="57">
        <f>C_UKEq_detail[[#This Row],[lsv_norm_lcy]]*C_UKEq_detail[[#This Row],[ppp_gbp]]/C_UKEq_detail[[#This Row],[ppp_lcy]]</f>
        <v>612337332.26246786</v>
      </c>
      <c r="X25" s="58">
        <f>eff_cpi_uk/SUMIFS(I_CPI_UK[index],I_CPI_UK[month],TEXT(C_UKEq_detail[[#This Row],[award_date]],"YYYY MMM"))</f>
        <v>1.2315436241610738</v>
      </c>
      <c r="Y25" s="57">
        <f>C_UKEq_detail[[#This Row],[lsv_norm_gbp]]*C_UKEq_detail[[#This Row],[cpi_factor]]</f>
        <v>754120137.38364327</v>
      </c>
      <c r="Z25" s="57">
        <f>INDEX(I_Population[], MATCH(C_UKEq_detail[[#This Row],[country]], I_Population[country], 0), MATCH(TEXT(C_UKEq_detail[[#This Row],[award_year]],"#"), I_Population[#Headers], 0))</f>
        <v>81776930</v>
      </c>
      <c r="AA25" s="58">
        <f>eff_pop_uk/C_UKEq_detail[[#This Row],[population]]</f>
        <v>0.81730051494963185</v>
      </c>
      <c r="AB25" s="57">
        <f>C_UKEq_detail[[#This Row],[lsv_real_gbp]]*C_UKEq_detail[[#This Row],[pop_factor]]</f>
        <v>616342776.61753881</v>
      </c>
    </row>
    <row r="26" spans="1:28" x14ac:dyDescent="0.45">
      <c r="A26" s="50" t="s">
        <v>135</v>
      </c>
      <c r="B26" s="50" t="s">
        <v>158</v>
      </c>
      <c r="C26" s="49">
        <v>40318</v>
      </c>
      <c r="D26" s="50" t="s">
        <v>85</v>
      </c>
      <c r="E26" s="25">
        <v>10</v>
      </c>
      <c r="F26" s="25">
        <v>15</v>
      </c>
      <c r="G26" s="50" t="s">
        <v>97</v>
      </c>
      <c r="H26" s="25">
        <v>627317000</v>
      </c>
      <c r="I26" s="25">
        <v>0</v>
      </c>
      <c r="J26" s="49">
        <v>40420</v>
      </c>
      <c r="K26">
        <v>2010</v>
      </c>
      <c r="L26">
        <v>4.9500000000000002E-2</v>
      </c>
      <c r="M26" t="s">
        <v>779</v>
      </c>
      <c r="N26" s="50">
        <v>4.8355058404276369E-2</v>
      </c>
      <c r="O26" t="s">
        <v>779</v>
      </c>
      <c r="P26">
        <v>102</v>
      </c>
      <c r="Q26"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627317000</v>
      </c>
      <c r="R26" s="57">
        <f>C_UKEq_detail[[#This Row],[lf_pv_lcy]]*(1+C_UKEq_detail[[#This Row],[wacc_posttax_real]])^(YEARFRAC(C_UKEq_detail[[#This Row],[award_date]],C_UKEq_detail[[#This Row],[award_date]]+C_UKEq_detail[[#This Row],[delay_days]])*delay_adj*(C_UKEq_detail[[#This Row],[delay_days]]&gt;delay_threshold))</f>
        <v>627317000</v>
      </c>
      <c r="S26" s="57">
        <f>-PMT(C_UKEq_detail[[#This Row],[wacc_posttax_real]],C_UKEq_detail[[#This Row],[duration_years]],C_UKEq_detail[[#This Row],[lsv_lcy]])</f>
        <v>59767035.480289072</v>
      </c>
      <c r="T26" s="57">
        <f>-PV(C_UKEq_detail[[#This Row],[wacc_posttax_real]],notional_term,C_UKEq_detail[[#This Row],[annuity_lcy]])</f>
        <v>755328384.58117497</v>
      </c>
      <c r="U26" s="58">
        <f>INDEX(I_PPP[],MATCH(C_UKEq_detail[[#This Row],[country]],I_PPP[country],0), MATCH(TEXT(C_UKEq_detail[[#This Row],[award_year]], "#"),I_PPP[#Headers],0))</f>
        <v>0.80442599999999997</v>
      </c>
      <c r="V26" s="58">
        <f>INDEX(I_PPP[],MATCH("United Kingdom",I_PPP[country],0), MATCH(TEXT(C_UKEq_detail[[#This Row],[award_year]], "#"),I_PPP[#Headers],0))</f>
        <v>0.70170699999999997</v>
      </c>
      <c r="W26" s="57">
        <f>C_UKEq_detail[[#This Row],[lsv_norm_lcy]]*C_UKEq_detail[[#This Row],[ppp_gbp]]/C_UKEq_detail[[#This Row],[ppp_lcy]]</f>
        <v>658878771.64500213</v>
      </c>
      <c r="X26" s="58">
        <f>eff_cpi_uk/SUMIFS(I_CPI_UK[index],I_CPI_UK[month],TEXT(C_UKEq_detail[[#This Row],[award_date]],"YYYY MMM"))</f>
        <v>1.2315436241610738</v>
      </c>
      <c r="Y26" s="57">
        <f>C_UKEq_detail[[#This Row],[lsv_norm_gbp]]*C_UKEq_detail[[#This Row],[cpi_factor]]</f>
        <v>811437950.31448245</v>
      </c>
      <c r="Z26" s="57">
        <f>INDEX(I_Population[], MATCH(C_UKEq_detail[[#This Row],[country]], I_Population[country], 0), MATCH(TEXT(C_UKEq_detail[[#This Row],[award_year]],"#"), I_Population[#Headers], 0))</f>
        <v>81776930</v>
      </c>
      <c r="AA26" s="58">
        <f>eff_pop_uk/C_UKEq_detail[[#This Row],[population]]</f>
        <v>0.81730051494963185</v>
      </c>
      <c r="AB26" s="57">
        <f>C_UKEq_detail[[#This Row],[lsv_real_gbp]]*C_UKEq_detail[[#This Row],[pop_factor]]</f>
        <v>663188654.64170027</v>
      </c>
    </row>
    <row r="27" spans="1:28" x14ac:dyDescent="0.45">
      <c r="A27" s="50" t="s">
        <v>129</v>
      </c>
      <c r="B27" s="50" t="s">
        <v>158</v>
      </c>
      <c r="C27" s="49">
        <v>42174</v>
      </c>
      <c r="D27" s="50" t="s">
        <v>85</v>
      </c>
      <c r="E27" s="25">
        <v>10</v>
      </c>
      <c r="F27" s="25">
        <v>17</v>
      </c>
      <c r="G27" s="50" t="s">
        <v>97</v>
      </c>
      <c r="H27" s="25">
        <v>237494000</v>
      </c>
      <c r="I27" s="25">
        <v>0</v>
      </c>
      <c r="J27" s="49">
        <v>42736</v>
      </c>
      <c r="K27">
        <v>2015</v>
      </c>
      <c r="L27">
        <v>4.0599999999999997E-2</v>
      </c>
      <c r="M27" t="s">
        <v>779</v>
      </c>
      <c r="N27" s="50">
        <v>3.6931141868512006E-2</v>
      </c>
      <c r="O27" t="s">
        <v>779</v>
      </c>
      <c r="P27">
        <v>562</v>
      </c>
      <c r="Q27"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237494000</v>
      </c>
      <c r="R27" s="57">
        <f>C_UKEq_detail[[#This Row],[lf_pv_lcy]]*(1+C_UKEq_detail[[#This Row],[wacc_posttax_real]])^(YEARFRAC(C_UKEq_detail[[#This Row],[award_date]],C_UKEq_detail[[#This Row],[award_date]]+C_UKEq_detail[[#This Row],[delay_days]])*delay_adj*(C_UKEq_detail[[#This Row],[delay_days]]&gt;delay_threshold))</f>
        <v>251074447.68959478</v>
      </c>
      <c r="S27" s="57">
        <f>-PMT(C_UKEq_detail[[#This Row],[wacc_posttax_real]],C_UKEq_detail[[#This Row],[duration_years]],C_UKEq_detail[[#This Row],[lsv_lcy]])</f>
        <v>20149782.380478743</v>
      </c>
      <c r="T27" s="57">
        <f>-PV(C_UKEq_detail[[#This Row],[wacc_posttax_real]],notional_term,C_UKEq_detail[[#This Row],[annuity_lcy]])</f>
        <v>281436669.61174136</v>
      </c>
      <c r="U27" s="58">
        <f>INDEX(I_PPP[],MATCH(C_UKEq_detail[[#This Row],[country]],I_PPP[country],0), MATCH(TEXT(C_UKEq_detail[[#This Row],[award_year]], "#"),I_PPP[#Headers],0))</f>
        <v>0.77812199999999998</v>
      </c>
      <c r="V27" s="58">
        <f>INDEX(I_PPP[],MATCH("United Kingdom",I_PPP[country],0), MATCH(TEXT(C_UKEq_detail[[#This Row],[award_year]], "#"),I_PPP[#Headers],0))</f>
        <v>0.69255100000000003</v>
      </c>
      <c r="W27" s="57">
        <f>C_UKEq_detail[[#This Row],[lsv_norm_lcy]]*C_UKEq_detail[[#This Row],[ppp_gbp]]/C_UKEq_detail[[#This Row],[ppp_lcy]]</f>
        <v>250486744.97865516</v>
      </c>
      <c r="X27" s="58">
        <f>eff_cpi_uk/SUMIFS(I_CPI_UK[index],I_CPI_UK[month],TEXT(C_UKEq_detail[[#This Row],[award_date]],"YYYY MMM"))</f>
        <v>1.0988023952095807</v>
      </c>
      <c r="Y27" s="57">
        <f>C_UKEq_detail[[#This Row],[lsv_norm_gbp]]*C_UKEq_detail[[#This Row],[cpi_factor]]</f>
        <v>275235435.35079771</v>
      </c>
      <c r="Z27" s="57">
        <f>INDEX(I_Population[], MATCH(C_UKEq_detail[[#This Row],[country]], I_Population[country], 0), MATCH(TEXT(C_UKEq_detail[[#This Row],[award_year]],"#"), I_Population[#Headers], 0))</f>
        <v>81686611</v>
      </c>
      <c r="AA27" s="58">
        <f>eff_pop_uk/C_UKEq_detail[[#This Row],[population]]</f>
        <v>0.81820418526115624</v>
      </c>
      <c r="AB27" s="57">
        <f>C_UKEq_detail[[#This Row],[lsv_real_gbp]]*C_UKEq_detail[[#This Row],[pop_factor]]</f>
        <v>225198785.13619909</v>
      </c>
    </row>
    <row r="28" spans="1:28" x14ac:dyDescent="0.45">
      <c r="A28" s="50" t="s">
        <v>129</v>
      </c>
      <c r="B28" s="50" t="s">
        <v>158</v>
      </c>
      <c r="C28" s="49">
        <v>42174</v>
      </c>
      <c r="D28" s="50" t="s">
        <v>130</v>
      </c>
      <c r="E28" s="25">
        <v>10</v>
      </c>
      <c r="F28" s="25">
        <v>17</v>
      </c>
      <c r="G28" s="50" t="s">
        <v>97</v>
      </c>
      <c r="H28" s="25">
        <v>248054000</v>
      </c>
      <c r="I28" s="25">
        <v>0</v>
      </c>
      <c r="J28" s="49">
        <v>42736</v>
      </c>
      <c r="K28">
        <v>2015</v>
      </c>
      <c r="L28">
        <v>4.0599999999999997E-2</v>
      </c>
      <c r="M28" t="s">
        <v>779</v>
      </c>
      <c r="N28" s="50">
        <v>3.6931141868512006E-2</v>
      </c>
      <c r="O28" t="s">
        <v>779</v>
      </c>
      <c r="P28">
        <v>562</v>
      </c>
      <c r="Q28"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248054000</v>
      </c>
      <c r="R28" s="57">
        <f>C_UKEq_detail[[#This Row],[lf_pv_lcy]]*(1+C_UKEq_detail[[#This Row],[wacc_posttax_real]])^(YEARFRAC(C_UKEq_detail[[#This Row],[award_date]],C_UKEq_detail[[#This Row],[award_date]]+C_UKEq_detail[[#This Row],[delay_days]])*delay_adj*(C_UKEq_detail[[#This Row],[delay_days]]&gt;delay_threshold))</f>
        <v>262238292.53452608</v>
      </c>
      <c r="S28" s="57">
        <f>-PMT(C_UKEq_detail[[#This Row],[wacc_posttax_real]],C_UKEq_detail[[#This Row],[duration_years]],C_UKEq_detail[[#This Row],[lsv_lcy]])</f>
        <v>21045727.970421456</v>
      </c>
      <c r="T28" s="57">
        <f>-PV(C_UKEq_detail[[#This Row],[wacc_posttax_real]],notional_term,C_UKEq_detail[[#This Row],[annuity_lcy]])</f>
        <v>293950548.83016354</v>
      </c>
      <c r="U28" s="58">
        <f>INDEX(I_PPP[],MATCH(C_UKEq_detail[[#This Row],[country]],I_PPP[country],0), MATCH(TEXT(C_UKEq_detail[[#This Row],[award_year]], "#"),I_PPP[#Headers],0))</f>
        <v>0.77812199999999998</v>
      </c>
      <c r="V28" s="58">
        <f>INDEX(I_PPP[],MATCH("United Kingdom",I_PPP[country],0), MATCH(TEXT(C_UKEq_detail[[#This Row],[award_year]], "#"),I_PPP[#Headers],0))</f>
        <v>0.69255100000000003</v>
      </c>
      <c r="W28" s="57">
        <f>C_UKEq_detail[[#This Row],[lsv_norm_lcy]]*C_UKEq_detail[[#This Row],[ppp_gbp]]/C_UKEq_detail[[#This Row],[ppp_lcy]]</f>
        <v>261624458.04498345</v>
      </c>
      <c r="X28" s="58">
        <f>eff_cpi_uk/SUMIFS(I_CPI_UK[index],I_CPI_UK[month],TEXT(C_UKEq_detail[[#This Row],[award_date]],"YYYY MMM"))</f>
        <v>1.0988023952095807</v>
      </c>
      <c r="Y28" s="57">
        <f>C_UKEq_detail[[#This Row],[lsv_norm_gbp]]*C_UKEq_detail[[#This Row],[cpi_factor]]</f>
        <v>287473581.14523625</v>
      </c>
      <c r="Z28" s="57">
        <f>INDEX(I_Population[], MATCH(C_UKEq_detail[[#This Row],[country]], I_Population[country], 0), MATCH(TEXT(C_UKEq_detail[[#This Row],[award_year]],"#"), I_Population[#Headers], 0))</f>
        <v>81686611</v>
      </c>
      <c r="AA28" s="58">
        <f>eff_pop_uk/C_UKEq_detail[[#This Row],[population]]</f>
        <v>0.81820418526115624</v>
      </c>
      <c r="AB28" s="57">
        <f>C_UKEq_detail[[#This Row],[lsv_real_gbp]]*C_UKEq_detail[[#This Row],[pop_factor]]</f>
        <v>235212087.24504492</v>
      </c>
    </row>
    <row r="29" spans="1:28" x14ac:dyDescent="0.45">
      <c r="A29" s="50" t="s">
        <v>129</v>
      </c>
      <c r="B29" s="50" t="s">
        <v>158</v>
      </c>
      <c r="C29" s="49">
        <v>42174</v>
      </c>
      <c r="D29" s="50" t="s">
        <v>85</v>
      </c>
      <c r="E29" s="25">
        <v>10</v>
      </c>
      <c r="F29" s="25">
        <v>17</v>
      </c>
      <c r="G29" s="50" t="s">
        <v>97</v>
      </c>
      <c r="H29" s="25">
        <v>258247000</v>
      </c>
      <c r="I29" s="25">
        <v>0</v>
      </c>
      <c r="J29" s="49">
        <v>42736</v>
      </c>
      <c r="K29">
        <v>2015</v>
      </c>
      <c r="L29">
        <v>4.0599999999999997E-2</v>
      </c>
      <c r="M29" t="s">
        <v>779</v>
      </c>
      <c r="N29" s="50">
        <v>3.6931141868512006E-2</v>
      </c>
      <c r="O29" t="s">
        <v>779</v>
      </c>
      <c r="P29">
        <v>562</v>
      </c>
      <c r="Q29"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258247000</v>
      </c>
      <c r="R29" s="57">
        <f>C_UKEq_detail[[#This Row],[lf_pv_lcy]]*(1+C_UKEq_detail[[#This Row],[wacc_posttax_real]])^(YEARFRAC(C_UKEq_detail[[#This Row],[award_date]],C_UKEq_detail[[#This Row],[award_date]]+C_UKEq_detail[[#This Row],[delay_days]])*delay_adj*(C_UKEq_detail[[#This Row],[delay_days]]&gt;delay_threshold))</f>
        <v>273014151.483805</v>
      </c>
      <c r="S29" s="57">
        <f>-PMT(C_UKEq_detail[[#This Row],[wacc_posttax_real]],C_UKEq_detail[[#This Row],[duration_years]],C_UKEq_detail[[#This Row],[lsv_lcy]])</f>
        <v>21910536.057380367</v>
      </c>
      <c r="T29" s="57">
        <f>-PV(C_UKEq_detail[[#This Row],[wacc_posttax_real]],notional_term,C_UKEq_detail[[#This Row],[annuity_lcy]])</f>
        <v>306029523.34468806</v>
      </c>
      <c r="U29" s="58">
        <f>INDEX(I_PPP[],MATCH(C_UKEq_detail[[#This Row],[country]],I_PPP[country],0), MATCH(TEXT(C_UKEq_detail[[#This Row],[award_year]], "#"),I_PPP[#Headers],0))</f>
        <v>0.77812199999999998</v>
      </c>
      <c r="V29" s="58">
        <f>INDEX(I_PPP[],MATCH("United Kingdom",I_PPP[country],0), MATCH(TEXT(C_UKEq_detail[[#This Row],[award_year]], "#"),I_PPP[#Headers],0))</f>
        <v>0.69255100000000003</v>
      </c>
      <c r="W29" s="57">
        <f>C_UKEq_detail[[#This Row],[lsv_norm_lcy]]*C_UKEq_detail[[#This Row],[ppp_gbp]]/C_UKEq_detail[[#This Row],[ppp_lcy]]</f>
        <v>272375093.39394987</v>
      </c>
      <c r="X29" s="58">
        <f>eff_cpi_uk/SUMIFS(I_CPI_UK[index],I_CPI_UK[month],TEXT(C_UKEq_detail[[#This Row],[award_date]],"YYYY MMM"))</f>
        <v>1.0988023952095807</v>
      </c>
      <c r="Y29" s="57">
        <f>C_UKEq_detail[[#This Row],[lsv_norm_gbp]]*C_UKEq_detail[[#This Row],[cpi_factor]]</f>
        <v>299286405.01670533</v>
      </c>
      <c r="Z29" s="57">
        <f>INDEX(I_Population[], MATCH(C_UKEq_detail[[#This Row],[country]], I_Population[country], 0), MATCH(TEXT(C_UKEq_detail[[#This Row],[award_year]],"#"), I_Population[#Headers], 0))</f>
        <v>81686611</v>
      </c>
      <c r="AA29" s="58">
        <f>eff_pop_uk/C_UKEq_detail[[#This Row],[population]]</f>
        <v>0.81820418526115624</v>
      </c>
      <c r="AB29" s="57">
        <f>C_UKEq_detail[[#This Row],[lsv_real_gbp]]*C_UKEq_detail[[#This Row],[pop_factor]]</f>
        <v>244877389.1764338</v>
      </c>
    </row>
    <row r="30" spans="1:28" x14ac:dyDescent="0.45">
      <c r="A30" s="50" t="s">
        <v>129</v>
      </c>
      <c r="B30" s="50" t="s">
        <v>158</v>
      </c>
      <c r="C30" s="49">
        <v>42174</v>
      </c>
      <c r="D30" s="50" t="s">
        <v>85</v>
      </c>
      <c r="E30" s="25">
        <v>10</v>
      </c>
      <c r="F30" s="25">
        <v>17</v>
      </c>
      <c r="G30" s="50" t="s">
        <v>97</v>
      </c>
      <c r="H30" s="25">
        <v>249133000</v>
      </c>
      <c r="I30" s="25">
        <v>0</v>
      </c>
      <c r="J30" s="49">
        <v>42736</v>
      </c>
      <c r="K30">
        <v>2015</v>
      </c>
      <c r="L30">
        <v>4.0599999999999997E-2</v>
      </c>
      <c r="M30" t="s">
        <v>779</v>
      </c>
      <c r="N30" s="50">
        <v>3.6931141868512006E-2</v>
      </c>
      <c r="O30" t="s">
        <v>779</v>
      </c>
      <c r="P30">
        <v>562</v>
      </c>
      <c r="Q30"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249133000</v>
      </c>
      <c r="R30" s="57">
        <f>C_UKEq_detail[[#This Row],[lf_pv_lcy]]*(1+C_UKEq_detail[[#This Row],[wacc_posttax_real]])^(YEARFRAC(C_UKEq_detail[[#This Row],[award_date]],C_UKEq_detail[[#This Row],[award_date]]+C_UKEq_detail[[#This Row],[delay_days]])*delay_adj*(C_UKEq_detail[[#This Row],[delay_days]]&gt;delay_threshold))</f>
        <v>263378992.21138981</v>
      </c>
      <c r="S30" s="57">
        <f>-PMT(C_UKEq_detail[[#This Row],[wacc_posttax_real]],C_UKEq_detail[[#This Row],[duration_years]],C_UKEq_detail[[#This Row],[lsv_lcy]])</f>
        <v>21137273.92606049</v>
      </c>
      <c r="T30" s="57">
        <f>-PV(C_UKEq_detail[[#This Row],[wacc_posttax_real]],notional_term,C_UKEq_detail[[#This Row],[annuity_lcy]])</f>
        <v>295229192.36015201</v>
      </c>
      <c r="U30" s="58">
        <f>INDEX(I_PPP[],MATCH(C_UKEq_detail[[#This Row],[country]],I_PPP[country],0), MATCH(TEXT(C_UKEq_detail[[#This Row],[award_year]], "#"),I_PPP[#Headers],0))</f>
        <v>0.77812199999999998</v>
      </c>
      <c r="V30" s="58">
        <f>INDEX(I_PPP[],MATCH("United Kingdom",I_PPP[country],0), MATCH(TEXT(C_UKEq_detail[[#This Row],[award_year]], "#"),I_PPP[#Headers],0))</f>
        <v>0.69255100000000003</v>
      </c>
      <c r="W30" s="57">
        <f>C_UKEq_detail[[#This Row],[lsv_norm_lcy]]*C_UKEq_detail[[#This Row],[ppp_gbp]]/C_UKEq_detail[[#This Row],[ppp_lcy]]</f>
        <v>262762487.62818125</v>
      </c>
      <c r="X30" s="58">
        <f>eff_cpi_uk/SUMIFS(I_CPI_UK[index],I_CPI_UK[month],TEXT(C_UKEq_detail[[#This Row],[award_date]],"YYYY MMM"))</f>
        <v>1.0988023952095807</v>
      </c>
      <c r="Y30" s="57">
        <f>C_UKEq_detail[[#This Row],[lsv_norm_gbp]]*C_UKEq_detail[[#This Row],[cpi_factor]]</f>
        <v>288724050.77707338</v>
      </c>
      <c r="Z30" s="57">
        <f>INDEX(I_Population[], MATCH(C_UKEq_detail[[#This Row],[country]], I_Population[country], 0), MATCH(TEXT(C_UKEq_detail[[#This Row],[award_year]],"#"), I_Population[#Headers], 0))</f>
        <v>81686611</v>
      </c>
      <c r="AA30" s="58">
        <f>eff_pop_uk/C_UKEq_detail[[#This Row],[population]]</f>
        <v>0.81820418526115624</v>
      </c>
      <c r="AB30" s="57">
        <f>C_UKEq_detail[[#This Row],[lsv_real_gbp]]*C_UKEq_detail[[#This Row],[pop_factor]]</f>
        <v>236235226.73135602</v>
      </c>
    </row>
    <row r="31" spans="1:28" x14ac:dyDescent="0.45">
      <c r="A31" s="50" t="s">
        <v>129</v>
      </c>
      <c r="B31" s="50" t="s">
        <v>158</v>
      </c>
      <c r="C31" s="49">
        <v>42174</v>
      </c>
      <c r="D31" s="50" t="s">
        <v>130</v>
      </c>
      <c r="E31" s="25">
        <v>10</v>
      </c>
      <c r="F31" s="25">
        <v>17</v>
      </c>
      <c r="G31" s="50" t="s">
        <v>97</v>
      </c>
      <c r="H31" s="25">
        <v>248101000</v>
      </c>
      <c r="I31" s="25">
        <v>0</v>
      </c>
      <c r="J31" s="49">
        <v>42736</v>
      </c>
      <c r="K31">
        <v>2015</v>
      </c>
      <c r="L31">
        <v>4.0599999999999997E-2</v>
      </c>
      <c r="M31" t="s">
        <v>779</v>
      </c>
      <c r="N31" s="50">
        <v>3.6931141868512006E-2</v>
      </c>
      <c r="O31" t="s">
        <v>779</v>
      </c>
      <c r="P31">
        <v>562</v>
      </c>
      <c r="Q31"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248101000</v>
      </c>
      <c r="R31" s="57">
        <f>C_UKEq_detail[[#This Row],[lf_pv_lcy]]*(1+C_UKEq_detail[[#This Row],[wacc_posttax_real]])^(YEARFRAC(C_UKEq_detail[[#This Row],[award_date]],C_UKEq_detail[[#This Row],[award_date]]+C_UKEq_detail[[#This Row],[delay_days]])*delay_adj*(C_UKEq_detail[[#This Row],[delay_days]]&gt;delay_threshold))</f>
        <v>262287980.10154426</v>
      </c>
      <c r="S31" s="57">
        <f>-PMT(C_UKEq_detail[[#This Row],[wacc_posttax_real]],C_UKEq_detail[[#This Row],[duration_years]],C_UKEq_detail[[#This Row],[lsv_lcy]])</f>
        <v>21049715.607043363</v>
      </c>
      <c r="T31" s="57">
        <f>-PV(C_UKEq_detail[[#This Row],[wacc_posttax_real]],notional_term,C_UKEq_detail[[#This Row],[annuity_lcy]])</f>
        <v>294006245.07289714</v>
      </c>
      <c r="U31" s="58">
        <f>INDEX(I_PPP[],MATCH(C_UKEq_detail[[#This Row],[country]],I_PPP[country],0), MATCH(TEXT(C_UKEq_detail[[#This Row],[award_year]], "#"),I_PPP[#Headers],0))</f>
        <v>0.77812199999999998</v>
      </c>
      <c r="V31" s="58">
        <f>INDEX(I_PPP[],MATCH("United Kingdom",I_PPP[country],0), MATCH(TEXT(C_UKEq_detail[[#This Row],[award_year]], "#"),I_PPP[#Headers],0))</f>
        <v>0.69255100000000003</v>
      </c>
      <c r="W31" s="57">
        <f>C_UKEq_detail[[#This Row],[lsv_norm_lcy]]*C_UKEq_detail[[#This Row],[ppp_gbp]]/C_UKEq_detail[[#This Row],[ppp_lcy]]</f>
        <v>261674029.30579007</v>
      </c>
      <c r="X31" s="58">
        <f>eff_cpi_uk/SUMIFS(I_CPI_UK[index],I_CPI_UK[month],TEXT(C_UKEq_detail[[#This Row],[award_date]],"YYYY MMM"))</f>
        <v>1.0988023952095807</v>
      </c>
      <c r="Y31" s="57">
        <f>C_UKEq_detail[[#This Row],[lsv_norm_gbp]]*C_UKEq_detail[[#This Row],[cpi_factor]]</f>
        <v>287528050.16534412</v>
      </c>
      <c r="Z31" s="57">
        <f>INDEX(I_Population[], MATCH(C_UKEq_detail[[#This Row],[country]], I_Population[country], 0), MATCH(TEXT(C_UKEq_detail[[#This Row],[award_year]],"#"), I_Population[#Headers], 0))</f>
        <v>81686611</v>
      </c>
      <c r="AA31" s="58">
        <f>eff_pop_uk/C_UKEq_detail[[#This Row],[population]]</f>
        <v>0.81820418526115624</v>
      </c>
      <c r="AB31" s="57">
        <f>C_UKEq_detail[[#This Row],[lsv_real_gbp]]*C_UKEq_detail[[#This Row],[pop_factor]]</f>
        <v>235256654.02526423</v>
      </c>
    </row>
    <row r="32" spans="1:28" x14ac:dyDescent="0.45">
      <c r="A32" s="50" t="s">
        <v>129</v>
      </c>
      <c r="B32" s="50" t="s">
        <v>158</v>
      </c>
      <c r="C32" s="49">
        <v>42174</v>
      </c>
      <c r="D32" s="50" t="s">
        <v>85</v>
      </c>
      <c r="E32" s="25">
        <v>10</v>
      </c>
      <c r="F32" s="25">
        <v>17</v>
      </c>
      <c r="G32" s="50" t="s">
        <v>97</v>
      </c>
      <c r="H32" s="25">
        <v>255967000</v>
      </c>
      <c r="I32" s="25">
        <v>0</v>
      </c>
      <c r="J32" s="49">
        <v>42736</v>
      </c>
      <c r="K32">
        <v>2015</v>
      </c>
      <c r="L32">
        <v>4.0599999999999997E-2</v>
      </c>
      <c r="M32" t="s">
        <v>779</v>
      </c>
      <c r="N32" s="50">
        <v>3.6931141868512006E-2</v>
      </c>
      <c r="O32" t="s">
        <v>779</v>
      </c>
      <c r="P32">
        <v>562</v>
      </c>
      <c r="Q32"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255967000</v>
      </c>
      <c r="R32" s="57">
        <f>C_UKEq_detail[[#This Row],[lf_pv_lcy]]*(1+C_UKEq_detail[[#This Row],[wacc_posttax_real]])^(YEARFRAC(C_UKEq_detail[[#This Row],[award_date]],C_UKEq_detail[[#This Row],[award_date]]+C_UKEq_detail[[#This Row],[delay_days]])*delay_adj*(C_UKEq_detail[[#This Row],[delay_days]]&gt;delay_threshold))</f>
        <v>270603775.8922857</v>
      </c>
      <c r="S32" s="57">
        <f>-PMT(C_UKEq_detail[[#This Row],[wacc_posttax_real]],C_UKEq_detail[[#This Row],[duration_years]],C_UKEq_detail[[#This Row],[lsv_lcy]])</f>
        <v>21717093.259551827</v>
      </c>
      <c r="T32" s="57">
        <f>-PV(C_UKEq_detail[[#This Row],[wacc_posttax_real]],notional_term,C_UKEq_detail[[#This Row],[annuity_lcy]])</f>
        <v>303327663.05889231</v>
      </c>
      <c r="U32" s="58">
        <f>INDEX(I_PPP[],MATCH(C_UKEq_detail[[#This Row],[country]],I_PPP[country],0), MATCH(TEXT(C_UKEq_detail[[#This Row],[award_year]], "#"),I_PPP[#Headers],0))</f>
        <v>0.77812199999999998</v>
      </c>
      <c r="V32" s="58">
        <f>INDEX(I_PPP[],MATCH("United Kingdom",I_PPP[country],0), MATCH(TEXT(C_UKEq_detail[[#This Row],[award_year]], "#"),I_PPP[#Headers],0))</f>
        <v>0.69255100000000003</v>
      </c>
      <c r="W32" s="57">
        <f>C_UKEq_detail[[#This Row],[lsv_norm_lcy]]*C_UKEq_detail[[#This Row],[ppp_gbp]]/C_UKEq_detail[[#This Row],[ppp_lcy]]</f>
        <v>269970359.89099258</v>
      </c>
      <c r="X32" s="58">
        <f>eff_cpi_uk/SUMIFS(I_CPI_UK[index],I_CPI_UK[month],TEXT(C_UKEq_detail[[#This Row],[award_date]],"YYYY MMM"))</f>
        <v>1.0988023952095807</v>
      </c>
      <c r="Y32" s="57">
        <f>C_UKEq_detail[[#This Row],[lsv_norm_gbp]]*C_UKEq_detail[[#This Row],[cpi_factor]]</f>
        <v>296644078.08381516</v>
      </c>
      <c r="Z32" s="57">
        <f>INDEX(I_Population[], MATCH(C_UKEq_detail[[#This Row],[country]], I_Population[country], 0), MATCH(TEXT(C_UKEq_detail[[#This Row],[award_year]],"#"), I_Population[#Headers], 0))</f>
        <v>81686611</v>
      </c>
      <c r="AA32" s="58">
        <f>eff_pop_uk/C_UKEq_detail[[#This Row],[population]]</f>
        <v>0.81820418526115624</v>
      </c>
      <c r="AB32" s="57">
        <f>C_UKEq_detail[[#This Row],[lsv_real_gbp]]*C_UKEq_detail[[#This Row],[pop_factor]]</f>
        <v>242715426.22111478</v>
      </c>
    </row>
    <row r="33" spans="1:28" x14ac:dyDescent="0.45">
      <c r="A33" s="50" t="s">
        <v>129</v>
      </c>
      <c r="B33" s="50" t="s">
        <v>158</v>
      </c>
      <c r="C33" s="49">
        <v>42174</v>
      </c>
      <c r="D33" s="50" t="s">
        <v>131</v>
      </c>
      <c r="E33" s="25">
        <v>10</v>
      </c>
      <c r="F33" s="25">
        <v>17</v>
      </c>
      <c r="G33" s="50" t="s">
        <v>97</v>
      </c>
      <c r="H33" s="25">
        <v>239228000</v>
      </c>
      <c r="I33" s="25">
        <v>0</v>
      </c>
      <c r="J33" s="49">
        <v>42736</v>
      </c>
      <c r="K33">
        <v>2015</v>
      </c>
      <c r="L33">
        <v>4.0599999999999997E-2</v>
      </c>
      <c r="M33" t="s">
        <v>779</v>
      </c>
      <c r="N33" s="50">
        <v>3.6931141868512006E-2</v>
      </c>
      <c r="O33" t="s">
        <v>779</v>
      </c>
      <c r="P33">
        <v>562</v>
      </c>
      <c r="Q33"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239228000</v>
      </c>
      <c r="R33" s="57">
        <f>C_UKEq_detail[[#This Row],[lf_pv_lcy]]*(1+C_UKEq_detail[[#This Row],[wacc_posttax_real]])^(YEARFRAC(C_UKEq_detail[[#This Row],[award_date]],C_UKEq_detail[[#This Row],[award_date]]+C_UKEq_detail[[#This Row],[delay_days]])*delay_adj*(C_UKEq_detail[[#This Row],[delay_days]]&gt;delay_threshold))</f>
        <v>252907601.75788179</v>
      </c>
      <c r="S33" s="57">
        <f>-PMT(C_UKEq_detail[[#This Row],[wacc_posttax_real]],C_UKEq_detail[[#This Row],[duration_years]],C_UKEq_detail[[#This Row],[lsv_lcy]])</f>
        <v>20296900.718827289</v>
      </c>
      <c r="T33" s="57">
        <f>-PV(C_UKEq_detail[[#This Row],[wacc_posttax_real]],notional_term,C_UKEq_detail[[#This Row],[annuity_lcy]])</f>
        <v>283491505.46067542</v>
      </c>
      <c r="U33" s="58">
        <f>INDEX(I_PPP[],MATCH(C_UKEq_detail[[#This Row],[country]],I_PPP[country],0), MATCH(TEXT(C_UKEq_detail[[#This Row],[award_year]], "#"),I_PPP[#Headers],0))</f>
        <v>0.77812199999999998</v>
      </c>
      <c r="V33" s="58">
        <f>INDEX(I_PPP[],MATCH("United Kingdom",I_PPP[country],0), MATCH(TEXT(C_UKEq_detail[[#This Row],[award_year]], "#"),I_PPP[#Headers],0))</f>
        <v>0.69255100000000003</v>
      </c>
      <c r="W33" s="57">
        <f>C_UKEq_detail[[#This Row],[lsv_norm_lcy]]*C_UKEq_detail[[#This Row],[ppp_gbp]]/C_UKEq_detail[[#This Row],[ppp_lcy]]</f>
        <v>252315608.09011471</v>
      </c>
      <c r="X33" s="58">
        <f>eff_cpi_uk/SUMIFS(I_CPI_UK[index],I_CPI_UK[month],TEXT(C_UKEq_detail[[#This Row],[award_date]],"YYYY MMM"))</f>
        <v>1.0988023952095807</v>
      </c>
      <c r="Y33" s="57">
        <f>C_UKEq_detail[[#This Row],[lsv_norm_gbp]]*C_UKEq_detail[[#This Row],[cpi_factor]]</f>
        <v>277244994.51817989</v>
      </c>
      <c r="Z33" s="57">
        <f>INDEX(I_Population[], MATCH(C_UKEq_detail[[#This Row],[country]], I_Population[country], 0), MATCH(TEXT(C_UKEq_detail[[#This Row],[award_year]],"#"), I_Population[#Headers], 0))</f>
        <v>81686611</v>
      </c>
      <c r="AA33" s="58">
        <f>eff_pop_uk/C_UKEq_detail[[#This Row],[population]]</f>
        <v>0.81820418526115624</v>
      </c>
      <c r="AB33" s="57">
        <f>C_UKEq_detail[[#This Row],[lsv_real_gbp]]*C_UKEq_detail[[#This Row],[pop_factor]]</f>
        <v>226843014.85748109</v>
      </c>
    </row>
    <row r="34" spans="1:28" x14ac:dyDescent="0.45">
      <c r="A34" s="50" t="s">
        <v>129</v>
      </c>
      <c r="B34" s="50" t="s">
        <v>158</v>
      </c>
      <c r="C34" s="49">
        <v>42174</v>
      </c>
      <c r="D34" s="50" t="s">
        <v>130</v>
      </c>
      <c r="E34" s="25">
        <v>10</v>
      </c>
      <c r="F34" s="25">
        <v>17</v>
      </c>
      <c r="G34" s="50" t="s">
        <v>97</v>
      </c>
      <c r="H34" s="25">
        <v>248784000</v>
      </c>
      <c r="I34" s="25">
        <v>0</v>
      </c>
      <c r="J34" s="49">
        <v>42736</v>
      </c>
      <c r="K34">
        <v>2015</v>
      </c>
      <c r="L34">
        <v>4.0599999999999997E-2</v>
      </c>
      <c r="M34" t="s">
        <v>779</v>
      </c>
      <c r="N34" s="50">
        <v>3.6931141868512006E-2</v>
      </c>
      <c r="O34" t="s">
        <v>779</v>
      </c>
      <c r="P34">
        <v>562</v>
      </c>
      <c r="Q34"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248784000</v>
      </c>
      <c r="R34" s="57">
        <f>C_UKEq_detail[[#This Row],[lf_pv_lcy]]*(1+C_UKEq_detail[[#This Row],[wacc_posttax_real]])^(YEARFRAC(C_UKEq_detail[[#This Row],[award_date]],C_UKEq_detail[[#This Row],[award_date]]+C_UKEq_detail[[#This Row],[delay_days]])*delay_adj*(C_UKEq_detail[[#This Row],[delay_days]]&gt;delay_threshold))</f>
        <v>263010035.59672305</v>
      </c>
      <c r="S34" s="57">
        <f>-PMT(C_UKEq_detail[[#This Row],[wacc_posttax_real]],C_UKEq_detail[[#This Row],[duration_years]],C_UKEq_detail[[#This Row],[lsv_lcy]])</f>
        <v>21107663.603059538</v>
      </c>
      <c r="T34" s="57">
        <f>-PV(C_UKEq_detail[[#This Row],[wacc_posttax_real]],notional_term,C_UKEq_detail[[#This Row],[annuity_lcy]])</f>
        <v>294815618.13219464</v>
      </c>
      <c r="U34" s="58">
        <f>INDEX(I_PPP[],MATCH(C_UKEq_detail[[#This Row],[country]],I_PPP[country],0), MATCH(TEXT(C_UKEq_detail[[#This Row],[award_year]], "#"),I_PPP[#Headers],0))</f>
        <v>0.77812199999999998</v>
      </c>
      <c r="V34" s="58">
        <f>INDEX(I_PPP[],MATCH("United Kingdom",I_PPP[country],0), MATCH(TEXT(C_UKEq_detail[[#This Row],[award_year]], "#"),I_PPP[#Headers],0))</f>
        <v>0.69255100000000003</v>
      </c>
      <c r="W34" s="57">
        <f>C_UKEq_detail[[#This Row],[lsv_norm_lcy]]*C_UKEq_detail[[#This Row],[ppp_gbp]]/C_UKEq_detail[[#This Row],[ppp_lcy]]</f>
        <v>262394394.64900047</v>
      </c>
      <c r="X34" s="58">
        <f>eff_cpi_uk/SUMIFS(I_CPI_UK[index],I_CPI_UK[month],TEXT(C_UKEq_detail[[#This Row],[award_date]],"YYYY MMM"))</f>
        <v>1.0988023952095807</v>
      </c>
      <c r="Y34" s="57">
        <f>C_UKEq_detail[[#This Row],[lsv_norm_gbp]]*C_UKEq_detail[[#This Row],[cpi_factor]]</f>
        <v>288319589.32988971</v>
      </c>
      <c r="Z34" s="57">
        <f>INDEX(I_Population[], MATCH(C_UKEq_detail[[#This Row],[country]], I_Population[country], 0), MATCH(TEXT(C_UKEq_detail[[#This Row],[award_year]],"#"), I_Population[#Headers], 0))</f>
        <v>81686611</v>
      </c>
      <c r="AA34" s="58">
        <f>eff_pop_uk/C_UKEq_detail[[#This Row],[population]]</f>
        <v>0.81820418526115624</v>
      </c>
      <c r="AB34" s="57">
        <f>C_UKEq_detail[[#This Row],[lsv_real_gbp]]*C_UKEq_detail[[#This Row],[pop_factor]]</f>
        <v>235904294.68249357</v>
      </c>
    </row>
    <row r="35" spans="1:28" x14ac:dyDescent="0.45">
      <c r="A35" s="50" t="s">
        <v>129</v>
      </c>
      <c r="B35" s="50" t="s">
        <v>158</v>
      </c>
      <c r="C35" s="49">
        <v>42174</v>
      </c>
      <c r="D35" s="50" t="s">
        <v>131</v>
      </c>
      <c r="E35" s="25">
        <v>10</v>
      </c>
      <c r="F35" s="25">
        <v>17</v>
      </c>
      <c r="G35" s="50" t="s">
        <v>97</v>
      </c>
      <c r="H35" s="25">
        <v>240288000</v>
      </c>
      <c r="I35" s="25">
        <v>0</v>
      </c>
      <c r="J35" s="49">
        <v>42736</v>
      </c>
      <c r="K35">
        <v>2015</v>
      </c>
      <c r="L35">
        <v>4.0599999999999997E-2</v>
      </c>
      <c r="M35" t="s">
        <v>779</v>
      </c>
      <c r="N35" s="50">
        <v>3.6931141868512006E-2</v>
      </c>
      <c r="O35" t="s">
        <v>779</v>
      </c>
      <c r="P35">
        <v>562</v>
      </c>
      <c r="Q35"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240288000</v>
      </c>
      <c r="R35" s="57">
        <f>C_UKEq_detail[[#This Row],[lf_pv_lcy]]*(1+C_UKEq_detail[[#This Row],[wacc_posttax_real]])^(YEARFRAC(C_UKEq_detail[[#This Row],[award_date]],C_UKEq_detail[[#This Row],[award_date]]+C_UKEq_detail[[#This Row],[delay_days]])*delay_adj*(C_UKEq_detail[[#This Row],[delay_days]]&gt;delay_threshold))</f>
        <v>254028214.97148284</v>
      </c>
      <c r="S35" s="57">
        <f>-PMT(C_UKEq_detail[[#This Row],[wacc_posttax_real]],C_UKEq_detail[[#This Row],[duration_years]],C_UKEq_detail[[#This Row],[lsv_lcy]])</f>
        <v>20386834.65115108</v>
      </c>
      <c r="T35" s="57">
        <f>-PV(C_UKEq_detail[[#This Row],[wacc_posttax_real]],notional_term,C_UKEq_detail[[#This Row],[annuity_lcy]])</f>
        <v>284747633.48828214</v>
      </c>
      <c r="U35" s="58">
        <f>INDEX(I_PPP[],MATCH(C_UKEq_detail[[#This Row],[country]],I_PPP[country],0), MATCH(TEXT(C_UKEq_detail[[#This Row],[award_year]], "#"),I_PPP[#Headers],0))</f>
        <v>0.77812199999999998</v>
      </c>
      <c r="V35" s="58">
        <f>INDEX(I_PPP[],MATCH("United Kingdom",I_PPP[country],0), MATCH(TEXT(C_UKEq_detail[[#This Row],[award_year]], "#"),I_PPP[#Headers],0))</f>
        <v>0.69255100000000003</v>
      </c>
      <c r="W35" s="57">
        <f>C_UKEq_detail[[#This Row],[lsv_norm_lcy]]*C_UKEq_detail[[#This Row],[ppp_gbp]]/C_UKEq_detail[[#This Row],[ppp_lcy]]</f>
        <v>253433598.22745445</v>
      </c>
      <c r="X35" s="58">
        <f>eff_cpi_uk/SUMIFS(I_CPI_UK[index],I_CPI_UK[month],TEXT(C_UKEq_detail[[#This Row],[award_date]],"YYYY MMM"))</f>
        <v>1.0988023952095807</v>
      </c>
      <c r="Y35" s="57">
        <f>C_UKEq_detail[[#This Row],[lsv_norm_gbp]]*C_UKEq_detail[[#This Row],[cpi_factor]]</f>
        <v>278473444.75890946</v>
      </c>
      <c r="Z35" s="57">
        <f>INDEX(I_Population[], MATCH(C_UKEq_detail[[#This Row],[country]], I_Population[country], 0), MATCH(TEXT(C_UKEq_detail[[#This Row],[award_year]],"#"), I_Population[#Headers], 0))</f>
        <v>81686611</v>
      </c>
      <c r="AA35" s="58">
        <f>eff_pop_uk/C_UKEq_detail[[#This Row],[population]]</f>
        <v>0.81820418526115624</v>
      </c>
      <c r="AB35" s="57">
        <f>C_UKEq_detail[[#This Row],[lsv_real_gbp]]*C_UKEq_detail[[#This Row],[pop_factor]]</f>
        <v>227848137.98583111</v>
      </c>
    </row>
    <row r="36" spans="1:28" x14ac:dyDescent="0.45">
      <c r="A36" s="50" t="s">
        <v>129</v>
      </c>
      <c r="B36" s="50" t="s">
        <v>158</v>
      </c>
      <c r="C36" s="49">
        <v>42174</v>
      </c>
      <c r="D36" s="50" t="s">
        <v>85</v>
      </c>
      <c r="E36" s="25">
        <v>10</v>
      </c>
      <c r="F36" s="25">
        <v>17</v>
      </c>
      <c r="G36" s="50" t="s">
        <v>97</v>
      </c>
      <c r="H36" s="25">
        <v>180153000</v>
      </c>
      <c r="I36" s="25">
        <v>0</v>
      </c>
      <c r="J36" s="49">
        <v>42736</v>
      </c>
      <c r="K36">
        <v>2015</v>
      </c>
      <c r="L36">
        <v>4.0599999999999997E-2</v>
      </c>
      <c r="M36" t="s">
        <v>779</v>
      </c>
      <c r="N36" s="50">
        <v>3.6931141868512006E-2</v>
      </c>
      <c r="O36" t="s">
        <v>779</v>
      </c>
      <c r="P36">
        <v>562</v>
      </c>
      <c r="Q36"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180153000</v>
      </c>
      <c r="R36" s="57">
        <f>C_UKEq_detail[[#This Row],[lf_pv_lcy]]*(1+C_UKEq_detail[[#This Row],[wacc_posttax_real]])^(YEARFRAC(C_UKEq_detail[[#This Row],[award_date]],C_UKEq_detail[[#This Row],[award_date]]+C_UKEq_detail[[#This Row],[delay_days]])*delay_adj*(C_UKEq_detail[[#This Row],[delay_days]]&gt;delay_threshold))</f>
        <v>190454558.74516225</v>
      </c>
      <c r="S36" s="57">
        <f>-PMT(C_UKEq_detail[[#This Row],[wacc_posttax_real]],C_UKEq_detail[[#This Row],[duration_years]],C_UKEq_detail[[#This Row],[lsv_lcy]])</f>
        <v>15284780.858423311</v>
      </c>
      <c r="T36" s="57">
        <f>-PV(C_UKEq_detail[[#This Row],[wacc_posttax_real]],notional_term,C_UKEq_detail[[#This Row],[annuity_lcy]])</f>
        <v>213486068.45041987</v>
      </c>
      <c r="U36" s="58">
        <f>INDEX(I_PPP[],MATCH(C_UKEq_detail[[#This Row],[country]],I_PPP[country],0), MATCH(TEXT(C_UKEq_detail[[#This Row],[award_year]], "#"),I_PPP[#Headers],0))</f>
        <v>0.77812199999999998</v>
      </c>
      <c r="V36" s="58">
        <f>INDEX(I_PPP[],MATCH("United Kingdom",I_PPP[country],0), MATCH(TEXT(C_UKEq_detail[[#This Row],[award_year]], "#"),I_PPP[#Headers],0))</f>
        <v>0.69255100000000003</v>
      </c>
      <c r="W36" s="57">
        <f>C_UKEq_detail[[#This Row],[lsv_norm_lcy]]*C_UKEq_detail[[#This Row],[ppp_gbp]]/C_UKEq_detail[[#This Row],[ppp_lcy]]</f>
        <v>190008752.08695644</v>
      </c>
      <c r="X36" s="58">
        <f>eff_cpi_uk/SUMIFS(I_CPI_UK[index],I_CPI_UK[month],TEXT(C_UKEq_detail[[#This Row],[award_date]],"YYYY MMM"))</f>
        <v>1.0988023952095807</v>
      </c>
      <c r="Y36" s="57">
        <f>C_UKEq_detail[[#This Row],[lsv_norm_gbp]]*C_UKEq_detail[[#This Row],[cpi_factor]]</f>
        <v>208782071.90393114</v>
      </c>
      <c r="Z36" s="57">
        <f>INDEX(I_Population[], MATCH(C_UKEq_detail[[#This Row],[country]], I_Population[country], 0), MATCH(TEXT(C_UKEq_detail[[#This Row],[award_year]],"#"), I_Population[#Headers], 0))</f>
        <v>81686611</v>
      </c>
      <c r="AA36" s="58">
        <f>eff_pop_uk/C_UKEq_detail[[#This Row],[population]]</f>
        <v>0.81820418526115624</v>
      </c>
      <c r="AB36" s="57">
        <f>C_UKEq_detail[[#This Row],[lsv_real_gbp]]*C_UKEq_detail[[#This Row],[pop_factor]]</f>
        <v>170826365.03929213</v>
      </c>
    </row>
    <row r="37" spans="1:28" x14ac:dyDescent="0.45">
      <c r="A37" s="50" t="s">
        <v>132</v>
      </c>
      <c r="B37" s="50" t="s">
        <v>158</v>
      </c>
      <c r="C37" s="49">
        <v>42174</v>
      </c>
      <c r="D37" s="50" t="s">
        <v>131</v>
      </c>
      <c r="E37" s="25">
        <v>10</v>
      </c>
      <c r="F37" s="25">
        <v>15</v>
      </c>
      <c r="G37" s="50" t="s">
        <v>97</v>
      </c>
      <c r="H37" s="25">
        <v>166397000</v>
      </c>
      <c r="I37" s="25">
        <v>0</v>
      </c>
      <c r="J37" s="49"/>
      <c r="K37">
        <v>2015</v>
      </c>
      <c r="L37">
        <v>4.0599999999999997E-2</v>
      </c>
      <c r="M37" t="s">
        <v>779</v>
      </c>
      <c r="N37" s="50">
        <v>3.6931141868512006E-2</v>
      </c>
      <c r="O37" t="s">
        <v>779</v>
      </c>
      <c r="P37"/>
      <c r="Q37"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166397000</v>
      </c>
      <c r="R37" s="57">
        <f>C_UKEq_detail[[#This Row],[lf_pv_lcy]]*(1+C_UKEq_detail[[#This Row],[wacc_posttax_real]])^(YEARFRAC(C_UKEq_detail[[#This Row],[award_date]],C_UKEq_detail[[#This Row],[award_date]]+C_UKEq_detail[[#This Row],[delay_days]])*delay_adj*(C_UKEq_detail[[#This Row],[delay_days]]&gt;delay_threshold))</f>
        <v>166397000</v>
      </c>
      <c r="S37" s="57">
        <f>-PMT(C_UKEq_detail[[#This Row],[wacc_posttax_real]],C_UKEq_detail[[#This Row],[duration_years]],C_UKEq_detail[[#This Row],[lsv_lcy]])</f>
        <v>14646562.636503128</v>
      </c>
      <c r="T37" s="57">
        <f>-PV(C_UKEq_detail[[#This Row],[wacc_posttax_real]],notional_term,C_UKEq_detail[[#This Row],[annuity_lcy]])</f>
        <v>204571926.97379735</v>
      </c>
      <c r="U37" s="58">
        <f>INDEX(I_PPP[],MATCH(C_UKEq_detail[[#This Row],[country]],I_PPP[country],0), MATCH(TEXT(C_UKEq_detail[[#This Row],[award_year]], "#"),I_PPP[#Headers],0))</f>
        <v>0.77812199999999998</v>
      </c>
      <c r="V37" s="58">
        <f>INDEX(I_PPP[],MATCH("United Kingdom",I_PPP[country],0), MATCH(TEXT(C_UKEq_detail[[#This Row],[award_year]], "#"),I_PPP[#Headers],0))</f>
        <v>0.69255100000000003</v>
      </c>
      <c r="W37" s="57">
        <f>C_UKEq_detail[[#This Row],[lsv_norm_lcy]]*C_UKEq_detail[[#This Row],[ppp_gbp]]/C_UKEq_detail[[#This Row],[ppp_lcy]]</f>
        <v>182074909.32993841</v>
      </c>
      <c r="X37" s="58">
        <f>eff_cpi_uk/SUMIFS(I_CPI_UK[index],I_CPI_UK[month],TEXT(C_UKEq_detail[[#This Row],[award_date]],"YYYY MMM"))</f>
        <v>1.0988023952095807</v>
      </c>
      <c r="Y37" s="57">
        <f>C_UKEq_detail[[#This Row],[lsv_norm_gbp]]*C_UKEq_detail[[#This Row],[cpi_factor]]</f>
        <v>200064346.47930357</v>
      </c>
      <c r="Z37" s="57">
        <f>INDEX(I_Population[], MATCH(C_UKEq_detail[[#This Row],[country]], I_Population[country], 0), MATCH(TEXT(C_UKEq_detail[[#This Row],[award_year]],"#"), I_Population[#Headers], 0))</f>
        <v>81686611</v>
      </c>
      <c r="AA37" s="58">
        <f>eff_pop_uk/C_UKEq_detail[[#This Row],[population]]</f>
        <v>0.81820418526115624</v>
      </c>
      <c r="AB37" s="57">
        <f>C_UKEq_detail[[#This Row],[lsv_real_gbp]]*C_UKEq_detail[[#This Row],[pop_factor]]</f>
        <v>163693485.61090425</v>
      </c>
    </row>
    <row r="38" spans="1:28" x14ac:dyDescent="0.45">
      <c r="A38" s="50" t="s">
        <v>132</v>
      </c>
      <c r="B38" s="50" t="s">
        <v>158</v>
      </c>
      <c r="C38" s="49">
        <v>42174</v>
      </c>
      <c r="D38" s="50" t="s">
        <v>85</v>
      </c>
      <c r="E38" s="25">
        <v>10</v>
      </c>
      <c r="F38" s="25">
        <v>15</v>
      </c>
      <c r="G38" s="50" t="s">
        <v>97</v>
      </c>
      <c r="H38" s="25">
        <v>165509000</v>
      </c>
      <c r="I38" s="25">
        <v>0</v>
      </c>
      <c r="J38" s="49"/>
      <c r="K38">
        <v>2015</v>
      </c>
      <c r="L38">
        <v>4.0599999999999997E-2</v>
      </c>
      <c r="M38" t="s">
        <v>779</v>
      </c>
      <c r="N38" s="50">
        <v>3.6931141868512006E-2</v>
      </c>
      <c r="O38" t="s">
        <v>779</v>
      </c>
      <c r="P38"/>
      <c r="Q38"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165509000</v>
      </c>
      <c r="R38" s="57">
        <f>C_UKEq_detail[[#This Row],[lf_pv_lcy]]*(1+C_UKEq_detail[[#This Row],[wacc_posttax_real]])^(YEARFRAC(C_UKEq_detail[[#This Row],[award_date]],C_UKEq_detail[[#This Row],[award_date]]+C_UKEq_detail[[#This Row],[delay_days]])*delay_adj*(C_UKEq_detail[[#This Row],[delay_days]]&gt;delay_threshold))</f>
        <v>165509000</v>
      </c>
      <c r="S38" s="57">
        <f>-PMT(C_UKEq_detail[[#This Row],[wacc_posttax_real]],C_UKEq_detail[[#This Row],[duration_years]],C_UKEq_detail[[#This Row],[lsv_lcy]])</f>
        <v>14568399.282469012</v>
      </c>
      <c r="T38" s="57">
        <f>-PV(C_UKEq_detail[[#This Row],[wacc_posttax_real]],notional_term,C_UKEq_detail[[#This Row],[annuity_lcy]])</f>
        <v>203480201.33479702</v>
      </c>
      <c r="U38" s="58">
        <f>INDEX(I_PPP[],MATCH(C_UKEq_detail[[#This Row],[country]],I_PPP[country],0), MATCH(TEXT(C_UKEq_detail[[#This Row],[award_year]], "#"),I_PPP[#Headers],0))</f>
        <v>0.77812199999999998</v>
      </c>
      <c r="V38" s="58">
        <f>INDEX(I_PPP[],MATCH("United Kingdom",I_PPP[country],0), MATCH(TEXT(C_UKEq_detail[[#This Row],[award_year]], "#"),I_PPP[#Headers],0))</f>
        <v>0.69255100000000003</v>
      </c>
      <c r="W38" s="57">
        <f>C_UKEq_detail[[#This Row],[lsv_norm_lcy]]*C_UKEq_detail[[#This Row],[ppp_gbp]]/C_UKEq_detail[[#This Row],[ppp_lcy]]</f>
        <v>181103242.05537823</v>
      </c>
      <c r="X38" s="58">
        <f>eff_cpi_uk/SUMIFS(I_CPI_UK[index],I_CPI_UK[month],TEXT(C_UKEq_detail[[#This Row],[award_date]],"YYYY MMM"))</f>
        <v>1.0988023952095807</v>
      </c>
      <c r="Y38" s="57">
        <f>C_UKEq_detail[[#This Row],[lsv_norm_gbp]]*C_UKEq_detail[[#This Row],[cpi_factor]]</f>
        <v>198996676.15067005</v>
      </c>
      <c r="Z38" s="57">
        <f>INDEX(I_Population[], MATCH(C_UKEq_detail[[#This Row],[country]], I_Population[country], 0), MATCH(TEXT(C_UKEq_detail[[#This Row],[award_year]],"#"), I_Population[#Headers], 0))</f>
        <v>81686611</v>
      </c>
      <c r="AA38" s="58">
        <f>eff_pop_uk/C_UKEq_detail[[#This Row],[population]]</f>
        <v>0.81820418526115624</v>
      </c>
      <c r="AB38" s="57">
        <f>C_UKEq_detail[[#This Row],[lsv_real_gbp]]*C_UKEq_detail[[#This Row],[pop_factor]]</f>
        <v>162819913.27953714</v>
      </c>
    </row>
    <row r="39" spans="1:28" x14ac:dyDescent="0.45">
      <c r="A39" s="50" t="s">
        <v>132</v>
      </c>
      <c r="B39" s="50" t="s">
        <v>158</v>
      </c>
      <c r="C39" s="49">
        <v>42174</v>
      </c>
      <c r="D39" s="50" t="s">
        <v>131</v>
      </c>
      <c r="E39" s="25">
        <v>10</v>
      </c>
      <c r="F39" s="25">
        <v>15</v>
      </c>
      <c r="G39" s="50" t="s">
        <v>97</v>
      </c>
      <c r="H39" s="25">
        <v>166847000</v>
      </c>
      <c r="I39" s="25">
        <v>0</v>
      </c>
      <c r="J39" s="49"/>
      <c r="K39">
        <v>2015</v>
      </c>
      <c r="L39">
        <v>4.0599999999999997E-2</v>
      </c>
      <c r="M39" t="s">
        <v>779</v>
      </c>
      <c r="N39" s="50">
        <v>3.6931141868512006E-2</v>
      </c>
      <c r="O39" t="s">
        <v>779</v>
      </c>
      <c r="P39"/>
      <c r="Q39"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166847000</v>
      </c>
      <c r="R39" s="57">
        <f>C_UKEq_detail[[#This Row],[lf_pv_lcy]]*(1+C_UKEq_detail[[#This Row],[wacc_posttax_real]])^(YEARFRAC(C_UKEq_detail[[#This Row],[award_date]],C_UKEq_detail[[#This Row],[award_date]]+C_UKEq_detail[[#This Row],[delay_days]])*delay_adj*(C_UKEq_detail[[#This Row],[delay_days]]&gt;delay_threshold))</f>
        <v>166847000</v>
      </c>
      <c r="S39" s="57">
        <f>-PMT(C_UKEq_detail[[#This Row],[wacc_posttax_real]],C_UKEq_detail[[#This Row],[duration_years]],C_UKEq_detail[[#This Row],[lsv_lcy]])</f>
        <v>14686172.444290686</v>
      </c>
      <c r="T39" s="57">
        <f>-PV(C_UKEq_detail[[#This Row],[wacc_posttax_real]],notional_term,C_UKEq_detail[[#This Row],[annuity_lcy]])</f>
        <v>205125166.31788534</v>
      </c>
      <c r="U39" s="58">
        <f>INDEX(I_PPP[],MATCH(C_UKEq_detail[[#This Row],[country]],I_PPP[country],0), MATCH(TEXT(C_UKEq_detail[[#This Row],[award_year]], "#"),I_PPP[#Headers],0))</f>
        <v>0.77812199999999998</v>
      </c>
      <c r="V39" s="58">
        <f>INDEX(I_PPP[],MATCH("United Kingdom",I_PPP[country],0), MATCH(TEXT(C_UKEq_detail[[#This Row],[award_year]], "#"),I_PPP[#Headers],0))</f>
        <v>0.69255100000000003</v>
      </c>
      <c r="W39" s="57">
        <f>C_UKEq_detail[[#This Row],[lsv_norm_lcy]]*C_UKEq_detail[[#This Row],[ppp_gbp]]/C_UKEq_detail[[#This Row],[ppp_lcy]]</f>
        <v>182567308.28664118</v>
      </c>
      <c r="X39" s="58">
        <f>eff_cpi_uk/SUMIFS(I_CPI_UK[index],I_CPI_UK[month],TEXT(C_UKEq_detail[[#This Row],[award_date]],"YYYY MMM"))</f>
        <v>1.0988023952095807</v>
      </c>
      <c r="Y39" s="57">
        <f>C_UKEq_detail[[#This Row],[lsv_norm_gbp]]*C_UKEq_detail[[#This Row],[cpi_factor]]</f>
        <v>200605395.63232726</v>
      </c>
      <c r="Z39" s="57">
        <f>INDEX(I_Population[], MATCH(C_UKEq_detail[[#This Row],[country]], I_Population[country], 0), MATCH(TEXT(C_UKEq_detail[[#This Row],[award_year]],"#"), I_Population[#Headers], 0))</f>
        <v>81686611</v>
      </c>
      <c r="AA39" s="58">
        <f>eff_pop_uk/C_UKEq_detail[[#This Row],[population]]</f>
        <v>0.81820418526115624</v>
      </c>
      <c r="AB39" s="57">
        <f>C_UKEq_detail[[#This Row],[lsv_real_gbp]]*C_UKEq_detail[[#This Row],[pop_factor]]</f>
        <v>164136174.29234025</v>
      </c>
    </row>
    <row r="40" spans="1:28" x14ac:dyDescent="0.45">
      <c r="A40" s="50" t="s">
        <v>132</v>
      </c>
      <c r="B40" s="50" t="s">
        <v>158</v>
      </c>
      <c r="C40" s="49">
        <v>42174</v>
      </c>
      <c r="D40" s="50" t="s">
        <v>130</v>
      </c>
      <c r="E40" s="25">
        <v>10</v>
      </c>
      <c r="F40" s="25">
        <v>15</v>
      </c>
      <c r="G40" s="50" t="s">
        <v>97</v>
      </c>
      <c r="H40" s="25">
        <v>166567000</v>
      </c>
      <c r="I40" s="25">
        <v>0</v>
      </c>
      <c r="J40" s="49"/>
      <c r="K40">
        <v>2015</v>
      </c>
      <c r="L40">
        <v>4.0599999999999997E-2</v>
      </c>
      <c r="M40" t="s">
        <v>779</v>
      </c>
      <c r="N40" s="50">
        <v>3.6931141868512006E-2</v>
      </c>
      <c r="O40" t="s">
        <v>779</v>
      </c>
      <c r="P40"/>
      <c r="Q40"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166567000</v>
      </c>
      <c r="R40" s="57">
        <f>C_UKEq_detail[[#This Row],[lf_pv_lcy]]*(1+C_UKEq_detail[[#This Row],[wacc_posttax_real]])^(YEARFRAC(C_UKEq_detail[[#This Row],[award_date]],C_UKEq_detail[[#This Row],[award_date]]+C_UKEq_detail[[#This Row],[delay_days]])*delay_adj*(C_UKEq_detail[[#This Row],[delay_days]]&gt;delay_threshold))</f>
        <v>166567000</v>
      </c>
      <c r="S40" s="57">
        <f>-PMT(C_UKEq_detail[[#This Row],[wacc_posttax_real]],C_UKEq_detail[[#This Row],[duration_years]],C_UKEq_detail[[#This Row],[lsv_lcy]])</f>
        <v>14661526.341667319</v>
      </c>
      <c r="T40" s="57">
        <f>-PV(C_UKEq_detail[[#This Row],[wacc_posttax_real]],notional_term,C_UKEq_detail[[#This Row],[annuity_lcy]])</f>
        <v>204780928.50378615</v>
      </c>
      <c r="U40" s="58">
        <f>INDEX(I_PPP[],MATCH(C_UKEq_detail[[#This Row],[country]],I_PPP[country],0), MATCH(TEXT(C_UKEq_detail[[#This Row],[award_year]], "#"),I_PPP[#Headers],0))</f>
        <v>0.77812199999999998</v>
      </c>
      <c r="V40" s="58">
        <f>INDEX(I_PPP[],MATCH("United Kingdom",I_PPP[country],0), MATCH(TEXT(C_UKEq_detail[[#This Row],[award_year]], "#"),I_PPP[#Headers],0))</f>
        <v>0.69255100000000003</v>
      </c>
      <c r="W40" s="57">
        <f>C_UKEq_detail[[#This Row],[lsv_norm_lcy]]*C_UKEq_detail[[#This Row],[ppp_gbp]]/C_UKEq_detail[[#This Row],[ppp_lcy]]</f>
        <v>182260926.71358171</v>
      </c>
      <c r="X40" s="58">
        <f>eff_cpi_uk/SUMIFS(I_CPI_UK[index],I_CPI_UK[month],TEXT(C_UKEq_detail[[#This Row],[award_date]],"YYYY MMM"))</f>
        <v>1.0988023952095807</v>
      </c>
      <c r="Y40" s="57">
        <f>C_UKEq_detail[[#This Row],[lsv_norm_gbp]]*C_UKEq_detail[[#This Row],[cpi_factor]]</f>
        <v>200268742.82600144</v>
      </c>
      <c r="Z40" s="57">
        <f>INDEX(I_Population[], MATCH(C_UKEq_detail[[#This Row],[country]], I_Population[country], 0), MATCH(TEXT(C_UKEq_detail[[#This Row],[award_year]],"#"), I_Population[#Headers], 0))</f>
        <v>81686611</v>
      </c>
      <c r="AA40" s="58">
        <f>eff_pop_uk/C_UKEq_detail[[#This Row],[population]]</f>
        <v>0.81820418526115624</v>
      </c>
      <c r="AB40" s="57">
        <f>C_UKEq_detail[[#This Row],[lsv_real_gbp]]*C_UKEq_detail[[#This Row],[pop_factor]]</f>
        <v>163860723.55722454</v>
      </c>
    </row>
    <row r="41" spans="1:28" x14ac:dyDescent="0.45">
      <c r="A41" s="50" t="s">
        <v>132</v>
      </c>
      <c r="B41" s="50" t="s">
        <v>158</v>
      </c>
      <c r="C41" s="49">
        <v>42174</v>
      </c>
      <c r="D41" s="50" t="s">
        <v>130</v>
      </c>
      <c r="E41" s="25">
        <v>10</v>
      </c>
      <c r="F41" s="25">
        <v>15</v>
      </c>
      <c r="G41" s="50" t="s">
        <v>97</v>
      </c>
      <c r="H41" s="25">
        <v>171649000</v>
      </c>
      <c r="I41" s="25">
        <v>0</v>
      </c>
      <c r="J41" s="49"/>
      <c r="K41">
        <v>2015</v>
      </c>
      <c r="L41">
        <v>4.0599999999999997E-2</v>
      </c>
      <c r="M41" t="s">
        <v>779</v>
      </c>
      <c r="N41" s="50">
        <v>3.6931141868512006E-2</v>
      </c>
      <c r="O41" t="s">
        <v>779</v>
      </c>
      <c r="P41"/>
      <c r="Q41"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171649000</v>
      </c>
      <c r="R41" s="57">
        <f>C_UKEq_detail[[#This Row],[lf_pv_lcy]]*(1+C_UKEq_detail[[#This Row],[wacc_posttax_real]])^(YEARFRAC(C_UKEq_detail[[#This Row],[award_date]],C_UKEq_detail[[#This Row],[award_date]]+C_UKEq_detail[[#This Row],[delay_days]])*delay_adj*(C_UKEq_detail[[#This Row],[delay_days]]&gt;delay_threshold))</f>
        <v>171649000</v>
      </c>
      <c r="S41" s="57">
        <f>-PMT(C_UKEq_detail[[#This Row],[wacc_posttax_real]],C_UKEq_detail[[#This Row],[duration_years]],C_UKEq_detail[[#This Row],[lsv_lcy]])</f>
        <v>15108853.104281481</v>
      </c>
      <c r="T41" s="57">
        <f>-PV(C_UKEq_detail[[#This Row],[wacc_posttax_real]],notional_term,C_UKEq_detail[[#This Row],[annuity_lcy]])</f>
        <v>211028844.82968649</v>
      </c>
      <c r="U41" s="58">
        <f>INDEX(I_PPP[],MATCH(C_UKEq_detail[[#This Row],[country]],I_PPP[country],0), MATCH(TEXT(C_UKEq_detail[[#This Row],[award_year]], "#"),I_PPP[#Headers],0))</f>
        <v>0.77812199999999998</v>
      </c>
      <c r="V41" s="58">
        <f>INDEX(I_PPP[],MATCH("United Kingdom",I_PPP[country],0), MATCH(TEXT(C_UKEq_detail[[#This Row],[award_year]], "#"),I_PPP[#Headers],0))</f>
        <v>0.69255100000000003</v>
      </c>
      <c r="W41" s="57">
        <f>C_UKEq_detail[[#This Row],[lsv_norm_lcy]]*C_UKEq_detail[[#This Row],[ppp_gbp]]/C_UKEq_detail[[#This Row],[ppp_lcy]]</f>
        <v>187821752.26461175</v>
      </c>
      <c r="X41" s="58">
        <f>eff_cpi_uk/SUMIFS(I_CPI_UK[index],I_CPI_UK[month],TEXT(C_UKEq_detail[[#This Row],[award_date]],"YYYY MMM"))</f>
        <v>1.0988023952095807</v>
      </c>
      <c r="Y41" s="57">
        <f>C_UKEq_detail[[#This Row],[lsv_norm_gbp]]*C_UKEq_detail[[#This Row],[cpi_factor]]</f>
        <v>206378991.26081589</v>
      </c>
      <c r="Z41" s="57">
        <f>INDEX(I_Population[], MATCH(C_UKEq_detail[[#This Row],[country]], I_Population[country], 0), MATCH(TEXT(C_UKEq_detail[[#This Row],[award_year]],"#"), I_Population[#Headers], 0))</f>
        <v>81686611</v>
      </c>
      <c r="AA41" s="58">
        <f>eff_pop_uk/C_UKEq_detail[[#This Row],[population]]</f>
        <v>0.81820418526115624</v>
      </c>
      <c r="AB41" s="57">
        <f>C_UKEq_detail[[#This Row],[lsv_real_gbp]]*C_UKEq_detail[[#This Row],[pop_factor]]</f>
        <v>168860154.39957514</v>
      </c>
    </row>
    <row r="42" spans="1:28" x14ac:dyDescent="0.45">
      <c r="A42" s="50" t="s">
        <v>132</v>
      </c>
      <c r="B42" s="50" t="s">
        <v>158</v>
      </c>
      <c r="C42" s="49">
        <v>42174</v>
      </c>
      <c r="D42" s="50" t="s">
        <v>85</v>
      </c>
      <c r="E42" s="25">
        <v>10</v>
      </c>
      <c r="F42" s="25">
        <v>15</v>
      </c>
      <c r="G42" s="50" t="s">
        <v>97</v>
      </c>
      <c r="H42" s="25">
        <v>163476000</v>
      </c>
      <c r="I42" s="25">
        <v>0</v>
      </c>
      <c r="J42" s="49"/>
      <c r="K42">
        <v>2015</v>
      </c>
      <c r="L42">
        <v>4.0599999999999997E-2</v>
      </c>
      <c r="M42" t="s">
        <v>779</v>
      </c>
      <c r="N42" s="50">
        <v>3.6931141868512006E-2</v>
      </c>
      <c r="O42" t="s">
        <v>779</v>
      </c>
      <c r="P42"/>
      <c r="Q42"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163476000</v>
      </c>
      <c r="R42" s="57">
        <f>C_UKEq_detail[[#This Row],[lf_pv_lcy]]*(1+C_UKEq_detail[[#This Row],[wacc_posttax_real]])^(YEARFRAC(C_UKEq_detail[[#This Row],[award_date]],C_UKEq_detail[[#This Row],[award_date]]+C_UKEq_detail[[#This Row],[delay_days]])*delay_adj*(C_UKEq_detail[[#This Row],[delay_days]]&gt;delay_threshold))</f>
        <v>163476000</v>
      </c>
      <c r="S42" s="57">
        <f>-PMT(C_UKEq_detail[[#This Row],[wacc_posttax_real]],C_UKEq_detail[[#This Row],[duration_years]],C_UKEq_detail[[#This Row],[lsv_lcy]])</f>
        <v>14389450.973064329</v>
      </c>
      <c r="T42" s="57">
        <f>-PV(C_UKEq_detail[[#This Row],[wacc_posttax_real]],notional_term,C_UKEq_detail[[#This Row],[annuity_lcy]])</f>
        <v>200980788.92028397</v>
      </c>
      <c r="U42" s="58">
        <f>INDEX(I_PPP[],MATCH(C_UKEq_detail[[#This Row],[country]],I_PPP[country],0), MATCH(TEXT(C_UKEq_detail[[#This Row],[award_year]], "#"),I_PPP[#Headers],0))</f>
        <v>0.77812199999999998</v>
      </c>
      <c r="V42" s="58">
        <f>INDEX(I_PPP[],MATCH("United Kingdom",I_PPP[country],0), MATCH(TEXT(C_UKEq_detail[[#This Row],[award_year]], "#"),I_PPP[#Headers],0))</f>
        <v>0.69255100000000003</v>
      </c>
      <c r="W42" s="57">
        <f>C_UKEq_detail[[#This Row],[lsv_norm_lcy]]*C_UKEq_detail[[#This Row],[ppp_gbp]]/C_UKEq_detail[[#This Row],[ppp_lcy]]</f>
        <v>178878692.99098545</v>
      </c>
      <c r="X42" s="58">
        <f>eff_cpi_uk/SUMIFS(I_CPI_UK[index],I_CPI_UK[month],TEXT(C_UKEq_detail[[#This Row],[award_date]],"YYYY MMM"))</f>
        <v>1.0988023952095807</v>
      </c>
      <c r="Y42" s="57">
        <f>C_UKEq_detail[[#This Row],[lsv_norm_gbp]]*C_UKEq_detail[[#This Row],[cpi_factor]]</f>
        <v>196552336.31045404</v>
      </c>
      <c r="Z42" s="57">
        <f>INDEX(I_Population[], MATCH(C_UKEq_detail[[#This Row],[country]], I_Population[country], 0), MATCH(TEXT(C_UKEq_detail[[#This Row],[award_year]],"#"), I_Population[#Headers], 0))</f>
        <v>81686611</v>
      </c>
      <c r="AA42" s="58">
        <f>eff_pop_uk/C_UKEq_detail[[#This Row],[population]]</f>
        <v>0.81820418526115624</v>
      </c>
      <c r="AB42" s="57">
        <f>C_UKEq_detail[[#This Row],[lsv_real_gbp]]*C_UKEq_detail[[#This Row],[pop_factor]]</f>
        <v>160819944.19207183</v>
      </c>
    </row>
    <row r="43" spans="1:28" x14ac:dyDescent="0.45">
      <c r="A43" s="50" t="s">
        <v>649</v>
      </c>
      <c r="B43" s="50" t="s">
        <v>203</v>
      </c>
      <c r="C43" s="49">
        <v>41548</v>
      </c>
      <c r="D43" s="50" t="s">
        <v>648</v>
      </c>
      <c r="E43" s="25">
        <v>10</v>
      </c>
      <c r="F43" s="25">
        <v>16</v>
      </c>
      <c r="G43" s="50" t="s">
        <v>97</v>
      </c>
      <c r="H43" s="25">
        <v>97679840</v>
      </c>
      <c r="I43" s="25">
        <v>348828</v>
      </c>
      <c r="J43" s="49">
        <v>41568</v>
      </c>
      <c r="K43">
        <v>2013</v>
      </c>
      <c r="L43">
        <v>7.2800000000000004E-2</v>
      </c>
      <c r="M43" t="s">
        <v>779</v>
      </c>
      <c r="N43" s="50">
        <v>7.0909090909090866E-2</v>
      </c>
      <c r="O43" t="s">
        <v>779</v>
      </c>
      <c r="P43">
        <v>20</v>
      </c>
      <c r="Q43"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101023674.37952715</v>
      </c>
      <c r="R43" s="57">
        <f>C_UKEq_detail[[#This Row],[lf_pv_lcy]]*(1+C_UKEq_detail[[#This Row],[wacc_posttax_real]])^(YEARFRAC(C_UKEq_detail[[#This Row],[award_date]],C_UKEq_detail[[#This Row],[award_date]]+C_UKEq_detail[[#This Row],[delay_days]])*delay_adj*(C_UKEq_detail[[#This Row],[delay_days]]&gt;delay_threshold))</f>
        <v>101023674.37952715</v>
      </c>
      <c r="S43" s="57">
        <f>-PMT(C_UKEq_detail[[#This Row],[wacc_posttax_real]],C_UKEq_detail[[#This Row],[duration_years]],C_UKEq_detail[[#This Row],[lsv_lcy]])</f>
        <v>10758633.915706309</v>
      </c>
      <c r="T43" s="57">
        <f>-PV(C_UKEq_detail[[#This Row],[wacc_posttax_real]],notional_term,C_UKEq_detail[[#This Row],[annuity_lcy]])</f>
        <v>113176212.94148672</v>
      </c>
      <c r="U43" s="58">
        <f>INDEX(I_PPP[],MATCH(C_UKEq_detail[[#This Row],[country]],I_PPP[country],0), MATCH(TEXT(C_UKEq_detail[[#This Row],[award_year]], "#"),I_PPP[#Headers],0))</f>
        <v>0.79708100000000004</v>
      </c>
      <c r="V43" s="58">
        <f>INDEX(I_PPP[],MATCH("United Kingdom",I_PPP[country],0), MATCH(TEXT(C_UKEq_detail[[#This Row],[award_year]], "#"),I_PPP[#Headers],0))</f>
        <v>0.69524799999999998</v>
      </c>
      <c r="W43" s="57">
        <f>C_UKEq_detail[[#This Row],[lsv_norm_lcy]]*C_UKEq_detail[[#This Row],[ppp_gbp]]/C_UKEq_detail[[#This Row],[ppp_lcy]]</f>
        <v>98717113.687495694</v>
      </c>
      <c r="X43" s="58">
        <f>eff_cpi_uk/SUMIFS(I_CPI_UK[index],I_CPI_UK[month],TEXT(C_UKEq_detail[[#This Row],[award_date]],"YYYY MMM"))</f>
        <v>1.1109989909182645</v>
      </c>
      <c r="Y43" s="57">
        <f>C_UKEq_detail[[#This Row],[lsv_norm_gbp]]*C_UKEq_detail[[#This Row],[cpi_factor]]</f>
        <v>109674613.69317131</v>
      </c>
      <c r="Z43" s="57">
        <f>INDEX(I_Population[], MATCH(C_UKEq_detail[[#This Row],[country]], I_Population[country], 0), MATCH(TEXT(C_UKEq_detail[[#This Row],[award_year]],"#"), I_Population[#Headers], 0))</f>
        <v>8479823</v>
      </c>
      <c r="AA43" s="58">
        <f>eff_pop_uk/C_UKEq_detail[[#This Row],[population]]</f>
        <v>7.8818068490344668</v>
      </c>
      <c r="AB43" s="57">
        <f>C_UKEq_detail[[#This Row],[lsv_real_gbp]]*C_UKEq_detail[[#This Row],[pop_factor]]</f>
        <v>864434121.37204695</v>
      </c>
    </row>
    <row r="44" spans="1:28" x14ac:dyDescent="0.45">
      <c r="A44" s="50" t="s">
        <v>799</v>
      </c>
      <c r="B44" s="50" t="s">
        <v>203</v>
      </c>
      <c r="C44" s="49">
        <v>41548</v>
      </c>
      <c r="D44" s="50" t="s">
        <v>648</v>
      </c>
      <c r="E44" s="25">
        <v>10</v>
      </c>
      <c r="F44" s="25">
        <v>19</v>
      </c>
      <c r="G44" s="50" t="s">
        <v>97</v>
      </c>
      <c r="H44" s="25">
        <v>64256605</v>
      </c>
      <c r="I44" s="25">
        <v>174414</v>
      </c>
      <c r="J44" s="49">
        <v>42370</v>
      </c>
      <c r="K44">
        <v>2013</v>
      </c>
      <c r="L44">
        <v>7.2800000000000004E-2</v>
      </c>
      <c r="M44" t="s">
        <v>779</v>
      </c>
      <c r="N44" s="50">
        <v>7.0909090909090866E-2</v>
      </c>
      <c r="O44" t="s">
        <v>779</v>
      </c>
      <c r="P44">
        <v>822</v>
      </c>
      <c r="Q44"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65837898.623515889</v>
      </c>
      <c r="R44" s="57">
        <f>C_UKEq_detail[[#This Row],[lf_pv_lcy]]*(1+C_UKEq_detail[[#This Row],[wacc_posttax_real]])^(YEARFRAC(C_UKEq_detail[[#This Row],[award_date]],C_UKEq_detail[[#This Row],[award_date]]+C_UKEq_detail[[#This Row],[delay_days]])*delay_adj*(C_UKEq_detail[[#This Row],[delay_days]]&gt;delay_threshold))</f>
        <v>76810275.490660906</v>
      </c>
      <c r="S44" s="57">
        <f>-PMT(C_UKEq_detail[[#This Row],[wacc_posttax_real]],C_UKEq_detail[[#This Row],[duration_years]],C_UKEq_detail[[#This Row],[lsv_lcy]])</f>
        <v>7482367.5650043003</v>
      </c>
      <c r="T44" s="57">
        <f>-PV(C_UKEq_detail[[#This Row],[wacc_posttax_real]],notional_term,C_UKEq_detail[[#This Row],[annuity_lcy]])</f>
        <v>78711296.571503967</v>
      </c>
      <c r="U44" s="58">
        <f>INDEX(I_PPP[],MATCH(C_UKEq_detail[[#This Row],[country]],I_PPP[country],0), MATCH(TEXT(C_UKEq_detail[[#This Row],[award_year]], "#"),I_PPP[#Headers],0))</f>
        <v>0.79708100000000004</v>
      </c>
      <c r="V44" s="58">
        <f>INDEX(I_PPP[],MATCH("United Kingdom",I_PPP[country],0), MATCH(TEXT(C_UKEq_detail[[#This Row],[award_year]], "#"),I_PPP[#Headers],0))</f>
        <v>0.69524799999999998</v>
      </c>
      <c r="W44" s="57">
        <f>C_UKEq_detail[[#This Row],[lsv_norm_lcy]]*C_UKEq_detail[[#This Row],[ppp_gbp]]/C_UKEq_detail[[#This Row],[ppp_lcy]]</f>
        <v>68655345.590655133</v>
      </c>
      <c r="X44" s="58">
        <f>eff_cpi_uk/SUMIFS(I_CPI_UK[index],I_CPI_UK[month],TEXT(C_UKEq_detail[[#This Row],[award_date]],"YYYY MMM"))</f>
        <v>1.1109989909182645</v>
      </c>
      <c r="Y44" s="57">
        <f>C_UKEq_detail[[#This Row],[lsv_norm_gbp]]*C_UKEq_detail[[#This Row],[cpi_factor]]</f>
        <v>76276019.672362566</v>
      </c>
      <c r="Z44" s="57">
        <f>INDEX(I_Population[], MATCH(C_UKEq_detail[[#This Row],[country]], I_Population[country], 0), MATCH(TEXT(C_UKEq_detail[[#This Row],[award_year]],"#"), I_Population[#Headers], 0))</f>
        <v>8479823</v>
      </c>
      <c r="AA44" s="58">
        <f>eff_pop_uk/C_UKEq_detail[[#This Row],[population]]</f>
        <v>7.8818068490344668</v>
      </c>
      <c r="AB44" s="57">
        <f>C_UKEq_detail[[#This Row],[lsv_real_gbp]]*C_UKEq_detail[[#This Row],[pop_factor]]</f>
        <v>601192854.270715</v>
      </c>
    </row>
    <row r="45" spans="1:28" x14ac:dyDescent="0.45">
      <c r="A45" s="50" t="s">
        <v>137</v>
      </c>
      <c r="B45" s="50" t="s">
        <v>161</v>
      </c>
      <c r="C45" s="49">
        <v>41584</v>
      </c>
      <c r="D45" s="50" t="s">
        <v>138</v>
      </c>
      <c r="E45" s="25">
        <v>10</v>
      </c>
      <c r="F45" s="25">
        <v>11</v>
      </c>
      <c r="G45" s="50" t="s">
        <v>136</v>
      </c>
      <c r="H45" s="25">
        <v>105652000</v>
      </c>
      <c r="I45" s="25">
        <v>8000000</v>
      </c>
      <c r="J45" s="49"/>
      <c r="K45">
        <v>2013</v>
      </c>
      <c r="L45">
        <v>5.7799999999999997E-2</v>
      </c>
      <c r="M45" t="s">
        <v>779</v>
      </c>
      <c r="N45" s="50">
        <v>5.6761530912659452E-2</v>
      </c>
      <c r="O45" t="s">
        <v>779</v>
      </c>
      <c r="P45"/>
      <c r="Q45"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171136853.86473668</v>
      </c>
      <c r="R45" s="57">
        <f>C_UKEq_detail[[#This Row],[lf_pv_lcy]]*(1+C_UKEq_detail[[#This Row],[wacc_posttax_real]])^(YEARFRAC(C_UKEq_detail[[#This Row],[award_date]],C_UKEq_detail[[#This Row],[award_date]]+C_UKEq_detail[[#This Row],[delay_days]])*delay_adj*(C_UKEq_detail[[#This Row],[delay_days]]&gt;delay_threshold))</f>
        <v>171136853.86473668</v>
      </c>
      <c r="S45" s="57">
        <f>-PMT(C_UKEq_detail[[#This Row],[wacc_posttax_real]],C_UKEq_detail[[#This Row],[duration_years]],C_UKEq_detail[[#This Row],[lsv_lcy]])</f>
        <v>21340986.132155489</v>
      </c>
      <c r="T45" s="57">
        <f>-PV(C_UKEq_detail[[#This Row],[wacc_posttax_real]],notional_term,C_UKEq_detail[[#This Row],[annuity_lcy]])</f>
        <v>251346833.29228005</v>
      </c>
      <c r="U45" s="58">
        <f>INDEX(I_PPP[],MATCH(C_UKEq_detail[[#This Row],[country]],I_PPP[country],0), MATCH(TEXT(C_UKEq_detail[[#This Row],[award_year]], "#"),I_PPP[#Headers],0))</f>
        <v>3.5751170491353901</v>
      </c>
      <c r="V45" s="58">
        <f>INDEX(I_PPP[],MATCH("United Kingdom",I_PPP[country],0), MATCH(TEXT(C_UKEq_detail[[#This Row],[award_year]], "#"),I_PPP[#Headers],0))</f>
        <v>0.69524799999999998</v>
      </c>
      <c r="W45" s="57">
        <f>C_UKEq_detail[[#This Row],[lsv_norm_lcy]]*C_UKEq_detail[[#This Row],[ppp_gbp]]/C_UKEq_detail[[#This Row],[ppp_lcy]]</f>
        <v>48879066.265831053</v>
      </c>
      <c r="X45" s="58">
        <f>eff_cpi_uk/SUMIFS(I_CPI_UK[index],I_CPI_UK[month],TEXT(C_UKEq_detail[[#This Row],[award_date]],"YYYY MMM"))</f>
        <v>1.1098790322580645</v>
      </c>
      <c r="Y45" s="57">
        <f>C_UKEq_detail[[#This Row],[lsv_norm_gbp]]*C_UKEq_detail[[#This Row],[cpi_factor]]</f>
        <v>54249850.764798373</v>
      </c>
      <c r="Z45" s="57">
        <f>INDEX(I_Population[], MATCH(C_UKEq_detail[[#This Row],[country]], I_Population[country], 0), MATCH(TEXT(C_UKEq_detail[[#This Row],[award_year]],"#"), I_Population[#Headers], 0))</f>
        <v>4255689</v>
      </c>
      <c r="AA45" s="58">
        <f>eff_pop_uk/C_UKEq_detail[[#This Row],[population]]</f>
        <v>15.705171829990396</v>
      </c>
      <c r="AB45" s="57">
        <f>C_UKEq_detail[[#This Row],[lsv_real_gbp]]*C_UKEq_detail[[#This Row],[pop_factor]]</f>
        <v>852003228.01249433</v>
      </c>
    </row>
    <row r="46" spans="1:28" x14ac:dyDescent="0.45">
      <c r="A46" s="50" t="s">
        <v>137</v>
      </c>
      <c r="B46" s="50" t="s">
        <v>161</v>
      </c>
      <c r="C46" s="49">
        <v>41584</v>
      </c>
      <c r="D46" s="50" t="s">
        <v>139</v>
      </c>
      <c r="E46" s="25">
        <v>10</v>
      </c>
      <c r="F46" s="25">
        <v>11</v>
      </c>
      <c r="G46" s="50" t="s">
        <v>136</v>
      </c>
      <c r="H46" s="25">
        <v>175144999</v>
      </c>
      <c r="I46" s="25">
        <v>0</v>
      </c>
      <c r="J46" s="49"/>
      <c r="K46">
        <v>2013</v>
      </c>
      <c r="L46">
        <v>5.7799999999999997E-2</v>
      </c>
      <c r="M46" t="s">
        <v>779</v>
      </c>
      <c r="N46" s="50">
        <v>5.6761530912659452E-2</v>
      </c>
      <c r="O46" t="s">
        <v>779</v>
      </c>
      <c r="P46"/>
      <c r="Q46"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175144999</v>
      </c>
      <c r="R46" s="57">
        <f>C_UKEq_detail[[#This Row],[lf_pv_lcy]]*(1+C_UKEq_detail[[#This Row],[wacc_posttax_real]])^(YEARFRAC(C_UKEq_detail[[#This Row],[award_date]],C_UKEq_detail[[#This Row],[award_date]]+C_UKEq_detail[[#This Row],[delay_days]])*delay_adj*(C_UKEq_detail[[#This Row],[delay_days]]&gt;delay_threshold))</f>
        <v>175144999</v>
      </c>
      <c r="S46" s="57">
        <f>-PMT(C_UKEq_detail[[#This Row],[wacc_posttax_real]],C_UKEq_detail[[#This Row],[duration_years]],C_UKEq_detail[[#This Row],[lsv_lcy]])</f>
        <v>21840806.993738752</v>
      </c>
      <c r="T46" s="57">
        <f>-PV(C_UKEq_detail[[#This Row],[wacc_posttax_real]],notional_term,C_UKEq_detail[[#This Row],[annuity_lcy]])</f>
        <v>257233552.39674926</v>
      </c>
      <c r="U46" s="58">
        <f>INDEX(I_PPP[],MATCH(C_UKEq_detail[[#This Row],[country]],I_PPP[country],0), MATCH(TEXT(C_UKEq_detail[[#This Row],[award_year]], "#"),I_PPP[#Headers],0))</f>
        <v>3.5751170491353901</v>
      </c>
      <c r="V46" s="58">
        <f>INDEX(I_PPP[],MATCH("United Kingdom",I_PPP[country],0), MATCH(TEXT(C_UKEq_detail[[#This Row],[award_year]], "#"),I_PPP[#Headers],0))</f>
        <v>0.69524799999999998</v>
      </c>
      <c r="W46" s="57">
        <f>C_UKEq_detail[[#This Row],[lsv_norm_lcy]]*C_UKEq_detail[[#This Row],[ppp_gbp]]/C_UKEq_detail[[#This Row],[ppp_lcy]]</f>
        <v>50023848.276516221</v>
      </c>
      <c r="X46" s="58">
        <f>eff_cpi_uk/SUMIFS(I_CPI_UK[index],I_CPI_UK[month],TEXT(C_UKEq_detail[[#This Row],[award_date]],"YYYY MMM"))</f>
        <v>1.1098790322580645</v>
      </c>
      <c r="Y46" s="57">
        <f>C_UKEq_detail[[#This Row],[lsv_norm_gbp]]*C_UKEq_detail[[#This Row],[cpi_factor]]</f>
        <v>55520420.314964071</v>
      </c>
      <c r="Z46" s="57">
        <f>INDEX(I_Population[], MATCH(C_UKEq_detail[[#This Row],[country]], I_Population[country], 0), MATCH(TEXT(C_UKEq_detail[[#This Row],[award_year]],"#"), I_Population[#Headers], 0))</f>
        <v>4255689</v>
      </c>
      <c r="AA46" s="58">
        <f>eff_pop_uk/C_UKEq_detail[[#This Row],[population]]</f>
        <v>15.705171829990396</v>
      </c>
      <c r="AB46" s="57">
        <f>C_UKEq_detail[[#This Row],[lsv_real_gbp]]*C_UKEq_detail[[#This Row],[pop_factor]]</f>
        <v>871957741.11980021</v>
      </c>
    </row>
    <row r="47" spans="1:28" x14ac:dyDescent="0.45">
      <c r="A47" s="50" t="s">
        <v>174</v>
      </c>
      <c r="B47" s="50" t="s">
        <v>149</v>
      </c>
      <c r="C47" s="49">
        <v>41925</v>
      </c>
      <c r="D47" s="50" t="s">
        <v>122</v>
      </c>
      <c r="E47" s="25">
        <v>60</v>
      </c>
      <c r="F47" s="25">
        <v>15</v>
      </c>
      <c r="G47" s="50" t="s">
        <v>97</v>
      </c>
      <c r="H47" s="25">
        <v>28212000</v>
      </c>
      <c r="I47" s="25">
        <v>0</v>
      </c>
      <c r="J47" s="49"/>
      <c r="K47">
        <v>2014</v>
      </c>
      <c r="L47">
        <v>0.03</v>
      </c>
      <c r="M47" t="s">
        <v>779</v>
      </c>
      <c r="N47" s="50">
        <v>9.8779459459459346E-2</v>
      </c>
      <c r="O47" t="s">
        <v>779</v>
      </c>
      <c r="P47"/>
      <c r="Q47"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28212000</v>
      </c>
      <c r="R47" s="57">
        <f>C_UKEq_detail[[#This Row],[lf_pv_lcy]]*(1+C_UKEq_detail[[#This Row],[wacc_posttax_real]])^(YEARFRAC(C_UKEq_detail[[#This Row],[award_date]],C_UKEq_detail[[#This Row],[award_date]]+C_UKEq_detail[[#This Row],[delay_days]])*delay_adj*(C_UKEq_detail[[#This Row],[delay_days]]&gt;delay_threshold))</f>
        <v>28212000</v>
      </c>
      <c r="S47" s="57">
        <f>-PMT(C_UKEq_detail[[#This Row],[wacc_posttax_real]],C_UKEq_detail[[#This Row],[duration_years]],C_UKEq_detail[[#This Row],[lsv_lcy]])</f>
        <v>3683333.8338348982</v>
      </c>
      <c r="T47" s="57">
        <f>-PV(C_UKEq_detail[[#This Row],[wacc_posttax_real]],notional_term,C_UKEq_detail[[#This Row],[annuity_lcy]])</f>
        <v>31621321.020507447</v>
      </c>
      <c r="U47" s="58">
        <f>INDEX(I_PPP[],MATCH(C_UKEq_detail[[#This Row],[country]],I_PPP[country],0), MATCH(TEXT(C_UKEq_detail[[#This Row],[award_year]], "#"),I_PPP[#Headers],0))</f>
        <v>0.61113499999999998</v>
      </c>
      <c r="V47" s="58">
        <f>INDEX(I_PPP[],MATCH("United Kingdom",I_PPP[country],0), MATCH(TEXT(C_UKEq_detail[[#This Row],[award_year]], "#"),I_PPP[#Headers],0))</f>
        <v>0.69844399999999995</v>
      </c>
      <c r="W47" s="57">
        <f>C_UKEq_detail[[#This Row],[lsv_norm_lcy]]*C_UKEq_detail[[#This Row],[ppp_gbp]]/C_UKEq_detail[[#This Row],[ppp_lcy]]</f>
        <v>36138859.562694505</v>
      </c>
      <c r="X47" s="58">
        <f>eff_cpi_uk/SUMIFS(I_CPI_UK[index],I_CPI_UK[month],TEXT(C_UKEq_detail[[#This Row],[award_date]],"YYYY MMM"))</f>
        <v>1.096613545816733</v>
      </c>
      <c r="Y47" s="57">
        <f>C_UKEq_detail[[#This Row],[lsv_norm_gbp]]*C_UKEq_detail[[#This Row],[cpi_factor]]</f>
        <v>39630362.926819369</v>
      </c>
      <c r="Z47" s="57">
        <f>INDEX(I_Population[], MATCH(C_UKEq_detail[[#This Row],[country]], I_Population[country], 0), MATCH(TEXT(C_UKEq_detail[[#This Row],[award_year]],"#"), I_Population[#Headers], 0))</f>
        <v>10892413</v>
      </c>
      <c r="AA47" s="58">
        <f>eff_pop_uk/C_UKEq_detail[[#This Row],[population]]</f>
        <v>6.1360441437540061</v>
      </c>
      <c r="AB47" s="57">
        <f>C_UKEq_detail[[#This Row],[lsv_real_gbp]]*C_UKEq_detail[[#This Row],[pop_factor]]</f>
        <v>243173656.35195586</v>
      </c>
    </row>
    <row r="48" spans="1:28" x14ac:dyDescent="0.45">
      <c r="A48" s="50" t="s">
        <v>174</v>
      </c>
      <c r="B48" s="50" t="s">
        <v>149</v>
      </c>
      <c r="C48" s="49">
        <v>41925</v>
      </c>
      <c r="D48" s="50" t="s">
        <v>85</v>
      </c>
      <c r="E48" s="25">
        <v>40</v>
      </c>
      <c r="F48" s="25">
        <v>15</v>
      </c>
      <c r="G48" s="50" t="s">
        <v>97</v>
      </c>
      <c r="H48" s="25">
        <v>18800000</v>
      </c>
      <c r="I48" s="25">
        <v>0</v>
      </c>
      <c r="J48" s="49"/>
      <c r="K48">
        <v>2014</v>
      </c>
      <c r="L48">
        <v>0.03</v>
      </c>
      <c r="M48" t="s">
        <v>779</v>
      </c>
      <c r="N48" s="50">
        <v>9.8779459459459346E-2</v>
      </c>
      <c r="O48" t="s">
        <v>779</v>
      </c>
      <c r="P48"/>
      <c r="Q48"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18800000</v>
      </c>
      <c r="R48" s="57">
        <f>C_UKEq_detail[[#This Row],[lf_pv_lcy]]*(1+C_UKEq_detail[[#This Row],[wacc_posttax_real]])^(YEARFRAC(C_UKEq_detail[[#This Row],[award_date]],C_UKEq_detail[[#This Row],[award_date]]+C_UKEq_detail[[#This Row],[delay_days]])*delay_adj*(C_UKEq_detail[[#This Row],[delay_days]]&gt;delay_threshold))</f>
        <v>18800000</v>
      </c>
      <c r="S48" s="57">
        <f>-PMT(C_UKEq_detail[[#This Row],[wacc_posttax_real]],C_UKEq_detail[[#This Row],[duration_years]],C_UKEq_detail[[#This Row],[lsv_lcy]])</f>
        <v>2454511.4162801676</v>
      </c>
      <c r="T48" s="57">
        <f>-PV(C_UKEq_detail[[#This Row],[wacc_posttax_real]],notional_term,C_UKEq_detail[[#This Row],[annuity_lcy]])</f>
        <v>21071913.908462357</v>
      </c>
      <c r="U48" s="58">
        <f>INDEX(I_PPP[],MATCH(C_UKEq_detail[[#This Row],[country]],I_PPP[country],0), MATCH(TEXT(C_UKEq_detail[[#This Row],[award_year]], "#"),I_PPP[#Headers],0))</f>
        <v>0.61113499999999998</v>
      </c>
      <c r="V48" s="58">
        <f>INDEX(I_PPP[],MATCH("United Kingdom",I_PPP[country],0), MATCH(TEXT(C_UKEq_detail[[#This Row],[award_year]], "#"),I_PPP[#Headers],0))</f>
        <v>0.69844399999999995</v>
      </c>
      <c r="W48" s="57">
        <f>C_UKEq_detail[[#This Row],[lsv_norm_lcy]]*C_UKEq_detail[[#This Row],[ppp_gbp]]/C_UKEq_detail[[#This Row],[ppp_lcy]]</f>
        <v>24082325.243820239</v>
      </c>
      <c r="X48" s="58">
        <f>eff_cpi_uk/SUMIFS(I_CPI_UK[index],I_CPI_UK[month],TEXT(C_UKEq_detail[[#This Row],[award_date]],"YYYY MMM"))</f>
        <v>1.096613545816733</v>
      </c>
      <c r="Y48" s="57">
        <f>C_UKEq_detail[[#This Row],[lsv_norm_gbp]]*C_UKEq_detail[[#This Row],[cpi_factor]]</f>
        <v>26409004.07713753</v>
      </c>
      <c r="Z48" s="57">
        <f>INDEX(I_Population[], MATCH(C_UKEq_detail[[#This Row],[country]], I_Population[country], 0), MATCH(TEXT(C_UKEq_detail[[#This Row],[award_year]],"#"), I_Population[#Headers], 0))</f>
        <v>10892413</v>
      </c>
      <c r="AA48" s="58">
        <f>eff_pop_uk/C_UKEq_detail[[#This Row],[population]]</f>
        <v>6.1360441437540061</v>
      </c>
      <c r="AB48" s="57">
        <f>C_UKEq_detail[[#This Row],[lsv_real_gbp]]*C_UKEq_detail[[#This Row],[pop_factor]]</f>
        <v>162046814.8098954</v>
      </c>
    </row>
    <row r="49" spans="1:28" x14ac:dyDescent="0.45">
      <c r="A49" s="50" t="s">
        <v>174</v>
      </c>
      <c r="B49" s="50" t="s">
        <v>149</v>
      </c>
      <c r="C49" s="49">
        <v>41925</v>
      </c>
      <c r="D49" s="50" t="s">
        <v>123</v>
      </c>
      <c r="E49" s="25">
        <v>40</v>
      </c>
      <c r="F49" s="25">
        <v>15</v>
      </c>
      <c r="G49" s="50" t="s">
        <v>97</v>
      </c>
      <c r="H49" s="25">
        <v>18812000</v>
      </c>
      <c r="I49" s="25">
        <v>0</v>
      </c>
      <c r="J49" s="49"/>
      <c r="K49">
        <v>2014</v>
      </c>
      <c r="L49">
        <v>0.03</v>
      </c>
      <c r="M49" t="s">
        <v>779</v>
      </c>
      <c r="N49" s="50">
        <v>9.8779459459459346E-2</v>
      </c>
      <c r="O49" t="s">
        <v>779</v>
      </c>
      <c r="P49"/>
      <c r="Q49"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18812000</v>
      </c>
      <c r="R49" s="57">
        <f>C_UKEq_detail[[#This Row],[lf_pv_lcy]]*(1+C_UKEq_detail[[#This Row],[wacc_posttax_real]])^(YEARFRAC(C_UKEq_detail[[#This Row],[award_date]],C_UKEq_detail[[#This Row],[award_date]]+C_UKEq_detail[[#This Row],[delay_days]])*delay_adj*(C_UKEq_detail[[#This Row],[delay_days]]&gt;delay_threshold))</f>
        <v>18812000</v>
      </c>
      <c r="S49" s="57">
        <f>-PMT(C_UKEq_detail[[#This Row],[wacc_posttax_real]],C_UKEq_detail[[#This Row],[duration_years]],C_UKEq_detail[[#This Row],[lsv_lcy]])</f>
        <v>2456078.1256948141</v>
      </c>
      <c r="T49" s="57">
        <f>-PV(C_UKEq_detail[[#This Row],[wacc_posttax_real]],notional_term,C_UKEq_detail[[#This Row],[annuity_lcy]])</f>
        <v>21085364.066276263</v>
      </c>
      <c r="U49" s="58">
        <f>INDEX(I_PPP[],MATCH(C_UKEq_detail[[#This Row],[country]],I_PPP[country],0), MATCH(TEXT(C_UKEq_detail[[#This Row],[award_year]], "#"),I_PPP[#Headers],0))</f>
        <v>0.61113499999999998</v>
      </c>
      <c r="V49" s="58">
        <f>INDEX(I_PPP[],MATCH("United Kingdom",I_PPP[country],0), MATCH(TEXT(C_UKEq_detail[[#This Row],[award_year]], "#"),I_PPP[#Headers],0))</f>
        <v>0.69844399999999995</v>
      </c>
      <c r="W49" s="57">
        <f>C_UKEq_detail[[#This Row],[lsv_norm_lcy]]*C_UKEq_detail[[#This Row],[ppp_gbp]]/C_UKEq_detail[[#This Row],[ppp_lcy]]</f>
        <v>24097696.940784376</v>
      </c>
      <c r="X49" s="58">
        <f>eff_cpi_uk/SUMIFS(I_CPI_UK[index],I_CPI_UK[month],TEXT(C_UKEq_detail[[#This Row],[award_date]],"YYYY MMM"))</f>
        <v>1.096613545816733</v>
      </c>
      <c r="Y49" s="57">
        <f>C_UKEq_detail[[#This Row],[lsv_norm_gbp]]*C_UKEq_detail[[#This Row],[cpi_factor]]</f>
        <v>26425860.888250593</v>
      </c>
      <c r="Z49" s="57">
        <f>INDEX(I_Population[], MATCH(C_UKEq_detail[[#This Row],[country]], I_Population[country], 0), MATCH(TEXT(C_UKEq_detail[[#This Row],[award_year]],"#"), I_Population[#Headers], 0))</f>
        <v>10892413</v>
      </c>
      <c r="AA49" s="58">
        <f>eff_pop_uk/C_UKEq_detail[[#This Row],[population]]</f>
        <v>6.1360441437540061</v>
      </c>
      <c r="AB49" s="57">
        <f>C_UKEq_detail[[#This Row],[lsv_real_gbp]]*C_UKEq_detail[[#This Row],[pop_factor]]</f>
        <v>162150248.9470081</v>
      </c>
    </row>
    <row r="50" spans="1:28" x14ac:dyDescent="0.45">
      <c r="A50" s="50" t="s">
        <v>124</v>
      </c>
      <c r="B50" s="50" t="s">
        <v>149</v>
      </c>
      <c r="C50" s="49">
        <v>41925</v>
      </c>
      <c r="D50" s="50" t="s">
        <v>122</v>
      </c>
      <c r="E50" s="25">
        <v>20</v>
      </c>
      <c r="F50" s="25">
        <v>15</v>
      </c>
      <c r="G50" s="50" t="s">
        <v>97</v>
      </c>
      <c r="H50" s="25">
        <v>103000000</v>
      </c>
      <c r="I50" s="25">
        <v>0</v>
      </c>
      <c r="J50" s="49"/>
      <c r="K50">
        <v>2014</v>
      </c>
      <c r="L50">
        <v>0.03</v>
      </c>
      <c r="M50" t="s">
        <v>779</v>
      </c>
      <c r="N50" s="50">
        <v>9.8779459459459346E-2</v>
      </c>
      <c r="O50" t="s">
        <v>779</v>
      </c>
      <c r="P50"/>
      <c r="Q50"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103000000</v>
      </c>
      <c r="R50" s="57">
        <f>C_UKEq_detail[[#This Row],[lf_pv_lcy]]*(1+C_UKEq_detail[[#This Row],[wacc_posttax_real]])^(YEARFRAC(C_UKEq_detail[[#This Row],[award_date]],C_UKEq_detail[[#This Row],[award_date]]+C_UKEq_detail[[#This Row],[delay_days]])*delay_adj*(C_UKEq_detail[[#This Row],[delay_days]]&gt;delay_threshold))</f>
        <v>103000000</v>
      </c>
      <c r="S50" s="57">
        <f>-PMT(C_UKEq_detail[[#This Row],[wacc_posttax_real]],C_UKEq_detail[[#This Row],[duration_years]],C_UKEq_detail[[#This Row],[lsv_lcy]])</f>
        <v>13447589.142386025</v>
      </c>
      <c r="T50" s="57">
        <f>-PV(C_UKEq_detail[[#This Row],[wacc_posttax_real]],notional_term,C_UKEq_detail[[#This Row],[annuity_lcy]])</f>
        <v>115447187.90274589</v>
      </c>
      <c r="U50" s="58">
        <f>INDEX(I_PPP[],MATCH(C_UKEq_detail[[#This Row],[country]],I_PPP[country],0), MATCH(TEXT(C_UKEq_detail[[#This Row],[award_year]], "#"),I_PPP[#Headers],0))</f>
        <v>0.61113499999999998</v>
      </c>
      <c r="V50" s="58">
        <f>INDEX(I_PPP[],MATCH("United Kingdom",I_PPP[country],0), MATCH(TEXT(C_UKEq_detail[[#This Row],[award_year]], "#"),I_PPP[#Headers],0))</f>
        <v>0.69844399999999995</v>
      </c>
      <c r="W50" s="57">
        <f>C_UKEq_detail[[#This Row],[lsv_norm_lcy]]*C_UKEq_detail[[#This Row],[ppp_gbp]]/C_UKEq_detail[[#This Row],[ppp_lcy]]</f>
        <v>131940398.94220662</v>
      </c>
      <c r="X50" s="58">
        <f>eff_cpi_uk/SUMIFS(I_CPI_UK[index],I_CPI_UK[month],TEXT(C_UKEq_detail[[#This Row],[award_date]],"YYYY MMM"))</f>
        <v>1.096613545816733</v>
      </c>
      <c r="Y50" s="57">
        <f>C_UKEq_detail[[#This Row],[lsv_norm_gbp]]*C_UKEq_detail[[#This Row],[cpi_factor]]</f>
        <v>144687628.72048753</v>
      </c>
      <c r="Z50" s="57">
        <f>INDEX(I_Population[], MATCH(C_UKEq_detail[[#This Row],[country]], I_Population[country], 0), MATCH(TEXT(C_UKEq_detail[[#This Row],[award_year]],"#"), I_Population[#Headers], 0))</f>
        <v>10892413</v>
      </c>
      <c r="AA50" s="58">
        <f>eff_pop_uk/C_UKEq_detail[[#This Row],[population]]</f>
        <v>6.1360441437540061</v>
      </c>
      <c r="AB50" s="57">
        <f>C_UKEq_detail[[#This Row],[lsv_real_gbp]]*C_UKEq_detail[[#This Row],[pop_factor]]</f>
        <v>887809676.88400149</v>
      </c>
    </row>
    <row r="51" spans="1:28" x14ac:dyDescent="0.45">
      <c r="A51" s="50" t="s">
        <v>124</v>
      </c>
      <c r="B51" s="50" t="s">
        <v>149</v>
      </c>
      <c r="C51" s="49">
        <v>41925</v>
      </c>
      <c r="D51" s="50" t="s">
        <v>85</v>
      </c>
      <c r="E51" s="25">
        <v>20</v>
      </c>
      <c r="F51" s="25">
        <v>15</v>
      </c>
      <c r="G51" s="50" t="s">
        <v>97</v>
      </c>
      <c r="H51" s="25">
        <v>103101000</v>
      </c>
      <c r="I51" s="25">
        <v>0</v>
      </c>
      <c r="J51" s="49"/>
      <c r="K51">
        <v>2014</v>
      </c>
      <c r="L51">
        <v>0.03</v>
      </c>
      <c r="M51" t="s">
        <v>779</v>
      </c>
      <c r="N51" s="50">
        <v>9.8779459459459346E-2</v>
      </c>
      <c r="O51" t="s">
        <v>779</v>
      </c>
      <c r="P51"/>
      <c r="Q51"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103101000</v>
      </c>
      <c r="R51" s="57">
        <f>C_UKEq_detail[[#This Row],[lf_pv_lcy]]*(1+C_UKEq_detail[[#This Row],[wacc_posttax_real]])^(YEARFRAC(C_UKEq_detail[[#This Row],[award_date]],C_UKEq_detail[[#This Row],[award_date]]+C_UKEq_detail[[#This Row],[delay_days]])*delay_adj*(C_UKEq_detail[[#This Row],[delay_days]]&gt;delay_threshold))</f>
        <v>103101000</v>
      </c>
      <c r="S51" s="57">
        <f>-PMT(C_UKEq_detail[[#This Row],[wacc_posttax_real]],C_UKEq_detail[[#This Row],[duration_years]],C_UKEq_detail[[#This Row],[lsv_lcy]])</f>
        <v>13460775.613292634</v>
      </c>
      <c r="T51" s="57">
        <f>-PV(C_UKEq_detail[[#This Row],[wacc_posttax_real]],notional_term,C_UKEq_detail[[#This Row],[annuity_lcy]])</f>
        <v>115560393.39767963</v>
      </c>
      <c r="U51" s="58">
        <f>INDEX(I_PPP[],MATCH(C_UKEq_detail[[#This Row],[country]],I_PPP[country],0), MATCH(TEXT(C_UKEq_detail[[#This Row],[award_year]], "#"),I_PPP[#Headers],0))</f>
        <v>0.61113499999999998</v>
      </c>
      <c r="V51" s="58">
        <f>INDEX(I_PPP[],MATCH("United Kingdom",I_PPP[country],0), MATCH(TEXT(C_UKEq_detail[[#This Row],[award_year]], "#"),I_PPP[#Headers],0))</f>
        <v>0.69844399999999995</v>
      </c>
      <c r="W51" s="57">
        <f>C_UKEq_detail[[#This Row],[lsv_norm_lcy]]*C_UKEq_detail[[#This Row],[ppp_gbp]]/C_UKEq_detail[[#This Row],[ppp_lcy]]</f>
        <v>132069777.39165477</v>
      </c>
      <c r="X51" s="58">
        <f>eff_cpi_uk/SUMIFS(I_CPI_UK[index],I_CPI_UK[month],TEXT(C_UKEq_detail[[#This Row],[award_date]],"YYYY MMM"))</f>
        <v>1.096613545816733</v>
      </c>
      <c r="Y51" s="57">
        <f>C_UKEq_detail[[#This Row],[lsv_norm_gbp]]*C_UKEq_detail[[#This Row],[cpi_factor]]</f>
        <v>144829506.88068914</v>
      </c>
      <c r="Z51" s="57">
        <f>INDEX(I_Population[], MATCH(C_UKEq_detail[[#This Row],[country]], I_Population[country], 0), MATCH(TEXT(C_UKEq_detail[[#This Row],[award_year]],"#"), I_Population[#Headers], 0))</f>
        <v>10892413</v>
      </c>
      <c r="AA51" s="58">
        <f>eff_pop_uk/C_UKEq_detail[[#This Row],[population]]</f>
        <v>6.1360441437540061</v>
      </c>
      <c r="AB51" s="57">
        <f>C_UKEq_detail[[#This Row],[lsv_real_gbp]]*C_UKEq_detail[[#This Row],[pop_factor]]</f>
        <v>888680247.53803313</v>
      </c>
    </row>
    <row r="52" spans="1:28" x14ac:dyDescent="0.45">
      <c r="A52" s="50" t="s">
        <v>124</v>
      </c>
      <c r="B52" s="50" t="s">
        <v>149</v>
      </c>
      <c r="C52" s="49">
        <v>41925</v>
      </c>
      <c r="D52" s="50" t="s">
        <v>123</v>
      </c>
      <c r="E52" s="25">
        <v>20</v>
      </c>
      <c r="F52" s="25">
        <v>15</v>
      </c>
      <c r="G52" s="50" t="s">
        <v>97</v>
      </c>
      <c r="H52" s="25">
        <v>103013000</v>
      </c>
      <c r="I52" s="25">
        <v>0</v>
      </c>
      <c r="J52" s="49"/>
      <c r="K52">
        <v>2014</v>
      </c>
      <c r="L52">
        <v>0.03</v>
      </c>
      <c r="M52" t="s">
        <v>779</v>
      </c>
      <c r="N52" s="50">
        <v>9.8779459459459346E-2</v>
      </c>
      <c r="O52" t="s">
        <v>779</v>
      </c>
      <c r="P52"/>
      <c r="Q52"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103013000</v>
      </c>
      <c r="R52" s="57">
        <f>C_UKEq_detail[[#This Row],[lf_pv_lcy]]*(1+C_UKEq_detail[[#This Row],[wacc_posttax_real]])^(YEARFRAC(C_UKEq_detail[[#This Row],[award_date]],C_UKEq_detail[[#This Row],[award_date]]+C_UKEq_detail[[#This Row],[delay_days]])*delay_adj*(C_UKEq_detail[[#This Row],[delay_days]]&gt;delay_threshold))</f>
        <v>103013000</v>
      </c>
      <c r="S52" s="57">
        <f>-PMT(C_UKEq_detail[[#This Row],[wacc_posttax_real]],C_UKEq_detail[[#This Row],[duration_years]],C_UKEq_detail[[#This Row],[lsv_lcy]])</f>
        <v>13449286.410918558</v>
      </c>
      <c r="T52" s="57">
        <f>-PV(C_UKEq_detail[[#This Row],[wacc_posttax_real]],notional_term,C_UKEq_detail[[#This Row],[annuity_lcy]])</f>
        <v>115461758.90704429</v>
      </c>
      <c r="U52" s="58">
        <f>INDEX(I_PPP[],MATCH(C_UKEq_detail[[#This Row],[country]],I_PPP[country],0), MATCH(TEXT(C_UKEq_detail[[#This Row],[award_year]], "#"),I_PPP[#Headers],0))</f>
        <v>0.61113499999999998</v>
      </c>
      <c r="V52" s="58">
        <f>INDEX(I_PPP[],MATCH("United Kingdom",I_PPP[country],0), MATCH(TEXT(C_UKEq_detail[[#This Row],[award_year]], "#"),I_PPP[#Headers],0))</f>
        <v>0.69844399999999995</v>
      </c>
      <c r="W52" s="57">
        <f>C_UKEq_detail[[#This Row],[lsv_norm_lcy]]*C_UKEq_detail[[#This Row],[ppp_gbp]]/C_UKEq_detail[[#This Row],[ppp_lcy]]</f>
        <v>131957051.61391777</v>
      </c>
      <c r="X52" s="58">
        <f>eff_cpi_uk/SUMIFS(I_CPI_UK[index],I_CPI_UK[month],TEXT(C_UKEq_detail[[#This Row],[award_date]],"YYYY MMM"))</f>
        <v>1.096613545816733</v>
      </c>
      <c r="Y52" s="57">
        <f>C_UKEq_detail[[#This Row],[lsv_norm_gbp]]*C_UKEq_detail[[#This Row],[cpi_factor]]</f>
        <v>144705890.26586002</v>
      </c>
      <c r="Z52" s="57">
        <f>INDEX(I_Population[], MATCH(C_UKEq_detail[[#This Row],[country]], I_Population[country], 0), MATCH(TEXT(C_UKEq_detail[[#This Row],[award_year]],"#"), I_Population[#Headers], 0))</f>
        <v>10892413</v>
      </c>
      <c r="AA52" s="58">
        <f>eff_pop_uk/C_UKEq_detail[[#This Row],[population]]</f>
        <v>6.1360441437540061</v>
      </c>
      <c r="AB52" s="57">
        <f>C_UKEq_detail[[#This Row],[lsv_real_gbp]]*C_UKEq_detail[[#This Row],[pop_factor]]</f>
        <v>887921730.5325402</v>
      </c>
    </row>
    <row r="53" spans="1:28" x14ac:dyDescent="0.45">
      <c r="A53" s="50" t="s">
        <v>111</v>
      </c>
      <c r="B53" s="50" t="s">
        <v>165</v>
      </c>
      <c r="C53" s="49">
        <v>42877</v>
      </c>
      <c r="D53" s="50" t="s">
        <v>112</v>
      </c>
      <c r="E53" s="25">
        <v>20</v>
      </c>
      <c r="F53" s="25">
        <v>15</v>
      </c>
      <c r="G53" s="50" t="s">
        <v>113</v>
      </c>
      <c r="H53" s="25">
        <v>35000000</v>
      </c>
      <c r="I53" s="25">
        <v>5130000</v>
      </c>
      <c r="J53" s="49">
        <v>42923</v>
      </c>
      <c r="K53">
        <v>2017</v>
      </c>
      <c r="L53">
        <v>5.4899999999999997E-2</v>
      </c>
      <c r="M53" t="s">
        <v>779</v>
      </c>
      <c r="N53" s="50">
        <v>4.0824337585868523E-2</v>
      </c>
      <c r="O53" t="s">
        <v>779</v>
      </c>
      <c r="P53">
        <v>46</v>
      </c>
      <c r="Q53"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88283655.938658684</v>
      </c>
      <c r="R53" s="57">
        <f>C_UKEq_detail[[#This Row],[lf_pv_lcy]]*(1+C_UKEq_detail[[#This Row],[wacc_posttax_real]])^(YEARFRAC(C_UKEq_detail[[#This Row],[award_date]],C_UKEq_detail[[#This Row],[award_date]]+C_UKEq_detail[[#This Row],[delay_days]])*delay_adj*(C_UKEq_detail[[#This Row],[delay_days]]&gt;delay_threshold))</f>
        <v>88283655.938658684</v>
      </c>
      <c r="S53" s="57">
        <f>-PMT(C_UKEq_detail[[#This Row],[wacc_posttax_real]],C_UKEq_detail[[#This Row],[duration_years]],C_UKEq_detail[[#This Row],[lsv_lcy]])</f>
        <v>7986165.8900367869</v>
      </c>
      <c r="T53" s="57">
        <f>-PV(C_UKEq_detail[[#This Row],[wacc_posttax_real]],notional_term,C_UKEq_detail[[#This Row],[annuity_lcy]])</f>
        <v>107746644.01196308</v>
      </c>
      <c r="U53" s="58">
        <f>INDEX(I_PPP[],MATCH(C_UKEq_detail[[#This Row],[country]],I_PPP[country],0), MATCH(TEXT(C_UKEq_detail[[#This Row],[award_year]], "#"),I_PPP[#Headers],0))</f>
        <v>138.277175</v>
      </c>
      <c r="V53" s="58">
        <f>INDEX(I_PPP[],MATCH("United Kingdom",I_PPP[country],0), MATCH(TEXT(C_UKEq_detail[[#This Row],[award_year]], "#"),I_PPP[#Headers],0))</f>
        <v>0.68460100000000002</v>
      </c>
      <c r="W53" s="57">
        <f>C_UKEq_detail[[#This Row],[lsv_norm_lcy]]*C_UKEq_detail[[#This Row],[ppp_gbp]]/C_UKEq_detail[[#This Row],[ppp_lcy]]</f>
        <v>533446.39299460617</v>
      </c>
      <c r="X53" s="58">
        <f>eff_cpi_uk/SUMIFS(I_CPI_UK[index],I_CPI_UK[month],TEXT(C_UKEq_detail[[#This Row],[award_date]],"YYYY MMM"))</f>
        <v>1.0658276863504357</v>
      </c>
      <c r="Y53" s="57">
        <f>C_UKEq_detail[[#This Row],[lsv_norm_gbp]]*C_UKEq_detail[[#This Row],[cpi_factor]]</f>
        <v>568561.93483742641</v>
      </c>
      <c r="Z53" s="57">
        <f>INDEX(I_Population[], MATCH(C_UKEq_detail[[#This Row],[country]], I_Population[country], 0), MATCH(TEXT(C_UKEq_detail[[#This Row],[award_year]],"#"), I_Population[#Headers], 0))</f>
        <v>343400</v>
      </c>
      <c r="AA53" s="58">
        <f>eff_pop_uk/C_UKEq_detail[[#This Row],[population]]</f>
        <v>194.63112114152591</v>
      </c>
      <c r="AB53" s="57">
        <f>C_UKEq_detail[[#This Row],[lsv_real_gbp]]*C_UKEq_detail[[#This Row],[pop_factor]]</f>
        <v>110659846.8158035</v>
      </c>
    </row>
    <row r="54" spans="1:28" x14ac:dyDescent="0.45">
      <c r="A54" s="50" t="s">
        <v>111</v>
      </c>
      <c r="B54" s="50" t="s">
        <v>165</v>
      </c>
      <c r="C54" s="49">
        <v>42877</v>
      </c>
      <c r="D54" s="50" t="s">
        <v>112</v>
      </c>
      <c r="E54" s="25">
        <v>20</v>
      </c>
      <c r="F54" s="25">
        <v>15</v>
      </c>
      <c r="G54" s="50" t="s">
        <v>113</v>
      </c>
      <c r="H54" s="25">
        <v>35000000</v>
      </c>
      <c r="I54" s="25">
        <v>5130000</v>
      </c>
      <c r="J54" s="49">
        <v>42923</v>
      </c>
      <c r="K54">
        <v>2017</v>
      </c>
      <c r="L54">
        <v>5.4899999999999997E-2</v>
      </c>
      <c r="M54" t="s">
        <v>779</v>
      </c>
      <c r="N54" s="50">
        <v>4.0824337585868523E-2</v>
      </c>
      <c r="O54" t="s">
        <v>779</v>
      </c>
      <c r="P54">
        <v>46</v>
      </c>
      <c r="Q54"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88283655.938658684</v>
      </c>
      <c r="R54" s="57">
        <f>C_UKEq_detail[[#This Row],[lf_pv_lcy]]*(1+C_UKEq_detail[[#This Row],[wacc_posttax_real]])^(YEARFRAC(C_UKEq_detail[[#This Row],[award_date]],C_UKEq_detail[[#This Row],[award_date]]+C_UKEq_detail[[#This Row],[delay_days]])*delay_adj*(C_UKEq_detail[[#This Row],[delay_days]]&gt;delay_threshold))</f>
        <v>88283655.938658684</v>
      </c>
      <c r="S54" s="57">
        <f>-PMT(C_UKEq_detail[[#This Row],[wacc_posttax_real]],C_UKEq_detail[[#This Row],[duration_years]],C_UKEq_detail[[#This Row],[lsv_lcy]])</f>
        <v>7986165.8900367869</v>
      </c>
      <c r="T54" s="57">
        <f>-PV(C_UKEq_detail[[#This Row],[wacc_posttax_real]],notional_term,C_UKEq_detail[[#This Row],[annuity_lcy]])</f>
        <v>107746644.01196308</v>
      </c>
      <c r="U54" s="58">
        <f>INDEX(I_PPP[],MATCH(C_UKEq_detail[[#This Row],[country]],I_PPP[country],0), MATCH(TEXT(C_UKEq_detail[[#This Row],[award_year]], "#"),I_PPP[#Headers],0))</f>
        <v>138.277175</v>
      </c>
      <c r="V54" s="58">
        <f>INDEX(I_PPP[],MATCH("United Kingdom",I_PPP[country],0), MATCH(TEXT(C_UKEq_detail[[#This Row],[award_year]], "#"),I_PPP[#Headers],0))</f>
        <v>0.68460100000000002</v>
      </c>
      <c r="W54" s="57">
        <f>C_UKEq_detail[[#This Row],[lsv_norm_lcy]]*C_UKEq_detail[[#This Row],[ppp_gbp]]/C_UKEq_detail[[#This Row],[ppp_lcy]]</f>
        <v>533446.39299460617</v>
      </c>
      <c r="X54" s="58">
        <f>eff_cpi_uk/SUMIFS(I_CPI_UK[index],I_CPI_UK[month],TEXT(C_UKEq_detail[[#This Row],[award_date]],"YYYY MMM"))</f>
        <v>1.0658276863504357</v>
      </c>
      <c r="Y54" s="57">
        <f>C_UKEq_detail[[#This Row],[lsv_norm_gbp]]*C_UKEq_detail[[#This Row],[cpi_factor]]</f>
        <v>568561.93483742641</v>
      </c>
      <c r="Z54" s="57">
        <f>INDEX(I_Population[], MATCH(C_UKEq_detail[[#This Row],[country]], I_Population[country], 0), MATCH(TEXT(C_UKEq_detail[[#This Row],[award_year]],"#"), I_Population[#Headers], 0))</f>
        <v>343400</v>
      </c>
      <c r="AA54" s="58">
        <f>eff_pop_uk/C_UKEq_detail[[#This Row],[population]]</f>
        <v>194.63112114152591</v>
      </c>
      <c r="AB54" s="57">
        <f>C_UKEq_detail[[#This Row],[lsv_real_gbp]]*C_UKEq_detail[[#This Row],[pop_factor]]</f>
        <v>110659846.8158035</v>
      </c>
    </row>
    <row r="55" spans="1:28" x14ac:dyDescent="0.45">
      <c r="A55" s="50" t="s">
        <v>114</v>
      </c>
      <c r="B55" s="50" t="s">
        <v>165</v>
      </c>
      <c r="C55" s="49">
        <v>42877</v>
      </c>
      <c r="D55" s="50" t="s">
        <v>115</v>
      </c>
      <c r="E55" s="25">
        <v>10</v>
      </c>
      <c r="F55" s="25">
        <v>15</v>
      </c>
      <c r="G55" s="50" t="s">
        <v>113</v>
      </c>
      <c r="H55" s="25">
        <v>17500000</v>
      </c>
      <c r="I55" s="25">
        <v>2565000</v>
      </c>
      <c r="J55" s="49">
        <v>42923</v>
      </c>
      <c r="K55">
        <v>2017</v>
      </c>
      <c r="L55">
        <v>5.4899999999999997E-2</v>
      </c>
      <c r="M55" t="s">
        <v>779</v>
      </c>
      <c r="N55" s="50">
        <v>4.0824337585868523E-2</v>
      </c>
      <c r="O55" t="s">
        <v>779</v>
      </c>
      <c r="P55">
        <v>46</v>
      </c>
      <c r="Q55"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44141827.969329342</v>
      </c>
      <c r="R55" s="57">
        <f>C_UKEq_detail[[#This Row],[lf_pv_lcy]]*(1+C_UKEq_detail[[#This Row],[wacc_posttax_real]])^(YEARFRAC(C_UKEq_detail[[#This Row],[award_date]],C_UKEq_detail[[#This Row],[award_date]]+C_UKEq_detail[[#This Row],[delay_days]])*delay_adj*(C_UKEq_detail[[#This Row],[delay_days]]&gt;delay_threshold))</f>
        <v>44141827.969329342</v>
      </c>
      <c r="S55" s="57">
        <f>-PMT(C_UKEq_detail[[#This Row],[wacc_posttax_real]],C_UKEq_detail[[#This Row],[duration_years]],C_UKEq_detail[[#This Row],[lsv_lcy]])</f>
        <v>3993082.9450183935</v>
      </c>
      <c r="T55" s="57">
        <f>-PV(C_UKEq_detail[[#This Row],[wacc_posttax_real]],notional_term,C_UKEq_detail[[#This Row],[annuity_lcy]])</f>
        <v>53873322.005981542</v>
      </c>
      <c r="U55" s="58">
        <f>INDEX(I_PPP[],MATCH(C_UKEq_detail[[#This Row],[country]],I_PPP[country],0), MATCH(TEXT(C_UKEq_detail[[#This Row],[award_year]], "#"),I_PPP[#Headers],0))</f>
        <v>138.277175</v>
      </c>
      <c r="V55" s="58">
        <f>INDEX(I_PPP[],MATCH("United Kingdom",I_PPP[country],0), MATCH(TEXT(C_UKEq_detail[[#This Row],[award_year]], "#"),I_PPP[#Headers],0))</f>
        <v>0.68460100000000002</v>
      </c>
      <c r="W55" s="57">
        <f>C_UKEq_detail[[#This Row],[lsv_norm_lcy]]*C_UKEq_detail[[#This Row],[ppp_gbp]]/C_UKEq_detail[[#This Row],[ppp_lcy]]</f>
        <v>266723.19649730308</v>
      </c>
      <c r="X55" s="58">
        <f>eff_cpi_uk/SUMIFS(I_CPI_UK[index],I_CPI_UK[month],TEXT(C_UKEq_detail[[#This Row],[award_date]],"YYYY MMM"))</f>
        <v>1.0658276863504357</v>
      </c>
      <c r="Y55" s="57">
        <f>C_UKEq_detail[[#This Row],[lsv_norm_gbp]]*C_UKEq_detail[[#This Row],[cpi_factor]]</f>
        <v>284280.9674187132</v>
      </c>
      <c r="Z55" s="57">
        <f>INDEX(I_Population[], MATCH(C_UKEq_detail[[#This Row],[country]], I_Population[country], 0), MATCH(TEXT(C_UKEq_detail[[#This Row],[award_year]],"#"), I_Population[#Headers], 0))</f>
        <v>343400</v>
      </c>
      <c r="AA55" s="58">
        <f>eff_pop_uk/C_UKEq_detail[[#This Row],[population]]</f>
        <v>194.63112114152591</v>
      </c>
      <c r="AB55" s="57">
        <f>C_UKEq_detail[[#This Row],[lsv_real_gbp]]*C_UKEq_detail[[#This Row],[pop_factor]]</f>
        <v>55329923.407901749</v>
      </c>
    </row>
    <row r="56" spans="1:28" x14ac:dyDescent="0.45">
      <c r="A56" s="50" t="s">
        <v>114</v>
      </c>
      <c r="B56" s="50" t="s">
        <v>165</v>
      </c>
      <c r="C56" s="49">
        <v>42877</v>
      </c>
      <c r="D56" s="50" t="s">
        <v>116</v>
      </c>
      <c r="E56" s="25">
        <v>10</v>
      </c>
      <c r="F56" s="25">
        <v>15</v>
      </c>
      <c r="G56" s="50" t="s">
        <v>113</v>
      </c>
      <c r="H56" s="25">
        <v>17500000</v>
      </c>
      <c r="I56" s="25">
        <v>2565000</v>
      </c>
      <c r="J56" s="49">
        <v>42923</v>
      </c>
      <c r="K56">
        <v>2017</v>
      </c>
      <c r="L56">
        <v>5.4899999999999997E-2</v>
      </c>
      <c r="M56" t="s">
        <v>779</v>
      </c>
      <c r="N56" s="50">
        <v>4.0824337585868523E-2</v>
      </c>
      <c r="O56" t="s">
        <v>779</v>
      </c>
      <c r="P56">
        <v>46</v>
      </c>
      <c r="Q56"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44141827.969329342</v>
      </c>
      <c r="R56" s="57">
        <f>C_UKEq_detail[[#This Row],[lf_pv_lcy]]*(1+C_UKEq_detail[[#This Row],[wacc_posttax_real]])^(YEARFRAC(C_UKEq_detail[[#This Row],[award_date]],C_UKEq_detail[[#This Row],[award_date]]+C_UKEq_detail[[#This Row],[delay_days]])*delay_adj*(C_UKEq_detail[[#This Row],[delay_days]]&gt;delay_threshold))</f>
        <v>44141827.969329342</v>
      </c>
      <c r="S56" s="57">
        <f>-PMT(C_UKEq_detail[[#This Row],[wacc_posttax_real]],C_UKEq_detail[[#This Row],[duration_years]],C_UKEq_detail[[#This Row],[lsv_lcy]])</f>
        <v>3993082.9450183935</v>
      </c>
      <c r="T56" s="57">
        <f>-PV(C_UKEq_detail[[#This Row],[wacc_posttax_real]],notional_term,C_UKEq_detail[[#This Row],[annuity_lcy]])</f>
        <v>53873322.005981542</v>
      </c>
      <c r="U56" s="58">
        <f>INDEX(I_PPP[],MATCH(C_UKEq_detail[[#This Row],[country]],I_PPP[country],0), MATCH(TEXT(C_UKEq_detail[[#This Row],[award_year]], "#"),I_PPP[#Headers],0))</f>
        <v>138.277175</v>
      </c>
      <c r="V56" s="58">
        <f>INDEX(I_PPP[],MATCH("United Kingdom",I_PPP[country],0), MATCH(TEXT(C_UKEq_detail[[#This Row],[award_year]], "#"),I_PPP[#Headers],0))</f>
        <v>0.68460100000000002</v>
      </c>
      <c r="W56" s="57">
        <f>C_UKEq_detail[[#This Row],[lsv_norm_lcy]]*C_UKEq_detail[[#This Row],[ppp_gbp]]/C_UKEq_detail[[#This Row],[ppp_lcy]]</f>
        <v>266723.19649730308</v>
      </c>
      <c r="X56" s="58">
        <f>eff_cpi_uk/SUMIFS(I_CPI_UK[index],I_CPI_UK[month],TEXT(C_UKEq_detail[[#This Row],[award_date]],"YYYY MMM"))</f>
        <v>1.0658276863504357</v>
      </c>
      <c r="Y56" s="57">
        <f>C_UKEq_detail[[#This Row],[lsv_norm_gbp]]*C_UKEq_detail[[#This Row],[cpi_factor]]</f>
        <v>284280.9674187132</v>
      </c>
      <c r="Z56" s="57">
        <f>INDEX(I_Population[], MATCH(C_UKEq_detail[[#This Row],[country]], I_Population[country], 0), MATCH(TEXT(C_UKEq_detail[[#This Row],[award_year]],"#"), I_Population[#Headers], 0))</f>
        <v>343400</v>
      </c>
      <c r="AA56" s="58">
        <f>eff_pop_uk/C_UKEq_detail[[#This Row],[population]]</f>
        <v>194.63112114152591</v>
      </c>
      <c r="AB56" s="57">
        <f>C_UKEq_detail[[#This Row],[lsv_real_gbp]]*C_UKEq_detail[[#This Row],[pop_factor]]</f>
        <v>55329923.407901749</v>
      </c>
    </row>
    <row r="57" spans="1:28" x14ac:dyDescent="0.45">
      <c r="A57" s="50" t="s">
        <v>117</v>
      </c>
      <c r="B57" s="50" t="s">
        <v>165</v>
      </c>
      <c r="C57" s="49">
        <v>42877</v>
      </c>
      <c r="D57" s="50" t="s">
        <v>112</v>
      </c>
      <c r="E57" s="25">
        <v>10</v>
      </c>
      <c r="F57" s="25">
        <v>5</v>
      </c>
      <c r="G57" s="50" t="s">
        <v>113</v>
      </c>
      <c r="H57" s="25">
        <v>5500000</v>
      </c>
      <c r="I57" s="25">
        <v>2565000</v>
      </c>
      <c r="J57" s="49">
        <v>42923</v>
      </c>
      <c r="K57">
        <v>2017</v>
      </c>
      <c r="L57">
        <v>5.4899999999999997E-2</v>
      </c>
      <c r="M57" t="s">
        <v>779</v>
      </c>
      <c r="N57" s="50">
        <v>4.0824337585868523E-2</v>
      </c>
      <c r="O57" t="s">
        <v>779</v>
      </c>
      <c r="P57">
        <v>46</v>
      </c>
      <c r="Q57"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16608178.121579163</v>
      </c>
      <c r="R57" s="57">
        <f>C_UKEq_detail[[#This Row],[lf_pv_lcy]]*(1+C_UKEq_detail[[#This Row],[wacc_posttax_real]])^(YEARFRAC(C_UKEq_detail[[#This Row],[award_date]],C_UKEq_detail[[#This Row],[award_date]]+C_UKEq_detail[[#This Row],[delay_days]])*delay_adj*(C_UKEq_detail[[#This Row],[delay_days]]&gt;delay_threshold))</f>
        <v>16608178.121579163</v>
      </c>
      <c r="S57" s="57">
        <f>-PMT(C_UKEq_detail[[#This Row],[wacc_posttax_real]],C_UKEq_detail[[#This Row],[duration_years]],C_UKEq_detail[[#This Row],[lsv_lcy]])</f>
        <v>3739290.6450115438</v>
      </c>
      <c r="T57" s="57">
        <f>-PV(C_UKEq_detail[[#This Row],[wacc_posttax_real]],notional_term,C_UKEq_detail[[#This Row],[annuity_lcy]])</f>
        <v>50449242.293847062</v>
      </c>
      <c r="U57" s="58">
        <f>INDEX(I_PPP[],MATCH(C_UKEq_detail[[#This Row],[country]],I_PPP[country],0), MATCH(TEXT(C_UKEq_detail[[#This Row],[award_year]], "#"),I_PPP[#Headers],0))</f>
        <v>138.277175</v>
      </c>
      <c r="V57" s="58">
        <f>INDEX(I_PPP[],MATCH("United Kingdom",I_PPP[country],0), MATCH(TEXT(C_UKEq_detail[[#This Row],[award_year]], "#"),I_PPP[#Headers],0))</f>
        <v>0.68460100000000002</v>
      </c>
      <c r="W57" s="57">
        <f>C_UKEq_detail[[#This Row],[lsv_norm_lcy]]*C_UKEq_detail[[#This Row],[ppp_gbp]]/C_UKEq_detail[[#This Row],[ppp_lcy]]</f>
        <v>249770.80797036816</v>
      </c>
      <c r="X57" s="58">
        <f>eff_cpi_uk/SUMIFS(I_CPI_UK[index],I_CPI_UK[month],TEXT(C_UKEq_detail[[#This Row],[award_date]],"YYYY MMM"))</f>
        <v>1.0658276863504357</v>
      </c>
      <c r="Y57" s="57">
        <f>C_UKEq_detail[[#This Row],[lsv_norm_gbp]]*C_UKEq_detail[[#This Row],[cpi_factor]]</f>
        <v>266212.64237693645</v>
      </c>
      <c r="Z57" s="57">
        <f>INDEX(I_Population[], MATCH(C_UKEq_detail[[#This Row],[country]], I_Population[country], 0), MATCH(TEXT(C_UKEq_detail[[#This Row],[award_year]],"#"), I_Population[#Headers], 0))</f>
        <v>343400</v>
      </c>
      <c r="AA57" s="58">
        <f>eff_pop_uk/C_UKEq_detail[[#This Row],[population]]</f>
        <v>194.63112114152591</v>
      </c>
      <c r="AB57" s="57">
        <f>C_UKEq_detail[[#This Row],[lsv_real_gbp]]*C_UKEq_detail[[#This Row],[pop_factor]]</f>
        <v>51813265.047871232</v>
      </c>
    </row>
    <row r="58" spans="1:28" x14ac:dyDescent="0.45">
      <c r="A58" s="50" t="s">
        <v>117</v>
      </c>
      <c r="B58" s="50" t="s">
        <v>165</v>
      </c>
      <c r="C58" s="49">
        <v>42877</v>
      </c>
      <c r="D58" s="50" t="s">
        <v>116</v>
      </c>
      <c r="E58" s="25">
        <v>10</v>
      </c>
      <c r="F58" s="25">
        <v>5</v>
      </c>
      <c r="G58" s="50" t="s">
        <v>113</v>
      </c>
      <c r="H58" s="25">
        <v>5500000</v>
      </c>
      <c r="I58" s="25">
        <v>2565000</v>
      </c>
      <c r="J58" s="49">
        <v>42923</v>
      </c>
      <c r="K58">
        <v>2017</v>
      </c>
      <c r="L58">
        <v>5.4899999999999997E-2</v>
      </c>
      <c r="M58" t="s">
        <v>779</v>
      </c>
      <c r="N58" s="50">
        <v>4.0824337585868523E-2</v>
      </c>
      <c r="O58" t="s">
        <v>779</v>
      </c>
      <c r="P58">
        <v>46</v>
      </c>
      <c r="Q58"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16608178.121579163</v>
      </c>
      <c r="R58" s="57">
        <f>C_UKEq_detail[[#This Row],[lf_pv_lcy]]*(1+C_UKEq_detail[[#This Row],[wacc_posttax_real]])^(YEARFRAC(C_UKEq_detail[[#This Row],[award_date]],C_UKEq_detail[[#This Row],[award_date]]+C_UKEq_detail[[#This Row],[delay_days]])*delay_adj*(C_UKEq_detail[[#This Row],[delay_days]]&gt;delay_threshold))</f>
        <v>16608178.121579163</v>
      </c>
      <c r="S58" s="57">
        <f>-PMT(C_UKEq_detail[[#This Row],[wacc_posttax_real]],C_UKEq_detail[[#This Row],[duration_years]],C_UKEq_detail[[#This Row],[lsv_lcy]])</f>
        <v>3739290.6450115438</v>
      </c>
      <c r="T58" s="57">
        <f>-PV(C_UKEq_detail[[#This Row],[wacc_posttax_real]],notional_term,C_UKEq_detail[[#This Row],[annuity_lcy]])</f>
        <v>50449242.293847062</v>
      </c>
      <c r="U58" s="58">
        <f>INDEX(I_PPP[],MATCH(C_UKEq_detail[[#This Row],[country]],I_PPP[country],0), MATCH(TEXT(C_UKEq_detail[[#This Row],[award_year]], "#"),I_PPP[#Headers],0))</f>
        <v>138.277175</v>
      </c>
      <c r="V58" s="58">
        <f>INDEX(I_PPP[],MATCH("United Kingdom",I_PPP[country],0), MATCH(TEXT(C_UKEq_detail[[#This Row],[award_year]], "#"),I_PPP[#Headers],0))</f>
        <v>0.68460100000000002</v>
      </c>
      <c r="W58" s="57">
        <f>C_UKEq_detail[[#This Row],[lsv_norm_lcy]]*C_UKEq_detail[[#This Row],[ppp_gbp]]/C_UKEq_detail[[#This Row],[ppp_lcy]]</f>
        <v>249770.80797036816</v>
      </c>
      <c r="X58" s="58">
        <f>eff_cpi_uk/SUMIFS(I_CPI_UK[index],I_CPI_UK[month],TEXT(C_UKEq_detail[[#This Row],[award_date]],"YYYY MMM"))</f>
        <v>1.0658276863504357</v>
      </c>
      <c r="Y58" s="57">
        <f>C_UKEq_detail[[#This Row],[lsv_norm_gbp]]*C_UKEq_detail[[#This Row],[cpi_factor]]</f>
        <v>266212.64237693645</v>
      </c>
      <c r="Z58" s="57">
        <f>INDEX(I_Population[], MATCH(C_UKEq_detail[[#This Row],[country]], I_Population[country], 0), MATCH(TEXT(C_UKEq_detail[[#This Row],[award_year]],"#"), I_Population[#Headers], 0))</f>
        <v>343400</v>
      </c>
      <c r="AA58" s="58">
        <f>eff_pop_uk/C_UKEq_detail[[#This Row],[population]]</f>
        <v>194.63112114152591</v>
      </c>
      <c r="AB58" s="57">
        <f>C_UKEq_detail[[#This Row],[lsv_real_gbp]]*C_UKEq_detail[[#This Row],[pop_factor]]</f>
        <v>51813265.047871232</v>
      </c>
    </row>
    <row r="59" spans="1:28" x14ac:dyDescent="0.45">
      <c r="A59" s="50" t="s">
        <v>117</v>
      </c>
      <c r="B59" s="50" t="s">
        <v>165</v>
      </c>
      <c r="C59" s="49">
        <v>42877</v>
      </c>
      <c r="D59" s="50" t="s">
        <v>115</v>
      </c>
      <c r="E59" s="25">
        <v>10</v>
      </c>
      <c r="F59" s="25">
        <v>5</v>
      </c>
      <c r="G59" s="50" t="s">
        <v>113</v>
      </c>
      <c r="H59" s="25">
        <v>5500000</v>
      </c>
      <c r="I59" s="25">
        <v>2565000</v>
      </c>
      <c r="J59" s="49">
        <v>42923</v>
      </c>
      <c r="K59">
        <v>2017</v>
      </c>
      <c r="L59">
        <v>5.4899999999999997E-2</v>
      </c>
      <c r="M59" t="s">
        <v>779</v>
      </c>
      <c r="N59" s="50">
        <v>4.0824337585868523E-2</v>
      </c>
      <c r="O59" t="s">
        <v>779</v>
      </c>
      <c r="P59">
        <v>46</v>
      </c>
      <c r="Q59"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16608178.121579163</v>
      </c>
      <c r="R59" s="57">
        <f>C_UKEq_detail[[#This Row],[lf_pv_lcy]]*(1+C_UKEq_detail[[#This Row],[wacc_posttax_real]])^(YEARFRAC(C_UKEq_detail[[#This Row],[award_date]],C_UKEq_detail[[#This Row],[award_date]]+C_UKEq_detail[[#This Row],[delay_days]])*delay_adj*(C_UKEq_detail[[#This Row],[delay_days]]&gt;delay_threshold))</f>
        <v>16608178.121579163</v>
      </c>
      <c r="S59" s="57">
        <f>-PMT(C_UKEq_detail[[#This Row],[wacc_posttax_real]],C_UKEq_detail[[#This Row],[duration_years]],C_UKEq_detail[[#This Row],[lsv_lcy]])</f>
        <v>3739290.6450115438</v>
      </c>
      <c r="T59" s="57">
        <f>-PV(C_UKEq_detail[[#This Row],[wacc_posttax_real]],notional_term,C_UKEq_detail[[#This Row],[annuity_lcy]])</f>
        <v>50449242.293847062</v>
      </c>
      <c r="U59" s="58">
        <f>INDEX(I_PPP[],MATCH(C_UKEq_detail[[#This Row],[country]],I_PPP[country],0), MATCH(TEXT(C_UKEq_detail[[#This Row],[award_year]], "#"),I_PPP[#Headers],0))</f>
        <v>138.277175</v>
      </c>
      <c r="V59" s="58">
        <f>INDEX(I_PPP[],MATCH("United Kingdom",I_PPP[country],0), MATCH(TEXT(C_UKEq_detail[[#This Row],[award_year]], "#"),I_PPP[#Headers],0))</f>
        <v>0.68460100000000002</v>
      </c>
      <c r="W59" s="57">
        <f>C_UKEq_detail[[#This Row],[lsv_norm_lcy]]*C_UKEq_detail[[#This Row],[ppp_gbp]]/C_UKEq_detail[[#This Row],[ppp_lcy]]</f>
        <v>249770.80797036816</v>
      </c>
      <c r="X59" s="58">
        <f>eff_cpi_uk/SUMIFS(I_CPI_UK[index],I_CPI_UK[month],TEXT(C_UKEq_detail[[#This Row],[award_date]],"YYYY MMM"))</f>
        <v>1.0658276863504357</v>
      </c>
      <c r="Y59" s="57">
        <f>C_UKEq_detail[[#This Row],[lsv_norm_gbp]]*C_UKEq_detail[[#This Row],[cpi_factor]]</f>
        <v>266212.64237693645</v>
      </c>
      <c r="Z59" s="57">
        <f>INDEX(I_Population[], MATCH(C_UKEq_detail[[#This Row],[country]], I_Population[country], 0), MATCH(TEXT(C_UKEq_detail[[#This Row],[award_year]],"#"), I_Population[#Headers], 0))</f>
        <v>343400</v>
      </c>
      <c r="AA59" s="58">
        <f>eff_pop_uk/C_UKEq_detail[[#This Row],[population]]</f>
        <v>194.63112114152591</v>
      </c>
      <c r="AB59" s="57">
        <f>C_UKEq_detail[[#This Row],[lsv_real_gbp]]*C_UKEq_detail[[#This Row],[pop_factor]]</f>
        <v>51813265.047871232</v>
      </c>
    </row>
    <row r="60" spans="1:28" x14ac:dyDescent="0.45">
      <c r="A60" s="50" t="s">
        <v>166</v>
      </c>
      <c r="B60" s="50" t="s">
        <v>165</v>
      </c>
      <c r="C60" s="49">
        <v>42877</v>
      </c>
      <c r="D60" s="50" t="s">
        <v>112</v>
      </c>
      <c r="E60" s="25">
        <v>40</v>
      </c>
      <c r="F60" s="25">
        <v>15</v>
      </c>
      <c r="G60" s="50" t="s">
        <v>113</v>
      </c>
      <c r="H60" s="25">
        <v>10000000</v>
      </c>
      <c r="I60" s="25">
        <v>10260000</v>
      </c>
      <c r="J60" s="49">
        <v>42923</v>
      </c>
      <c r="K60">
        <v>2017</v>
      </c>
      <c r="L60">
        <v>5.4899999999999997E-2</v>
      </c>
      <c r="M60" t="s">
        <v>779</v>
      </c>
      <c r="N60" s="50">
        <v>4.0824337585868523E-2</v>
      </c>
      <c r="O60" t="s">
        <v>779</v>
      </c>
      <c r="P60">
        <v>46</v>
      </c>
      <c r="Q60"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116567311.87731737</v>
      </c>
      <c r="R60" s="57">
        <f>C_UKEq_detail[[#This Row],[lf_pv_lcy]]*(1+C_UKEq_detail[[#This Row],[wacc_posttax_real]])^(YEARFRAC(C_UKEq_detail[[#This Row],[award_date]],C_UKEq_detail[[#This Row],[award_date]]+C_UKEq_detail[[#This Row],[delay_days]])*delay_adj*(C_UKEq_detail[[#This Row],[delay_days]]&gt;delay_threshold))</f>
        <v>116567311.87731737</v>
      </c>
      <c r="S60" s="57">
        <f>-PMT(C_UKEq_detail[[#This Row],[wacc_posttax_real]],C_UKEq_detail[[#This Row],[duration_years]],C_UKEq_detail[[#This Row],[lsv_lcy]])</f>
        <v>10544713.855696445</v>
      </c>
      <c r="T60" s="57">
        <f>-PV(C_UKEq_detail[[#This Row],[wacc_posttax_real]],notional_term,C_UKEq_detail[[#This Row],[annuity_lcy]])</f>
        <v>142265706.18012872</v>
      </c>
      <c r="U60" s="58">
        <f>INDEX(I_PPP[],MATCH(C_UKEq_detail[[#This Row],[country]],I_PPP[country],0), MATCH(TEXT(C_UKEq_detail[[#This Row],[award_year]], "#"),I_PPP[#Headers],0))</f>
        <v>138.277175</v>
      </c>
      <c r="V60" s="58">
        <f>INDEX(I_PPP[],MATCH("United Kingdom",I_PPP[country],0), MATCH(TEXT(C_UKEq_detail[[#This Row],[award_year]], "#"),I_PPP[#Headers],0))</f>
        <v>0.68460100000000002</v>
      </c>
      <c r="W60" s="57">
        <f>C_UKEq_detail[[#This Row],[lsv_norm_lcy]]*C_UKEq_detail[[#This Row],[ppp_gbp]]/C_UKEq_detail[[#This Row],[ppp_lcy]]</f>
        <v>704347.94980894215</v>
      </c>
      <c r="X60" s="58">
        <f>eff_cpi_uk/SUMIFS(I_CPI_UK[index],I_CPI_UK[month],TEXT(C_UKEq_detail[[#This Row],[award_date]],"YYYY MMM"))</f>
        <v>1.0658276863504357</v>
      </c>
      <c r="Y60" s="57">
        <f>C_UKEq_detail[[#This Row],[lsv_norm_gbp]]*C_UKEq_detail[[#This Row],[cpi_factor]]</f>
        <v>750713.54573053762</v>
      </c>
      <c r="Z60" s="57">
        <f>INDEX(I_Population[], MATCH(C_UKEq_detail[[#This Row],[country]], I_Population[country], 0), MATCH(TEXT(C_UKEq_detail[[#This Row],[award_year]],"#"), I_Population[#Headers], 0))</f>
        <v>343400</v>
      </c>
      <c r="AA60" s="58">
        <f>eff_pop_uk/C_UKEq_detail[[#This Row],[population]]</f>
        <v>194.63112114152591</v>
      </c>
      <c r="AB60" s="57">
        <f>C_UKEq_detail[[#This Row],[lsv_real_gbp]]*C_UKEq_detail[[#This Row],[pop_factor]]</f>
        <v>146112219.06166473</v>
      </c>
    </row>
    <row r="61" spans="1:28" x14ac:dyDescent="0.45">
      <c r="A61" s="50" t="s">
        <v>166</v>
      </c>
      <c r="B61" s="50" t="s">
        <v>165</v>
      </c>
      <c r="C61" s="49">
        <v>42877</v>
      </c>
      <c r="D61" s="50" t="s">
        <v>116</v>
      </c>
      <c r="E61" s="25">
        <v>40</v>
      </c>
      <c r="F61" s="25">
        <v>15</v>
      </c>
      <c r="G61" s="50" t="s">
        <v>113</v>
      </c>
      <c r="H61" s="25">
        <v>10000000</v>
      </c>
      <c r="I61" s="25">
        <v>10260000</v>
      </c>
      <c r="J61" s="49">
        <v>42923</v>
      </c>
      <c r="K61">
        <v>2017</v>
      </c>
      <c r="L61">
        <v>5.4899999999999997E-2</v>
      </c>
      <c r="M61" t="s">
        <v>779</v>
      </c>
      <c r="N61" s="50">
        <v>4.0824337585868523E-2</v>
      </c>
      <c r="O61" t="s">
        <v>779</v>
      </c>
      <c r="P61">
        <v>46</v>
      </c>
      <c r="Q61"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116567311.87731737</v>
      </c>
      <c r="R61" s="57">
        <f>C_UKEq_detail[[#This Row],[lf_pv_lcy]]*(1+C_UKEq_detail[[#This Row],[wacc_posttax_real]])^(YEARFRAC(C_UKEq_detail[[#This Row],[award_date]],C_UKEq_detail[[#This Row],[award_date]]+C_UKEq_detail[[#This Row],[delay_days]])*delay_adj*(C_UKEq_detail[[#This Row],[delay_days]]&gt;delay_threshold))</f>
        <v>116567311.87731737</v>
      </c>
      <c r="S61" s="57">
        <f>-PMT(C_UKEq_detail[[#This Row],[wacc_posttax_real]],C_UKEq_detail[[#This Row],[duration_years]],C_UKEq_detail[[#This Row],[lsv_lcy]])</f>
        <v>10544713.855696445</v>
      </c>
      <c r="T61" s="57">
        <f>-PV(C_UKEq_detail[[#This Row],[wacc_posttax_real]],notional_term,C_UKEq_detail[[#This Row],[annuity_lcy]])</f>
        <v>142265706.18012872</v>
      </c>
      <c r="U61" s="58">
        <f>INDEX(I_PPP[],MATCH(C_UKEq_detail[[#This Row],[country]],I_PPP[country],0), MATCH(TEXT(C_UKEq_detail[[#This Row],[award_year]], "#"),I_PPP[#Headers],0))</f>
        <v>138.277175</v>
      </c>
      <c r="V61" s="58">
        <f>INDEX(I_PPP[],MATCH("United Kingdom",I_PPP[country],0), MATCH(TEXT(C_UKEq_detail[[#This Row],[award_year]], "#"),I_PPP[#Headers],0))</f>
        <v>0.68460100000000002</v>
      </c>
      <c r="W61" s="57">
        <f>C_UKEq_detail[[#This Row],[lsv_norm_lcy]]*C_UKEq_detail[[#This Row],[ppp_gbp]]/C_UKEq_detail[[#This Row],[ppp_lcy]]</f>
        <v>704347.94980894215</v>
      </c>
      <c r="X61" s="58">
        <f>eff_cpi_uk/SUMIFS(I_CPI_UK[index],I_CPI_UK[month],TEXT(C_UKEq_detail[[#This Row],[award_date]],"YYYY MMM"))</f>
        <v>1.0658276863504357</v>
      </c>
      <c r="Y61" s="57">
        <f>C_UKEq_detail[[#This Row],[lsv_norm_gbp]]*C_UKEq_detail[[#This Row],[cpi_factor]]</f>
        <v>750713.54573053762</v>
      </c>
      <c r="Z61" s="57">
        <f>INDEX(I_Population[], MATCH(C_UKEq_detail[[#This Row],[country]], I_Population[country], 0), MATCH(TEXT(C_UKEq_detail[[#This Row],[award_year]],"#"), I_Population[#Headers], 0))</f>
        <v>343400</v>
      </c>
      <c r="AA61" s="58">
        <f>eff_pop_uk/C_UKEq_detail[[#This Row],[population]]</f>
        <v>194.63112114152591</v>
      </c>
      <c r="AB61" s="57">
        <f>C_UKEq_detail[[#This Row],[lsv_real_gbp]]*C_UKEq_detail[[#This Row],[pop_factor]]</f>
        <v>146112219.06166473</v>
      </c>
    </row>
    <row r="62" spans="1:28" x14ac:dyDescent="0.45">
      <c r="A62" s="50" t="s">
        <v>166</v>
      </c>
      <c r="B62" s="50" t="s">
        <v>165</v>
      </c>
      <c r="C62" s="49">
        <v>42877</v>
      </c>
      <c r="D62" s="50" t="s">
        <v>115</v>
      </c>
      <c r="E62" s="25">
        <v>20</v>
      </c>
      <c r="F62" s="25">
        <v>15</v>
      </c>
      <c r="G62" s="50" t="s">
        <v>113</v>
      </c>
      <c r="H62" s="25">
        <v>6000000</v>
      </c>
      <c r="I62" s="25">
        <v>5130000</v>
      </c>
      <c r="J62" s="49">
        <v>42923</v>
      </c>
      <c r="K62">
        <v>2017</v>
      </c>
      <c r="L62">
        <v>5.4899999999999997E-2</v>
      </c>
      <c r="M62" t="s">
        <v>779</v>
      </c>
      <c r="N62" s="50">
        <v>4.0824337585868523E-2</v>
      </c>
      <c r="O62" t="s">
        <v>779</v>
      </c>
      <c r="P62">
        <v>46</v>
      </c>
      <c r="Q62"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59283655.938658684</v>
      </c>
      <c r="R62" s="57">
        <f>C_UKEq_detail[[#This Row],[lf_pv_lcy]]*(1+C_UKEq_detail[[#This Row],[wacc_posttax_real]])^(YEARFRAC(C_UKEq_detail[[#This Row],[award_date]],C_UKEq_detail[[#This Row],[award_date]]+C_UKEq_detail[[#This Row],[delay_days]])*delay_adj*(C_UKEq_detail[[#This Row],[delay_days]]&gt;delay_threshold))</f>
        <v>59283655.938658684</v>
      </c>
      <c r="S62" s="57">
        <f>-PMT(C_UKEq_detail[[#This Row],[wacc_posttax_real]],C_UKEq_detail[[#This Row],[duration_years]],C_UKEq_detail[[#This Row],[lsv_lcy]])</f>
        <v>5362817.2265878413</v>
      </c>
      <c r="T62" s="57">
        <f>-PV(C_UKEq_detail[[#This Row],[wacc_posttax_real]],notional_term,C_UKEq_detail[[#This Row],[annuity_lcy]])</f>
        <v>72353312.787460968</v>
      </c>
      <c r="U62" s="58">
        <f>INDEX(I_PPP[],MATCH(C_UKEq_detail[[#This Row],[country]],I_PPP[country],0), MATCH(TEXT(C_UKEq_detail[[#This Row],[award_year]], "#"),I_PPP[#Headers],0))</f>
        <v>138.277175</v>
      </c>
      <c r="V62" s="58">
        <f>INDEX(I_PPP[],MATCH("United Kingdom",I_PPP[country],0), MATCH(TEXT(C_UKEq_detail[[#This Row],[award_year]], "#"),I_PPP[#Headers],0))</f>
        <v>0.68460100000000002</v>
      </c>
      <c r="W62" s="57">
        <f>C_UKEq_detail[[#This Row],[lsv_norm_lcy]]*C_UKEq_detail[[#This Row],[ppp_gbp]]/C_UKEq_detail[[#This Row],[ppp_lcy]]</f>
        <v>358216.38884080877</v>
      </c>
      <c r="X62" s="58">
        <f>eff_cpi_uk/SUMIFS(I_CPI_UK[index],I_CPI_UK[month],TEXT(C_UKEq_detail[[#This Row],[award_date]],"YYYY MMM"))</f>
        <v>1.0658276863504357</v>
      </c>
      <c r="Y62" s="57">
        <f>C_UKEq_detail[[#This Row],[lsv_norm_gbp]]*C_UKEq_detail[[#This Row],[cpi_factor]]</f>
        <v>381796.94493100722</v>
      </c>
      <c r="Z62" s="57">
        <f>INDEX(I_Population[], MATCH(C_UKEq_detail[[#This Row],[country]], I_Population[country], 0), MATCH(TEXT(C_UKEq_detail[[#This Row],[award_year]],"#"), I_Population[#Headers], 0))</f>
        <v>343400</v>
      </c>
      <c r="AA62" s="58">
        <f>eff_pop_uk/C_UKEq_detail[[#This Row],[population]]</f>
        <v>194.63112114152591</v>
      </c>
      <c r="AB62" s="57">
        <f>C_UKEq_detail[[#This Row],[lsv_real_gbp]]*C_UKEq_detail[[#This Row],[pop_factor]]</f>
        <v>74309567.44033137</v>
      </c>
    </row>
    <row r="63" spans="1:28" x14ac:dyDescent="0.45">
      <c r="A63" s="50" t="s">
        <v>166</v>
      </c>
      <c r="B63" s="50" t="s">
        <v>165</v>
      </c>
      <c r="C63" s="49">
        <v>42877</v>
      </c>
      <c r="D63" s="50" t="s">
        <v>115</v>
      </c>
      <c r="E63" s="25">
        <v>20</v>
      </c>
      <c r="F63" s="25">
        <v>15</v>
      </c>
      <c r="G63" s="50" t="s">
        <v>113</v>
      </c>
      <c r="H63" s="25">
        <v>6000000</v>
      </c>
      <c r="I63" s="25">
        <v>5130000</v>
      </c>
      <c r="J63" s="49">
        <v>42923</v>
      </c>
      <c r="K63">
        <v>2017</v>
      </c>
      <c r="L63">
        <v>5.4899999999999997E-2</v>
      </c>
      <c r="M63" t="s">
        <v>779</v>
      </c>
      <c r="N63" s="50">
        <v>4.0824337585868523E-2</v>
      </c>
      <c r="O63" t="s">
        <v>779</v>
      </c>
      <c r="P63">
        <v>46</v>
      </c>
      <c r="Q63"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59283655.938658684</v>
      </c>
      <c r="R63" s="57">
        <f>C_UKEq_detail[[#This Row],[lf_pv_lcy]]*(1+C_UKEq_detail[[#This Row],[wacc_posttax_real]])^(YEARFRAC(C_UKEq_detail[[#This Row],[award_date]],C_UKEq_detail[[#This Row],[award_date]]+C_UKEq_detail[[#This Row],[delay_days]])*delay_adj*(C_UKEq_detail[[#This Row],[delay_days]]&gt;delay_threshold))</f>
        <v>59283655.938658684</v>
      </c>
      <c r="S63" s="57">
        <f>-PMT(C_UKEq_detail[[#This Row],[wacc_posttax_real]],C_UKEq_detail[[#This Row],[duration_years]],C_UKEq_detail[[#This Row],[lsv_lcy]])</f>
        <v>5362817.2265878413</v>
      </c>
      <c r="T63" s="57">
        <f>-PV(C_UKEq_detail[[#This Row],[wacc_posttax_real]],notional_term,C_UKEq_detail[[#This Row],[annuity_lcy]])</f>
        <v>72353312.787460968</v>
      </c>
      <c r="U63" s="58">
        <f>INDEX(I_PPP[],MATCH(C_UKEq_detail[[#This Row],[country]],I_PPP[country],0), MATCH(TEXT(C_UKEq_detail[[#This Row],[award_year]], "#"),I_PPP[#Headers],0))</f>
        <v>138.277175</v>
      </c>
      <c r="V63" s="58">
        <f>INDEX(I_PPP[],MATCH("United Kingdom",I_PPP[country],0), MATCH(TEXT(C_UKEq_detail[[#This Row],[award_year]], "#"),I_PPP[#Headers],0))</f>
        <v>0.68460100000000002</v>
      </c>
      <c r="W63" s="57">
        <f>C_UKEq_detail[[#This Row],[lsv_norm_lcy]]*C_UKEq_detail[[#This Row],[ppp_gbp]]/C_UKEq_detail[[#This Row],[ppp_lcy]]</f>
        <v>358216.38884080877</v>
      </c>
      <c r="X63" s="58">
        <f>eff_cpi_uk/SUMIFS(I_CPI_UK[index],I_CPI_UK[month],TEXT(C_UKEq_detail[[#This Row],[award_date]],"YYYY MMM"))</f>
        <v>1.0658276863504357</v>
      </c>
      <c r="Y63" s="57">
        <f>C_UKEq_detail[[#This Row],[lsv_norm_gbp]]*C_UKEq_detail[[#This Row],[cpi_factor]]</f>
        <v>381796.94493100722</v>
      </c>
      <c r="Z63" s="57">
        <f>INDEX(I_Population[], MATCH(C_UKEq_detail[[#This Row],[country]], I_Population[country], 0), MATCH(TEXT(C_UKEq_detail[[#This Row],[award_year]],"#"), I_Population[#Headers], 0))</f>
        <v>343400</v>
      </c>
      <c r="AA63" s="58">
        <f>eff_pop_uk/C_UKEq_detail[[#This Row],[population]]</f>
        <v>194.63112114152591</v>
      </c>
      <c r="AB63" s="57">
        <f>C_UKEq_detail[[#This Row],[lsv_real_gbp]]*C_UKEq_detail[[#This Row],[pop_factor]]</f>
        <v>74309567.44033137</v>
      </c>
    </row>
    <row r="64" spans="1:28" x14ac:dyDescent="0.45">
      <c r="A64" s="50" t="s">
        <v>166</v>
      </c>
      <c r="B64" s="50" t="s">
        <v>165</v>
      </c>
      <c r="C64" s="49">
        <v>42877</v>
      </c>
      <c r="D64" s="50" t="s">
        <v>118</v>
      </c>
      <c r="E64" s="25">
        <v>20</v>
      </c>
      <c r="F64" s="25">
        <v>15</v>
      </c>
      <c r="G64" s="50" t="s">
        <v>113</v>
      </c>
      <c r="H64" s="25">
        <v>6300000</v>
      </c>
      <c r="I64" s="25">
        <v>5130000</v>
      </c>
      <c r="J64" s="49">
        <v>42923</v>
      </c>
      <c r="K64">
        <v>2017</v>
      </c>
      <c r="L64">
        <v>5.4899999999999997E-2</v>
      </c>
      <c r="M64" t="s">
        <v>779</v>
      </c>
      <c r="N64" s="50">
        <v>4.0824337585868523E-2</v>
      </c>
      <c r="O64" t="s">
        <v>779</v>
      </c>
      <c r="P64">
        <v>46</v>
      </c>
      <c r="Q64"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59583655.938658684</v>
      </c>
      <c r="R64" s="57">
        <f>C_UKEq_detail[[#This Row],[lf_pv_lcy]]*(1+C_UKEq_detail[[#This Row],[wacc_posttax_real]])^(YEARFRAC(C_UKEq_detail[[#This Row],[award_date]],C_UKEq_detail[[#This Row],[award_date]]+C_UKEq_detail[[#This Row],[delay_days]])*delay_adj*(C_UKEq_detail[[#This Row],[delay_days]]&gt;delay_threshold))</f>
        <v>59583655.938658684</v>
      </c>
      <c r="S64" s="57">
        <f>-PMT(C_UKEq_detail[[#This Row],[wacc_posttax_real]],C_UKEq_detail[[#This Row],[duration_years]],C_UKEq_detail[[#This Row],[lsv_lcy]])</f>
        <v>5389955.316209727</v>
      </c>
      <c r="T64" s="57">
        <f>-PV(C_UKEq_detail[[#This Row],[wacc_posttax_real]],notional_term,C_UKEq_detail[[#This Row],[annuity_lcy]])</f>
        <v>72719450.696679965</v>
      </c>
      <c r="U64" s="58">
        <f>INDEX(I_PPP[],MATCH(C_UKEq_detail[[#This Row],[country]],I_PPP[country],0), MATCH(TEXT(C_UKEq_detail[[#This Row],[award_year]], "#"),I_PPP[#Headers],0))</f>
        <v>138.277175</v>
      </c>
      <c r="V64" s="58">
        <f>INDEX(I_PPP[],MATCH("United Kingdom",I_PPP[country],0), MATCH(TEXT(C_UKEq_detail[[#This Row],[award_year]], "#"),I_PPP[#Headers],0))</f>
        <v>0.68460100000000002</v>
      </c>
      <c r="W64" s="57">
        <f>C_UKEq_detail[[#This Row],[lsv_norm_lcy]]*C_UKEq_detail[[#This Row],[ppp_gbp]]/C_UKEq_detail[[#This Row],[ppp_lcy]]</f>
        <v>360029.11302171019</v>
      </c>
      <c r="X64" s="58">
        <f>eff_cpi_uk/SUMIFS(I_CPI_UK[index],I_CPI_UK[month],TEXT(C_UKEq_detail[[#This Row],[award_date]],"YYYY MMM"))</f>
        <v>1.0658276863504357</v>
      </c>
      <c r="Y64" s="57">
        <f>C_UKEq_detail[[#This Row],[lsv_norm_gbp]]*C_UKEq_detail[[#This Row],[cpi_factor]]</f>
        <v>383728.99655072886</v>
      </c>
      <c r="Z64" s="57">
        <f>INDEX(I_Population[], MATCH(C_UKEq_detail[[#This Row],[country]], I_Population[country], 0), MATCH(TEXT(C_UKEq_detail[[#This Row],[award_year]],"#"), I_Population[#Headers], 0))</f>
        <v>343400</v>
      </c>
      <c r="AA64" s="58">
        <f>eff_pop_uk/C_UKEq_detail[[#This Row],[population]]</f>
        <v>194.63112114152591</v>
      </c>
      <c r="AB64" s="57">
        <f>C_UKEq_detail[[#This Row],[lsv_real_gbp]]*C_UKEq_detail[[#This Row],[pop_factor]]</f>
        <v>74685604.813181087</v>
      </c>
    </row>
    <row r="65" spans="1:28" x14ac:dyDescent="0.45">
      <c r="A65" s="50" t="s">
        <v>860</v>
      </c>
      <c r="B65" s="50" t="s">
        <v>413</v>
      </c>
      <c r="C65" s="49">
        <v>43220</v>
      </c>
      <c r="D65" s="50" t="s">
        <v>862</v>
      </c>
      <c r="E65" s="25">
        <v>1</v>
      </c>
      <c r="F65" s="25">
        <v>1</v>
      </c>
      <c r="G65" s="50" t="s">
        <v>863</v>
      </c>
      <c r="H65" s="25">
        <v>1</v>
      </c>
      <c r="I65" s="25">
        <v>0</v>
      </c>
      <c r="J65" s="49"/>
      <c r="K65">
        <v>2018</v>
      </c>
      <c r="L65">
        <v>4.5499999999999999E-2</v>
      </c>
      <c r="M65" t="s">
        <v>779</v>
      </c>
      <c r="N65" s="50">
        <v>5.8100000000000006E-2</v>
      </c>
      <c r="O65" t="s">
        <v>779</v>
      </c>
      <c r="P65"/>
      <c r="Q65"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1</v>
      </c>
      <c r="R65" s="57">
        <f>C_UKEq_detail[[#This Row],[lf_pv_lcy]]*(1+C_UKEq_detail[[#This Row],[wacc_posttax_real]])^(YEARFRAC(C_UKEq_detail[[#This Row],[award_date]],C_UKEq_detail[[#This Row],[award_date]]+C_UKEq_detail[[#This Row],[delay_days]])*delay_adj*(C_UKEq_detail[[#This Row],[delay_days]]&gt;delay_threshold))</f>
        <v>1</v>
      </c>
      <c r="S65" s="57">
        <f>-PMT(C_UKEq_detail[[#This Row],[wacc_posttax_real]],C_UKEq_detail[[#This Row],[duration_years]],C_UKEq_detail[[#This Row],[lsv_lcy]])</f>
        <v>1.0581</v>
      </c>
      <c r="T65" s="57">
        <f>-PV(C_UKEq_detail[[#This Row],[wacc_posttax_real]],notional_term,C_UKEq_detail[[#This Row],[annuity_lcy]])</f>
        <v>12.325757675958128</v>
      </c>
      <c r="U65" s="58">
        <f>INDEX(I_PPP[],MATCH(C_UKEq_detail[[#This Row],[country]],I_PPP[country],0), MATCH(TEXT(C_UKEq_detail[[#This Row],[award_year]], "#"),I_PPP[#Headers],0))</f>
        <v>0.68355100000000002</v>
      </c>
      <c r="V65" s="58">
        <f>INDEX(I_PPP[],MATCH("United Kingdom",I_PPP[country],0), MATCH(TEXT(C_UKEq_detail[[#This Row],[award_year]], "#"),I_PPP[#Headers],0))</f>
        <v>0.68355100000000002</v>
      </c>
      <c r="W65" s="57">
        <f>C_UKEq_detail[[#This Row],[lsv_norm_lcy]]*C_UKEq_detail[[#This Row],[ppp_gbp]]/C_UKEq_detail[[#This Row],[ppp_lcy]]</f>
        <v>12.325757675958128</v>
      </c>
      <c r="X65" s="58">
        <f>eff_cpi_uk/SUMIFS(I_CPI_UK[index],I_CPI_UK[month],TEXT(C_UKEq_detail[[#This Row],[award_date]],"YYYY MMM"))</f>
        <v>1.0445920303605312</v>
      </c>
      <c r="Y65" s="57">
        <f>C_UKEq_detail[[#This Row],[lsv_norm_gbp]]*C_UKEq_detail[[#This Row],[cpi_factor]]</f>
        <v>12.875388236461003</v>
      </c>
      <c r="Z65" s="57">
        <f>INDEX(I_Population[], MATCH(C_UKEq_detail[[#This Row],[country]], I_Population[country], 0), MATCH(TEXT(C_UKEq_detail[[#This Row],[award_year]],"#"), I_Population[#Headers], 0))</f>
        <v>66460344</v>
      </c>
      <c r="AA65" s="58">
        <f>eff_pop_uk/C_UKEq_detail[[#This Row],[population]]</f>
        <v>1.0056572532937837</v>
      </c>
      <c r="AB65" s="57">
        <f>C_UKEq_detail[[#This Row],[lsv_real_gbp]]*C_UKEq_detail[[#This Row],[pop_factor]]</f>
        <v>12.948227568970466</v>
      </c>
    </row>
    <row r="66" spans="1:28" x14ac:dyDescent="0.45">
      <c r="A66" s="50" t="s">
        <v>861</v>
      </c>
      <c r="B66" s="50" t="s">
        <v>413</v>
      </c>
      <c r="C66" s="49">
        <v>43220</v>
      </c>
      <c r="D66" s="50" t="s">
        <v>862</v>
      </c>
      <c r="E66" s="25">
        <v>1</v>
      </c>
      <c r="F66" s="25">
        <v>1</v>
      </c>
      <c r="G66" s="50" t="s">
        <v>863</v>
      </c>
      <c r="H66" s="25">
        <v>0.10704947161391788</v>
      </c>
      <c r="I66" s="25">
        <v>0</v>
      </c>
      <c r="J66" s="49"/>
      <c r="K66">
        <v>2018</v>
      </c>
      <c r="L66">
        <v>4.5499999999999999E-2</v>
      </c>
      <c r="M66" t="s">
        <v>779</v>
      </c>
      <c r="N66" s="50">
        <v>5.8100000000000006E-2</v>
      </c>
      <c r="O66" t="s">
        <v>779</v>
      </c>
      <c r="P66"/>
      <c r="Q66"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0.10704947161391788</v>
      </c>
      <c r="R66" s="57">
        <f>C_UKEq_detail[[#This Row],[lf_pv_lcy]]*(1+C_UKEq_detail[[#This Row],[wacc_posttax_real]])^(YEARFRAC(C_UKEq_detail[[#This Row],[award_date]],C_UKEq_detail[[#This Row],[award_date]]+C_UKEq_detail[[#This Row],[delay_days]])*delay_adj*(C_UKEq_detail[[#This Row],[delay_days]]&gt;delay_threshold))</f>
        <v>0.10704947161391788</v>
      </c>
      <c r="S66" s="57">
        <f>-PMT(C_UKEq_detail[[#This Row],[wacc_posttax_real]],C_UKEq_detail[[#This Row],[duration_years]],C_UKEq_detail[[#This Row],[lsv_lcy]])</f>
        <v>0.11326904591468652</v>
      </c>
      <c r="T66" s="57">
        <f>-PV(C_UKEq_detail[[#This Row],[wacc_posttax_real]],notional_term,C_UKEq_detail[[#This Row],[annuity_lcy]])</f>
        <v>1.3194658464525102</v>
      </c>
      <c r="U66" s="58">
        <f>INDEX(I_PPP[],MATCH(C_UKEq_detail[[#This Row],[country]],I_PPP[country],0), MATCH(TEXT(C_UKEq_detail[[#This Row],[award_year]], "#"),I_PPP[#Headers],0))</f>
        <v>0.68355100000000002</v>
      </c>
      <c r="V66" s="58">
        <f>INDEX(I_PPP[],MATCH("United Kingdom",I_PPP[country],0), MATCH(TEXT(C_UKEq_detail[[#This Row],[award_year]], "#"),I_PPP[#Headers],0))</f>
        <v>0.68355100000000002</v>
      </c>
      <c r="W66" s="57">
        <f>C_UKEq_detail[[#This Row],[lsv_norm_lcy]]*C_UKEq_detail[[#This Row],[ppp_gbp]]/C_UKEq_detail[[#This Row],[ppp_lcy]]</f>
        <v>1.3194658464525102</v>
      </c>
      <c r="X66" s="58">
        <f>eff_cpi_uk/SUMIFS(I_CPI_UK[index],I_CPI_UK[month],TEXT(C_UKEq_detail[[#This Row],[award_date]],"YYYY MMM"))</f>
        <v>1.0445920303605312</v>
      </c>
      <c r="Y66" s="57">
        <f>C_UKEq_detail[[#This Row],[lsv_norm_gbp]]*C_UKEq_detail[[#This Row],[cpi_factor]]</f>
        <v>1.3783035075372045</v>
      </c>
      <c r="Z66" s="57">
        <f>INDEX(I_Population[], MATCH(C_UKEq_detail[[#This Row],[country]], I_Population[country], 0), MATCH(TEXT(C_UKEq_detail[[#This Row],[award_year]],"#"), I_Population[#Headers], 0))</f>
        <v>66460344</v>
      </c>
      <c r="AA66" s="58">
        <f>eff_pop_uk/C_UKEq_detail[[#This Row],[population]]</f>
        <v>1.0056572532937837</v>
      </c>
      <c r="AB66" s="57">
        <f>C_UKEq_detail[[#This Row],[lsv_real_gbp]]*C_UKEq_detail[[#This Row],[pop_factor]]</f>
        <v>1.3861009195950531</v>
      </c>
    </row>
    <row r="67" spans="1:28" x14ac:dyDescent="0.45">
      <c r="A67" s="50" t="s">
        <v>92</v>
      </c>
      <c r="B67" s="50" t="s">
        <v>146</v>
      </c>
      <c r="C67" s="49">
        <v>43446</v>
      </c>
      <c r="D67" s="50" t="s">
        <v>94</v>
      </c>
      <c r="E67" s="25">
        <v>20</v>
      </c>
      <c r="F67" s="25">
        <v>22</v>
      </c>
      <c r="G67" s="50" t="s">
        <v>95</v>
      </c>
      <c r="H67" s="25">
        <v>1382657650</v>
      </c>
      <c r="I67" s="25">
        <v>1218804</v>
      </c>
      <c r="J67" s="49">
        <v>43466</v>
      </c>
      <c r="K67">
        <v>2018</v>
      </c>
      <c r="L67">
        <v>4.1599999999999998E-2</v>
      </c>
      <c r="M67" t="s">
        <v>779</v>
      </c>
      <c r="N67" s="50">
        <v>4.1181550539744823E-2</v>
      </c>
      <c r="O67" t="s">
        <v>779</v>
      </c>
      <c r="P67">
        <v>20</v>
      </c>
      <c r="Q67"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1400857285.6109953</v>
      </c>
      <c r="R67" s="57">
        <f>C_UKEq_detail[[#This Row],[lf_pv_lcy]]*(1+C_UKEq_detail[[#This Row],[wacc_posttax_real]])^(YEARFRAC(C_UKEq_detail[[#This Row],[award_date]],C_UKEq_detail[[#This Row],[award_date]]+C_UKEq_detail[[#This Row],[delay_days]])*delay_adj*(C_UKEq_detail[[#This Row],[delay_days]]&gt;delay_threshold))</f>
        <v>1400857285.6109953</v>
      </c>
      <c r="S67" s="57">
        <f>-PMT(C_UKEq_detail[[#This Row],[wacc_posttax_real]],C_UKEq_detail[[#This Row],[duration_years]],C_UKEq_detail[[#This Row],[lsv_lcy]])</f>
        <v>98035564.682942614</v>
      </c>
      <c r="T67" s="57">
        <f>-PV(C_UKEq_detail[[#This Row],[wacc_posttax_real]],notional_term,C_UKEq_detail[[#This Row],[annuity_lcy]])</f>
        <v>1318503591.9308493</v>
      </c>
      <c r="U67" s="58">
        <f>INDEX(I_PPP[],MATCH(C_UKEq_detail[[#This Row],[country]],I_PPP[country],0), MATCH(TEXT(C_UKEq_detail[[#This Row],[award_year]], "#"),I_PPP[#Headers],0))</f>
        <v>8.8606359999999995</v>
      </c>
      <c r="V67" s="58">
        <f>INDEX(I_PPP[],MATCH("United Kingdom",I_PPP[country],0), MATCH(TEXT(C_UKEq_detail[[#This Row],[award_year]], "#"),I_PPP[#Headers],0))</f>
        <v>0.68355100000000002</v>
      </c>
      <c r="W67" s="57">
        <f>C_UKEq_detail[[#This Row],[lsv_norm_lcy]]*C_UKEq_detail[[#This Row],[ppp_gbp]]/C_UKEq_detail[[#This Row],[ppp_lcy]]</f>
        <v>101715548.27079275</v>
      </c>
      <c r="X67" s="58">
        <f>eff_cpi_uk/SUMIFS(I_CPI_UK[index],I_CPI_UK[month],TEXT(C_UKEq_detail[[#This Row],[award_date]],"YYYY MMM"))</f>
        <v>1.0280112044817926</v>
      </c>
      <c r="Y67" s="57">
        <f>C_UKEq_detail[[#This Row],[lsv_norm_gbp]]*C_UKEq_detail[[#This Row],[cpi_factor]]</f>
        <v>104564723.29238358</v>
      </c>
      <c r="Z67" s="57">
        <f>INDEX(I_Population[], MATCH(C_UKEq_detail[[#This Row],[country]], I_Population[country], 0), MATCH(TEXT(C_UKEq_detail[[#This Row],[award_year]],"#"), I_Population[#Headers], 0))</f>
        <v>10175214</v>
      </c>
      <c r="AA67" s="58">
        <f>eff_pop_uk/C_UKEq_detail[[#This Row],[population]]</f>
        <v>6.5685426370393785</v>
      </c>
      <c r="AB67" s="57">
        <f>C_UKEq_detail[[#This Row],[lsv_real_gbp]]*C_UKEq_detail[[#This Row],[pop_factor]]</f>
        <v>686837843.27624619</v>
      </c>
    </row>
    <row r="68" spans="1:28" x14ac:dyDescent="0.45">
      <c r="A68" s="50" t="s">
        <v>92</v>
      </c>
      <c r="B68" s="50" t="s">
        <v>146</v>
      </c>
      <c r="C68" s="49">
        <v>43446</v>
      </c>
      <c r="D68" s="50" t="s">
        <v>96</v>
      </c>
      <c r="E68" s="25">
        <v>20</v>
      </c>
      <c r="F68" s="25">
        <v>22</v>
      </c>
      <c r="G68" s="50" t="s">
        <v>95</v>
      </c>
      <c r="H68" s="25">
        <v>1441936796</v>
      </c>
      <c r="I68" s="25">
        <v>1218804</v>
      </c>
      <c r="J68" s="49">
        <v>43466</v>
      </c>
      <c r="K68">
        <v>2018</v>
      </c>
      <c r="L68">
        <v>4.1599999999999998E-2</v>
      </c>
      <c r="M68" t="s">
        <v>779</v>
      </c>
      <c r="N68" s="50">
        <v>4.1181550539744823E-2</v>
      </c>
      <c r="O68" t="s">
        <v>779</v>
      </c>
      <c r="P68">
        <v>20</v>
      </c>
      <c r="Q68"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1460136431.6109953</v>
      </c>
      <c r="R68" s="57">
        <f>C_UKEq_detail[[#This Row],[lf_pv_lcy]]*(1+C_UKEq_detail[[#This Row],[wacc_posttax_real]])^(YEARFRAC(C_UKEq_detail[[#This Row],[award_date]],C_UKEq_detail[[#This Row],[award_date]]+C_UKEq_detail[[#This Row],[delay_days]])*delay_adj*(C_UKEq_detail[[#This Row],[delay_days]]&gt;delay_threshold))</f>
        <v>1460136431.6109953</v>
      </c>
      <c r="S68" s="57">
        <f>-PMT(C_UKEq_detail[[#This Row],[wacc_posttax_real]],C_UKEq_detail[[#This Row],[duration_years]],C_UKEq_detail[[#This Row],[lsv_lcy]])</f>
        <v>102184070.46702603</v>
      </c>
      <c r="T68" s="57">
        <f>-PV(C_UKEq_detail[[#This Row],[wacc_posttax_real]],notional_term,C_UKEq_detail[[#This Row],[annuity_lcy]])</f>
        <v>1374297831.4514747</v>
      </c>
      <c r="U68" s="58">
        <f>INDEX(I_PPP[],MATCH(C_UKEq_detail[[#This Row],[country]],I_PPP[country],0), MATCH(TEXT(C_UKEq_detail[[#This Row],[award_year]], "#"),I_PPP[#Headers],0))</f>
        <v>8.8606359999999995</v>
      </c>
      <c r="V68" s="58">
        <f>INDEX(I_PPP[],MATCH("United Kingdom",I_PPP[country],0), MATCH(TEXT(C_UKEq_detail[[#This Row],[award_year]], "#"),I_PPP[#Headers],0))</f>
        <v>0.68355100000000002</v>
      </c>
      <c r="W68" s="57">
        <f>C_UKEq_detail[[#This Row],[lsv_norm_lcy]]*C_UKEq_detail[[#This Row],[ppp_gbp]]/C_UKEq_detail[[#This Row],[ppp_lcy]]</f>
        <v>106019777.47268786</v>
      </c>
      <c r="X68" s="58">
        <f>eff_cpi_uk/SUMIFS(I_CPI_UK[index],I_CPI_UK[month],TEXT(C_UKEq_detail[[#This Row],[award_date]],"YYYY MMM"))</f>
        <v>1.0280112044817926</v>
      </c>
      <c r="Y68" s="57">
        <f>C_UKEq_detail[[#This Row],[lsv_norm_gbp]]*C_UKEq_detail[[#This Row],[cpi_factor]]</f>
        <v>108989519.13858947</v>
      </c>
      <c r="Z68" s="57">
        <f>INDEX(I_Population[], MATCH(C_UKEq_detail[[#This Row],[country]], I_Population[country], 0), MATCH(TEXT(C_UKEq_detail[[#This Row],[award_year]],"#"), I_Population[#Headers], 0))</f>
        <v>10175214</v>
      </c>
      <c r="AA68" s="58">
        <f>eff_pop_uk/C_UKEq_detail[[#This Row],[population]]</f>
        <v>6.5685426370393785</v>
      </c>
      <c r="AB68" s="57">
        <f>C_UKEq_detail[[#This Row],[lsv_real_gbp]]*C_UKEq_detail[[#This Row],[pop_factor]]</f>
        <v>715902303.45224428</v>
      </c>
    </row>
    <row r="69" spans="1:28" x14ac:dyDescent="0.45">
      <c r="A69" s="50" t="s">
        <v>800</v>
      </c>
      <c r="B69" s="50" t="s">
        <v>203</v>
      </c>
      <c r="C69" s="49">
        <v>43563</v>
      </c>
      <c r="D69" s="50" t="s">
        <v>801</v>
      </c>
      <c r="E69" s="25">
        <v>100</v>
      </c>
      <c r="F69" s="25">
        <v>20</v>
      </c>
      <c r="G69" s="50" t="s">
        <v>97</v>
      </c>
      <c r="H69" s="25">
        <v>51910054</v>
      </c>
      <c r="I69" s="25">
        <v>697656</v>
      </c>
      <c r="J69" s="49">
        <v>43563</v>
      </c>
      <c r="K69">
        <v>2019</v>
      </c>
      <c r="L69">
        <v>2.53E-2</v>
      </c>
      <c r="M69" t="s">
        <v>779</v>
      </c>
      <c r="N69" s="50">
        <v>4.5405405405405275E-2</v>
      </c>
      <c r="O69" t="s">
        <v>779</v>
      </c>
      <c r="P69">
        <v>0</v>
      </c>
      <c r="Q69"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63284772.242017142</v>
      </c>
      <c r="R69" s="57">
        <f>C_UKEq_detail[[#This Row],[lf_pv_lcy]]*(1+C_UKEq_detail[[#This Row],[wacc_posttax_real]])^(YEARFRAC(C_UKEq_detail[[#This Row],[award_date]],C_UKEq_detail[[#This Row],[award_date]]+C_UKEq_detail[[#This Row],[delay_days]])*delay_adj*(C_UKEq_detail[[#This Row],[delay_days]]&gt;delay_threshold))</f>
        <v>63284772.242017142</v>
      </c>
      <c r="S69" s="57">
        <f>-PMT(C_UKEq_detail[[#This Row],[wacc_posttax_real]],C_UKEq_detail[[#This Row],[duration_years]],C_UKEq_detail[[#This Row],[lsv_lcy]])</f>
        <v>4882194.7637332324</v>
      </c>
      <c r="T69" s="57">
        <f>-PV(C_UKEq_detail[[#This Row],[wacc_posttax_real]],notional_term,C_UKEq_detail[[#This Row],[annuity_lcy]])</f>
        <v>63284772.242017247</v>
      </c>
      <c r="U69" s="58">
        <f>INDEX(I_PPP[],MATCH(C_UKEq_detail[[#This Row],[country]],I_PPP[country],0), MATCH(TEXT(C_UKEq_detail[[#This Row],[award_year]], "#"),I_PPP[#Headers],0))</f>
        <v>0.76338700000000004</v>
      </c>
      <c r="V69" s="58">
        <f>INDEX(I_PPP[],MATCH("United Kingdom",I_PPP[country],0), MATCH(TEXT(C_UKEq_detail[[#This Row],[award_year]], "#"),I_PPP[#Headers],0))</f>
        <v>0.68398199999999998</v>
      </c>
      <c r="W69" s="57">
        <f>C_UKEq_detail[[#This Row],[lsv_norm_lcy]]*C_UKEq_detail[[#This Row],[ppp_gbp]]/C_UKEq_detail[[#This Row],[ppp_lcy]]</f>
        <v>56702098.788215458</v>
      </c>
      <c r="X69" s="58">
        <f>eff_cpi_uk/SUMIFS(I_CPI_UK[index],I_CPI_UK[month],TEXT(C_UKEq_detail[[#This Row],[award_date]],"YYYY MMM"))</f>
        <v>1.0232342007434945</v>
      </c>
      <c r="Y69" s="57">
        <f>C_UKEq_detail[[#This Row],[lsv_norm_gbp]]*C_UKEq_detail[[#This Row],[cpi_factor]]</f>
        <v>58019526.734038308</v>
      </c>
      <c r="Z69" s="57">
        <f>INDEX(I_Population[], MATCH(C_UKEq_detail[[#This Row],[country]], I_Population[country], 0), MATCH(TEXT(C_UKEq_detail[[#This Row],[award_year]],"#"), I_Population[#Headers], 0))</f>
        <v>8879920</v>
      </c>
      <c r="AA69" s="58">
        <f>eff_pop_uk/C_UKEq_detail[[#This Row],[population]]</f>
        <v>7.5266812088397197</v>
      </c>
      <c r="AB69" s="57">
        <f>C_UKEq_detail[[#This Row],[lsv_real_gbp]]*C_UKEq_detail[[#This Row],[pop_factor]]</f>
        <v>436694481.61485988</v>
      </c>
    </row>
    <row r="70" spans="1:28" x14ac:dyDescent="0.45">
      <c r="A70" s="50" t="s">
        <v>800</v>
      </c>
      <c r="B70" s="50" t="s">
        <v>203</v>
      </c>
      <c r="C70" s="49">
        <v>43563</v>
      </c>
      <c r="D70" s="50" t="s">
        <v>802</v>
      </c>
      <c r="E70" s="25">
        <v>110</v>
      </c>
      <c r="F70" s="25">
        <v>20</v>
      </c>
      <c r="G70" s="50" t="s">
        <v>97</v>
      </c>
      <c r="H70" s="25">
        <v>56903001</v>
      </c>
      <c r="I70" s="25">
        <v>767421.6</v>
      </c>
      <c r="J70" s="49">
        <v>43563</v>
      </c>
      <c r="K70">
        <v>2019</v>
      </c>
      <c r="L70">
        <v>2.53E-2</v>
      </c>
      <c r="M70" t="s">
        <v>779</v>
      </c>
      <c r="N70" s="50">
        <v>4.5405405405405275E-2</v>
      </c>
      <c r="O70" t="s">
        <v>779</v>
      </c>
      <c r="P70">
        <v>0</v>
      </c>
      <c r="Q70"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69415191.066218853</v>
      </c>
      <c r="R70" s="57">
        <f>C_UKEq_detail[[#This Row],[lf_pv_lcy]]*(1+C_UKEq_detail[[#This Row],[wacc_posttax_real]])^(YEARFRAC(C_UKEq_detail[[#This Row],[award_date]],C_UKEq_detail[[#This Row],[award_date]]+C_UKEq_detail[[#This Row],[delay_days]])*delay_adj*(C_UKEq_detail[[#This Row],[delay_days]]&gt;delay_threshold))</f>
        <v>69415191.066218853</v>
      </c>
      <c r="S70" s="57">
        <f>-PMT(C_UKEq_detail[[#This Row],[wacc_posttax_real]],C_UKEq_detail[[#This Row],[duration_years]],C_UKEq_detail[[#This Row],[lsv_lcy]])</f>
        <v>5355134.7400129875</v>
      </c>
      <c r="T70" s="57">
        <f>-PV(C_UKEq_detail[[#This Row],[wacc_posttax_real]],notional_term,C_UKEq_detail[[#This Row],[annuity_lcy]])</f>
        <v>69415191.066218972</v>
      </c>
      <c r="U70" s="58">
        <f>INDEX(I_PPP[],MATCH(C_UKEq_detail[[#This Row],[country]],I_PPP[country],0), MATCH(TEXT(C_UKEq_detail[[#This Row],[award_year]], "#"),I_PPP[#Headers],0))</f>
        <v>0.76338700000000004</v>
      </c>
      <c r="V70" s="58">
        <f>INDEX(I_PPP[],MATCH("United Kingdom",I_PPP[country],0), MATCH(TEXT(C_UKEq_detail[[#This Row],[award_year]], "#"),I_PPP[#Headers],0))</f>
        <v>0.68398199999999998</v>
      </c>
      <c r="W70" s="57">
        <f>C_UKEq_detail[[#This Row],[lsv_norm_lcy]]*C_UKEq_detail[[#This Row],[ppp_gbp]]/C_UKEq_detail[[#This Row],[ppp_lcy]]</f>
        <v>62194851.649104036</v>
      </c>
      <c r="X70" s="58">
        <f>eff_cpi_uk/SUMIFS(I_CPI_UK[index],I_CPI_UK[month],TEXT(C_UKEq_detail[[#This Row],[award_date]],"YYYY MMM"))</f>
        <v>1.0232342007434945</v>
      </c>
      <c r="Y70" s="57">
        <f>C_UKEq_detail[[#This Row],[lsv_norm_gbp]]*C_UKEq_detail[[#This Row],[cpi_factor]]</f>
        <v>63639899.317531176</v>
      </c>
      <c r="Z70" s="57">
        <f>INDEX(I_Population[], MATCH(C_UKEq_detail[[#This Row],[country]], I_Population[country], 0), MATCH(TEXT(C_UKEq_detail[[#This Row],[award_year]],"#"), I_Population[#Headers], 0))</f>
        <v>8879920</v>
      </c>
      <c r="AA70" s="58">
        <f>eff_pop_uk/C_UKEq_detail[[#This Row],[population]]</f>
        <v>7.5266812088397197</v>
      </c>
      <c r="AB70" s="57">
        <f>C_UKEq_detail[[#This Row],[lsv_real_gbp]]*C_UKEq_detail[[#This Row],[pop_factor]]</f>
        <v>478997234.32571357</v>
      </c>
    </row>
    <row r="71" spans="1:28" x14ac:dyDescent="0.45">
      <c r="A71" s="50" t="s">
        <v>125</v>
      </c>
      <c r="B71" s="50" t="s">
        <v>158</v>
      </c>
      <c r="C71" s="49">
        <v>43629</v>
      </c>
      <c r="D71" s="50" t="s">
        <v>126</v>
      </c>
      <c r="E71" s="25">
        <v>40</v>
      </c>
      <c r="F71" s="25">
        <v>20</v>
      </c>
      <c r="G71" s="50" t="s">
        <v>97</v>
      </c>
      <c r="H71" s="25">
        <v>851520000</v>
      </c>
      <c r="I71" s="25">
        <v>0</v>
      </c>
      <c r="J71" s="49">
        <v>44197</v>
      </c>
      <c r="K71">
        <v>2019</v>
      </c>
      <c r="L71">
        <v>3.15E-2</v>
      </c>
      <c r="M71" t="s">
        <v>779</v>
      </c>
      <c r="N71" s="50">
        <v>2.5735429975430005E-2</v>
      </c>
      <c r="O71" t="s">
        <v>779</v>
      </c>
      <c r="P71">
        <v>568</v>
      </c>
      <c r="Q71"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851520000</v>
      </c>
      <c r="R71" s="57">
        <f>C_UKEq_detail[[#This Row],[lf_pv_lcy]]*(1+C_UKEq_detail[[#This Row],[wacc_posttax_real]])^(YEARFRAC(C_UKEq_detail[[#This Row],[award_date]],C_UKEq_detail[[#This Row],[award_date]]+C_UKEq_detail[[#This Row],[delay_days]])*delay_adj*(C_UKEq_detail[[#This Row],[delay_days]]&gt;delay_threshold))</f>
        <v>885726535.3798784</v>
      </c>
      <c r="S71" s="57">
        <f>-PMT(C_UKEq_detail[[#This Row],[wacc_posttax_real]],C_UKEq_detail[[#This Row],[duration_years]],C_UKEq_detail[[#This Row],[lsv_lcy]])</f>
        <v>57212267.594761908</v>
      </c>
      <c r="T71" s="57">
        <f>-PV(C_UKEq_detail[[#This Row],[wacc_posttax_real]],notional_term,C_UKEq_detail[[#This Row],[annuity_lcy]])</f>
        <v>885726535.37987816</v>
      </c>
      <c r="U71" s="58">
        <f>INDEX(I_PPP[],MATCH(C_UKEq_detail[[#This Row],[country]],I_PPP[country],0), MATCH(TEXT(C_UKEq_detail[[#This Row],[award_year]], "#"),I_PPP[#Headers],0))</f>
        <v>0.74266299999999996</v>
      </c>
      <c r="V71" s="58">
        <f>INDEX(I_PPP[],MATCH("United Kingdom",I_PPP[country],0), MATCH(TEXT(C_UKEq_detail[[#This Row],[award_year]], "#"),I_PPP[#Headers],0))</f>
        <v>0.68398199999999998</v>
      </c>
      <c r="W71" s="57">
        <f>C_UKEq_detail[[#This Row],[lsv_norm_lcy]]*C_UKEq_detail[[#This Row],[ppp_gbp]]/C_UKEq_detail[[#This Row],[ppp_lcy]]</f>
        <v>815741469.71398842</v>
      </c>
      <c r="X71" s="58">
        <f>eff_cpi_uk/SUMIFS(I_CPI_UK[index],I_CPI_UK[month],TEXT(C_UKEq_detail[[#This Row],[award_date]],"YYYY MMM"))</f>
        <v>1.0203892493049118</v>
      </c>
      <c r="Y71" s="57">
        <f>C_UKEq_detail[[#This Row],[lsv_norm_gbp]]*C_UKEq_detail[[#This Row],[cpi_factor]]</f>
        <v>832373825.90834212</v>
      </c>
      <c r="Z71" s="57">
        <f>INDEX(I_Population[], MATCH(C_UKEq_detail[[#This Row],[country]], I_Population[country], 0), MATCH(TEXT(C_UKEq_detail[[#This Row],[award_year]],"#"), I_Population[#Headers], 0))</f>
        <v>83092962</v>
      </c>
      <c r="AA71" s="58">
        <f>eff_pop_uk/C_UKEq_detail[[#This Row],[population]]</f>
        <v>0.8043560536450729</v>
      </c>
      <c r="AB71" s="57">
        <f>C_UKEq_detail[[#This Row],[lsv_real_gbp]]*C_UKEq_detail[[#This Row],[pop_factor]]</f>
        <v>669524925.76508498</v>
      </c>
    </row>
    <row r="72" spans="1:28" x14ac:dyDescent="0.45">
      <c r="A72" s="50" t="s">
        <v>125</v>
      </c>
      <c r="B72" s="50" t="s">
        <v>158</v>
      </c>
      <c r="C72" s="49">
        <v>43629</v>
      </c>
      <c r="D72" s="50" t="s">
        <v>127</v>
      </c>
      <c r="E72" s="25">
        <v>20</v>
      </c>
      <c r="F72" s="25">
        <v>20</v>
      </c>
      <c r="G72" s="50" t="s">
        <v>97</v>
      </c>
      <c r="H72" s="25">
        <v>381104000</v>
      </c>
      <c r="I72" s="25">
        <v>0</v>
      </c>
      <c r="J72" s="49">
        <v>44197</v>
      </c>
      <c r="K72">
        <v>2019</v>
      </c>
      <c r="L72">
        <v>3.15E-2</v>
      </c>
      <c r="M72" t="s">
        <v>779</v>
      </c>
      <c r="N72" s="50">
        <v>2.5735429975430005E-2</v>
      </c>
      <c r="O72" t="s">
        <v>779</v>
      </c>
      <c r="P72">
        <v>568</v>
      </c>
      <c r="Q72"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381104000</v>
      </c>
      <c r="R72" s="57">
        <f>C_UKEq_detail[[#This Row],[lf_pv_lcy]]*(1+C_UKEq_detail[[#This Row],[wacc_posttax_real]])^(YEARFRAC(C_UKEq_detail[[#This Row],[award_date]],C_UKEq_detail[[#This Row],[award_date]]+C_UKEq_detail[[#This Row],[delay_days]])*delay_adj*(C_UKEq_detail[[#This Row],[delay_days]]&gt;delay_threshold))</f>
        <v>396413384.93448561</v>
      </c>
      <c r="S72" s="57">
        <f>-PMT(C_UKEq_detail[[#This Row],[wacc_posttax_real]],C_UKEq_detail[[#This Row],[duration_years]],C_UKEq_detail[[#This Row],[lsv_lcy]])</f>
        <v>25605768.542646259</v>
      </c>
      <c r="T72" s="57">
        <f>-PV(C_UKEq_detail[[#This Row],[wacc_posttax_real]],notional_term,C_UKEq_detail[[#This Row],[annuity_lcy]])</f>
        <v>396413384.9344855</v>
      </c>
      <c r="U72" s="58">
        <f>INDEX(I_PPP[],MATCH(C_UKEq_detail[[#This Row],[country]],I_PPP[country],0), MATCH(TEXT(C_UKEq_detail[[#This Row],[award_year]], "#"),I_PPP[#Headers],0))</f>
        <v>0.74266299999999996</v>
      </c>
      <c r="V72" s="58">
        <f>INDEX(I_PPP[],MATCH("United Kingdom",I_PPP[country],0), MATCH(TEXT(C_UKEq_detail[[#This Row],[award_year]], "#"),I_PPP[#Headers],0))</f>
        <v>0.68398199999999998</v>
      </c>
      <c r="W72" s="57">
        <f>C_UKEq_detail[[#This Row],[lsv_norm_lcy]]*C_UKEq_detail[[#This Row],[ppp_gbp]]/C_UKEq_detail[[#This Row],[ppp_lcy]]</f>
        <v>365091057.2551201</v>
      </c>
      <c r="X72" s="58">
        <f>eff_cpi_uk/SUMIFS(I_CPI_UK[index],I_CPI_UK[month],TEXT(C_UKEq_detail[[#This Row],[award_date]],"YYYY MMM"))</f>
        <v>1.0203892493049118</v>
      </c>
      <c r="Y72" s="57">
        <f>C_UKEq_detail[[#This Row],[lsv_norm_gbp]]*C_UKEq_detail[[#This Row],[cpi_factor]]</f>
        <v>372534989.84048855</v>
      </c>
      <c r="Z72" s="57">
        <f>INDEX(I_Population[], MATCH(C_UKEq_detail[[#This Row],[country]], I_Population[country], 0), MATCH(TEXT(C_UKEq_detail[[#This Row],[award_year]],"#"), I_Population[#Headers], 0))</f>
        <v>83092962</v>
      </c>
      <c r="AA72" s="58">
        <f>eff_pop_uk/C_UKEq_detail[[#This Row],[population]]</f>
        <v>0.8043560536450729</v>
      </c>
      <c r="AB72" s="57">
        <f>C_UKEq_detail[[#This Row],[lsv_real_gbp]]*C_UKEq_detail[[#This Row],[pop_factor]]</f>
        <v>299650774.27280271</v>
      </c>
    </row>
    <row r="73" spans="1:28" x14ac:dyDescent="0.45">
      <c r="A73" s="50" t="s">
        <v>125</v>
      </c>
      <c r="B73" s="50" t="s">
        <v>158</v>
      </c>
      <c r="C73" s="49">
        <v>43629</v>
      </c>
      <c r="D73" s="50" t="s">
        <v>85</v>
      </c>
      <c r="E73" s="25">
        <v>40</v>
      </c>
      <c r="F73" s="25">
        <v>20</v>
      </c>
      <c r="G73" s="50" t="s">
        <v>97</v>
      </c>
      <c r="H73" s="25">
        <v>806501000</v>
      </c>
      <c r="I73" s="25">
        <v>0</v>
      </c>
      <c r="J73" s="49">
        <v>44197</v>
      </c>
      <c r="K73">
        <v>2019</v>
      </c>
      <c r="L73">
        <v>3.15E-2</v>
      </c>
      <c r="M73" t="s">
        <v>779</v>
      </c>
      <c r="N73" s="50">
        <v>2.5735429975430005E-2</v>
      </c>
      <c r="O73" t="s">
        <v>779</v>
      </c>
      <c r="P73">
        <v>568</v>
      </c>
      <c r="Q73"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806501000</v>
      </c>
      <c r="R73" s="57">
        <f>C_UKEq_detail[[#This Row],[lf_pv_lcy]]*(1+C_UKEq_detail[[#This Row],[wacc_posttax_real]])^(YEARFRAC(C_UKEq_detail[[#This Row],[award_date]],C_UKEq_detail[[#This Row],[award_date]]+C_UKEq_detail[[#This Row],[delay_days]])*delay_adj*(C_UKEq_detail[[#This Row],[delay_days]]&gt;delay_threshold))</f>
        <v>838899070.49794173</v>
      </c>
      <c r="S73" s="57">
        <f>-PMT(C_UKEq_detail[[#This Row],[wacc_posttax_real]],C_UKEq_detail[[#This Row],[duration_years]],C_UKEq_detail[[#This Row],[lsv_lcy]])</f>
        <v>54187512.950304247</v>
      </c>
      <c r="T73" s="57">
        <f>-PV(C_UKEq_detail[[#This Row],[wacc_posttax_real]],notional_term,C_UKEq_detail[[#This Row],[annuity_lcy]])</f>
        <v>838899070.49794137</v>
      </c>
      <c r="U73" s="58">
        <f>INDEX(I_PPP[],MATCH(C_UKEq_detail[[#This Row],[country]],I_PPP[country],0), MATCH(TEXT(C_UKEq_detail[[#This Row],[award_year]], "#"),I_PPP[#Headers],0))</f>
        <v>0.74266299999999996</v>
      </c>
      <c r="V73" s="58">
        <f>INDEX(I_PPP[],MATCH("United Kingdom",I_PPP[country],0), MATCH(TEXT(C_UKEq_detail[[#This Row],[award_year]], "#"),I_PPP[#Headers],0))</f>
        <v>0.68398199999999998</v>
      </c>
      <c r="W73" s="57">
        <f>C_UKEq_detail[[#This Row],[lsv_norm_lcy]]*C_UKEq_detail[[#This Row],[ppp_gbp]]/C_UKEq_detail[[#This Row],[ppp_lcy]]</f>
        <v>772614044.37453175</v>
      </c>
      <c r="X73" s="58">
        <f>eff_cpi_uk/SUMIFS(I_CPI_UK[index],I_CPI_UK[month],TEXT(C_UKEq_detail[[#This Row],[award_date]],"YYYY MMM"))</f>
        <v>1.0203892493049118</v>
      </c>
      <c r="Y73" s="57">
        <f>C_UKEq_detail[[#This Row],[lsv_norm_gbp]]*C_UKEq_detail[[#This Row],[cpi_factor]]</f>
        <v>788367064.74176025</v>
      </c>
      <c r="Z73" s="57">
        <f>INDEX(I_Population[], MATCH(C_UKEq_detail[[#This Row],[country]], I_Population[country], 0), MATCH(TEXT(C_UKEq_detail[[#This Row],[award_year]],"#"), I_Population[#Headers], 0))</f>
        <v>83092962</v>
      </c>
      <c r="AA73" s="58">
        <f>eff_pop_uk/C_UKEq_detail[[#This Row],[population]]</f>
        <v>0.8043560536450729</v>
      </c>
      <c r="AB73" s="57">
        <f>C_UKEq_detail[[#This Row],[lsv_real_gbp]]*C_UKEq_detail[[#This Row],[pop_factor]]</f>
        <v>634127821.01943195</v>
      </c>
    </row>
    <row r="74" spans="1:28" x14ac:dyDescent="0.45">
      <c r="A74" s="50" t="s">
        <v>125</v>
      </c>
      <c r="B74" s="50" t="s">
        <v>158</v>
      </c>
      <c r="C74" s="49">
        <v>43629</v>
      </c>
      <c r="D74" s="50" t="s">
        <v>128</v>
      </c>
      <c r="E74" s="25">
        <v>20</v>
      </c>
      <c r="F74" s="25">
        <v>15</v>
      </c>
      <c r="G74" s="50" t="s">
        <v>97</v>
      </c>
      <c r="H74" s="25">
        <v>334997000</v>
      </c>
      <c r="I74" s="25">
        <v>0</v>
      </c>
      <c r="J74" s="49">
        <v>46023</v>
      </c>
      <c r="K74">
        <v>2019</v>
      </c>
      <c r="L74">
        <v>3.15E-2</v>
      </c>
      <c r="M74" t="s">
        <v>779</v>
      </c>
      <c r="N74" s="50">
        <v>2.5735429975430005E-2</v>
      </c>
      <c r="O74" t="s">
        <v>779</v>
      </c>
      <c r="P74">
        <v>2394</v>
      </c>
      <c r="Q74"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334997000</v>
      </c>
      <c r="R74" s="57">
        <f>C_UKEq_detail[[#This Row],[lf_pv_lcy]]*(1+C_UKEq_detail[[#This Row],[wacc_posttax_real]])^(YEARFRAC(C_UKEq_detail[[#This Row],[award_date]],C_UKEq_detail[[#This Row],[award_date]]+C_UKEq_detail[[#This Row],[delay_days]])*delay_adj*(C_UKEq_detail[[#This Row],[delay_days]]&gt;delay_threshold))</f>
        <v>395660326.10084146</v>
      </c>
      <c r="S74" s="57">
        <f>-PMT(C_UKEq_detail[[#This Row],[wacc_posttax_real]],C_UKEq_detail[[#This Row],[duration_years]],C_UKEq_detail[[#This Row],[lsv_lcy]])</f>
        <v>32129217.251857121</v>
      </c>
      <c r="T74" s="57">
        <f>-PV(C_UKEq_detail[[#This Row],[wacc_posttax_real]],notional_term,C_UKEq_detail[[#This Row],[annuity_lcy]])</f>
        <v>497405564.87854147</v>
      </c>
      <c r="U74" s="58">
        <f>INDEX(I_PPP[],MATCH(C_UKEq_detail[[#This Row],[country]],I_PPP[country],0), MATCH(TEXT(C_UKEq_detail[[#This Row],[award_year]], "#"),I_PPP[#Headers],0))</f>
        <v>0.74266299999999996</v>
      </c>
      <c r="V74" s="58">
        <f>INDEX(I_PPP[],MATCH("United Kingdom",I_PPP[country],0), MATCH(TEXT(C_UKEq_detail[[#This Row],[award_year]], "#"),I_PPP[#Headers],0))</f>
        <v>0.68398199999999998</v>
      </c>
      <c r="W74" s="57">
        <f>C_UKEq_detail[[#This Row],[lsv_norm_lcy]]*C_UKEq_detail[[#This Row],[ppp_gbp]]/C_UKEq_detail[[#This Row],[ppp_lcy]]</f>
        <v>458103410.39846414</v>
      </c>
      <c r="X74" s="58">
        <f>eff_cpi_uk/SUMIFS(I_CPI_UK[index],I_CPI_UK[month],TEXT(C_UKEq_detail[[#This Row],[award_date]],"YYYY MMM"))</f>
        <v>1.0203892493049118</v>
      </c>
      <c r="Y74" s="57">
        <f>C_UKEq_detail[[#This Row],[lsv_norm_gbp]]*C_UKEq_detail[[#This Row],[cpi_factor]]</f>
        <v>467443795.04050875</v>
      </c>
      <c r="Z74" s="57">
        <f>INDEX(I_Population[], MATCH(C_UKEq_detail[[#This Row],[country]], I_Population[country], 0), MATCH(TEXT(C_UKEq_detail[[#This Row],[award_year]],"#"), I_Population[#Headers], 0))</f>
        <v>83092962</v>
      </c>
      <c r="AA74" s="58">
        <f>eff_pop_uk/C_UKEq_detail[[#This Row],[population]]</f>
        <v>0.8043560536450729</v>
      </c>
      <c r="AB74" s="57">
        <f>C_UKEq_detail[[#This Row],[lsv_real_gbp]]*C_UKEq_detail[[#This Row],[pop_factor]]</f>
        <v>375991246.27965993</v>
      </c>
    </row>
    <row r="75" spans="1:28" x14ac:dyDescent="0.45">
      <c r="A75" s="50" t="s">
        <v>785</v>
      </c>
      <c r="B75" s="50" t="s">
        <v>158</v>
      </c>
      <c r="C75" s="49">
        <v>43629</v>
      </c>
      <c r="D75" s="50" t="s">
        <v>126</v>
      </c>
      <c r="E75" s="25">
        <v>90</v>
      </c>
      <c r="F75" s="25">
        <v>20</v>
      </c>
      <c r="G75" s="50" t="s">
        <v>97</v>
      </c>
      <c r="H75" s="25">
        <v>1323423000</v>
      </c>
      <c r="I75" s="25">
        <v>0</v>
      </c>
      <c r="J75" s="49">
        <v>44197</v>
      </c>
      <c r="K75">
        <v>2019</v>
      </c>
      <c r="L75">
        <v>3.15E-2</v>
      </c>
      <c r="M75" t="s">
        <v>779</v>
      </c>
      <c r="N75" s="50">
        <v>2.5735429975430005E-2</v>
      </c>
      <c r="O75" t="s">
        <v>779</v>
      </c>
      <c r="P75">
        <v>568</v>
      </c>
      <c r="Q75"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1323423000</v>
      </c>
      <c r="R75" s="57">
        <f>C_UKEq_detail[[#This Row],[lf_pv_lcy]]*(1+C_UKEq_detail[[#This Row],[wacc_posttax_real]])^(YEARFRAC(C_UKEq_detail[[#This Row],[award_date]],C_UKEq_detail[[#This Row],[award_date]]+C_UKEq_detail[[#This Row],[delay_days]])*delay_adj*(C_UKEq_detail[[#This Row],[delay_days]]&gt;delay_threshold))</f>
        <v>1376586420.3213603</v>
      </c>
      <c r="S75" s="57">
        <f>-PMT(C_UKEq_detail[[#This Row],[wacc_posttax_real]],C_UKEq_detail[[#This Row],[duration_years]],C_UKEq_detail[[#This Row],[lsv_lcy]])</f>
        <v>88918675.799819827</v>
      </c>
      <c r="T75" s="57">
        <f>-PV(C_UKEq_detail[[#This Row],[wacc_posttax_real]],notional_term,C_UKEq_detail[[#This Row],[annuity_lcy]])</f>
        <v>1376586420.3213599</v>
      </c>
      <c r="U75" s="58">
        <f>INDEX(I_PPP[],MATCH(C_UKEq_detail[[#This Row],[country]],I_PPP[country],0), MATCH(TEXT(C_UKEq_detail[[#This Row],[award_year]], "#"),I_PPP[#Headers],0))</f>
        <v>0.74266299999999996</v>
      </c>
      <c r="V75" s="58">
        <f>INDEX(I_PPP[],MATCH("United Kingdom",I_PPP[country],0), MATCH(TEXT(C_UKEq_detail[[#This Row],[award_year]], "#"),I_PPP[#Headers],0))</f>
        <v>0.68398199999999998</v>
      </c>
      <c r="W75" s="57">
        <f>C_UKEq_detail[[#This Row],[lsv_norm_lcy]]*C_UKEq_detail[[#This Row],[ppp_gbp]]/C_UKEq_detail[[#This Row],[ppp_lcy]]</f>
        <v>1267816402.519372</v>
      </c>
      <c r="X75" s="58">
        <f>eff_cpi_uk/SUMIFS(I_CPI_UK[index],I_CPI_UK[month],TEXT(C_UKEq_detail[[#This Row],[award_date]],"YYYY MMM"))</f>
        <v>1.0203892493049118</v>
      </c>
      <c r="Y75" s="57">
        <f>C_UKEq_detail[[#This Row],[lsv_norm_gbp]]*C_UKEq_detail[[#This Row],[cpi_factor]]</f>
        <v>1293666227.2231958</v>
      </c>
      <c r="Z75" s="57">
        <f>INDEX(I_Population[], MATCH(C_UKEq_detail[[#This Row],[country]], I_Population[country], 0), MATCH(TEXT(C_UKEq_detail[[#This Row],[award_year]],"#"), I_Population[#Headers], 0))</f>
        <v>83092962</v>
      </c>
      <c r="AA75" s="58">
        <f>eff_pop_uk/C_UKEq_detail[[#This Row],[population]]</f>
        <v>0.8043560536450729</v>
      </c>
      <c r="AB75" s="57">
        <f>C_UKEq_detail[[#This Row],[lsv_real_gbp]]*C_UKEq_detail[[#This Row],[pop_factor]]</f>
        <v>1040568261.26316</v>
      </c>
    </row>
    <row r="76" spans="1:28" x14ac:dyDescent="0.45">
      <c r="A76" s="50" t="s">
        <v>785</v>
      </c>
      <c r="B76" s="50" t="s">
        <v>158</v>
      </c>
      <c r="C76" s="49">
        <v>43629</v>
      </c>
      <c r="D76" s="50" t="s">
        <v>127</v>
      </c>
      <c r="E76" s="25">
        <v>70</v>
      </c>
      <c r="F76" s="25">
        <v>20</v>
      </c>
      <c r="G76" s="50" t="s">
        <v>97</v>
      </c>
      <c r="H76" s="25">
        <v>1043728000</v>
      </c>
      <c r="I76" s="25">
        <v>0</v>
      </c>
      <c r="J76" s="49">
        <v>44197</v>
      </c>
      <c r="K76">
        <v>2019</v>
      </c>
      <c r="L76">
        <v>3.15E-2</v>
      </c>
      <c r="M76" t="s">
        <v>779</v>
      </c>
      <c r="N76" s="50">
        <v>2.5735429975430005E-2</v>
      </c>
      <c r="O76" t="s">
        <v>779</v>
      </c>
      <c r="P76">
        <v>568</v>
      </c>
      <c r="Q76"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1043728000</v>
      </c>
      <c r="R76" s="57">
        <f>C_UKEq_detail[[#This Row],[lf_pv_lcy]]*(1+C_UKEq_detail[[#This Row],[wacc_posttax_real]])^(YEARFRAC(C_UKEq_detail[[#This Row],[award_date]],C_UKEq_detail[[#This Row],[award_date]]+C_UKEq_detail[[#This Row],[delay_days]])*delay_adj*(C_UKEq_detail[[#This Row],[delay_days]]&gt;delay_threshold))</f>
        <v>1085655751.2671103</v>
      </c>
      <c r="S76" s="57">
        <f>-PMT(C_UKEq_detail[[#This Row],[wacc_posttax_real]],C_UKEq_detail[[#This Row],[duration_years]],C_UKEq_detail[[#This Row],[lsv_lcy]])</f>
        <v>70126415.858870804</v>
      </c>
      <c r="T76" s="57">
        <f>-PV(C_UKEq_detail[[#This Row],[wacc_posttax_real]],notional_term,C_UKEq_detail[[#This Row],[annuity_lcy]])</f>
        <v>1085655751.2671101</v>
      </c>
      <c r="U76" s="58">
        <f>INDEX(I_PPP[],MATCH(C_UKEq_detail[[#This Row],[country]],I_PPP[country],0), MATCH(TEXT(C_UKEq_detail[[#This Row],[award_year]], "#"),I_PPP[#Headers],0))</f>
        <v>0.74266299999999996</v>
      </c>
      <c r="V76" s="58">
        <f>INDEX(I_PPP[],MATCH("United Kingdom",I_PPP[country],0), MATCH(TEXT(C_UKEq_detail[[#This Row],[award_year]], "#"),I_PPP[#Headers],0))</f>
        <v>0.68398199999999998</v>
      </c>
      <c r="W76" s="57">
        <f>C_UKEq_detail[[#This Row],[lsv_norm_lcy]]*C_UKEq_detail[[#This Row],[ppp_gbp]]/C_UKEq_detail[[#This Row],[ppp_lcy]]</f>
        <v>999873417.77250314</v>
      </c>
      <c r="X76" s="58">
        <f>eff_cpi_uk/SUMIFS(I_CPI_UK[index],I_CPI_UK[month],TEXT(C_UKEq_detail[[#This Row],[award_date]],"YYYY MMM"))</f>
        <v>1.0203892493049118</v>
      </c>
      <c r="Y76" s="57">
        <f>C_UKEq_detail[[#This Row],[lsv_norm_gbp]]*C_UKEq_detail[[#This Row],[cpi_factor]]</f>
        <v>1020260086.160821</v>
      </c>
      <c r="Z76" s="57">
        <f>INDEX(I_Population[], MATCH(C_UKEq_detail[[#This Row],[country]], I_Population[country], 0), MATCH(TEXT(C_UKEq_detail[[#This Row],[award_year]],"#"), I_Population[#Headers], 0))</f>
        <v>83092962</v>
      </c>
      <c r="AA76" s="58">
        <f>eff_pop_uk/C_UKEq_detail[[#This Row],[population]]</f>
        <v>0.8043560536450729</v>
      </c>
      <c r="AB76" s="57">
        <f>C_UKEq_detail[[#This Row],[lsv_real_gbp]]*C_UKEq_detail[[#This Row],[pop_factor]]</f>
        <v>820652376.59590006</v>
      </c>
    </row>
    <row r="77" spans="1:28" x14ac:dyDescent="0.45">
      <c r="A77" s="50" t="s">
        <v>785</v>
      </c>
      <c r="B77" s="50" t="s">
        <v>158</v>
      </c>
      <c r="C77" s="49">
        <v>43629</v>
      </c>
      <c r="D77" s="50" t="s">
        <v>85</v>
      </c>
      <c r="E77" s="25">
        <v>90</v>
      </c>
      <c r="F77" s="25">
        <v>20</v>
      </c>
      <c r="G77" s="50" t="s">
        <v>97</v>
      </c>
      <c r="H77" s="25">
        <v>1073188000</v>
      </c>
      <c r="I77" s="25">
        <v>0</v>
      </c>
      <c r="J77" s="49">
        <v>44197</v>
      </c>
      <c r="K77">
        <v>2019</v>
      </c>
      <c r="L77">
        <v>3.15E-2</v>
      </c>
      <c r="M77" t="s">
        <v>779</v>
      </c>
      <c r="N77" s="50">
        <v>2.5735429975430005E-2</v>
      </c>
      <c r="O77" t="s">
        <v>779</v>
      </c>
      <c r="P77">
        <v>568</v>
      </c>
      <c r="Q77"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1073188000</v>
      </c>
      <c r="R77" s="57">
        <f>C_UKEq_detail[[#This Row],[lf_pv_lcy]]*(1+C_UKEq_detail[[#This Row],[wacc_posttax_real]])^(YEARFRAC(C_UKEq_detail[[#This Row],[award_date]],C_UKEq_detail[[#This Row],[award_date]]+C_UKEq_detail[[#This Row],[delay_days]])*delay_adj*(C_UKEq_detail[[#This Row],[delay_days]]&gt;delay_threshold))</f>
        <v>1116299193.2676401</v>
      </c>
      <c r="S77" s="57">
        <f>-PMT(C_UKEq_detail[[#This Row],[wacc_posttax_real]],C_UKEq_detail[[#This Row],[duration_years]],C_UKEq_detail[[#This Row],[lsv_lcy]])</f>
        <v>72105786.165313005</v>
      </c>
      <c r="T77" s="57">
        <f>-PV(C_UKEq_detail[[#This Row],[wacc_posttax_real]],notional_term,C_UKEq_detail[[#This Row],[annuity_lcy]])</f>
        <v>1116299193.2676396</v>
      </c>
      <c r="U77" s="58">
        <f>INDEX(I_PPP[],MATCH(C_UKEq_detail[[#This Row],[country]],I_PPP[country],0), MATCH(TEXT(C_UKEq_detail[[#This Row],[award_year]], "#"),I_PPP[#Headers],0))</f>
        <v>0.74266299999999996</v>
      </c>
      <c r="V77" s="58">
        <f>INDEX(I_PPP[],MATCH("United Kingdom",I_PPP[country],0), MATCH(TEXT(C_UKEq_detail[[#This Row],[award_year]], "#"),I_PPP[#Headers],0))</f>
        <v>0.68398199999999998</v>
      </c>
      <c r="W77" s="57">
        <f>C_UKEq_detail[[#This Row],[lsv_norm_lcy]]*C_UKEq_detail[[#This Row],[ppp_gbp]]/C_UKEq_detail[[#This Row],[ppp_lcy]]</f>
        <v>1028095589.5333235</v>
      </c>
      <c r="X77" s="58">
        <f>eff_cpi_uk/SUMIFS(I_CPI_UK[index],I_CPI_UK[month],TEXT(C_UKEq_detail[[#This Row],[award_date]],"YYYY MMM"))</f>
        <v>1.0203892493049118</v>
      </c>
      <c r="Y77" s="57">
        <f>C_UKEq_detail[[#This Row],[lsv_norm_gbp]]*C_UKEq_detail[[#This Row],[cpi_factor]]</f>
        <v>1049057686.8175987</v>
      </c>
      <c r="Z77" s="57">
        <f>INDEX(I_Population[], MATCH(C_UKEq_detail[[#This Row],[country]], I_Population[country], 0), MATCH(TEXT(C_UKEq_detail[[#This Row],[award_year]],"#"), I_Population[#Headers], 0))</f>
        <v>83092962</v>
      </c>
      <c r="AA77" s="58">
        <f>eff_pop_uk/C_UKEq_detail[[#This Row],[population]]</f>
        <v>0.8043560536450729</v>
      </c>
      <c r="AB77" s="57">
        <f>C_UKEq_detail[[#This Row],[lsv_real_gbp]]*C_UKEq_detail[[#This Row],[pop_factor]]</f>
        <v>843815901.01463246</v>
      </c>
    </row>
    <row r="78" spans="1:28" x14ac:dyDescent="0.45">
      <c r="A78" s="50" t="s">
        <v>785</v>
      </c>
      <c r="B78" s="50" t="s">
        <v>158</v>
      </c>
      <c r="C78" s="49">
        <v>43629</v>
      </c>
      <c r="D78" s="50" t="s">
        <v>128</v>
      </c>
      <c r="E78" s="25">
        <v>50</v>
      </c>
      <c r="F78" s="25">
        <v>20</v>
      </c>
      <c r="G78" s="50" t="s">
        <v>97</v>
      </c>
      <c r="H78" s="25">
        <v>735190000</v>
      </c>
      <c r="I78" s="25">
        <v>0</v>
      </c>
      <c r="J78" s="49">
        <v>44197</v>
      </c>
      <c r="K78">
        <v>2019</v>
      </c>
      <c r="L78">
        <v>3.15E-2</v>
      </c>
      <c r="M78" t="s">
        <v>779</v>
      </c>
      <c r="N78" s="50">
        <v>2.5735429975430005E-2</v>
      </c>
      <c r="O78" t="s">
        <v>779</v>
      </c>
      <c r="P78">
        <v>568</v>
      </c>
      <c r="Q78"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735190000</v>
      </c>
      <c r="R78" s="57">
        <f>C_UKEq_detail[[#This Row],[lf_pv_lcy]]*(1+C_UKEq_detail[[#This Row],[wacc_posttax_real]])^(YEARFRAC(C_UKEq_detail[[#This Row],[award_date]],C_UKEq_detail[[#This Row],[award_date]]+C_UKEq_detail[[#This Row],[delay_days]])*delay_adj*(C_UKEq_detail[[#This Row],[delay_days]]&gt;delay_threshold))</f>
        <v>764723425.81023681</v>
      </c>
      <c r="S78" s="57">
        <f>-PMT(C_UKEq_detail[[#This Row],[wacc_posttax_real]],C_UKEq_detail[[#This Row],[duration_years]],C_UKEq_detail[[#This Row],[lsv_lcy]])</f>
        <v>49396240.855168417</v>
      </c>
      <c r="T78" s="57">
        <f>-PV(C_UKEq_detail[[#This Row],[wacc_posttax_real]],notional_term,C_UKEq_detail[[#This Row],[annuity_lcy]])</f>
        <v>764723425.81023657</v>
      </c>
      <c r="U78" s="58">
        <f>INDEX(I_PPP[],MATCH(C_UKEq_detail[[#This Row],[country]],I_PPP[country],0), MATCH(TEXT(C_UKEq_detail[[#This Row],[award_year]], "#"),I_PPP[#Headers],0))</f>
        <v>0.74266299999999996</v>
      </c>
      <c r="V78" s="58">
        <f>INDEX(I_PPP[],MATCH("United Kingdom",I_PPP[country],0), MATCH(TEXT(C_UKEq_detail[[#This Row],[award_year]], "#"),I_PPP[#Headers],0))</f>
        <v>0.68398199999999998</v>
      </c>
      <c r="W78" s="57">
        <f>C_UKEq_detail[[#This Row],[lsv_norm_lcy]]*C_UKEq_detail[[#This Row],[ppp_gbp]]/C_UKEq_detail[[#This Row],[ppp_lcy]]</f>
        <v>704299336.62042844</v>
      </c>
      <c r="X78" s="58">
        <f>eff_cpi_uk/SUMIFS(I_CPI_UK[index],I_CPI_UK[month],TEXT(C_UKEq_detail[[#This Row],[award_date]],"YYYY MMM"))</f>
        <v>1.0203892493049118</v>
      </c>
      <c r="Y78" s="57">
        <f>C_UKEq_detail[[#This Row],[lsv_norm_gbp]]*C_UKEq_detail[[#This Row],[cpi_factor]]</f>
        <v>718659471.38006639</v>
      </c>
      <c r="Z78" s="57">
        <f>INDEX(I_Population[], MATCH(C_UKEq_detail[[#This Row],[country]], I_Population[country], 0), MATCH(TEXT(C_UKEq_detail[[#This Row],[award_year]],"#"), I_Population[#Headers], 0))</f>
        <v>83092962</v>
      </c>
      <c r="AA78" s="58">
        <f>eff_pop_uk/C_UKEq_detail[[#This Row],[population]]</f>
        <v>0.8043560536450729</v>
      </c>
      <c r="AB78" s="57">
        <f>C_UKEq_detail[[#This Row],[lsv_real_gbp]]*C_UKEq_detail[[#This Row],[pop_factor]]</f>
        <v>578058096.31392443</v>
      </c>
    </row>
    <row r="79" spans="1:28" x14ac:dyDescent="0.45">
      <c r="A79" s="50" t="s">
        <v>160</v>
      </c>
      <c r="B79" s="50" t="s">
        <v>161</v>
      </c>
      <c r="C79" s="49">
        <v>43486</v>
      </c>
      <c r="D79" s="50" t="s">
        <v>162</v>
      </c>
      <c r="E79" s="25">
        <v>10</v>
      </c>
      <c r="F79" s="25">
        <v>5</v>
      </c>
      <c r="G79" s="50" t="s">
        <v>136</v>
      </c>
      <c r="H79" s="25">
        <v>57900000</v>
      </c>
      <c r="I79" s="25">
        <v>0</v>
      </c>
      <c r="J79" s="49">
        <v>43537</v>
      </c>
      <c r="K79">
        <v>2019</v>
      </c>
      <c r="L79">
        <v>5.7799999999999997E-2</v>
      </c>
      <c r="M79" t="s">
        <v>779</v>
      </c>
      <c r="N79" s="50">
        <v>5.8024570024569934E-2</v>
      </c>
      <c r="O79" t="s">
        <v>779</v>
      </c>
      <c r="P79">
        <v>51</v>
      </c>
      <c r="Q79"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57900000</v>
      </c>
      <c r="R79" s="57">
        <f>C_UKEq_detail[[#This Row],[lf_pv_lcy]]*(1+C_UKEq_detail[[#This Row],[wacc_posttax_real]])^(YEARFRAC(C_UKEq_detail[[#This Row],[award_date]],C_UKEq_detail[[#This Row],[award_date]]+C_UKEq_detail[[#This Row],[delay_days]])*delay_adj*(C_UKEq_detail[[#This Row],[delay_days]]&gt;delay_threshold))</f>
        <v>57900000</v>
      </c>
      <c r="S79" s="57">
        <f>-PMT(C_UKEq_detail[[#This Row],[wacc_posttax_real]],C_UKEq_detail[[#This Row],[duration_years]],C_UKEq_detail[[#This Row],[lsv_lcy]])</f>
        <v>13671467.131297344</v>
      </c>
      <c r="T79" s="57">
        <f>-PV(C_UKEq_detail[[#This Row],[wacc_posttax_real]],notional_term,C_UKEq_detail[[#This Row],[annuity_lcy]])</f>
        <v>159356662.08551589</v>
      </c>
      <c r="U79" s="58">
        <f>INDEX(I_PPP[],MATCH(C_UKEq_detail[[#This Row],[country]],I_PPP[country],0), MATCH(TEXT(C_UKEq_detail[[#This Row],[award_year]], "#"),I_PPP[#Headers],0))</f>
        <v>3.2721521112760299</v>
      </c>
      <c r="V79" s="58">
        <f>INDEX(I_PPP[],MATCH("United Kingdom",I_PPP[country],0), MATCH(TEXT(C_UKEq_detail[[#This Row],[award_year]], "#"),I_PPP[#Headers],0))</f>
        <v>0.68398199999999998</v>
      </c>
      <c r="W79" s="57">
        <f>C_UKEq_detail[[#This Row],[lsv_norm_lcy]]*C_UKEq_detail[[#This Row],[ppp_gbp]]/C_UKEq_detail[[#This Row],[ppp_lcy]]</f>
        <v>33310520.030827697</v>
      </c>
      <c r="X79" s="58">
        <f>eff_cpi_uk/SUMIFS(I_CPI_UK[index],I_CPI_UK[month],TEXT(C_UKEq_detail[[#This Row],[award_date]],"YYYY MMM"))</f>
        <v>1.0357478833490121</v>
      </c>
      <c r="Y79" s="57">
        <f>C_UKEq_detail[[#This Row],[lsv_norm_gbp]]*C_UKEq_detail[[#This Row],[cpi_factor]]</f>
        <v>34501300.615184657</v>
      </c>
      <c r="Z79" s="57">
        <f>INDEX(I_Population[], MATCH(C_UKEq_detail[[#This Row],[country]], I_Population[country], 0), MATCH(TEXT(C_UKEq_detail[[#This Row],[award_year]],"#"), I_Population[#Headers], 0))</f>
        <v>4065253</v>
      </c>
      <c r="AA79" s="58">
        <f>eff_pop_uk/C_UKEq_detail[[#This Row],[population]]</f>
        <v>16.440877603435752</v>
      </c>
      <c r="AB79" s="57">
        <f>C_UKEq_detail[[#This Row],[lsv_real_gbp]]*C_UKEq_detail[[#This Row],[pop_factor]]</f>
        <v>567231660.5735935</v>
      </c>
    </row>
    <row r="80" spans="1:28" x14ac:dyDescent="0.45">
      <c r="A80" s="50" t="s">
        <v>160</v>
      </c>
      <c r="B80" s="50" t="s">
        <v>161</v>
      </c>
      <c r="C80" s="49">
        <v>43486</v>
      </c>
      <c r="D80" s="50" t="s">
        <v>110</v>
      </c>
      <c r="E80" s="25">
        <v>20</v>
      </c>
      <c r="F80" s="25">
        <v>5</v>
      </c>
      <c r="G80" s="50" t="s">
        <v>136</v>
      </c>
      <c r="H80" s="25">
        <v>48500000</v>
      </c>
      <c r="I80" s="25">
        <v>0</v>
      </c>
      <c r="J80" s="49">
        <v>43537</v>
      </c>
      <c r="K80">
        <v>2019</v>
      </c>
      <c r="L80">
        <v>5.7799999999999997E-2</v>
      </c>
      <c r="M80" t="s">
        <v>779</v>
      </c>
      <c r="N80" s="50">
        <v>5.8024570024569934E-2</v>
      </c>
      <c r="O80" t="s">
        <v>779</v>
      </c>
      <c r="P80">
        <v>51</v>
      </c>
      <c r="Q80"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48500000</v>
      </c>
      <c r="R80" s="57">
        <f>C_UKEq_detail[[#This Row],[lf_pv_lcy]]*(1+C_UKEq_detail[[#This Row],[wacc_posttax_real]])^(YEARFRAC(C_UKEq_detail[[#This Row],[award_date]],C_UKEq_detail[[#This Row],[award_date]]+C_UKEq_detail[[#This Row],[delay_days]])*delay_adj*(C_UKEq_detail[[#This Row],[delay_days]]&gt;delay_threshold))</f>
        <v>48500000</v>
      </c>
      <c r="S80" s="57">
        <f>-PMT(C_UKEq_detail[[#This Row],[wacc_posttax_real]],C_UKEq_detail[[#This Row],[duration_years]],C_UKEq_detail[[#This Row],[lsv_lcy]])</f>
        <v>11451919.79046496</v>
      </c>
      <c r="T80" s="57">
        <f>-PV(C_UKEq_detail[[#This Row],[wacc_posttax_real]],notional_term,C_UKEq_detail[[#This Row],[annuity_lcy]])</f>
        <v>133485286.89373957</v>
      </c>
      <c r="U80" s="58">
        <f>INDEX(I_PPP[],MATCH(C_UKEq_detail[[#This Row],[country]],I_PPP[country],0), MATCH(TEXT(C_UKEq_detail[[#This Row],[award_year]], "#"),I_PPP[#Headers],0))</f>
        <v>3.2721521112760299</v>
      </c>
      <c r="V80" s="58">
        <f>INDEX(I_PPP[],MATCH("United Kingdom",I_PPP[country],0), MATCH(TEXT(C_UKEq_detail[[#This Row],[award_year]], "#"),I_PPP[#Headers],0))</f>
        <v>0.68398199999999998</v>
      </c>
      <c r="W80" s="57">
        <f>C_UKEq_detail[[#This Row],[lsv_norm_lcy]]*C_UKEq_detail[[#This Row],[ppp_gbp]]/C_UKEq_detail[[#This Row],[ppp_lcy]]</f>
        <v>27902594.499052562</v>
      </c>
      <c r="X80" s="58">
        <f>eff_cpi_uk/SUMIFS(I_CPI_UK[index],I_CPI_UK[month],TEXT(C_UKEq_detail[[#This Row],[award_date]],"YYYY MMM"))</f>
        <v>1.0357478833490121</v>
      </c>
      <c r="Y80" s="57">
        <f>C_UKEq_detail[[#This Row],[lsv_norm_gbp]]*C_UKEq_detail[[#This Row],[cpi_factor]]</f>
        <v>28900053.19233948</v>
      </c>
      <c r="Z80" s="57">
        <f>INDEX(I_Population[], MATCH(C_UKEq_detail[[#This Row],[country]], I_Population[country], 0), MATCH(TEXT(C_UKEq_detail[[#This Row],[award_year]],"#"), I_Population[#Headers], 0))</f>
        <v>4065253</v>
      </c>
      <c r="AA80" s="58">
        <f>eff_pop_uk/C_UKEq_detail[[#This Row],[population]]</f>
        <v>16.440877603435752</v>
      </c>
      <c r="AB80" s="57">
        <f>C_UKEq_detail[[#This Row],[lsv_real_gbp]]*C_UKEq_detail[[#This Row],[pop_factor]]</f>
        <v>475142237.26803607</v>
      </c>
    </row>
    <row r="81" spans="1:28" x14ac:dyDescent="0.45">
      <c r="A81" s="50" t="s">
        <v>101</v>
      </c>
      <c r="B81" s="50" t="s">
        <v>159</v>
      </c>
      <c r="C81" s="49">
        <v>43621</v>
      </c>
      <c r="D81" s="50" t="s">
        <v>102</v>
      </c>
      <c r="E81" s="25">
        <v>20</v>
      </c>
      <c r="F81" s="25">
        <v>20</v>
      </c>
      <c r="G81" s="50" t="s">
        <v>103</v>
      </c>
      <c r="H81" s="25">
        <v>262176000</v>
      </c>
      <c r="I81" s="25">
        <v>15830000</v>
      </c>
      <c r="J81" s="49">
        <v>43770</v>
      </c>
      <c r="K81">
        <v>2019</v>
      </c>
      <c r="L81">
        <v>0.05</v>
      </c>
      <c r="M81" t="s">
        <v>779</v>
      </c>
      <c r="N81" s="50">
        <v>5.5243243243243242E-2</v>
      </c>
      <c r="O81" t="s">
        <v>779</v>
      </c>
      <c r="P81">
        <v>149</v>
      </c>
      <c r="Q81"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468091634.02651167</v>
      </c>
      <c r="R81" s="57">
        <f>C_UKEq_detail[[#This Row],[lf_pv_lcy]]*(1+C_UKEq_detail[[#This Row],[wacc_posttax_real]])^(YEARFRAC(C_UKEq_detail[[#This Row],[award_date]],C_UKEq_detail[[#This Row],[award_date]]+C_UKEq_detail[[#This Row],[delay_days]])*delay_adj*(C_UKEq_detail[[#This Row],[delay_days]]&gt;delay_threshold))</f>
        <v>468091634.02651167</v>
      </c>
      <c r="S81" s="57">
        <f>-PMT(C_UKEq_detail[[#This Row],[wacc_posttax_real]],C_UKEq_detail[[#This Row],[duration_years]],C_UKEq_detail[[#This Row],[lsv_lcy]])</f>
        <v>39248680.614220686</v>
      </c>
      <c r="T81" s="57">
        <f>-PV(C_UKEq_detail[[#This Row],[wacc_posttax_real]],notional_term,C_UKEq_detail[[#This Row],[annuity_lcy]])</f>
        <v>468091634.02651149</v>
      </c>
      <c r="U81" s="58">
        <f>INDEX(I_PPP[],MATCH(C_UKEq_detail[[#This Row],[country]],I_PPP[country],0), MATCH(TEXT(C_UKEq_detail[[#This Row],[award_year]], "#"),I_PPP[#Headers],0))</f>
        <v>9.7632429999999992</v>
      </c>
      <c r="V81" s="58">
        <f>INDEX(I_PPP[],MATCH("United Kingdom",I_PPP[country],0), MATCH(TEXT(C_UKEq_detail[[#This Row],[award_year]], "#"),I_PPP[#Headers],0))</f>
        <v>0.68398199999999998</v>
      </c>
      <c r="W81" s="57">
        <f>C_UKEq_detail[[#This Row],[lsv_norm_lcy]]*C_UKEq_detail[[#This Row],[ppp_gbp]]/C_UKEq_detail[[#This Row],[ppp_lcy]]</f>
        <v>32793022.976558242</v>
      </c>
      <c r="X81" s="58">
        <f>eff_cpi_uk/SUMIFS(I_CPI_UK[index],I_CPI_UK[month],TEXT(C_UKEq_detail[[#This Row],[award_date]],"YYYY MMM"))</f>
        <v>1.0203892493049118</v>
      </c>
      <c r="Y81" s="57">
        <f>C_UKEq_detail[[#This Row],[lsv_norm_gbp]]*C_UKEq_detail[[#This Row],[cpi_factor]]</f>
        <v>33461648.097488988</v>
      </c>
      <c r="Z81" s="57">
        <f>INDEX(I_Population[], MATCH(C_UKEq_detail[[#This Row],[country]], I_Population[country], 0), MATCH(TEXT(C_UKEq_detail[[#This Row],[award_year]],"#"), I_Population[#Headers], 0))</f>
        <v>5347896</v>
      </c>
      <c r="AA81" s="58">
        <f>eff_pop_uk/C_UKEq_detail[[#This Row],[population]]</f>
        <v>12.497686379839847</v>
      </c>
      <c r="AB81" s="57">
        <f>C_UKEq_detail[[#This Row],[lsv_real_gbp]]*C_UKEq_detail[[#This Row],[pop_factor]]</f>
        <v>418193183.67498207</v>
      </c>
    </row>
    <row r="82" spans="1:28" x14ac:dyDescent="0.45">
      <c r="A82" s="50" t="s">
        <v>101</v>
      </c>
      <c r="B82" s="50" t="s">
        <v>159</v>
      </c>
      <c r="C82" s="49">
        <v>43621</v>
      </c>
      <c r="D82" s="50" t="s">
        <v>104</v>
      </c>
      <c r="E82" s="25">
        <v>20</v>
      </c>
      <c r="F82" s="25">
        <v>20</v>
      </c>
      <c r="G82" s="50" t="s">
        <v>103</v>
      </c>
      <c r="H82" s="25">
        <v>217881000</v>
      </c>
      <c r="I82" s="25">
        <v>15830000</v>
      </c>
      <c r="J82" s="49">
        <v>43770</v>
      </c>
      <c r="K82">
        <v>2019</v>
      </c>
      <c r="L82">
        <v>0.05</v>
      </c>
      <c r="M82" t="s">
        <v>779</v>
      </c>
      <c r="N82" s="50">
        <v>5.5243243243243242E-2</v>
      </c>
      <c r="O82" t="s">
        <v>779</v>
      </c>
      <c r="P82">
        <v>149</v>
      </c>
      <c r="Q82"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423796634.02651167</v>
      </c>
      <c r="R82" s="57">
        <f>C_UKEq_detail[[#This Row],[lf_pv_lcy]]*(1+C_UKEq_detail[[#This Row],[wacc_posttax_real]])^(YEARFRAC(C_UKEq_detail[[#This Row],[award_date]],C_UKEq_detail[[#This Row],[award_date]]+C_UKEq_detail[[#This Row],[delay_days]])*delay_adj*(C_UKEq_detail[[#This Row],[delay_days]]&gt;delay_threshold))</f>
        <v>423796634.02651167</v>
      </c>
      <c r="S82" s="57">
        <f>-PMT(C_UKEq_detail[[#This Row],[wacc_posttax_real]],C_UKEq_detail[[#This Row],[duration_years]],C_UKEq_detail[[#This Row],[lsv_lcy]])</f>
        <v>35534620.841666758</v>
      </c>
      <c r="T82" s="57">
        <f>-PV(C_UKEq_detail[[#This Row],[wacc_posttax_real]],notional_term,C_UKEq_detail[[#This Row],[annuity_lcy]])</f>
        <v>423796634.02651161</v>
      </c>
      <c r="U82" s="58">
        <f>INDEX(I_PPP[],MATCH(C_UKEq_detail[[#This Row],[country]],I_PPP[country],0), MATCH(TEXT(C_UKEq_detail[[#This Row],[award_year]], "#"),I_PPP[#Headers],0))</f>
        <v>9.7632429999999992</v>
      </c>
      <c r="V82" s="58">
        <f>INDEX(I_PPP[],MATCH("United Kingdom",I_PPP[country],0), MATCH(TEXT(C_UKEq_detail[[#This Row],[award_year]], "#"),I_PPP[#Headers],0))</f>
        <v>0.68398199999999998</v>
      </c>
      <c r="W82" s="57">
        <f>C_UKEq_detail[[#This Row],[lsv_norm_lcy]]*C_UKEq_detail[[#This Row],[ppp_gbp]]/C_UKEq_detail[[#This Row],[ppp_lcy]]</f>
        <v>29689855.034307912</v>
      </c>
      <c r="X82" s="58">
        <f>eff_cpi_uk/SUMIFS(I_CPI_UK[index],I_CPI_UK[month],TEXT(C_UKEq_detail[[#This Row],[award_date]],"YYYY MMM"))</f>
        <v>1.0203892493049118</v>
      </c>
      <c r="Y82" s="57">
        <f>C_UKEq_detail[[#This Row],[lsv_norm_gbp]]*C_UKEq_detail[[#This Row],[cpi_factor]]</f>
        <v>30295208.890429106</v>
      </c>
      <c r="Z82" s="57">
        <f>INDEX(I_Population[], MATCH(C_UKEq_detail[[#This Row],[country]], I_Population[country], 0), MATCH(TEXT(C_UKEq_detail[[#This Row],[award_year]],"#"), I_Population[#Headers], 0))</f>
        <v>5347896</v>
      </c>
      <c r="AA82" s="58">
        <f>eff_pop_uk/C_UKEq_detail[[#This Row],[population]]</f>
        <v>12.497686379839847</v>
      </c>
      <c r="AB82" s="57">
        <f>C_UKEq_detail[[#This Row],[lsv_real_gbp]]*C_UKEq_detail[[#This Row],[pop_factor]]</f>
        <v>378620019.52431887</v>
      </c>
    </row>
    <row r="83" spans="1:28" x14ac:dyDescent="0.45">
      <c r="A83" s="50" t="s">
        <v>101</v>
      </c>
      <c r="B83" s="50" t="s">
        <v>159</v>
      </c>
      <c r="C83" s="49">
        <v>43621</v>
      </c>
      <c r="D83" s="50" t="s">
        <v>105</v>
      </c>
      <c r="E83" s="25">
        <v>20</v>
      </c>
      <c r="F83" s="25">
        <v>20</v>
      </c>
      <c r="G83" s="50" t="s">
        <v>103</v>
      </c>
      <c r="H83" s="25">
        <v>180000000</v>
      </c>
      <c r="I83" s="25">
        <v>15830000</v>
      </c>
      <c r="J83" s="49">
        <v>43770</v>
      </c>
      <c r="K83">
        <v>2019</v>
      </c>
      <c r="L83">
        <v>0.05</v>
      </c>
      <c r="M83" t="s">
        <v>779</v>
      </c>
      <c r="N83" s="50">
        <v>5.5243243243243242E-2</v>
      </c>
      <c r="O83" t="s">
        <v>779</v>
      </c>
      <c r="P83">
        <v>149</v>
      </c>
      <c r="Q83"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385915634.02651167</v>
      </c>
      <c r="R83" s="57">
        <f>C_UKEq_detail[[#This Row],[lf_pv_lcy]]*(1+C_UKEq_detail[[#This Row],[wacc_posttax_real]])^(YEARFRAC(C_UKEq_detail[[#This Row],[award_date]],C_UKEq_detail[[#This Row],[award_date]]+C_UKEq_detail[[#This Row],[delay_days]])*delay_adj*(C_UKEq_detail[[#This Row],[delay_days]]&gt;delay_threshold))</f>
        <v>385915634.02651167</v>
      </c>
      <c r="S83" s="57">
        <f>-PMT(C_UKEq_detail[[#This Row],[wacc_posttax_real]],C_UKEq_detail[[#This Row],[duration_years]],C_UKEq_detail[[#This Row],[lsv_lcy]])</f>
        <v>32358363.967434548</v>
      </c>
      <c r="T83" s="57">
        <f>-PV(C_UKEq_detail[[#This Row],[wacc_posttax_real]],notional_term,C_UKEq_detail[[#This Row],[annuity_lcy]])</f>
        <v>385915634.02651155</v>
      </c>
      <c r="U83" s="58">
        <f>INDEX(I_PPP[],MATCH(C_UKEq_detail[[#This Row],[country]],I_PPP[country],0), MATCH(TEXT(C_UKEq_detail[[#This Row],[award_year]], "#"),I_PPP[#Headers],0))</f>
        <v>9.7632429999999992</v>
      </c>
      <c r="V83" s="58">
        <f>INDEX(I_PPP[],MATCH("United Kingdom",I_PPP[country],0), MATCH(TEXT(C_UKEq_detail[[#This Row],[award_year]], "#"),I_PPP[#Headers],0))</f>
        <v>0.68398199999999998</v>
      </c>
      <c r="W83" s="57">
        <f>C_UKEq_detail[[#This Row],[lsv_norm_lcy]]*C_UKEq_detail[[#This Row],[ppp_gbp]]/C_UKEq_detail[[#This Row],[ppp_lcy]]</f>
        <v>27036031.694870386</v>
      </c>
      <c r="X83" s="58">
        <f>eff_cpi_uk/SUMIFS(I_CPI_UK[index],I_CPI_UK[month],TEXT(C_UKEq_detail[[#This Row],[award_date]],"YYYY MMM"))</f>
        <v>1.0203892493049118</v>
      </c>
      <c r="Y83" s="57">
        <f>C_UKEq_detail[[#This Row],[lsv_norm_gbp]]*C_UKEq_detail[[#This Row],[cpi_factor]]</f>
        <v>27587276.085312597</v>
      </c>
      <c r="Z83" s="57">
        <f>INDEX(I_Population[], MATCH(C_UKEq_detail[[#This Row],[country]], I_Population[country], 0), MATCH(TEXT(C_UKEq_detail[[#This Row],[award_year]],"#"), I_Population[#Headers], 0))</f>
        <v>5347896</v>
      </c>
      <c r="AA83" s="58">
        <f>eff_pop_uk/C_UKEq_detail[[#This Row],[population]]</f>
        <v>12.497686379839847</v>
      </c>
      <c r="AB83" s="57">
        <f>C_UKEq_detail[[#This Row],[lsv_real_gbp]]*C_UKEq_detail[[#This Row],[pop_factor]]</f>
        <v>344777124.58829278</v>
      </c>
    </row>
    <row r="84" spans="1:28" x14ac:dyDescent="0.45">
      <c r="A84" s="50" t="s">
        <v>106</v>
      </c>
      <c r="B84" s="50" t="s">
        <v>159</v>
      </c>
      <c r="C84" s="49">
        <v>43621</v>
      </c>
      <c r="D84" s="50" t="s">
        <v>102</v>
      </c>
      <c r="E84" s="25">
        <v>30</v>
      </c>
      <c r="F84" s="25">
        <v>13</v>
      </c>
      <c r="G84" s="50" t="s">
        <v>103</v>
      </c>
      <c r="H84" s="25">
        <v>75000000</v>
      </c>
      <c r="I84" s="25">
        <v>22086000</v>
      </c>
      <c r="J84" s="49">
        <v>43770</v>
      </c>
      <c r="K84">
        <v>2019</v>
      </c>
      <c r="L84">
        <v>0.05</v>
      </c>
      <c r="M84" t="s">
        <v>779</v>
      </c>
      <c r="N84" s="50">
        <v>5.5243243243243242E-2</v>
      </c>
      <c r="O84" t="s">
        <v>779</v>
      </c>
      <c r="P84">
        <v>149</v>
      </c>
      <c r="Q84"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288855478.58744466</v>
      </c>
      <c r="R84" s="57">
        <f>C_UKEq_detail[[#This Row],[lf_pv_lcy]]*(1+C_UKEq_detail[[#This Row],[wacc_posttax_real]])^(YEARFRAC(C_UKEq_detail[[#This Row],[award_date]],C_UKEq_detail[[#This Row],[award_date]]+C_UKEq_detail[[#This Row],[delay_days]])*delay_adj*(C_UKEq_detail[[#This Row],[delay_days]]&gt;delay_threshold))</f>
        <v>288855478.58744466</v>
      </c>
      <c r="S84" s="57">
        <f>-PMT(C_UKEq_detail[[#This Row],[wacc_posttax_real]],C_UKEq_detail[[#This Row],[duration_years]],C_UKEq_detail[[#This Row],[lsv_lcy]])</f>
        <v>31728617.839451272</v>
      </c>
      <c r="T84" s="57">
        <f>-PV(C_UKEq_detail[[#This Row],[wacc_posttax_real]],notional_term,C_UKEq_detail[[#This Row],[annuity_lcy]])</f>
        <v>378405091.26541924</v>
      </c>
      <c r="U84" s="58">
        <f>INDEX(I_PPP[],MATCH(C_UKEq_detail[[#This Row],[country]],I_PPP[country],0), MATCH(TEXT(C_UKEq_detail[[#This Row],[award_year]], "#"),I_PPP[#Headers],0))</f>
        <v>9.7632429999999992</v>
      </c>
      <c r="V84" s="58">
        <f>INDEX(I_PPP[],MATCH("United Kingdom",I_PPP[country],0), MATCH(TEXT(C_UKEq_detail[[#This Row],[award_year]], "#"),I_PPP[#Headers],0))</f>
        <v>0.68398199999999998</v>
      </c>
      <c r="W84" s="57">
        <f>C_UKEq_detail[[#This Row],[lsv_norm_lcy]]*C_UKEq_detail[[#This Row],[ppp_gbp]]/C_UKEq_detail[[#This Row],[ppp_lcy]]</f>
        <v>26509866.765981756</v>
      </c>
      <c r="X84" s="58">
        <f>eff_cpi_uk/SUMIFS(I_CPI_UK[index],I_CPI_UK[month],TEXT(C_UKEq_detail[[#This Row],[award_date]],"YYYY MMM"))</f>
        <v>1.0203892493049118</v>
      </c>
      <c r="Y84" s="57">
        <f>C_UKEq_detail[[#This Row],[lsv_norm_gbp]]*C_UKEq_detail[[#This Row],[cpi_factor]]</f>
        <v>27050383.048513353</v>
      </c>
      <c r="Z84" s="57">
        <f>INDEX(I_Population[], MATCH(C_UKEq_detail[[#This Row],[country]], I_Population[country], 0), MATCH(TEXT(C_UKEq_detail[[#This Row],[award_year]],"#"), I_Population[#Headers], 0))</f>
        <v>5347896</v>
      </c>
      <c r="AA84" s="58">
        <f>eff_pop_uk/C_UKEq_detail[[#This Row],[population]]</f>
        <v>12.497686379839847</v>
      </c>
      <c r="AB84" s="57">
        <f>C_UKEq_detail[[#This Row],[lsv_real_gbp]]*C_UKEq_detail[[#This Row],[pop_factor]]</f>
        <v>338067203.79485601</v>
      </c>
    </row>
    <row r="85" spans="1:28" x14ac:dyDescent="0.45">
      <c r="A85" s="50" t="s">
        <v>701</v>
      </c>
      <c r="B85" s="50" t="s">
        <v>203</v>
      </c>
      <c r="C85" s="49">
        <v>44123</v>
      </c>
      <c r="D85" s="50" t="s">
        <v>647</v>
      </c>
      <c r="E85" s="25">
        <v>60</v>
      </c>
      <c r="F85" s="25">
        <v>24</v>
      </c>
      <c r="G85" s="50" t="s">
        <v>97</v>
      </c>
      <c r="H85" s="25">
        <v>162669056</v>
      </c>
      <c r="I85" s="25">
        <v>2092968</v>
      </c>
      <c r="J85" s="49">
        <v>44123</v>
      </c>
      <c r="K85">
        <v>2020</v>
      </c>
      <c r="L85">
        <v>2.53E-2</v>
      </c>
      <c r="M85" t="s">
        <v>779</v>
      </c>
      <c r="N85" s="50">
        <v>4.599213179247591E-2</v>
      </c>
      <c r="O85" t="s">
        <v>779</v>
      </c>
      <c r="P85">
        <v>0</v>
      </c>
      <c r="Q85"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202121094.59229156</v>
      </c>
      <c r="R85" s="57">
        <f>C_UKEq_detail[[#This Row],[lf_pv_lcy]]*(1+C_UKEq_detail[[#This Row],[wacc_posttax_real]])^(YEARFRAC(C_UKEq_detail[[#This Row],[award_date]],C_UKEq_detail[[#This Row],[award_date]]+C_UKEq_detail[[#This Row],[delay_days]])*delay_adj*(C_UKEq_detail[[#This Row],[delay_days]]&gt;delay_threshold))</f>
        <v>202121094.59229156</v>
      </c>
      <c r="S85" s="57">
        <f>-PMT(C_UKEq_detail[[#This Row],[wacc_posttax_real]],C_UKEq_detail[[#This Row],[duration_years]],C_UKEq_detail[[#This Row],[lsv_lcy]])</f>
        <v>14082130.357579021</v>
      </c>
      <c r="T85" s="57">
        <f>-PV(C_UKEq_detail[[#This Row],[wacc_posttax_real]],notional_term,C_UKEq_detail[[#This Row],[annuity_lcy]])</f>
        <v>181614779.95655406</v>
      </c>
      <c r="U85" s="58">
        <f>INDEX(I_PPP[],MATCH(C_UKEq_detail[[#This Row],[country]],I_PPP[country],0), MATCH(TEXT(C_UKEq_detail[[#This Row],[award_year]], "#"),I_PPP[#Headers],0))</f>
        <v>0.75996200000000003</v>
      </c>
      <c r="V85" s="58">
        <f>INDEX(I_PPP[],MATCH("United Kingdom",I_PPP[country],0), MATCH(TEXT(C_UKEq_detail[[#This Row],[award_year]], "#"),I_PPP[#Headers],0))</f>
        <v>0.71626400000000001</v>
      </c>
      <c r="W85" s="57">
        <f>C_UKEq_detail[[#This Row],[lsv_norm_lcy]]*C_UKEq_detail[[#This Row],[ppp_gbp]]/C_UKEq_detail[[#This Row],[ppp_lcy]]</f>
        <v>171171885.89798072</v>
      </c>
      <c r="X85" s="58">
        <f>eff_cpi_uk/SUMIFS(I_CPI_UK[index],I_CPI_UK[month],TEXT(C_UKEq_detail[[#This Row],[award_date]],"YYYY MMM"))</f>
        <v>1.0091659028414299</v>
      </c>
      <c r="Y85" s="57">
        <f>C_UKEq_detail[[#This Row],[lsv_norm_gbp]]*C_UKEq_detail[[#This Row],[cpi_factor]]</f>
        <v>172740830.77330595</v>
      </c>
      <c r="Z85" s="57">
        <f>INDEX(I_Population[], MATCH(C_UKEq_detail[[#This Row],[country]], I_Population[country], 0), MATCH(TEXT(C_UKEq_detail[[#This Row],[award_year]],"#"), I_Population[#Headers], 0))</f>
        <v>8879920</v>
      </c>
      <c r="AA85" s="58">
        <f>eff_pop_uk/C_UKEq_detail[[#This Row],[population]]</f>
        <v>7.5266812088397197</v>
      </c>
      <c r="AB85" s="57">
        <f>C_UKEq_detail[[#This Row],[lsv_real_gbp]]*C_UKEq_detail[[#This Row],[pop_factor]]</f>
        <v>1300165164.980804</v>
      </c>
    </row>
    <row r="86" spans="1:28" x14ac:dyDescent="0.45">
      <c r="A86" s="50" t="s">
        <v>645</v>
      </c>
      <c r="B86" s="50" t="s">
        <v>203</v>
      </c>
      <c r="C86" s="49">
        <v>44123</v>
      </c>
      <c r="D86" s="50" t="s">
        <v>647</v>
      </c>
      <c r="E86" s="25">
        <v>120</v>
      </c>
      <c r="F86" s="25">
        <v>24</v>
      </c>
      <c r="G86" s="50" t="s">
        <v>97</v>
      </c>
      <c r="H86" s="25">
        <v>184994860</v>
      </c>
      <c r="I86" s="25">
        <v>2092968</v>
      </c>
      <c r="J86" s="49">
        <v>44197</v>
      </c>
      <c r="K86">
        <v>2020</v>
      </c>
      <c r="L86">
        <v>2.53E-2</v>
      </c>
      <c r="M86" t="s">
        <v>779</v>
      </c>
      <c r="N86" s="50">
        <v>4.599213179247591E-2</v>
      </c>
      <c r="O86" t="s">
        <v>779</v>
      </c>
      <c r="P86">
        <v>74</v>
      </c>
      <c r="Q86"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224446898.59229156</v>
      </c>
      <c r="R86" s="57">
        <f>C_UKEq_detail[[#This Row],[lf_pv_lcy]]*(1+C_UKEq_detail[[#This Row],[wacc_posttax_real]])^(YEARFRAC(C_UKEq_detail[[#This Row],[award_date]],C_UKEq_detail[[#This Row],[award_date]]+C_UKEq_detail[[#This Row],[delay_days]])*delay_adj*(C_UKEq_detail[[#This Row],[delay_days]]&gt;delay_threshold))</f>
        <v>224446898.59229156</v>
      </c>
      <c r="S86" s="57">
        <f>-PMT(C_UKEq_detail[[#This Row],[wacc_posttax_real]],C_UKEq_detail[[#This Row],[duration_years]],C_UKEq_detail[[#This Row],[lsv_lcy]])</f>
        <v>15637608.190805389</v>
      </c>
      <c r="T86" s="57">
        <f>-PV(C_UKEq_detail[[#This Row],[wacc_posttax_real]],notional_term,C_UKEq_detail[[#This Row],[annuity_lcy]])</f>
        <v>201675506.36906478</v>
      </c>
      <c r="U86" s="58">
        <f>INDEX(I_PPP[],MATCH(C_UKEq_detail[[#This Row],[country]],I_PPP[country],0), MATCH(TEXT(C_UKEq_detail[[#This Row],[award_year]], "#"),I_PPP[#Headers],0))</f>
        <v>0.75996200000000003</v>
      </c>
      <c r="V86" s="58">
        <f>INDEX(I_PPP[],MATCH("United Kingdom",I_PPP[country],0), MATCH(TEXT(C_UKEq_detail[[#This Row],[award_year]], "#"),I_PPP[#Headers],0))</f>
        <v>0.71626400000000001</v>
      </c>
      <c r="W86" s="57">
        <f>C_UKEq_detail[[#This Row],[lsv_norm_lcy]]*C_UKEq_detail[[#This Row],[ppp_gbp]]/C_UKEq_detail[[#This Row],[ppp_lcy]]</f>
        <v>190079115.65832475</v>
      </c>
      <c r="X86" s="58">
        <f>eff_cpi_uk/SUMIFS(I_CPI_UK[index],I_CPI_UK[month],TEXT(C_UKEq_detail[[#This Row],[award_date]],"YYYY MMM"))</f>
        <v>1.0091659028414299</v>
      </c>
      <c r="Y86" s="57">
        <f>C_UKEq_detail[[#This Row],[lsv_norm_gbp]]*C_UKEq_detail[[#This Row],[cpi_factor]]</f>
        <v>191821362.36463389</v>
      </c>
      <c r="Z86" s="57">
        <f>INDEX(I_Population[], MATCH(C_UKEq_detail[[#This Row],[country]], I_Population[country], 0), MATCH(TEXT(C_UKEq_detail[[#This Row],[award_year]],"#"), I_Population[#Headers], 0))</f>
        <v>8879920</v>
      </c>
      <c r="AA86" s="58">
        <f>eff_pop_uk/C_UKEq_detail[[#This Row],[population]]</f>
        <v>7.5266812088397197</v>
      </c>
      <c r="AB86" s="57">
        <f>C_UKEq_detail[[#This Row],[lsv_real_gbp]]*C_UKEq_detail[[#This Row],[pop_factor]]</f>
        <v>1443778243.5639246</v>
      </c>
    </row>
    <row r="87" spans="1:28" x14ac:dyDescent="0.45">
      <c r="A87" s="50" t="s">
        <v>148</v>
      </c>
      <c r="B87" s="50" t="s">
        <v>149</v>
      </c>
      <c r="C87" s="49">
        <v>44181</v>
      </c>
      <c r="D87" s="50" t="s">
        <v>150</v>
      </c>
      <c r="E87" s="25">
        <v>20</v>
      </c>
      <c r="F87" s="25">
        <v>15</v>
      </c>
      <c r="G87" s="50" t="s">
        <v>97</v>
      </c>
      <c r="H87" s="25">
        <v>50578000</v>
      </c>
      <c r="I87" s="25">
        <v>0</v>
      </c>
      <c r="J87" s="49"/>
      <c r="K87">
        <v>2020</v>
      </c>
      <c r="L87">
        <v>4.9099999999999998E-2</v>
      </c>
      <c r="M87" t="s">
        <v>779</v>
      </c>
      <c r="N87" s="50">
        <v>5.7219572166215774E-2</v>
      </c>
      <c r="O87" t="s">
        <v>779</v>
      </c>
      <c r="P87"/>
      <c r="Q87"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50578000</v>
      </c>
      <c r="R87" s="57">
        <f>C_UKEq_detail[[#This Row],[lf_pv_lcy]]*(1+C_UKEq_detail[[#This Row],[wacc_posttax_real]])^(YEARFRAC(C_UKEq_detail[[#This Row],[award_date]],C_UKEq_detail[[#This Row],[award_date]]+C_UKEq_detail[[#This Row],[delay_days]])*delay_adj*(C_UKEq_detail[[#This Row],[delay_days]]&gt;delay_threshold))</f>
        <v>50578000</v>
      </c>
      <c r="S87" s="57">
        <f>-PMT(C_UKEq_detail[[#This Row],[wacc_posttax_real]],C_UKEq_detail[[#This Row],[duration_years]],C_UKEq_detail[[#This Row],[lsv_lcy]])</f>
        <v>5113457.3237192677</v>
      </c>
      <c r="T87" s="57">
        <f>-PV(C_UKEq_detail[[#This Row],[wacc_posttax_real]],notional_term,C_UKEq_detail[[#This Row],[annuity_lcy]])</f>
        <v>59998085.546183884</v>
      </c>
      <c r="U87" s="58">
        <f>INDEX(I_PPP[],MATCH(C_UKEq_detail[[#This Row],[country]],I_PPP[country],0), MATCH(TEXT(C_UKEq_detail[[#This Row],[award_year]], "#"),I_PPP[#Headers],0))</f>
        <v>0.54554599999999998</v>
      </c>
      <c r="V87" s="58">
        <f>INDEX(I_PPP[],MATCH("United Kingdom",I_PPP[country],0), MATCH(TEXT(C_UKEq_detail[[#This Row],[award_year]], "#"),I_PPP[#Headers],0))</f>
        <v>0.71626400000000001</v>
      </c>
      <c r="W87" s="57">
        <f>C_UKEq_detail[[#This Row],[lsv_norm_lcy]]*C_UKEq_detail[[#This Row],[ppp_gbp]]/C_UKEq_detail[[#This Row],[ppp_lcy]]</f>
        <v>78773318.373981029</v>
      </c>
      <c r="X87" s="58">
        <f>eff_cpi_uk/SUMIFS(I_CPI_UK[index],I_CPI_UK[month],TEXT(C_UKEq_detail[[#This Row],[award_date]],"YYYY MMM"))</f>
        <v>1.0082417582417582</v>
      </c>
      <c r="Y87" s="57">
        <f>C_UKEq_detail[[#This Row],[lsv_norm_gbp]]*C_UKEq_detail[[#This Row],[cpi_factor]]</f>
        <v>79422549.019920424</v>
      </c>
      <c r="Z87" s="57">
        <f>INDEX(I_Population[], MATCH(C_UKEq_detail[[#This Row],[country]], I_Population[country], 0), MATCH(TEXT(C_UKEq_detail[[#This Row],[award_year]],"#"), I_Population[#Headers], 0))</f>
        <v>10717169</v>
      </c>
      <c r="AA87" s="58">
        <f>eff_pop_uk/C_UKEq_detail[[#This Row],[population]]</f>
        <v>6.2363789355192587</v>
      </c>
      <c r="AB87" s="57">
        <f>C_UKEq_detail[[#This Row],[lsv_real_gbp]]*C_UKEq_detail[[#This Row],[pop_factor]]</f>
        <v>495309111.71307749</v>
      </c>
    </row>
    <row r="88" spans="1:28" x14ac:dyDescent="0.45">
      <c r="A88" s="50" t="s">
        <v>148</v>
      </c>
      <c r="B88" s="50" t="s">
        <v>149</v>
      </c>
      <c r="C88" s="49">
        <v>44181</v>
      </c>
      <c r="D88" s="50" t="s">
        <v>85</v>
      </c>
      <c r="E88" s="25">
        <v>20</v>
      </c>
      <c r="F88" s="25">
        <v>15</v>
      </c>
      <c r="G88" s="50" t="s">
        <v>97</v>
      </c>
      <c r="H88" s="25">
        <v>51060000</v>
      </c>
      <c r="I88" s="25">
        <v>0</v>
      </c>
      <c r="J88" s="49"/>
      <c r="K88">
        <v>2020</v>
      </c>
      <c r="L88">
        <v>4.9099999999999998E-2</v>
      </c>
      <c r="M88" t="s">
        <v>779</v>
      </c>
      <c r="N88" s="50">
        <v>5.7219572166215774E-2</v>
      </c>
      <c r="O88" t="s">
        <v>779</v>
      </c>
      <c r="P88"/>
      <c r="Q88"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51060000</v>
      </c>
      <c r="R88" s="57">
        <f>C_UKEq_detail[[#This Row],[lf_pv_lcy]]*(1+C_UKEq_detail[[#This Row],[wacc_posttax_real]])^(YEARFRAC(C_UKEq_detail[[#This Row],[award_date]],C_UKEq_detail[[#This Row],[award_date]]+C_UKEq_detail[[#This Row],[delay_days]])*delay_adj*(C_UKEq_detail[[#This Row],[delay_days]]&gt;delay_threshold))</f>
        <v>51060000</v>
      </c>
      <c r="S88" s="57">
        <f>-PMT(C_UKEq_detail[[#This Row],[wacc_posttax_real]],C_UKEq_detail[[#This Row],[duration_years]],C_UKEq_detail[[#This Row],[lsv_lcy]])</f>
        <v>5162187.7288367637</v>
      </c>
      <c r="T88" s="57">
        <f>-PV(C_UKEq_detail[[#This Row],[wacc_posttax_real]],notional_term,C_UKEq_detail[[#This Row],[annuity_lcy]])</f>
        <v>60569857.408125058</v>
      </c>
      <c r="U88" s="58">
        <f>INDEX(I_PPP[],MATCH(C_UKEq_detail[[#This Row],[country]],I_PPP[country],0), MATCH(TEXT(C_UKEq_detail[[#This Row],[award_year]], "#"),I_PPP[#Headers],0))</f>
        <v>0.54554599999999998</v>
      </c>
      <c r="V88" s="58">
        <f>INDEX(I_PPP[],MATCH("United Kingdom",I_PPP[country],0), MATCH(TEXT(C_UKEq_detail[[#This Row],[award_year]], "#"),I_PPP[#Headers],0))</f>
        <v>0.71626400000000001</v>
      </c>
      <c r="W88" s="57">
        <f>C_UKEq_detail[[#This Row],[lsv_norm_lcy]]*C_UKEq_detail[[#This Row],[ppp_gbp]]/C_UKEq_detail[[#This Row],[ppp_lcy]]</f>
        <v>79524015.108851105</v>
      </c>
      <c r="X88" s="58">
        <f>eff_cpi_uk/SUMIFS(I_CPI_UK[index],I_CPI_UK[month],TEXT(C_UKEq_detail[[#This Row],[award_date]],"YYYY MMM"))</f>
        <v>1.0082417582417582</v>
      </c>
      <c r="Y88" s="57">
        <f>C_UKEq_detail[[#This Row],[lsv_norm_gbp]]*C_UKEq_detail[[#This Row],[cpi_factor]]</f>
        <v>80179432.815792188</v>
      </c>
      <c r="Z88" s="57">
        <f>INDEX(I_Population[], MATCH(C_UKEq_detail[[#This Row],[country]], I_Population[country], 0), MATCH(TEXT(C_UKEq_detail[[#This Row],[award_year]],"#"), I_Population[#Headers], 0))</f>
        <v>10717169</v>
      </c>
      <c r="AA88" s="58">
        <f>eff_pop_uk/C_UKEq_detail[[#This Row],[population]]</f>
        <v>6.2363789355192587</v>
      </c>
      <c r="AB88" s="57">
        <f>C_UKEq_detail[[#This Row],[lsv_real_gbp]]*C_UKEq_detail[[#This Row],[pop_factor]]</f>
        <v>500029325.87428802</v>
      </c>
    </row>
    <row r="89" spans="1:28" x14ac:dyDescent="0.45">
      <c r="A89" s="50" t="s">
        <v>148</v>
      </c>
      <c r="B89" s="50" t="s">
        <v>149</v>
      </c>
      <c r="C89" s="49">
        <v>44181</v>
      </c>
      <c r="D89" s="50" t="s">
        <v>123</v>
      </c>
      <c r="E89" s="25">
        <v>20</v>
      </c>
      <c r="F89" s="25">
        <v>15</v>
      </c>
      <c r="G89" s="50" t="s">
        <v>97</v>
      </c>
      <c r="H89" s="25">
        <v>50080051</v>
      </c>
      <c r="I89" s="25">
        <v>0</v>
      </c>
      <c r="J89" s="49"/>
      <c r="K89">
        <v>2020</v>
      </c>
      <c r="L89">
        <v>4.9099999999999998E-2</v>
      </c>
      <c r="M89" t="s">
        <v>779</v>
      </c>
      <c r="N89" s="50">
        <v>5.7219572166215774E-2</v>
      </c>
      <c r="O89" t="s">
        <v>779</v>
      </c>
      <c r="P89"/>
      <c r="Q89"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50080051</v>
      </c>
      <c r="R89" s="57">
        <f>C_UKEq_detail[[#This Row],[lf_pv_lcy]]*(1+C_UKEq_detail[[#This Row],[wacc_posttax_real]])^(YEARFRAC(C_UKEq_detail[[#This Row],[award_date]],C_UKEq_detail[[#This Row],[award_date]]+C_UKEq_detail[[#This Row],[delay_days]])*delay_adj*(C_UKEq_detail[[#This Row],[delay_days]]&gt;delay_threshold))</f>
        <v>50080051</v>
      </c>
      <c r="S89" s="57">
        <f>-PMT(C_UKEq_detail[[#This Row],[wacc_posttax_real]],C_UKEq_detail[[#This Row],[duration_years]],C_UKEq_detail[[#This Row],[lsv_lcy]])</f>
        <v>5063114.4679145962</v>
      </c>
      <c r="T89" s="57">
        <f>-PV(C_UKEq_detail[[#This Row],[wacc_posttax_real]],notional_term,C_UKEq_detail[[#This Row],[annuity_lcy]])</f>
        <v>59407394.204105578</v>
      </c>
      <c r="U89" s="58">
        <f>INDEX(I_PPP[],MATCH(C_UKEq_detail[[#This Row],[country]],I_PPP[country],0), MATCH(TEXT(C_UKEq_detail[[#This Row],[award_year]], "#"),I_PPP[#Headers],0))</f>
        <v>0.54554599999999998</v>
      </c>
      <c r="V89" s="58">
        <f>INDEX(I_PPP[],MATCH("United Kingdom",I_PPP[country],0), MATCH(TEXT(C_UKEq_detail[[#This Row],[award_year]], "#"),I_PPP[#Headers],0))</f>
        <v>0.71626400000000001</v>
      </c>
      <c r="W89" s="57">
        <f>C_UKEq_detail[[#This Row],[lsv_norm_lcy]]*C_UKEq_detail[[#This Row],[ppp_gbp]]/C_UKEq_detail[[#This Row],[ppp_lcy]]</f>
        <v>77997781.675989717</v>
      </c>
      <c r="X89" s="58">
        <f>eff_cpi_uk/SUMIFS(I_CPI_UK[index],I_CPI_UK[month],TEXT(C_UKEq_detail[[#This Row],[award_date]],"YYYY MMM"))</f>
        <v>1.0082417582417582</v>
      </c>
      <c r="Y89" s="57">
        <f>C_UKEq_detail[[#This Row],[lsv_norm_gbp]]*C_UKEq_detail[[#This Row],[cpi_factor]]</f>
        <v>78640620.535956666</v>
      </c>
      <c r="Z89" s="57">
        <f>INDEX(I_Population[], MATCH(C_UKEq_detail[[#This Row],[country]], I_Population[country], 0), MATCH(TEXT(C_UKEq_detail[[#This Row],[award_year]],"#"), I_Population[#Headers], 0))</f>
        <v>10717169</v>
      </c>
      <c r="AA89" s="58">
        <f>eff_pop_uk/C_UKEq_detail[[#This Row],[population]]</f>
        <v>6.2363789355192587</v>
      </c>
      <c r="AB89" s="57">
        <f>C_UKEq_detail[[#This Row],[lsv_real_gbp]]*C_UKEq_detail[[#This Row],[pop_factor]]</f>
        <v>490432709.38660342</v>
      </c>
    </row>
    <row r="90" spans="1:28" x14ac:dyDescent="0.45">
      <c r="A90" s="50" t="s">
        <v>151</v>
      </c>
      <c r="B90" s="50" t="s">
        <v>149</v>
      </c>
      <c r="C90" s="49">
        <v>44181</v>
      </c>
      <c r="D90" s="50" t="s">
        <v>150</v>
      </c>
      <c r="E90" s="25">
        <v>40</v>
      </c>
      <c r="F90" s="25">
        <v>15</v>
      </c>
      <c r="G90" s="50" t="s">
        <v>97</v>
      </c>
      <c r="H90" s="25">
        <v>35270000</v>
      </c>
      <c r="I90" s="25">
        <v>0</v>
      </c>
      <c r="J90" s="49"/>
      <c r="K90">
        <v>2020</v>
      </c>
      <c r="L90">
        <v>4.9099999999999998E-2</v>
      </c>
      <c r="M90" t="s">
        <v>779</v>
      </c>
      <c r="N90" s="50">
        <v>5.7219572166215774E-2</v>
      </c>
      <c r="O90" t="s">
        <v>779</v>
      </c>
      <c r="P90"/>
      <c r="Q90"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35270000</v>
      </c>
      <c r="R90" s="57">
        <f>C_UKEq_detail[[#This Row],[lf_pv_lcy]]*(1+C_UKEq_detail[[#This Row],[wacc_posttax_real]])^(YEARFRAC(C_UKEq_detail[[#This Row],[award_date]],C_UKEq_detail[[#This Row],[award_date]]+C_UKEq_detail[[#This Row],[delay_days]])*delay_adj*(C_UKEq_detail[[#This Row],[delay_days]]&gt;delay_threshold))</f>
        <v>35270000</v>
      </c>
      <c r="S90" s="57">
        <f>-PMT(C_UKEq_detail[[#This Row],[wacc_posttax_real]],C_UKEq_detail[[#This Row],[duration_years]],C_UKEq_detail[[#This Row],[lsv_lcy]])</f>
        <v>3565812.0093237883</v>
      </c>
      <c r="T90" s="57">
        <f>-PV(C_UKEq_detail[[#This Row],[wacc_posttax_real]],notional_term,C_UKEq_detail[[#This Row],[annuity_lcy]])</f>
        <v>41838990.810508631</v>
      </c>
      <c r="U90" s="58">
        <f>INDEX(I_PPP[],MATCH(C_UKEq_detail[[#This Row],[country]],I_PPP[country],0), MATCH(TEXT(C_UKEq_detail[[#This Row],[award_year]], "#"),I_PPP[#Headers],0))</f>
        <v>0.54554599999999998</v>
      </c>
      <c r="V90" s="58">
        <f>INDEX(I_PPP[],MATCH("United Kingdom",I_PPP[country],0), MATCH(TEXT(C_UKEq_detail[[#This Row],[award_year]], "#"),I_PPP[#Headers],0))</f>
        <v>0.71626400000000001</v>
      </c>
      <c r="W90" s="57">
        <f>C_UKEq_detail[[#This Row],[lsv_norm_lcy]]*C_UKEq_detail[[#This Row],[ppp_gbp]]/C_UKEq_detail[[#This Row],[ppp_lcy]]</f>
        <v>54931688.462381095</v>
      </c>
      <c r="X90" s="58">
        <f>eff_cpi_uk/SUMIFS(I_CPI_UK[index],I_CPI_UK[month],TEXT(C_UKEq_detail[[#This Row],[award_date]],"YYYY MMM"))</f>
        <v>1.0082417582417582</v>
      </c>
      <c r="Y90" s="57">
        <f>C_UKEq_detail[[#This Row],[lsv_norm_gbp]]*C_UKEq_detail[[#This Row],[cpi_factor]]</f>
        <v>55384422.158499621</v>
      </c>
      <c r="Z90" s="57">
        <f>INDEX(I_Population[], MATCH(C_UKEq_detail[[#This Row],[country]], I_Population[country], 0), MATCH(TEXT(C_UKEq_detail[[#This Row],[award_year]],"#"), I_Population[#Headers], 0))</f>
        <v>10717169</v>
      </c>
      <c r="AA90" s="58">
        <f>eff_pop_uk/C_UKEq_detail[[#This Row],[population]]</f>
        <v>6.2363789355192587</v>
      </c>
      <c r="AB90" s="57">
        <f>C_UKEq_detail[[#This Row],[lsv_real_gbp]]*C_UKEq_detail[[#This Row],[pop_factor]]</f>
        <v>345398243.70517313</v>
      </c>
    </row>
    <row r="91" spans="1:28" x14ac:dyDescent="0.45">
      <c r="A91" s="50" t="s">
        <v>151</v>
      </c>
      <c r="B91" s="50" t="s">
        <v>149</v>
      </c>
      <c r="C91" s="49">
        <v>44181</v>
      </c>
      <c r="D91" s="50" t="s">
        <v>85</v>
      </c>
      <c r="E91" s="25">
        <v>40</v>
      </c>
      <c r="F91" s="25">
        <v>15</v>
      </c>
      <c r="G91" s="50" t="s">
        <v>97</v>
      </c>
      <c r="H91" s="25">
        <v>35420000</v>
      </c>
      <c r="I91" s="25">
        <v>0</v>
      </c>
      <c r="J91" s="49"/>
      <c r="K91">
        <v>2020</v>
      </c>
      <c r="L91">
        <v>4.9099999999999998E-2</v>
      </c>
      <c r="M91" t="s">
        <v>779</v>
      </c>
      <c r="N91" s="50">
        <v>5.7219572166215774E-2</v>
      </c>
      <c r="O91" t="s">
        <v>779</v>
      </c>
      <c r="P91"/>
      <c r="Q91"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35420000</v>
      </c>
      <c r="R91" s="57">
        <f>C_UKEq_detail[[#This Row],[lf_pv_lcy]]*(1+C_UKEq_detail[[#This Row],[wacc_posttax_real]])^(YEARFRAC(C_UKEq_detail[[#This Row],[award_date]],C_UKEq_detail[[#This Row],[award_date]]+C_UKEq_detail[[#This Row],[delay_days]])*delay_adj*(C_UKEq_detail[[#This Row],[delay_days]]&gt;delay_threshold))</f>
        <v>35420000</v>
      </c>
      <c r="S91" s="57">
        <f>-PMT(C_UKEq_detail[[#This Row],[wacc_posttax_real]],C_UKEq_detail[[#This Row],[duration_years]],C_UKEq_detail[[#This Row],[lsv_lcy]])</f>
        <v>3580977.0731570339</v>
      </c>
      <c r="T91" s="57">
        <f>-PV(C_UKEq_detail[[#This Row],[wacc_posttax_real]],notional_term,C_UKEq_detail[[#This Row],[annuity_lcy]])</f>
        <v>42016928.111942604</v>
      </c>
      <c r="U91" s="58">
        <f>INDEX(I_PPP[],MATCH(C_UKEq_detail[[#This Row],[country]],I_PPP[country],0), MATCH(TEXT(C_UKEq_detail[[#This Row],[award_year]], "#"),I_PPP[#Headers],0))</f>
        <v>0.54554599999999998</v>
      </c>
      <c r="V91" s="58">
        <f>INDEX(I_PPP[],MATCH("United Kingdom",I_PPP[country],0), MATCH(TEXT(C_UKEq_detail[[#This Row],[award_year]], "#"),I_PPP[#Headers],0))</f>
        <v>0.71626400000000001</v>
      </c>
      <c r="W91" s="57">
        <f>C_UKEq_detail[[#This Row],[lsv_norm_lcy]]*C_UKEq_detail[[#This Row],[ppp_gbp]]/C_UKEq_detail[[#This Row],[ppp_lcy]]</f>
        <v>55165307.778212026</v>
      </c>
      <c r="X91" s="58">
        <f>eff_cpi_uk/SUMIFS(I_CPI_UK[index],I_CPI_UK[month],TEXT(C_UKEq_detail[[#This Row],[award_date]],"YYYY MMM"))</f>
        <v>1.0082417582417582</v>
      </c>
      <c r="Y91" s="57">
        <f>C_UKEq_detail[[#This Row],[lsv_norm_gbp]]*C_UKEq_detail[[#This Row],[cpi_factor]]</f>
        <v>55619966.908252232</v>
      </c>
      <c r="Z91" s="57">
        <f>INDEX(I_Population[], MATCH(C_UKEq_detail[[#This Row],[country]], I_Population[country], 0), MATCH(TEXT(C_UKEq_detail[[#This Row],[award_year]],"#"), I_Population[#Headers], 0))</f>
        <v>10717169</v>
      </c>
      <c r="AA91" s="58">
        <f>eff_pop_uk/C_UKEq_detail[[#This Row],[population]]</f>
        <v>6.2363789355192587</v>
      </c>
      <c r="AB91" s="57">
        <f>C_UKEq_detail[[#This Row],[lsv_real_gbp]]*C_UKEq_detail[[#This Row],[pop_factor]]</f>
        <v>346867190.02090245</v>
      </c>
    </row>
    <row r="92" spans="1:28" x14ac:dyDescent="0.45">
      <c r="A92" s="50" t="s">
        <v>151</v>
      </c>
      <c r="B92" s="50" t="s">
        <v>149</v>
      </c>
      <c r="C92" s="49">
        <v>44181</v>
      </c>
      <c r="D92" s="50" t="s">
        <v>123</v>
      </c>
      <c r="E92" s="25">
        <v>40</v>
      </c>
      <c r="F92" s="25">
        <v>15</v>
      </c>
      <c r="G92" s="50" t="s">
        <v>97</v>
      </c>
      <c r="H92" s="25">
        <v>35420000</v>
      </c>
      <c r="I92" s="25">
        <v>0</v>
      </c>
      <c r="J92" s="49"/>
      <c r="K92">
        <v>2020</v>
      </c>
      <c r="L92">
        <v>4.9099999999999998E-2</v>
      </c>
      <c r="M92" t="s">
        <v>779</v>
      </c>
      <c r="N92" s="50">
        <v>5.7219572166215774E-2</v>
      </c>
      <c r="O92" t="s">
        <v>779</v>
      </c>
      <c r="P92"/>
      <c r="Q92"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35420000</v>
      </c>
      <c r="R92" s="57">
        <f>C_UKEq_detail[[#This Row],[lf_pv_lcy]]*(1+C_UKEq_detail[[#This Row],[wacc_posttax_real]])^(YEARFRAC(C_UKEq_detail[[#This Row],[award_date]],C_UKEq_detail[[#This Row],[award_date]]+C_UKEq_detail[[#This Row],[delay_days]])*delay_adj*(C_UKEq_detail[[#This Row],[delay_days]]&gt;delay_threshold))</f>
        <v>35420000</v>
      </c>
      <c r="S92" s="57">
        <f>-PMT(C_UKEq_detail[[#This Row],[wacc_posttax_real]],C_UKEq_detail[[#This Row],[duration_years]],C_UKEq_detail[[#This Row],[lsv_lcy]])</f>
        <v>3580977.0731570339</v>
      </c>
      <c r="T92" s="57">
        <f>-PV(C_UKEq_detail[[#This Row],[wacc_posttax_real]],notional_term,C_UKEq_detail[[#This Row],[annuity_lcy]])</f>
        <v>42016928.111942604</v>
      </c>
      <c r="U92" s="58">
        <f>INDEX(I_PPP[],MATCH(C_UKEq_detail[[#This Row],[country]],I_PPP[country],0), MATCH(TEXT(C_UKEq_detail[[#This Row],[award_year]], "#"),I_PPP[#Headers],0))</f>
        <v>0.54554599999999998</v>
      </c>
      <c r="V92" s="58">
        <f>INDEX(I_PPP[],MATCH("United Kingdom",I_PPP[country],0), MATCH(TEXT(C_UKEq_detail[[#This Row],[award_year]], "#"),I_PPP[#Headers],0))</f>
        <v>0.71626400000000001</v>
      </c>
      <c r="W92" s="57">
        <f>C_UKEq_detail[[#This Row],[lsv_norm_lcy]]*C_UKEq_detail[[#This Row],[ppp_gbp]]/C_UKEq_detail[[#This Row],[ppp_lcy]]</f>
        <v>55165307.778212026</v>
      </c>
      <c r="X92" s="58">
        <f>eff_cpi_uk/SUMIFS(I_CPI_UK[index],I_CPI_UK[month],TEXT(C_UKEq_detail[[#This Row],[award_date]],"YYYY MMM"))</f>
        <v>1.0082417582417582</v>
      </c>
      <c r="Y92" s="57">
        <f>C_UKEq_detail[[#This Row],[lsv_norm_gbp]]*C_UKEq_detail[[#This Row],[cpi_factor]]</f>
        <v>55619966.908252232</v>
      </c>
      <c r="Z92" s="57">
        <f>INDEX(I_Population[], MATCH(C_UKEq_detail[[#This Row],[country]], I_Population[country], 0), MATCH(TEXT(C_UKEq_detail[[#This Row],[award_year]],"#"), I_Population[#Headers], 0))</f>
        <v>10717169</v>
      </c>
      <c r="AA92" s="58">
        <f>eff_pop_uk/C_UKEq_detail[[#This Row],[population]]</f>
        <v>6.2363789355192587</v>
      </c>
      <c r="AB92" s="57">
        <f>C_UKEq_detail[[#This Row],[lsv_real_gbp]]*C_UKEq_detail[[#This Row],[pop_factor]]</f>
        <v>346867190.02090245</v>
      </c>
    </row>
    <row r="93" spans="1:28" x14ac:dyDescent="0.45">
      <c r="A93" s="50" t="s">
        <v>783</v>
      </c>
      <c r="B93" s="50" t="s">
        <v>149</v>
      </c>
      <c r="C93" s="49">
        <v>44181</v>
      </c>
      <c r="D93" s="50" t="s">
        <v>150</v>
      </c>
      <c r="E93" s="25">
        <v>150</v>
      </c>
      <c r="F93" s="25">
        <v>15</v>
      </c>
      <c r="G93" s="50" t="s">
        <v>97</v>
      </c>
      <c r="H93" s="25">
        <v>30705000</v>
      </c>
      <c r="I93" s="25">
        <v>0</v>
      </c>
      <c r="J93" s="49"/>
      <c r="K93">
        <v>2020</v>
      </c>
      <c r="L93">
        <v>4.9099999999999998E-2</v>
      </c>
      <c r="M93" t="s">
        <v>779</v>
      </c>
      <c r="N93" s="50">
        <v>5.7219572166215774E-2</v>
      </c>
      <c r="O93" t="s">
        <v>779</v>
      </c>
      <c r="P93"/>
      <c r="Q93"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30705000</v>
      </c>
      <c r="R93" s="57">
        <f>C_UKEq_detail[[#This Row],[lf_pv_lcy]]*(1+C_UKEq_detail[[#This Row],[wacc_posttax_real]])^(YEARFRAC(C_UKEq_detail[[#This Row],[award_date]],C_UKEq_detail[[#This Row],[award_date]]+C_UKEq_detail[[#This Row],[delay_days]])*delay_adj*(C_UKEq_detail[[#This Row],[delay_days]]&gt;delay_threshold))</f>
        <v>30705000</v>
      </c>
      <c r="S93" s="57">
        <f>-PMT(C_UKEq_detail[[#This Row],[wacc_posttax_real]],C_UKEq_detail[[#This Row],[duration_years]],C_UKEq_detail[[#This Row],[lsv_lcy]])</f>
        <v>3104288.5666653509</v>
      </c>
      <c r="T93" s="57">
        <f>-PV(C_UKEq_detail[[#This Row],[wacc_posttax_real]],notional_term,C_UKEq_detail[[#This Row],[annuity_lcy]])</f>
        <v>36423765.603534661</v>
      </c>
      <c r="U93" s="58">
        <f>INDEX(I_PPP[],MATCH(C_UKEq_detail[[#This Row],[country]],I_PPP[country],0), MATCH(TEXT(C_UKEq_detail[[#This Row],[award_year]], "#"),I_PPP[#Headers],0))</f>
        <v>0.54554599999999998</v>
      </c>
      <c r="V93" s="58">
        <f>INDEX(I_PPP[],MATCH("United Kingdom",I_PPP[country],0), MATCH(TEXT(C_UKEq_detail[[#This Row],[award_year]], "#"),I_PPP[#Headers],0))</f>
        <v>0.71626400000000001</v>
      </c>
      <c r="W93" s="57">
        <f>C_UKEq_detail[[#This Row],[lsv_norm_lcy]]*C_UKEq_detail[[#This Row],[ppp_gbp]]/C_UKEq_detail[[#This Row],[ppp_lcy]]</f>
        <v>47821873.95059289</v>
      </c>
      <c r="X93" s="58">
        <f>eff_cpi_uk/SUMIFS(I_CPI_UK[index],I_CPI_UK[month],TEXT(C_UKEq_detail[[#This Row],[award_date]],"YYYY MMM"))</f>
        <v>1.0082417582417582</v>
      </c>
      <c r="Y93" s="57">
        <f>C_UKEq_detail[[#This Row],[lsv_norm_gbp]]*C_UKEq_detail[[#This Row],[cpi_factor]]</f>
        <v>48216010.274361514</v>
      </c>
      <c r="Z93" s="57">
        <f>INDEX(I_Population[], MATCH(C_UKEq_detail[[#This Row],[country]], I_Population[country], 0), MATCH(TEXT(C_UKEq_detail[[#This Row],[award_year]],"#"), I_Population[#Headers], 0))</f>
        <v>10717169</v>
      </c>
      <c r="AA93" s="58">
        <f>eff_pop_uk/C_UKEq_detail[[#This Row],[population]]</f>
        <v>6.2363789355192587</v>
      </c>
      <c r="AB93" s="57">
        <f>C_UKEq_detail[[#This Row],[lsv_real_gbp]]*C_UKEq_detail[[#This Row],[pop_factor]]</f>
        <v>300693310.82980829</v>
      </c>
    </row>
    <row r="94" spans="1:28" x14ac:dyDescent="0.45">
      <c r="A94" s="50" t="s">
        <v>783</v>
      </c>
      <c r="B94" s="50" t="s">
        <v>149</v>
      </c>
      <c r="C94" s="49">
        <v>44181</v>
      </c>
      <c r="D94" s="50" t="s">
        <v>85</v>
      </c>
      <c r="E94" s="25">
        <v>140</v>
      </c>
      <c r="F94" s="25">
        <v>15</v>
      </c>
      <c r="G94" s="50" t="s">
        <v>97</v>
      </c>
      <c r="H94" s="25">
        <v>37516000</v>
      </c>
      <c r="I94" s="25">
        <v>0</v>
      </c>
      <c r="J94" s="49"/>
      <c r="K94">
        <v>2020</v>
      </c>
      <c r="L94">
        <v>4.9099999999999998E-2</v>
      </c>
      <c r="M94" t="s">
        <v>779</v>
      </c>
      <c r="N94" s="50">
        <v>5.7219572166215774E-2</v>
      </c>
      <c r="O94" t="s">
        <v>779</v>
      </c>
      <c r="P94"/>
      <c r="Q94"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37516000</v>
      </c>
      <c r="R94" s="57">
        <f>C_UKEq_detail[[#This Row],[lf_pv_lcy]]*(1+C_UKEq_detail[[#This Row],[wacc_posttax_real]])^(YEARFRAC(C_UKEq_detail[[#This Row],[award_date]],C_UKEq_detail[[#This Row],[award_date]]+C_UKEq_detail[[#This Row],[delay_days]])*delay_adj*(C_UKEq_detail[[#This Row],[delay_days]]&gt;delay_threshold))</f>
        <v>37516000</v>
      </c>
      <c r="S94" s="57">
        <f>-PMT(C_UKEq_detail[[#This Row],[wacc_posttax_real]],C_UKEq_detail[[#This Row],[duration_years]],C_UKEq_detail[[#This Row],[lsv_lcy]])</f>
        <v>3792883.5651202505</v>
      </c>
      <c r="T94" s="57">
        <f>-PV(C_UKEq_detail[[#This Row],[wacc_posttax_real]],notional_term,C_UKEq_detail[[#This Row],[annuity_lcy]])</f>
        <v>44503305.337313339</v>
      </c>
      <c r="U94" s="58">
        <f>INDEX(I_PPP[],MATCH(C_UKEq_detail[[#This Row],[country]],I_PPP[country],0), MATCH(TEXT(C_UKEq_detail[[#This Row],[award_year]], "#"),I_PPP[#Headers],0))</f>
        <v>0.54554599999999998</v>
      </c>
      <c r="V94" s="58">
        <f>INDEX(I_PPP[],MATCH("United Kingdom",I_PPP[country],0), MATCH(TEXT(C_UKEq_detail[[#This Row],[award_year]], "#"),I_PPP[#Headers],0))</f>
        <v>0.71626400000000001</v>
      </c>
      <c r="W94" s="57">
        <f>C_UKEq_detail[[#This Row],[lsv_norm_lcy]]*C_UKEq_detail[[#This Row],[ppp_gbp]]/C_UKEq_detail[[#This Row],[ppp_lcy]]</f>
        <v>58429748.351422988</v>
      </c>
      <c r="X94" s="58">
        <f>eff_cpi_uk/SUMIFS(I_CPI_UK[index],I_CPI_UK[month],TEXT(C_UKEq_detail[[#This Row],[award_date]],"YYYY MMM"))</f>
        <v>1.0082417582417582</v>
      </c>
      <c r="Y94" s="57">
        <f>C_UKEq_detail[[#This Row],[lsv_norm_gbp]]*C_UKEq_detail[[#This Row],[cpi_factor]]</f>
        <v>58911312.211462185</v>
      </c>
      <c r="Z94" s="57">
        <f>INDEX(I_Population[], MATCH(C_UKEq_detail[[#This Row],[country]], I_Population[country], 0), MATCH(TEXT(C_UKEq_detail[[#This Row],[award_year]],"#"), I_Population[#Headers], 0))</f>
        <v>10717169</v>
      </c>
      <c r="AA94" s="58">
        <f>eff_pop_uk/C_UKEq_detail[[#This Row],[population]]</f>
        <v>6.2363789355192587</v>
      </c>
      <c r="AB94" s="57">
        <f>C_UKEq_detail[[#This Row],[lsv_real_gbp]]*C_UKEq_detail[[#This Row],[pop_factor]]</f>
        <v>367393266.53936124</v>
      </c>
    </row>
    <row r="95" spans="1:28" x14ac:dyDescent="0.45">
      <c r="A95" s="50" t="s">
        <v>783</v>
      </c>
      <c r="B95" s="50" t="s">
        <v>149</v>
      </c>
      <c r="C95" s="49">
        <v>44181</v>
      </c>
      <c r="D95" s="50" t="s">
        <v>123</v>
      </c>
      <c r="E95" s="25">
        <v>100</v>
      </c>
      <c r="F95" s="25">
        <v>15</v>
      </c>
      <c r="G95" s="50" t="s">
        <v>97</v>
      </c>
      <c r="H95" s="25">
        <v>30306051</v>
      </c>
      <c r="I95" s="25">
        <v>0</v>
      </c>
      <c r="J95" s="49"/>
      <c r="K95">
        <v>2020</v>
      </c>
      <c r="L95">
        <v>4.9099999999999998E-2</v>
      </c>
      <c r="M95" t="s">
        <v>779</v>
      </c>
      <c r="N95" s="50">
        <v>5.7219572166215774E-2</v>
      </c>
      <c r="O95" t="s">
        <v>779</v>
      </c>
      <c r="P95"/>
      <c r="Q95"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30306051</v>
      </c>
      <c r="R95" s="57">
        <f>C_UKEq_detail[[#This Row],[lf_pv_lcy]]*(1+C_UKEq_detail[[#This Row],[wacc_posttax_real]])^(YEARFRAC(C_UKEq_detail[[#This Row],[award_date]],C_UKEq_detail[[#This Row],[award_date]]+C_UKEq_detail[[#This Row],[delay_days]])*delay_adj*(C_UKEq_detail[[#This Row],[delay_days]]&gt;delay_threshold))</f>
        <v>30306051</v>
      </c>
      <c r="S95" s="57">
        <f>-PMT(C_UKEq_detail[[#This Row],[wacc_posttax_real]],C_UKEq_detail[[#This Row],[duration_years]],C_UKEq_detail[[#This Row],[lsv_lcy]])</f>
        <v>3063954.652990621</v>
      </c>
      <c r="T95" s="57">
        <f>-PV(C_UKEq_detail[[#This Row],[wacc_posttax_real]],notional_term,C_UKEq_detail[[#This Row],[annuity_lcy]])</f>
        <v>35950512.880402774</v>
      </c>
      <c r="U95" s="58">
        <f>INDEX(I_PPP[],MATCH(C_UKEq_detail[[#This Row],[country]],I_PPP[country],0), MATCH(TEXT(C_UKEq_detail[[#This Row],[award_year]], "#"),I_PPP[#Headers],0))</f>
        <v>0.54554599999999998</v>
      </c>
      <c r="V95" s="58">
        <f>INDEX(I_PPP[],MATCH("United Kingdom",I_PPP[country],0), MATCH(TEXT(C_UKEq_detail[[#This Row],[award_year]], "#"),I_PPP[#Headers],0))</f>
        <v>0.71626400000000001</v>
      </c>
      <c r="W95" s="57">
        <f>C_UKEq_detail[[#This Row],[lsv_norm_lcy]]*C_UKEq_detail[[#This Row],[ppp_gbp]]/C_UKEq_detail[[#This Row],[ppp_lcy]]</f>
        <v>47200526.001049981</v>
      </c>
      <c r="X95" s="58">
        <f>eff_cpi_uk/SUMIFS(I_CPI_UK[index],I_CPI_UK[month],TEXT(C_UKEq_detail[[#This Row],[award_date]],"YYYY MMM"))</f>
        <v>1.0082417582417582</v>
      </c>
      <c r="Y95" s="57">
        <f>C_UKEq_detail[[#This Row],[lsv_norm_gbp]]*C_UKEq_detail[[#This Row],[cpi_factor]]</f>
        <v>47589541.325234458</v>
      </c>
      <c r="Z95" s="57">
        <f>INDEX(I_Population[], MATCH(C_UKEq_detail[[#This Row],[country]], I_Population[country], 0), MATCH(TEXT(C_UKEq_detail[[#This Row],[award_year]],"#"), I_Population[#Headers], 0))</f>
        <v>10717169</v>
      </c>
      <c r="AA95" s="58">
        <f>eff_pop_uk/C_UKEq_detail[[#This Row],[population]]</f>
        <v>6.2363789355192587</v>
      </c>
      <c r="AB95" s="57">
        <f>C_UKEq_detail[[#This Row],[lsv_real_gbp]]*C_UKEq_detail[[#This Row],[pop_factor]]</f>
        <v>296786413.07171541</v>
      </c>
    </row>
    <row r="96" spans="1:28" x14ac:dyDescent="0.45">
      <c r="A96" s="50" t="s">
        <v>121</v>
      </c>
      <c r="B96" s="50" t="s">
        <v>143</v>
      </c>
      <c r="C96" s="49">
        <v>43916</v>
      </c>
      <c r="D96" s="50" t="s">
        <v>119</v>
      </c>
      <c r="E96" s="25">
        <v>20</v>
      </c>
      <c r="F96" s="25">
        <v>15</v>
      </c>
      <c r="G96" s="50" t="s">
        <v>120</v>
      </c>
      <c r="H96" s="25">
        <v>8440000000</v>
      </c>
      <c r="I96" s="25">
        <v>780000000</v>
      </c>
      <c r="J96" s="49">
        <v>43922</v>
      </c>
      <c r="K96">
        <v>2020</v>
      </c>
      <c r="L96">
        <v>4.2799999999999998E-2</v>
      </c>
      <c r="M96" t="s">
        <v>779</v>
      </c>
      <c r="N96" s="50">
        <v>4.7659208261617882E-2</v>
      </c>
      <c r="O96" t="s">
        <v>779</v>
      </c>
      <c r="P96">
        <v>6</v>
      </c>
      <c r="Q96"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17247288529.731895</v>
      </c>
      <c r="R96" s="57">
        <f>C_UKEq_detail[[#This Row],[lf_pv_lcy]]*(1+C_UKEq_detail[[#This Row],[wacc_posttax_real]])^(YEARFRAC(C_UKEq_detail[[#This Row],[award_date]],C_UKEq_detail[[#This Row],[award_date]]+C_UKEq_detail[[#This Row],[delay_days]])*delay_adj*(C_UKEq_detail[[#This Row],[delay_days]]&gt;delay_threshold))</f>
        <v>17247288529.731895</v>
      </c>
      <c r="S96" s="57">
        <f>-PMT(C_UKEq_detail[[#This Row],[wacc_posttax_real]],C_UKEq_detail[[#This Row],[duration_years]],C_UKEq_detail[[#This Row],[lsv_lcy]])</f>
        <v>1635456263.4500539</v>
      </c>
      <c r="T96" s="57">
        <f>-PV(C_UKEq_detail[[#This Row],[wacc_posttax_real]],notional_term,C_UKEq_detail[[#This Row],[annuity_lcy]])</f>
        <v>20792068533.070061</v>
      </c>
      <c r="U96" s="58">
        <f>INDEX(I_PPP[],MATCH(C_UKEq_detail[[#This Row],[country]],I_PPP[country],0), MATCH(TEXT(C_UKEq_detail[[#This Row],[award_year]], "#"),I_PPP[#Headers],0))</f>
        <v>145.659085</v>
      </c>
      <c r="V96" s="58">
        <f>INDEX(I_PPP[],MATCH("United Kingdom",I_PPP[country],0), MATCH(TEXT(C_UKEq_detail[[#This Row],[award_year]], "#"),I_PPP[#Headers],0))</f>
        <v>0.71626400000000001</v>
      </c>
      <c r="W96" s="57">
        <f>C_UKEq_detail[[#This Row],[lsv_norm_lcy]]*C_UKEq_detail[[#This Row],[ppp_gbp]]/C_UKEq_detail[[#This Row],[ppp_lcy]]</f>
        <v>102242920.00578539</v>
      </c>
      <c r="X96" s="58">
        <f>eff_cpi_uk/SUMIFS(I_CPI_UK[index],I_CPI_UK[month],TEXT(C_UKEq_detail[[#This Row],[award_date]],"YYYY MMM"))</f>
        <v>1.0138121546961325</v>
      </c>
      <c r="Y96" s="57">
        <f>C_UKEq_detail[[#This Row],[lsv_norm_gbp]]*C_UKEq_detail[[#This Row],[cpi_factor]]</f>
        <v>103655115.0334896</v>
      </c>
      <c r="Z96" s="57">
        <f>INDEX(I_Population[], MATCH(C_UKEq_detail[[#This Row],[country]], I_Population[country], 0), MATCH(TEXT(C_UKEq_detail[[#This Row],[award_year]],"#"), I_Population[#Headers], 0))</f>
        <v>9771141</v>
      </c>
      <c r="AA96" s="58">
        <f>eff_pop_uk/C_UKEq_detail[[#This Row],[population]]</f>
        <v>6.8401762905683174</v>
      </c>
      <c r="AB96" s="57">
        <f>C_UKEq_detail[[#This Row],[lsv_real_gbp]]*C_UKEq_detail[[#This Row],[pop_factor]]</f>
        <v>709019260.24820709</v>
      </c>
    </row>
    <row r="97" spans="1:28" x14ac:dyDescent="0.45">
      <c r="A97" s="50" t="s">
        <v>121</v>
      </c>
      <c r="B97" s="50" t="s">
        <v>143</v>
      </c>
      <c r="C97" s="49">
        <v>43916</v>
      </c>
      <c r="D97" s="50" t="s">
        <v>85</v>
      </c>
      <c r="E97" s="25">
        <v>10</v>
      </c>
      <c r="F97" s="25">
        <v>15</v>
      </c>
      <c r="G97" s="50" t="s">
        <v>120</v>
      </c>
      <c r="H97" s="25">
        <v>4400000000</v>
      </c>
      <c r="I97" s="25">
        <v>390000000</v>
      </c>
      <c r="J97" s="49">
        <v>43922</v>
      </c>
      <c r="K97">
        <v>2020</v>
      </c>
      <c r="L97">
        <v>4.2799999999999998E-2</v>
      </c>
      <c r="M97" t="s">
        <v>779</v>
      </c>
      <c r="N97" s="50">
        <v>4.7659208261617882E-2</v>
      </c>
      <c r="O97" t="s">
        <v>779</v>
      </c>
      <c r="P97">
        <v>6</v>
      </c>
      <c r="Q97"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8803644264.8659477</v>
      </c>
      <c r="R97" s="57">
        <f>C_UKEq_detail[[#This Row],[lf_pv_lcy]]*(1+C_UKEq_detail[[#This Row],[wacc_posttax_real]])^(YEARFRAC(C_UKEq_detail[[#This Row],[award_date]],C_UKEq_detail[[#This Row],[award_date]]+C_UKEq_detail[[#This Row],[delay_days]])*delay_adj*(C_UKEq_detail[[#This Row],[delay_days]]&gt;delay_threshold))</f>
        <v>8803644264.8659477</v>
      </c>
      <c r="S97" s="57">
        <f>-PMT(C_UKEq_detail[[#This Row],[wacc_posttax_real]],C_UKEq_detail[[#This Row],[duration_years]],C_UKEq_detail[[#This Row],[lsv_lcy]])</f>
        <v>834796445.21172583</v>
      </c>
      <c r="T97" s="57">
        <f>-PV(C_UKEq_detail[[#This Row],[wacc_posttax_real]],notional_term,C_UKEq_detail[[#This Row],[annuity_lcy]])</f>
        <v>10613029090.359131</v>
      </c>
      <c r="U97" s="58">
        <f>INDEX(I_PPP[],MATCH(C_UKEq_detail[[#This Row],[country]],I_PPP[country],0), MATCH(TEXT(C_UKEq_detail[[#This Row],[award_year]], "#"),I_PPP[#Headers],0))</f>
        <v>145.659085</v>
      </c>
      <c r="V97" s="58">
        <f>INDEX(I_PPP[],MATCH("United Kingdom",I_PPP[country],0), MATCH(TEXT(C_UKEq_detail[[#This Row],[award_year]], "#"),I_PPP[#Headers],0))</f>
        <v>0.71626400000000001</v>
      </c>
      <c r="W97" s="57">
        <f>C_UKEq_detail[[#This Row],[lsv_norm_lcy]]*C_UKEq_detail[[#This Row],[ppp_gbp]]/C_UKEq_detail[[#This Row],[ppp_lcy]]</f>
        <v>52188510.372538671</v>
      </c>
      <c r="X97" s="58">
        <f>eff_cpi_uk/SUMIFS(I_CPI_UK[index],I_CPI_UK[month],TEXT(C_UKEq_detail[[#This Row],[award_date]],"YYYY MMM"))</f>
        <v>1.0138121546961325</v>
      </c>
      <c r="Y97" s="57">
        <f>C_UKEq_detail[[#This Row],[lsv_norm_gbp]]*C_UKEq_detail[[#This Row],[cpi_factor]]</f>
        <v>52909346.151164889</v>
      </c>
      <c r="Z97" s="57">
        <f>INDEX(I_Population[], MATCH(C_UKEq_detail[[#This Row],[country]], I_Population[country], 0), MATCH(TEXT(C_UKEq_detail[[#This Row],[award_year]],"#"), I_Population[#Headers], 0))</f>
        <v>9771141</v>
      </c>
      <c r="AA97" s="58">
        <f>eff_pop_uk/C_UKEq_detail[[#This Row],[population]]</f>
        <v>6.8401762905683174</v>
      </c>
      <c r="AB97" s="57">
        <f>C_UKEq_detail[[#This Row],[lsv_real_gbp]]*C_UKEq_detail[[#This Row],[pop_factor]]</f>
        <v>361909255.09267014</v>
      </c>
    </row>
    <row r="98" spans="1:28" x14ac:dyDescent="0.45">
      <c r="A98" s="50" t="s">
        <v>784</v>
      </c>
      <c r="B98" s="50" t="s">
        <v>143</v>
      </c>
      <c r="C98" s="49">
        <v>43916</v>
      </c>
      <c r="D98" s="50" t="s">
        <v>119</v>
      </c>
      <c r="E98" s="25">
        <v>120</v>
      </c>
      <c r="F98" s="25">
        <v>15</v>
      </c>
      <c r="G98" s="50" t="s">
        <v>120</v>
      </c>
      <c r="H98" s="25">
        <v>19800000000</v>
      </c>
      <c r="I98" s="25">
        <v>1123200000</v>
      </c>
      <c r="J98" s="49">
        <v>43922</v>
      </c>
      <c r="K98">
        <v>2020</v>
      </c>
      <c r="L98">
        <v>4.2799999999999998E-2</v>
      </c>
      <c r="M98" t="s">
        <v>779</v>
      </c>
      <c r="N98" s="50">
        <v>4.7659208261617882E-2</v>
      </c>
      <c r="O98" t="s">
        <v>779</v>
      </c>
      <c r="P98">
        <v>6</v>
      </c>
      <c r="Q98"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32482495482.813934</v>
      </c>
      <c r="R98" s="57">
        <f>C_UKEq_detail[[#This Row],[lf_pv_lcy]]*(1+C_UKEq_detail[[#This Row],[wacc_posttax_real]])^(YEARFRAC(C_UKEq_detail[[#This Row],[award_date]],C_UKEq_detail[[#This Row],[award_date]]+C_UKEq_detail[[#This Row],[delay_days]])*delay_adj*(C_UKEq_detail[[#This Row],[delay_days]]&gt;delay_threshold))</f>
        <v>32482495482.813934</v>
      </c>
      <c r="S98" s="57">
        <f>-PMT(C_UKEq_detail[[#This Row],[wacc_posttax_real]],C_UKEq_detail[[#This Row],[duration_years]],C_UKEq_detail[[#This Row],[lsv_lcy]])</f>
        <v>3080118976.2830467</v>
      </c>
      <c r="T98" s="57">
        <f>-PV(C_UKEq_detail[[#This Row],[wacc_posttax_real]],notional_term,C_UKEq_detail[[#This Row],[annuity_lcy]])</f>
        <v>39158518803.668709</v>
      </c>
      <c r="U98" s="58">
        <f>INDEX(I_PPP[],MATCH(C_UKEq_detail[[#This Row],[country]],I_PPP[country],0), MATCH(TEXT(C_UKEq_detail[[#This Row],[award_year]], "#"),I_PPP[#Headers],0))</f>
        <v>145.659085</v>
      </c>
      <c r="V98" s="58">
        <f>INDEX(I_PPP[],MATCH("United Kingdom",I_PPP[country],0), MATCH(TEXT(C_UKEq_detail[[#This Row],[award_year]], "#"),I_PPP[#Headers],0))</f>
        <v>0.71626400000000001</v>
      </c>
      <c r="W98" s="57">
        <f>C_UKEq_detail[[#This Row],[lsv_norm_lcy]]*C_UKEq_detail[[#This Row],[ppp_gbp]]/C_UKEq_detail[[#This Row],[ppp_lcy]]</f>
        <v>192558104.51089242</v>
      </c>
      <c r="X98" s="58">
        <f>eff_cpi_uk/SUMIFS(I_CPI_UK[index],I_CPI_UK[month],TEXT(C_UKEq_detail[[#This Row],[award_date]],"YYYY MMM"))</f>
        <v>1.0138121546961325</v>
      </c>
      <c r="Y98" s="57">
        <f>C_UKEq_detail[[#This Row],[lsv_norm_gbp]]*C_UKEq_detail[[#This Row],[cpi_factor]]</f>
        <v>195217746.83839092</v>
      </c>
      <c r="Z98" s="57">
        <f>INDEX(I_Population[], MATCH(C_UKEq_detail[[#This Row],[country]], I_Population[country], 0), MATCH(TEXT(C_UKEq_detail[[#This Row],[award_year]],"#"), I_Population[#Headers], 0))</f>
        <v>9771141</v>
      </c>
      <c r="AA98" s="58">
        <f>eff_pop_uk/C_UKEq_detail[[#This Row],[population]]</f>
        <v>6.8401762905683174</v>
      </c>
      <c r="AB98" s="57">
        <f>C_UKEq_detail[[#This Row],[lsv_real_gbp]]*C_UKEq_detail[[#This Row],[pop_factor]]</f>
        <v>1335323803.4221296</v>
      </c>
    </row>
    <row r="99" spans="1:28" x14ac:dyDescent="0.45">
      <c r="A99" s="50" t="s">
        <v>784</v>
      </c>
      <c r="B99" s="50" t="s">
        <v>143</v>
      </c>
      <c r="C99" s="49">
        <v>43916</v>
      </c>
      <c r="D99" s="50" t="s">
        <v>85</v>
      </c>
      <c r="E99" s="25">
        <v>50</v>
      </c>
      <c r="F99" s="25">
        <v>15</v>
      </c>
      <c r="G99" s="50" t="s">
        <v>120</v>
      </c>
      <c r="H99" s="25">
        <v>8250000000</v>
      </c>
      <c r="I99" s="25">
        <v>468000000</v>
      </c>
      <c r="J99" s="49">
        <v>43922</v>
      </c>
      <c r="K99">
        <v>2020</v>
      </c>
      <c r="L99">
        <v>4.2799999999999998E-2</v>
      </c>
      <c r="M99" t="s">
        <v>779</v>
      </c>
      <c r="N99" s="50">
        <v>4.7659208261617882E-2</v>
      </c>
      <c r="O99" t="s">
        <v>779</v>
      </c>
      <c r="P99">
        <v>6</v>
      </c>
      <c r="Q99"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13534373117.839138</v>
      </c>
      <c r="R99" s="57">
        <f>C_UKEq_detail[[#This Row],[lf_pv_lcy]]*(1+C_UKEq_detail[[#This Row],[wacc_posttax_real]])^(YEARFRAC(C_UKEq_detail[[#This Row],[award_date]],C_UKEq_detail[[#This Row],[award_date]]+C_UKEq_detail[[#This Row],[delay_days]])*delay_adj*(C_UKEq_detail[[#This Row],[delay_days]]&gt;delay_threshold))</f>
        <v>13534373117.839138</v>
      </c>
      <c r="S99" s="57">
        <f>-PMT(C_UKEq_detail[[#This Row],[wacc_posttax_real]],C_UKEq_detail[[#This Row],[duration_years]],C_UKEq_detail[[#This Row],[lsv_lcy]])</f>
        <v>1283382906.7846026</v>
      </c>
      <c r="T99" s="57">
        <f>-PV(C_UKEq_detail[[#This Row],[wacc_posttax_real]],notional_term,C_UKEq_detail[[#This Row],[annuity_lcy]])</f>
        <v>16316049501.528627</v>
      </c>
      <c r="U99" s="58">
        <f>INDEX(I_PPP[],MATCH(C_UKEq_detail[[#This Row],[country]],I_PPP[country],0), MATCH(TEXT(C_UKEq_detail[[#This Row],[award_year]], "#"),I_PPP[#Headers],0))</f>
        <v>145.659085</v>
      </c>
      <c r="V99" s="58">
        <f>INDEX(I_PPP[],MATCH("United Kingdom",I_PPP[country],0), MATCH(TEXT(C_UKEq_detail[[#This Row],[award_year]], "#"),I_PPP[#Headers],0))</f>
        <v>0.71626400000000001</v>
      </c>
      <c r="W99" s="57">
        <f>C_UKEq_detail[[#This Row],[lsv_norm_lcy]]*C_UKEq_detail[[#This Row],[ppp_gbp]]/C_UKEq_detail[[#This Row],[ppp_lcy]]</f>
        <v>80232543.546205178</v>
      </c>
      <c r="X99" s="58">
        <f>eff_cpi_uk/SUMIFS(I_CPI_UK[index],I_CPI_UK[month],TEXT(C_UKEq_detail[[#This Row],[award_date]],"YYYY MMM"))</f>
        <v>1.0138121546961325</v>
      </c>
      <c r="Y99" s="57">
        <f>C_UKEq_detail[[#This Row],[lsv_norm_gbp]]*C_UKEq_detail[[#This Row],[cpi_factor]]</f>
        <v>81340727.849329546</v>
      </c>
      <c r="Z99" s="57">
        <f>INDEX(I_Population[], MATCH(C_UKEq_detail[[#This Row],[country]], I_Population[country], 0), MATCH(TEXT(C_UKEq_detail[[#This Row],[award_year]],"#"), I_Population[#Headers], 0))</f>
        <v>9771141</v>
      </c>
      <c r="AA99" s="58">
        <f>eff_pop_uk/C_UKEq_detail[[#This Row],[population]]</f>
        <v>6.8401762905683174</v>
      </c>
      <c r="AB99" s="57">
        <f>C_UKEq_detail[[#This Row],[lsv_real_gbp]]*C_UKEq_detail[[#This Row],[pop_factor]]</f>
        <v>556384918.09255397</v>
      </c>
    </row>
    <row r="100" spans="1:28" x14ac:dyDescent="0.45">
      <c r="A100" s="50" t="s">
        <v>784</v>
      </c>
      <c r="B100" s="50" t="s">
        <v>143</v>
      </c>
      <c r="C100" s="49">
        <v>43916</v>
      </c>
      <c r="D100" s="50" t="s">
        <v>105</v>
      </c>
      <c r="E100" s="25">
        <v>140</v>
      </c>
      <c r="F100" s="25">
        <v>15</v>
      </c>
      <c r="G100" s="50" t="s">
        <v>120</v>
      </c>
      <c r="H100" s="25">
        <v>23100000000</v>
      </c>
      <c r="I100" s="25">
        <v>1310400000</v>
      </c>
      <c r="J100" s="49">
        <v>43922</v>
      </c>
      <c r="K100">
        <v>2020</v>
      </c>
      <c r="L100">
        <v>4.2799999999999998E-2</v>
      </c>
      <c r="M100" t="s">
        <v>779</v>
      </c>
      <c r="N100" s="50">
        <v>4.7659208261617882E-2</v>
      </c>
      <c r="O100" t="s">
        <v>779</v>
      </c>
      <c r="P100">
        <v>6</v>
      </c>
      <c r="Q100"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37896244729.949585</v>
      </c>
      <c r="R100" s="57">
        <f>C_UKEq_detail[[#This Row],[lf_pv_lcy]]*(1+C_UKEq_detail[[#This Row],[wacc_posttax_real]])^(YEARFRAC(C_UKEq_detail[[#This Row],[award_date]],C_UKEq_detail[[#This Row],[award_date]]+C_UKEq_detail[[#This Row],[delay_days]])*delay_adj*(C_UKEq_detail[[#This Row],[delay_days]]&gt;delay_threshold))</f>
        <v>37896244729.949585</v>
      </c>
      <c r="S100" s="57">
        <f>-PMT(C_UKEq_detail[[#This Row],[wacc_posttax_real]],C_UKEq_detail[[#This Row],[duration_years]],C_UKEq_detail[[#This Row],[lsv_lcy]])</f>
        <v>3593472138.9968872</v>
      </c>
      <c r="T100" s="57">
        <f>-PV(C_UKEq_detail[[#This Row],[wacc_posttax_real]],notional_term,C_UKEq_detail[[#This Row],[annuity_lcy]])</f>
        <v>45684938604.280151</v>
      </c>
      <c r="U100" s="58">
        <f>INDEX(I_PPP[],MATCH(C_UKEq_detail[[#This Row],[country]],I_PPP[country],0), MATCH(TEXT(C_UKEq_detail[[#This Row],[award_year]], "#"),I_PPP[#Headers],0))</f>
        <v>145.659085</v>
      </c>
      <c r="V100" s="58">
        <f>INDEX(I_PPP[],MATCH("United Kingdom",I_PPP[country],0), MATCH(TEXT(C_UKEq_detail[[#This Row],[award_year]], "#"),I_PPP[#Headers],0))</f>
        <v>0.71626400000000001</v>
      </c>
      <c r="W100" s="57">
        <f>C_UKEq_detail[[#This Row],[lsv_norm_lcy]]*C_UKEq_detail[[#This Row],[ppp_gbp]]/C_UKEq_detail[[#This Row],[ppp_lcy]]</f>
        <v>224651121.92937446</v>
      </c>
      <c r="X100" s="58">
        <f>eff_cpi_uk/SUMIFS(I_CPI_UK[index],I_CPI_UK[month],TEXT(C_UKEq_detail[[#This Row],[award_date]],"YYYY MMM"))</f>
        <v>1.0138121546961325</v>
      </c>
      <c r="Y100" s="57">
        <f>C_UKEq_detail[[#This Row],[lsv_norm_gbp]]*C_UKEq_detail[[#This Row],[cpi_factor]]</f>
        <v>227754037.97812271</v>
      </c>
      <c r="Z100" s="57">
        <f>INDEX(I_Population[], MATCH(C_UKEq_detail[[#This Row],[country]], I_Population[country], 0), MATCH(TEXT(C_UKEq_detail[[#This Row],[award_year]],"#"), I_Population[#Headers], 0))</f>
        <v>9771141</v>
      </c>
      <c r="AA100" s="58">
        <f>eff_pop_uk/C_UKEq_detail[[#This Row],[population]]</f>
        <v>6.8401762905683174</v>
      </c>
      <c r="AB100" s="57">
        <f>C_UKEq_detail[[#This Row],[lsv_real_gbp]]*C_UKEq_detail[[#This Row],[pop_factor]]</f>
        <v>1557877770.6591511</v>
      </c>
    </row>
    <row r="101" spans="1:28" x14ac:dyDescent="0.45">
      <c r="A101" s="50" t="s">
        <v>756</v>
      </c>
      <c r="B101" s="50" t="s">
        <v>143</v>
      </c>
      <c r="C101" s="49">
        <v>43916</v>
      </c>
      <c r="D101" s="50" t="s">
        <v>119</v>
      </c>
      <c r="E101" s="25">
        <v>20</v>
      </c>
      <c r="F101" s="25">
        <v>20</v>
      </c>
      <c r="G101" s="50" t="s">
        <v>120</v>
      </c>
      <c r="H101" s="25">
        <v>26000000000</v>
      </c>
      <c r="I101" s="25">
        <v>1560000000</v>
      </c>
      <c r="J101" s="49">
        <v>44080</v>
      </c>
      <c r="K101">
        <v>2020</v>
      </c>
      <c r="L101">
        <v>4.2799999999999998E-2</v>
      </c>
      <c r="M101" t="s">
        <v>779</v>
      </c>
      <c r="N101" s="50">
        <v>4.7659208261617882E-2</v>
      </c>
      <c r="O101" t="s">
        <v>779</v>
      </c>
      <c r="P101">
        <v>164</v>
      </c>
      <c r="Q101"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47619980778.986984</v>
      </c>
      <c r="R101" s="57">
        <f>C_UKEq_detail[[#This Row],[lf_pv_lcy]]*(1+C_UKEq_detail[[#This Row],[wacc_posttax_real]])^(YEARFRAC(C_UKEq_detail[[#This Row],[award_date]],C_UKEq_detail[[#This Row],[award_date]]+C_UKEq_detail[[#This Row],[delay_days]])*delay_adj*(C_UKEq_detail[[#This Row],[delay_days]]&gt;delay_threshold))</f>
        <v>47619980778.986984</v>
      </c>
      <c r="S101" s="57">
        <f>-PMT(C_UKEq_detail[[#This Row],[wacc_posttax_real]],C_UKEq_detail[[#This Row],[duration_years]],C_UKEq_detail[[#This Row],[lsv_lcy]])</f>
        <v>3745678103.4794874</v>
      </c>
      <c r="T101" s="57">
        <f>-PV(C_UKEq_detail[[#This Row],[wacc_posttax_real]],notional_term,C_UKEq_detail[[#This Row],[annuity_lcy]])</f>
        <v>47619980778.986954</v>
      </c>
      <c r="U101" s="58">
        <f>INDEX(I_PPP[],MATCH(C_UKEq_detail[[#This Row],[country]],I_PPP[country],0), MATCH(TEXT(C_UKEq_detail[[#This Row],[award_year]], "#"),I_PPP[#Headers],0))</f>
        <v>145.659085</v>
      </c>
      <c r="V101" s="58">
        <f>INDEX(I_PPP[],MATCH("United Kingdom",I_PPP[country],0), MATCH(TEXT(C_UKEq_detail[[#This Row],[award_year]], "#"),I_PPP[#Headers],0))</f>
        <v>0.71626400000000001</v>
      </c>
      <c r="W101" s="57">
        <f>C_UKEq_detail[[#This Row],[lsv_norm_lcy]]*C_UKEq_detail[[#This Row],[ppp_gbp]]/C_UKEq_detail[[#This Row],[ppp_lcy]]</f>
        <v>234166498.52414158</v>
      </c>
      <c r="X101" s="58">
        <f>eff_cpi_uk/SUMIFS(I_CPI_UK[index],I_CPI_UK[month],TEXT(C_UKEq_detail[[#This Row],[award_date]],"YYYY MMM"))</f>
        <v>1.0138121546961325</v>
      </c>
      <c r="Y101" s="57">
        <f>C_UKEq_detail[[#This Row],[lsv_norm_gbp]]*C_UKEq_detail[[#This Row],[cpi_factor]]</f>
        <v>237400842.42640871</v>
      </c>
      <c r="Z101" s="57">
        <f>INDEX(I_Population[], MATCH(C_UKEq_detail[[#This Row],[country]], I_Population[country], 0), MATCH(TEXT(C_UKEq_detail[[#This Row],[award_year]],"#"), I_Population[#Headers], 0))</f>
        <v>9771141</v>
      </c>
      <c r="AA101" s="58">
        <f>eff_pop_uk/C_UKEq_detail[[#This Row],[population]]</f>
        <v>6.8401762905683174</v>
      </c>
      <c r="AB101" s="57">
        <f>C_UKEq_detail[[#This Row],[lsv_real_gbp]]*C_UKEq_detail[[#This Row],[pop_factor]]</f>
        <v>1623863613.7260659</v>
      </c>
    </row>
    <row r="102" spans="1:28" x14ac:dyDescent="0.45">
      <c r="A102" s="50" t="s">
        <v>756</v>
      </c>
      <c r="B102" s="50" t="s">
        <v>143</v>
      </c>
      <c r="C102" s="49">
        <v>43916</v>
      </c>
      <c r="D102" s="50" t="s">
        <v>85</v>
      </c>
      <c r="E102" s="25">
        <v>20</v>
      </c>
      <c r="F102" s="25">
        <v>20</v>
      </c>
      <c r="G102" s="50" t="s">
        <v>120</v>
      </c>
      <c r="H102" s="25">
        <v>26000000000</v>
      </c>
      <c r="I102" s="25">
        <v>1560000000</v>
      </c>
      <c r="J102" s="49">
        <v>44080</v>
      </c>
      <c r="K102">
        <v>2020</v>
      </c>
      <c r="L102">
        <v>4.2799999999999998E-2</v>
      </c>
      <c r="M102" t="s">
        <v>779</v>
      </c>
      <c r="N102" s="50">
        <v>4.7659208261617882E-2</v>
      </c>
      <c r="O102" t="s">
        <v>779</v>
      </c>
      <c r="P102">
        <v>164</v>
      </c>
      <c r="Q102"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47619980778.986984</v>
      </c>
      <c r="R102" s="57">
        <f>C_UKEq_detail[[#This Row],[lf_pv_lcy]]*(1+C_UKEq_detail[[#This Row],[wacc_posttax_real]])^(YEARFRAC(C_UKEq_detail[[#This Row],[award_date]],C_UKEq_detail[[#This Row],[award_date]]+C_UKEq_detail[[#This Row],[delay_days]])*delay_adj*(C_UKEq_detail[[#This Row],[delay_days]]&gt;delay_threshold))</f>
        <v>47619980778.986984</v>
      </c>
      <c r="S102" s="57">
        <f>-PMT(C_UKEq_detail[[#This Row],[wacc_posttax_real]],C_UKEq_detail[[#This Row],[duration_years]],C_UKEq_detail[[#This Row],[lsv_lcy]])</f>
        <v>3745678103.4794874</v>
      </c>
      <c r="T102" s="57">
        <f>-PV(C_UKEq_detail[[#This Row],[wacc_posttax_real]],notional_term,C_UKEq_detail[[#This Row],[annuity_lcy]])</f>
        <v>47619980778.986954</v>
      </c>
      <c r="U102" s="58">
        <f>INDEX(I_PPP[],MATCH(C_UKEq_detail[[#This Row],[country]],I_PPP[country],0), MATCH(TEXT(C_UKEq_detail[[#This Row],[award_year]], "#"),I_PPP[#Headers],0))</f>
        <v>145.659085</v>
      </c>
      <c r="V102" s="58">
        <f>INDEX(I_PPP[],MATCH("United Kingdom",I_PPP[country],0), MATCH(TEXT(C_UKEq_detail[[#This Row],[award_year]], "#"),I_PPP[#Headers],0))</f>
        <v>0.71626400000000001</v>
      </c>
      <c r="W102" s="57">
        <f>C_UKEq_detail[[#This Row],[lsv_norm_lcy]]*C_UKEq_detail[[#This Row],[ppp_gbp]]/C_UKEq_detail[[#This Row],[ppp_lcy]]</f>
        <v>234166498.52414158</v>
      </c>
      <c r="X102" s="58">
        <f>eff_cpi_uk/SUMIFS(I_CPI_UK[index],I_CPI_UK[month],TEXT(C_UKEq_detail[[#This Row],[award_date]],"YYYY MMM"))</f>
        <v>1.0138121546961325</v>
      </c>
      <c r="Y102" s="57">
        <f>C_UKEq_detail[[#This Row],[lsv_norm_gbp]]*C_UKEq_detail[[#This Row],[cpi_factor]]</f>
        <v>237400842.42640871</v>
      </c>
      <c r="Z102" s="57">
        <f>INDEX(I_Population[], MATCH(C_UKEq_detail[[#This Row],[country]], I_Population[country], 0), MATCH(TEXT(C_UKEq_detail[[#This Row],[award_year]],"#"), I_Population[#Headers], 0))</f>
        <v>9771141</v>
      </c>
      <c r="AA102" s="58">
        <f>eff_pop_uk/C_UKEq_detail[[#This Row],[population]]</f>
        <v>6.8401762905683174</v>
      </c>
      <c r="AB102" s="57">
        <f>C_UKEq_detail[[#This Row],[lsv_real_gbp]]*C_UKEq_detail[[#This Row],[pop_factor]]</f>
        <v>1623863613.7260659</v>
      </c>
    </row>
    <row r="103" spans="1:28" x14ac:dyDescent="0.45">
      <c r="A103" s="50" t="s">
        <v>756</v>
      </c>
      <c r="B103" s="50" t="s">
        <v>143</v>
      </c>
      <c r="C103" s="49">
        <v>43916</v>
      </c>
      <c r="D103" s="50" t="s">
        <v>105</v>
      </c>
      <c r="E103" s="25">
        <v>10</v>
      </c>
      <c r="F103" s="25">
        <v>20</v>
      </c>
      <c r="G103" s="50" t="s">
        <v>120</v>
      </c>
      <c r="H103" s="25">
        <v>12500000001</v>
      </c>
      <c r="I103" s="25">
        <v>780000000</v>
      </c>
      <c r="J103" s="49">
        <v>44080</v>
      </c>
      <c r="K103">
        <v>2020</v>
      </c>
      <c r="L103">
        <v>4.2799999999999998E-2</v>
      </c>
      <c r="M103" t="s">
        <v>779</v>
      </c>
      <c r="N103" s="50">
        <v>4.7659208261617882E-2</v>
      </c>
      <c r="O103" t="s">
        <v>779</v>
      </c>
      <c r="P103">
        <v>164</v>
      </c>
      <c r="Q103"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23309990390.493492</v>
      </c>
      <c r="R103" s="57">
        <f>C_UKEq_detail[[#This Row],[lf_pv_lcy]]*(1+C_UKEq_detail[[#This Row],[wacc_posttax_real]])^(YEARFRAC(C_UKEq_detail[[#This Row],[award_date]],C_UKEq_detail[[#This Row],[award_date]]+C_UKEq_detail[[#This Row],[delay_days]])*delay_adj*(C_UKEq_detail[[#This Row],[delay_days]]&gt;delay_threshold))</f>
        <v>23309990390.493492</v>
      </c>
      <c r="S103" s="57">
        <f>-PMT(C_UKEq_detail[[#This Row],[wacc_posttax_real]],C_UKEq_detail[[#This Row],[duration_years]],C_UKEq_detail[[#This Row],[lsv_lcy]])</f>
        <v>1833510202.4341075</v>
      </c>
      <c r="T103" s="57">
        <f>-PV(C_UKEq_detail[[#This Row],[wacc_posttax_real]],notional_term,C_UKEq_detail[[#This Row],[annuity_lcy]])</f>
        <v>23309990390.493473</v>
      </c>
      <c r="U103" s="58">
        <f>INDEX(I_PPP[],MATCH(C_UKEq_detail[[#This Row],[country]],I_PPP[country],0), MATCH(TEXT(C_UKEq_detail[[#This Row],[award_year]], "#"),I_PPP[#Headers],0))</f>
        <v>145.659085</v>
      </c>
      <c r="V103" s="58">
        <f>INDEX(I_PPP[],MATCH("United Kingdom",I_PPP[country],0), MATCH(TEXT(C_UKEq_detail[[#This Row],[award_year]], "#"),I_PPP[#Headers],0))</f>
        <v>0.71626400000000001</v>
      </c>
      <c r="W103" s="57">
        <f>C_UKEq_detail[[#This Row],[lsv_norm_lcy]]*C_UKEq_detail[[#This Row],[ppp_gbp]]/C_UKEq_detail[[#This Row],[ppp_lcy]]</f>
        <v>114624549.21405292</v>
      </c>
      <c r="X103" s="58">
        <f>eff_cpi_uk/SUMIFS(I_CPI_UK[index],I_CPI_UK[month],TEXT(C_UKEq_detail[[#This Row],[award_date]],"YYYY MMM"))</f>
        <v>1.0138121546961325</v>
      </c>
      <c r="Y103" s="57">
        <f>C_UKEq_detail[[#This Row],[lsv_norm_gbp]]*C_UKEq_detail[[#This Row],[cpi_factor]]</f>
        <v>116207761.21977186</v>
      </c>
      <c r="Z103" s="57">
        <f>INDEX(I_Population[], MATCH(C_UKEq_detail[[#This Row],[country]], I_Population[country], 0), MATCH(TEXT(C_UKEq_detail[[#This Row],[award_year]],"#"), I_Population[#Headers], 0))</f>
        <v>9771141</v>
      </c>
      <c r="AA103" s="58">
        <f>eff_pop_uk/C_UKEq_detail[[#This Row],[population]]</f>
        <v>6.8401762905683174</v>
      </c>
      <c r="AB103" s="57">
        <f>C_UKEq_detail[[#This Row],[lsv_real_gbp]]*C_UKEq_detail[[#This Row],[pop_factor]]</f>
        <v>794881573.07550788</v>
      </c>
    </row>
    <row r="104" spans="1:28" x14ac:dyDescent="0.45">
      <c r="A104" s="50" t="s">
        <v>757</v>
      </c>
      <c r="B104" s="50" t="s">
        <v>143</v>
      </c>
      <c r="C104" s="49">
        <v>43916</v>
      </c>
      <c r="D104" s="50" t="s">
        <v>119</v>
      </c>
      <c r="E104" s="25">
        <v>20</v>
      </c>
      <c r="F104" s="25">
        <v>20</v>
      </c>
      <c r="G104" s="50" t="s">
        <v>120</v>
      </c>
      <c r="H104" s="25">
        <v>8440000000</v>
      </c>
      <c r="I104" s="25">
        <v>780000000</v>
      </c>
      <c r="J104" s="49">
        <v>43922</v>
      </c>
      <c r="K104">
        <v>2020</v>
      </c>
      <c r="L104">
        <v>4.2799999999999998E-2</v>
      </c>
      <c r="M104" t="s">
        <v>779</v>
      </c>
      <c r="N104" s="50">
        <v>4.7659208261617882E-2</v>
      </c>
      <c r="O104" t="s">
        <v>779</v>
      </c>
      <c r="P104">
        <v>6</v>
      </c>
      <c r="Q104"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19249990389.493492</v>
      </c>
      <c r="R104" s="57">
        <f>C_UKEq_detail[[#This Row],[lf_pv_lcy]]*(1+C_UKEq_detail[[#This Row],[wacc_posttax_real]])^(YEARFRAC(C_UKEq_detail[[#This Row],[award_date]],C_UKEq_detail[[#This Row],[award_date]]+C_UKEq_detail[[#This Row],[delay_days]])*delay_adj*(C_UKEq_detail[[#This Row],[delay_days]]&gt;delay_threshold))</f>
        <v>19249990389.493492</v>
      </c>
      <c r="S104" s="57">
        <f>-PMT(C_UKEq_detail[[#This Row],[wacc_posttax_real]],C_UKEq_detail[[#This Row],[duration_years]],C_UKEq_detail[[#This Row],[lsv_lcy]])</f>
        <v>1514159945.3549843</v>
      </c>
      <c r="T104" s="57">
        <f>-PV(C_UKEq_detail[[#This Row],[wacc_posttax_real]],notional_term,C_UKEq_detail[[#This Row],[annuity_lcy]])</f>
        <v>19249990389.493477</v>
      </c>
      <c r="U104" s="58">
        <f>INDEX(I_PPP[],MATCH(C_UKEq_detail[[#This Row],[country]],I_PPP[country],0), MATCH(TEXT(C_UKEq_detail[[#This Row],[award_year]], "#"),I_PPP[#Headers],0))</f>
        <v>145.659085</v>
      </c>
      <c r="V104" s="58">
        <f>INDEX(I_PPP[],MATCH("United Kingdom",I_PPP[country],0), MATCH(TEXT(C_UKEq_detail[[#This Row],[award_year]], "#"),I_PPP[#Headers],0))</f>
        <v>0.71626400000000001</v>
      </c>
      <c r="W104" s="57">
        <f>C_UKEq_detail[[#This Row],[lsv_norm_lcy]]*C_UKEq_detail[[#This Row],[ppp_gbp]]/C_UKEq_detail[[#This Row],[ppp_lcy]]</f>
        <v>94659904.779301316</v>
      </c>
      <c r="X104" s="58">
        <f>eff_cpi_uk/SUMIFS(I_CPI_UK[index],I_CPI_UK[month],TEXT(C_UKEq_detail[[#This Row],[award_date]],"YYYY MMM"))</f>
        <v>1.0138121546961325</v>
      </c>
      <c r="Y104" s="57">
        <f>C_UKEq_detail[[#This Row],[lsv_norm_gbp]]*C_UKEq_detail[[#This Row],[cpi_factor]]</f>
        <v>95967362.027634203</v>
      </c>
      <c r="Z104" s="57">
        <f>INDEX(I_Population[], MATCH(C_UKEq_detail[[#This Row],[country]], I_Population[country], 0), MATCH(TEXT(C_UKEq_detail[[#This Row],[award_year]],"#"), I_Population[#Headers], 0))</f>
        <v>9771141</v>
      </c>
      <c r="AA104" s="58">
        <f>eff_pop_uk/C_UKEq_detail[[#This Row],[population]]</f>
        <v>6.8401762905683174</v>
      </c>
      <c r="AB104" s="57">
        <f>C_UKEq_detail[[#This Row],[lsv_real_gbp]]*C_UKEq_detail[[#This Row],[pop_factor]]</f>
        <v>656433674.40980971</v>
      </c>
    </row>
    <row r="105" spans="1:28" x14ac:dyDescent="0.45">
      <c r="A105" s="50" t="s">
        <v>757</v>
      </c>
      <c r="B105" s="50" t="s">
        <v>143</v>
      </c>
      <c r="C105" s="49">
        <v>43916</v>
      </c>
      <c r="D105" s="50" t="s">
        <v>85</v>
      </c>
      <c r="E105" s="25">
        <v>10</v>
      </c>
      <c r="F105" s="25">
        <v>20</v>
      </c>
      <c r="G105" s="50" t="s">
        <v>120</v>
      </c>
      <c r="H105" s="25">
        <v>4400000000</v>
      </c>
      <c r="I105" s="25">
        <v>390000000</v>
      </c>
      <c r="J105" s="49">
        <v>43922</v>
      </c>
      <c r="K105">
        <v>2020</v>
      </c>
      <c r="L105">
        <v>4.2799999999999998E-2</v>
      </c>
      <c r="M105" t="s">
        <v>779</v>
      </c>
      <c r="N105" s="50">
        <v>4.7659208261617882E-2</v>
      </c>
      <c r="O105" t="s">
        <v>779</v>
      </c>
      <c r="P105">
        <v>6</v>
      </c>
      <c r="Q105"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9804995194.7467461</v>
      </c>
      <c r="R105" s="57">
        <f>C_UKEq_detail[[#This Row],[lf_pv_lcy]]*(1+C_UKEq_detail[[#This Row],[wacc_posttax_real]])^(YEARFRAC(C_UKEq_detail[[#This Row],[award_date]],C_UKEq_detail[[#This Row],[award_date]]+C_UKEq_detail[[#This Row],[delay_days]])*delay_adj*(C_UKEq_detail[[#This Row],[delay_days]]&gt;delay_threshold))</f>
        <v>9804995194.7467461</v>
      </c>
      <c r="S105" s="57">
        <f>-PMT(C_UKEq_detail[[#This Row],[wacc_posttax_real]],C_UKEq_detail[[#This Row],[duration_years]],C_UKEq_detail[[#This Row],[lsv_lcy]])</f>
        <v>771238358.45583797</v>
      </c>
      <c r="T105" s="57">
        <f>-PV(C_UKEq_detail[[#This Row],[wacc_posttax_real]],notional_term,C_UKEq_detail[[#This Row],[annuity_lcy]])</f>
        <v>9804995194.7467403</v>
      </c>
      <c r="U105" s="58">
        <f>INDEX(I_PPP[],MATCH(C_UKEq_detail[[#This Row],[country]],I_PPP[country],0), MATCH(TEXT(C_UKEq_detail[[#This Row],[award_year]], "#"),I_PPP[#Headers],0))</f>
        <v>145.659085</v>
      </c>
      <c r="V105" s="58">
        <f>INDEX(I_PPP[],MATCH("United Kingdom",I_PPP[country],0), MATCH(TEXT(C_UKEq_detail[[#This Row],[award_year]], "#"),I_PPP[#Headers],0))</f>
        <v>0.71626400000000001</v>
      </c>
      <c r="W105" s="57">
        <f>C_UKEq_detail[[#This Row],[lsv_norm_lcy]]*C_UKEq_detail[[#This Row],[ppp_gbp]]/C_UKEq_detail[[#This Row],[ppp_lcy]]</f>
        <v>48215084.40870735</v>
      </c>
      <c r="X105" s="58">
        <f>eff_cpi_uk/SUMIFS(I_CPI_UK[index],I_CPI_UK[month],TEXT(C_UKEq_detail[[#This Row],[award_date]],"YYYY MMM"))</f>
        <v>1.0138121546961325</v>
      </c>
      <c r="Y105" s="57">
        <f>C_UKEq_detail[[#This Row],[lsv_norm_gbp]]*C_UKEq_detail[[#This Row],[cpi_factor]]</f>
        <v>48881038.613247506</v>
      </c>
      <c r="Z105" s="57">
        <f>INDEX(I_Population[], MATCH(C_UKEq_detail[[#This Row],[country]], I_Population[country], 0), MATCH(TEXT(C_UKEq_detail[[#This Row],[award_year]],"#"), I_Population[#Headers], 0))</f>
        <v>9771141</v>
      </c>
      <c r="AA105" s="58">
        <f>eff_pop_uk/C_UKEq_detail[[#This Row],[population]]</f>
        <v>6.8401762905683174</v>
      </c>
      <c r="AB105" s="57">
        <f>C_UKEq_detail[[#This Row],[lsv_real_gbp]]*C_UKEq_detail[[#This Row],[pop_factor]]</f>
        <v>334354921.38069004</v>
      </c>
    </row>
    <row r="106" spans="1:28" x14ac:dyDescent="0.45">
      <c r="A106" s="50" t="s">
        <v>795</v>
      </c>
      <c r="B106" s="50" t="s">
        <v>143</v>
      </c>
      <c r="C106" s="49">
        <v>43916</v>
      </c>
      <c r="D106" s="50" t="s">
        <v>119</v>
      </c>
      <c r="E106" s="25">
        <v>120</v>
      </c>
      <c r="F106" s="25">
        <v>20</v>
      </c>
      <c r="G106" s="50" t="s">
        <v>120</v>
      </c>
      <c r="H106" s="25">
        <v>19800000000</v>
      </c>
      <c r="I106" s="25">
        <v>1123200000</v>
      </c>
      <c r="J106" s="49">
        <v>43922</v>
      </c>
      <c r="K106">
        <v>2020</v>
      </c>
      <c r="L106">
        <v>4.2799999999999998E-2</v>
      </c>
      <c r="M106" t="s">
        <v>779</v>
      </c>
      <c r="N106" s="50">
        <v>4.7659208261617882E-2</v>
      </c>
      <c r="O106" t="s">
        <v>779</v>
      </c>
      <c r="P106">
        <v>6</v>
      </c>
      <c r="Q106"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35366386160.870628</v>
      </c>
      <c r="R106" s="57">
        <f>C_UKEq_detail[[#This Row],[lf_pv_lcy]]*(1+C_UKEq_detail[[#This Row],[wacc_posttax_real]])^(YEARFRAC(C_UKEq_detail[[#This Row],[award_date]],C_UKEq_detail[[#This Row],[award_date]]+C_UKEq_detail[[#This Row],[delay_days]])*delay_adj*(C_UKEq_detail[[#This Row],[delay_days]]&gt;delay_threshold))</f>
        <v>35366386160.870628</v>
      </c>
      <c r="S106" s="57">
        <f>-PMT(C_UKEq_detail[[#This Row],[wacc_posttax_real]],C_UKEq_detail[[#This Row],[duration_years]],C_UKEq_detail[[#This Row],[lsv_lcy]])</f>
        <v>2781838549.1753054</v>
      </c>
      <c r="T106" s="57">
        <f>-PV(C_UKEq_detail[[#This Row],[wacc_posttax_real]],notional_term,C_UKEq_detail[[#This Row],[annuity_lcy]])</f>
        <v>35366386160.870598</v>
      </c>
      <c r="U106" s="58">
        <f>INDEX(I_PPP[],MATCH(C_UKEq_detail[[#This Row],[country]],I_PPP[country],0), MATCH(TEXT(C_UKEq_detail[[#This Row],[award_year]], "#"),I_PPP[#Headers],0))</f>
        <v>145.659085</v>
      </c>
      <c r="V106" s="58">
        <f>INDEX(I_PPP[],MATCH("United Kingdom",I_PPP[country],0), MATCH(TEXT(C_UKEq_detail[[#This Row],[award_year]], "#"),I_PPP[#Headers],0))</f>
        <v>0.71626400000000001</v>
      </c>
      <c r="W106" s="57">
        <f>C_UKEq_detail[[#This Row],[lsv_norm_lcy]]*C_UKEq_detail[[#This Row],[ppp_gbp]]/C_UKEq_detail[[#This Row],[ppp_lcy]]</f>
        <v>173910671.05172202</v>
      </c>
      <c r="X106" s="58">
        <f>eff_cpi_uk/SUMIFS(I_CPI_UK[index],I_CPI_UK[month],TEXT(C_UKEq_detail[[#This Row],[award_date]],"YYYY MMM"))</f>
        <v>1.0138121546961325</v>
      </c>
      <c r="Y106" s="57">
        <f>C_UKEq_detail[[#This Row],[lsv_norm_gbp]]*C_UKEq_detail[[#This Row],[cpi_factor]]</f>
        <v>176312752.14359662</v>
      </c>
      <c r="Z106" s="57">
        <f>INDEX(I_Population[], MATCH(C_UKEq_detail[[#This Row],[country]], I_Population[country], 0), MATCH(TEXT(C_UKEq_detail[[#This Row],[award_year]],"#"), I_Population[#Headers], 0))</f>
        <v>9771141</v>
      </c>
      <c r="AA106" s="58">
        <f>eff_pop_uk/C_UKEq_detail[[#This Row],[population]]</f>
        <v>6.8401762905683174</v>
      </c>
      <c r="AB106" s="57">
        <f>C_UKEq_detail[[#This Row],[lsv_real_gbp]]*C_UKEq_detail[[#This Row],[pop_factor]]</f>
        <v>1206010306.9374778</v>
      </c>
    </row>
    <row r="107" spans="1:28" x14ac:dyDescent="0.45">
      <c r="A107" s="50" t="s">
        <v>795</v>
      </c>
      <c r="B107" s="50" t="s">
        <v>143</v>
      </c>
      <c r="C107" s="49">
        <v>43916</v>
      </c>
      <c r="D107" s="50" t="s">
        <v>85</v>
      </c>
      <c r="E107" s="25">
        <v>50</v>
      </c>
      <c r="F107" s="25">
        <v>20</v>
      </c>
      <c r="G107" s="50" t="s">
        <v>120</v>
      </c>
      <c r="H107" s="25">
        <v>8250000000</v>
      </c>
      <c r="I107" s="25">
        <v>468000000</v>
      </c>
      <c r="J107" s="49">
        <v>43922</v>
      </c>
      <c r="K107">
        <v>2020</v>
      </c>
      <c r="L107">
        <v>4.2799999999999998E-2</v>
      </c>
      <c r="M107" t="s">
        <v>779</v>
      </c>
      <c r="N107" s="50">
        <v>4.7659208261617882E-2</v>
      </c>
      <c r="O107" t="s">
        <v>779</v>
      </c>
      <c r="P107">
        <v>6</v>
      </c>
      <c r="Q107"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14735994233.696095</v>
      </c>
      <c r="R107" s="57">
        <f>C_UKEq_detail[[#This Row],[lf_pv_lcy]]*(1+C_UKEq_detail[[#This Row],[wacc_posttax_real]])^(YEARFRAC(C_UKEq_detail[[#This Row],[award_date]],C_UKEq_detail[[#This Row],[award_date]]+C_UKEq_detail[[#This Row],[delay_days]])*delay_adj*(C_UKEq_detail[[#This Row],[delay_days]]&gt;delay_threshold))</f>
        <v>14735994233.696095</v>
      </c>
      <c r="S107" s="57">
        <f>-PMT(C_UKEq_detail[[#This Row],[wacc_posttax_real]],C_UKEq_detail[[#This Row],[duration_years]],C_UKEq_detail[[#This Row],[lsv_lcy]])</f>
        <v>1159099395.4897103</v>
      </c>
      <c r="T107" s="57">
        <f>-PV(C_UKEq_detail[[#This Row],[wacc_posttax_real]],notional_term,C_UKEq_detail[[#This Row],[annuity_lcy]])</f>
        <v>14735994233.696081</v>
      </c>
      <c r="U107" s="58">
        <f>INDEX(I_PPP[],MATCH(C_UKEq_detail[[#This Row],[country]],I_PPP[country],0), MATCH(TEXT(C_UKEq_detail[[#This Row],[award_year]], "#"),I_PPP[#Headers],0))</f>
        <v>145.659085</v>
      </c>
      <c r="V107" s="58">
        <f>INDEX(I_PPP[],MATCH("United Kingdom",I_PPP[country],0), MATCH(TEXT(C_UKEq_detail[[#This Row],[award_year]], "#"),I_PPP[#Headers],0))</f>
        <v>0.71626400000000001</v>
      </c>
      <c r="W107" s="57">
        <f>C_UKEq_detail[[#This Row],[lsv_norm_lcy]]*C_UKEq_detail[[#This Row],[ppp_gbp]]/C_UKEq_detail[[#This Row],[ppp_lcy]]</f>
        <v>72462779.604884177</v>
      </c>
      <c r="X107" s="58">
        <f>eff_cpi_uk/SUMIFS(I_CPI_UK[index],I_CPI_UK[month],TEXT(C_UKEq_detail[[#This Row],[award_date]],"YYYY MMM"))</f>
        <v>1.0138121546961325</v>
      </c>
      <c r="Y107" s="57">
        <f>C_UKEq_detail[[#This Row],[lsv_norm_gbp]]*C_UKEq_detail[[#This Row],[cpi_factor]]</f>
        <v>73463646.726498589</v>
      </c>
      <c r="Z107" s="57">
        <f>INDEX(I_Population[], MATCH(C_UKEq_detail[[#This Row],[country]], I_Population[country], 0), MATCH(TEXT(C_UKEq_detail[[#This Row],[award_year]],"#"), I_Population[#Headers], 0))</f>
        <v>9771141</v>
      </c>
      <c r="AA107" s="58">
        <f>eff_pop_uk/C_UKEq_detail[[#This Row],[population]]</f>
        <v>6.8401762905683174</v>
      </c>
      <c r="AB107" s="57">
        <f>C_UKEq_detail[[#This Row],[lsv_real_gbp]]*C_UKEq_detail[[#This Row],[pop_factor]]</f>
        <v>502504294.55728245</v>
      </c>
    </row>
    <row r="108" spans="1:28" x14ac:dyDescent="0.45">
      <c r="A108" s="50" t="s">
        <v>795</v>
      </c>
      <c r="B108" s="50" t="s">
        <v>143</v>
      </c>
      <c r="C108" s="49">
        <v>43916</v>
      </c>
      <c r="D108" s="50" t="s">
        <v>105</v>
      </c>
      <c r="E108" s="25">
        <v>140</v>
      </c>
      <c r="F108" s="25">
        <v>20</v>
      </c>
      <c r="G108" s="50" t="s">
        <v>120</v>
      </c>
      <c r="H108" s="25">
        <v>23100000000</v>
      </c>
      <c r="I108" s="25">
        <v>1310400000</v>
      </c>
      <c r="J108" s="49">
        <v>43922</v>
      </c>
      <c r="K108">
        <v>2020</v>
      </c>
      <c r="L108">
        <v>4.2799999999999998E-2</v>
      </c>
      <c r="M108" t="s">
        <v>779</v>
      </c>
      <c r="N108" s="50">
        <v>4.7659208261617882E-2</v>
      </c>
      <c r="O108" t="s">
        <v>779</v>
      </c>
      <c r="P108">
        <v>6</v>
      </c>
      <c r="Q108"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41260783854.34906</v>
      </c>
      <c r="R108" s="57">
        <f>C_UKEq_detail[[#This Row],[lf_pv_lcy]]*(1+C_UKEq_detail[[#This Row],[wacc_posttax_real]])^(YEARFRAC(C_UKEq_detail[[#This Row],[award_date]],C_UKEq_detail[[#This Row],[award_date]]+C_UKEq_detail[[#This Row],[delay_days]])*delay_adj*(C_UKEq_detail[[#This Row],[delay_days]]&gt;delay_threshold))</f>
        <v>41260783854.34906</v>
      </c>
      <c r="S108" s="57">
        <f>-PMT(C_UKEq_detail[[#This Row],[wacc_posttax_real]],C_UKEq_detail[[#This Row],[duration_years]],C_UKEq_detail[[#This Row],[lsv_lcy]])</f>
        <v>3245478307.3711891</v>
      </c>
      <c r="T108" s="57">
        <f>-PV(C_UKEq_detail[[#This Row],[wacc_posttax_real]],notional_term,C_UKEq_detail[[#This Row],[annuity_lcy]])</f>
        <v>41260783854.34903</v>
      </c>
      <c r="U108" s="58">
        <f>INDEX(I_PPP[],MATCH(C_UKEq_detail[[#This Row],[country]],I_PPP[country],0), MATCH(TEXT(C_UKEq_detail[[#This Row],[award_year]], "#"),I_PPP[#Headers],0))</f>
        <v>145.659085</v>
      </c>
      <c r="V108" s="58">
        <f>INDEX(I_PPP[],MATCH("United Kingdom",I_PPP[country],0), MATCH(TEXT(C_UKEq_detail[[#This Row],[award_year]], "#"),I_PPP[#Headers],0))</f>
        <v>0.71626400000000001</v>
      </c>
      <c r="W108" s="57">
        <f>C_UKEq_detail[[#This Row],[lsv_norm_lcy]]*C_UKEq_detail[[#This Row],[ppp_gbp]]/C_UKEq_detail[[#This Row],[ppp_lcy]]</f>
        <v>202895782.89367568</v>
      </c>
      <c r="X108" s="58">
        <f>eff_cpi_uk/SUMIFS(I_CPI_UK[index],I_CPI_UK[month],TEXT(C_UKEq_detail[[#This Row],[award_date]],"YYYY MMM"))</f>
        <v>1.0138121546961325</v>
      </c>
      <c r="Y108" s="57">
        <f>C_UKEq_detail[[#This Row],[lsv_norm_gbp]]*C_UKEq_detail[[#This Row],[cpi_factor]]</f>
        <v>205698210.83419606</v>
      </c>
      <c r="Z108" s="57">
        <f>INDEX(I_Population[], MATCH(C_UKEq_detail[[#This Row],[country]], I_Population[country], 0), MATCH(TEXT(C_UKEq_detail[[#This Row],[award_year]],"#"), I_Population[#Headers], 0))</f>
        <v>9771141</v>
      </c>
      <c r="AA108" s="58">
        <f>eff_pop_uk/C_UKEq_detail[[#This Row],[population]]</f>
        <v>6.8401762905683174</v>
      </c>
      <c r="AB108" s="57">
        <f>C_UKEq_detail[[#This Row],[lsv_real_gbp]]*C_UKEq_detail[[#This Row],[pop_factor]]</f>
        <v>1407012024.760391</v>
      </c>
    </row>
    <row r="109" spans="1:28" x14ac:dyDescent="0.45">
      <c r="A109" s="50" t="s">
        <v>107</v>
      </c>
      <c r="B109" s="50" t="s">
        <v>156</v>
      </c>
      <c r="C109" s="49">
        <v>44033</v>
      </c>
      <c r="D109" s="50" t="s">
        <v>108</v>
      </c>
      <c r="E109" s="25">
        <v>20</v>
      </c>
      <c r="F109" s="25">
        <v>20</v>
      </c>
      <c r="G109" s="50" t="s">
        <v>97</v>
      </c>
      <c r="H109" s="25">
        <v>157970000</v>
      </c>
      <c r="I109" s="25">
        <v>0</v>
      </c>
      <c r="J109" s="49">
        <v>44197</v>
      </c>
      <c r="K109">
        <v>2020</v>
      </c>
      <c r="L109">
        <v>2.9100000000000001E-2</v>
      </c>
      <c r="M109" t="s">
        <v>779</v>
      </c>
      <c r="N109" s="50">
        <v>2.976395377428076E-2</v>
      </c>
      <c r="O109" t="s">
        <v>779</v>
      </c>
      <c r="P109">
        <v>164</v>
      </c>
      <c r="Q109"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157970000</v>
      </c>
      <c r="R109" s="57">
        <f>C_UKEq_detail[[#This Row],[lf_pv_lcy]]*(1+C_UKEq_detail[[#This Row],[wacc_posttax_real]])^(YEARFRAC(C_UKEq_detail[[#This Row],[award_date]],C_UKEq_detail[[#This Row],[award_date]]+C_UKEq_detail[[#This Row],[delay_days]])*delay_adj*(C_UKEq_detail[[#This Row],[delay_days]]&gt;delay_threshold))</f>
        <v>157970000</v>
      </c>
      <c r="S109" s="57">
        <f>-PMT(C_UKEq_detail[[#This Row],[wacc_posttax_real]],C_UKEq_detail[[#This Row],[duration_years]],C_UKEq_detail[[#This Row],[lsv_lcy]])</f>
        <v>10594906.362499721</v>
      </c>
      <c r="T109" s="57">
        <f>-PV(C_UKEq_detail[[#This Row],[wacc_posttax_real]],notional_term,C_UKEq_detail[[#This Row],[annuity_lcy]])</f>
        <v>157970000.00000018</v>
      </c>
      <c r="U109" s="58">
        <f>INDEX(I_PPP[],MATCH(C_UKEq_detail[[#This Row],[country]],I_PPP[country],0), MATCH(TEXT(C_UKEq_detail[[#This Row],[award_year]], "#"),I_PPP[#Headers],0))</f>
        <v>0.79489100000000001</v>
      </c>
      <c r="V109" s="58">
        <f>INDEX(I_PPP[],MATCH("United Kingdom",I_PPP[country],0), MATCH(TEXT(C_UKEq_detail[[#This Row],[award_year]], "#"),I_PPP[#Headers],0))</f>
        <v>0.71626400000000001</v>
      </c>
      <c r="W109" s="57">
        <f>C_UKEq_detail[[#This Row],[lsv_norm_lcy]]*C_UKEq_detail[[#This Row],[ppp_gbp]]/C_UKEq_detail[[#This Row],[ppp_lcy]]</f>
        <v>142344326.55546501</v>
      </c>
      <c r="X109" s="58">
        <f>eff_cpi_uk/SUMIFS(I_CPI_UK[index],I_CPI_UK[month],TEXT(C_UKEq_detail[[#This Row],[award_date]],"YYYY MMM"))</f>
        <v>1.0091659028414299</v>
      </c>
      <c r="Y109" s="57">
        <f>C_UKEq_detail[[#This Row],[lsv_norm_gbp]]*C_UKEq_detail[[#This Row],[cpi_factor]]</f>
        <v>143649040.82270119</v>
      </c>
      <c r="Z109" s="57">
        <f>INDEX(I_Population[], MATCH(C_UKEq_detail[[#This Row],[country]], I_Population[country], 0), MATCH(TEXT(C_UKEq_detail[[#This Row],[award_year]],"#"), I_Population[#Headers], 0))</f>
        <v>17344874</v>
      </c>
      <c r="AA109" s="58">
        <f>eff_pop_uk/C_UKEq_detail[[#This Row],[population]]</f>
        <v>3.8533763347026908</v>
      </c>
      <c r="AB109" s="57">
        <f>C_UKEq_detail[[#This Row],[lsv_real_gbp]]*C_UKEq_detail[[#This Row],[pop_factor]]</f>
        <v>553533814.40893745</v>
      </c>
    </row>
    <row r="110" spans="1:28" x14ac:dyDescent="0.45">
      <c r="A110" s="50" t="s">
        <v>107</v>
      </c>
      <c r="B110" s="50" t="s">
        <v>156</v>
      </c>
      <c r="C110" s="49">
        <v>44033</v>
      </c>
      <c r="D110" s="50" t="s">
        <v>100</v>
      </c>
      <c r="E110" s="25">
        <v>20</v>
      </c>
      <c r="F110" s="25">
        <v>20</v>
      </c>
      <c r="G110" s="50" t="s">
        <v>97</v>
      </c>
      <c r="H110" s="25">
        <v>157970000</v>
      </c>
      <c r="I110" s="25">
        <v>0</v>
      </c>
      <c r="J110" s="49">
        <v>44197</v>
      </c>
      <c r="K110">
        <v>2020</v>
      </c>
      <c r="L110">
        <v>2.9100000000000001E-2</v>
      </c>
      <c r="M110" t="s">
        <v>779</v>
      </c>
      <c r="N110" s="50">
        <v>2.976395377428076E-2</v>
      </c>
      <c r="O110" t="s">
        <v>779</v>
      </c>
      <c r="P110">
        <v>164</v>
      </c>
      <c r="Q110"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157970000</v>
      </c>
      <c r="R110" s="57">
        <f>C_UKEq_detail[[#This Row],[lf_pv_lcy]]*(1+C_UKEq_detail[[#This Row],[wacc_posttax_real]])^(YEARFRAC(C_UKEq_detail[[#This Row],[award_date]],C_UKEq_detail[[#This Row],[award_date]]+C_UKEq_detail[[#This Row],[delay_days]])*delay_adj*(C_UKEq_detail[[#This Row],[delay_days]]&gt;delay_threshold))</f>
        <v>157970000</v>
      </c>
      <c r="S110" s="57">
        <f>-PMT(C_UKEq_detail[[#This Row],[wacc_posttax_real]],C_UKEq_detail[[#This Row],[duration_years]],C_UKEq_detail[[#This Row],[lsv_lcy]])</f>
        <v>10594906.362499721</v>
      </c>
      <c r="T110" s="57">
        <f>-PV(C_UKEq_detail[[#This Row],[wacc_posttax_real]],notional_term,C_UKEq_detail[[#This Row],[annuity_lcy]])</f>
        <v>157970000.00000018</v>
      </c>
      <c r="U110" s="58">
        <f>INDEX(I_PPP[],MATCH(C_UKEq_detail[[#This Row],[country]],I_PPP[country],0), MATCH(TEXT(C_UKEq_detail[[#This Row],[award_year]], "#"),I_PPP[#Headers],0))</f>
        <v>0.79489100000000001</v>
      </c>
      <c r="V110" s="58">
        <f>INDEX(I_PPP[],MATCH("United Kingdom",I_PPP[country],0), MATCH(TEXT(C_UKEq_detail[[#This Row],[award_year]], "#"),I_PPP[#Headers],0))</f>
        <v>0.71626400000000001</v>
      </c>
      <c r="W110" s="57">
        <f>C_UKEq_detail[[#This Row],[lsv_norm_lcy]]*C_UKEq_detail[[#This Row],[ppp_gbp]]/C_UKEq_detail[[#This Row],[ppp_lcy]]</f>
        <v>142344326.55546501</v>
      </c>
      <c r="X110" s="58">
        <f>eff_cpi_uk/SUMIFS(I_CPI_UK[index],I_CPI_UK[month],TEXT(C_UKEq_detail[[#This Row],[award_date]],"YYYY MMM"))</f>
        <v>1.0091659028414299</v>
      </c>
      <c r="Y110" s="57">
        <f>C_UKEq_detail[[#This Row],[lsv_norm_gbp]]*C_UKEq_detail[[#This Row],[cpi_factor]]</f>
        <v>143649040.82270119</v>
      </c>
      <c r="Z110" s="57">
        <f>INDEX(I_Population[], MATCH(C_UKEq_detail[[#This Row],[country]], I_Population[country], 0), MATCH(TEXT(C_UKEq_detail[[#This Row],[award_year]],"#"), I_Population[#Headers], 0))</f>
        <v>17344874</v>
      </c>
      <c r="AA110" s="58">
        <f>eff_pop_uk/C_UKEq_detail[[#This Row],[population]]</f>
        <v>3.8533763347026908</v>
      </c>
      <c r="AB110" s="57">
        <f>C_UKEq_detail[[#This Row],[lsv_real_gbp]]*C_UKEq_detail[[#This Row],[pop_factor]]</f>
        <v>553533814.40893745</v>
      </c>
    </row>
    <row r="111" spans="1:28" x14ac:dyDescent="0.45">
      <c r="A111" s="50" t="s">
        <v>107</v>
      </c>
      <c r="B111" s="50" t="s">
        <v>156</v>
      </c>
      <c r="C111" s="49">
        <v>44033</v>
      </c>
      <c r="D111" s="50" t="s">
        <v>85</v>
      </c>
      <c r="E111" s="25">
        <v>20</v>
      </c>
      <c r="F111" s="25">
        <v>20</v>
      </c>
      <c r="G111" s="50" t="s">
        <v>97</v>
      </c>
      <c r="H111" s="25">
        <v>157970000</v>
      </c>
      <c r="I111" s="25">
        <v>0</v>
      </c>
      <c r="J111" s="49">
        <v>44197</v>
      </c>
      <c r="K111">
        <v>2020</v>
      </c>
      <c r="L111">
        <v>2.9100000000000001E-2</v>
      </c>
      <c r="M111" t="s">
        <v>779</v>
      </c>
      <c r="N111" s="50">
        <v>2.976395377428076E-2</v>
      </c>
      <c r="O111" t="s">
        <v>779</v>
      </c>
      <c r="P111">
        <v>164</v>
      </c>
      <c r="Q111"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157970000</v>
      </c>
      <c r="R111" s="57">
        <f>C_UKEq_detail[[#This Row],[lf_pv_lcy]]*(1+C_UKEq_detail[[#This Row],[wacc_posttax_real]])^(YEARFRAC(C_UKEq_detail[[#This Row],[award_date]],C_UKEq_detail[[#This Row],[award_date]]+C_UKEq_detail[[#This Row],[delay_days]])*delay_adj*(C_UKEq_detail[[#This Row],[delay_days]]&gt;delay_threshold))</f>
        <v>157970000</v>
      </c>
      <c r="S111" s="57">
        <f>-PMT(C_UKEq_detail[[#This Row],[wacc_posttax_real]],C_UKEq_detail[[#This Row],[duration_years]],C_UKEq_detail[[#This Row],[lsv_lcy]])</f>
        <v>10594906.362499721</v>
      </c>
      <c r="T111" s="57">
        <f>-PV(C_UKEq_detail[[#This Row],[wacc_posttax_real]],notional_term,C_UKEq_detail[[#This Row],[annuity_lcy]])</f>
        <v>157970000.00000018</v>
      </c>
      <c r="U111" s="58">
        <f>INDEX(I_PPP[],MATCH(C_UKEq_detail[[#This Row],[country]],I_PPP[country],0), MATCH(TEXT(C_UKEq_detail[[#This Row],[award_year]], "#"),I_PPP[#Headers],0))</f>
        <v>0.79489100000000001</v>
      </c>
      <c r="V111" s="58">
        <f>INDEX(I_PPP[],MATCH("United Kingdom",I_PPP[country],0), MATCH(TEXT(C_UKEq_detail[[#This Row],[award_year]], "#"),I_PPP[#Headers],0))</f>
        <v>0.71626400000000001</v>
      </c>
      <c r="W111" s="57">
        <f>C_UKEq_detail[[#This Row],[lsv_norm_lcy]]*C_UKEq_detail[[#This Row],[ppp_gbp]]/C_UKEq_detail[[#This Row],[ppp_lcy]]</f>
        <v>142344326.55546501</v>
      </c>
      <c r="X111" s="58">
        <f>eff_cpi_uk/SUMIFS(I_CPI_UK[index],I_CPI_UK[month],TEXT(C_UKEq_detail[[#This Row],[award_date]],"YYYY MMM"))</f>
        <v>1.0091659028414299</v>
      </c>
      <c r="Y111" s="57">
        <f>C_UKEq_detail[[#This Row],[lsv_norm_gbp]]*C_UKEq_detail[[#This Row],[cpi_factor]]</f>
        <v>143649040.82270119</v>
      </c>
      <c r="Z111" s="57">
        <f>INDEX(I_Population[], MATCH(C_UKEq_detail[[#This Row],[country]], I_Population[country], 0), MATCH(TEXT(C_UKEq_detail[[#This Row],[award_year]],"#"), I_Population[#Headers], 0))</f>
        <v>17344874</v>
      </c>
      <c r="AA111" s="58">
        <f>eff_pop_uk/C_UKEq_detail[[#This Row],[population]]</f>
        <v>3.8533763347026908</v>
      </c>
      <c r="AB111" s="57">
        <f>C_UKEq_detail[[#This Row],[lsv_real_gbp]]*C_UKEq_detail[[#This Row],[pop_factor]]</f>
        <v>553533814.40893745</v>
      </c>
    </row>
    <row r="112" spans="1:28" x14ac:dyDescent="0.45">
      <c r="A112" s="50" t="s">
        <v>109</v>
      </c>
      <c r="B112" s="50" t="s">
        <v>156</v>
      </c>
      <c r="C112" s="49">
        <v>44033</v>
      </c>
      <c r="D112" s="50" t="s">
        <v>108</v>
      </c>
      <c r="E112" s="25">
        <v>40</v>
      </c>
      <c r="F112" s="25">
        <v>20</v>
      </c>
      <c r="G112" s="50" t="s">
        <v>97</v>
      </c>
      <c r="H112" s="25">
        <v>163330000</v>
      </c>
      <c r="I112" s="25">
        <v>0</v>
      </c>
      <c r="J112" s="49">
        <v>44197</v>
      </c>
      <c r="K112">
        <v>2020</v>
      </c>
      <c r="L112">
        <v>2.9100000000000001E-2</v>
      </c>
      <c r="M112" t="s">
        <v>779</v>
      </c>
      <c r="N112" s="50">
        <v>2.976395377428076E-2</v>
      </c>
      <c r="O112" t="s">
        <v>779</v>
      </c>
      <c r="P112">
        <v>164</v>
      </c>
      <c r="Q112"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163330000</v>
      </c>
      <c r="R112" s="57">
        <f>C_UKEq_detail[[#This Row],[lf_pv_lcy]]*(1+C_UKEq_detail[[#This Row],[wacc_posttax_real]])^(YEARFRAC(C_UKEq_detail[[#This Row],[award_date]],C_UKEq_detail[[#This Row],[award_date]]+C_UKEq_detail[[#This Row],[delay_days]])*delay_adj*(C_UKEq_detail[[#This Row],[delay_days]]&gt;delay_threshold))</f>
        <v>163330000</v>
      </c>
      <c r="S112" s="57">
        <f>-PMT(C_UKEq_detail[[#This Row],[wacc_posttax_real]],C_UKEq_detail[[#This Row],[duration_years]],C_UKEq_detail[[#This Row],[lsv_lcy]])</f>
        <v>10954396.76006254</v>
      </c>
      <c r="T112" s="57">
        <f>-PV(C_UKEq_detail[[#This Row],[wacc_posttax_real]],notional_term,C_UKEq_detail[[#This Row],[annuity_lcy]])</f>
        <v>163330000.00000021</v>
      </c>
      <c r="U112" s="58">
        <f>INDEX(I_PPP[],MATCH(C_UKEq_detail[[#This Row],[country]],I_PPP[country],0), MATCH(TEXT(C_UKEq_detail[[#This Row],[award_year]], "#"),I_PPP[#Headers],0))</f>
        <v>0.79489100000000001</v>
      </c>
      <c r="V112" s="58">
        <f>INDEX(I_PPP[],MATCH("United Kingdom",I_PPP[country],0), MATCH(TEXT(C_UKEq_detail[[#This Row],[award_year]], "#"),I_PPP[#Headers],0))</f>
        <v>0.71626400000000001</v>
      </c>
      <c r="W112" s="57">
        <f>C_UKEq_detail[[#This Row],[lsv_norm_lcy]]*C_UKEq_detail[[#This Row],[ppp_gbp]]/C_UKEq_detail[[#This Row],[ppp_lcy]]</f>
        <v>147174139.74997848</v>
      </c>
      <c r="X112" s="58">
        <f>eff_cpi_uk/SUMIFS(I_CPI_UK[index],I_CPI_UK[month],TEXT(C_UKEq_detail[[#This Row],[award_date]],"YYYY MMM"))</f>
        <v>1.0091659028414299</v>
      </c>
      <c r="Y112" s="57">
        <f>C_UKEq_detail[[#This Row],[lsv_norm_gbp]]*C_UKEq_detail[[#This Row],[cpi_factor]]</f>
        <v>148523123.6156978</v>
      </c>
      <c r="Z112" s="57">
        <f>INDEX(I_Population[], MATCH(C_UKEq_detail[[#This Row],[country]], I_Population[country], 0), MATCH(TEXT(C_UKEq_detail[[#This Row],[award_year]],"#"), I_Population[#Headers], 0))</f>
        <v>17344874</v>
      </c>
      <c r="AA112" s="58">
        <f>eff_pop_uk/C_UKEq_detail[[#This Row],[population]]</f>
        <v>3.8533763347026908</v>
      </c>
      <c r="AB112" s="57">
        <f>C_UKEq_detail[[#This Row],[lsv_real_gbp]]*C_UKEq_detail[[#This Row],[pop_factor]]</f>
        <v>572315489.69685221</v>
      </c>
    </row>
    <row r="113" spans="1:28" x14ac:dyDescent="0.45">
      <c r="A113" s="50" t="s">
        <v>109</v>
      </c>
      <c r="B113" s="50" t="s">
        <v>156</v>
      </c>
      <c r="C113" s="49">
        <v>44033</v>
      </c>
      <c r="D113" s="50" t="s">
        <v>100</v>
      </c>
      <c r="E113" s="25">
        <v>40</v>
      </c>
      <c r="F113" s="25">
        <v>20</v>
      </c>
      <c r="G113" s="50" t="s">
        <v>97</v>
      </c>
      <c r="H113" s="25">
        <v>167250000</v>
      </c>
      <c r="I113" s="25">
        <v>0</v>
      </c>
      <c r="J113" s="49">
        <v>44197</v>
      </c>
      <c r="K113">
        <v>2020</v>
      </c>
      <c r="L113">
        <v>2.9100000000000001E-2</v>
      </c>
      <c r="M113" t="s">
        <v>779</v>
      </c>
      <c r="N113" s="50">
        <v>2.976395377428076E-2</v>
      </c>
      <c r="O113" t="s">
        <v>779</v>
      </c>
      <c r="P113">
        <v>164</v>
      </c>
      <c r="Q113"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167250000</v>
      </c>
      <c r="R113" s="57">
        <f>C_UKEq_detail[[#This Row],[lf_pv_lcy]]*(1+C_UKEq_detail[[#This Row],[wacc_posttax_real]])^(YEARFRAC(C_UKEq_detail[[#This Row],[award_date]],C_UKEq_detail[[#This Row],[award_date]]+C_UKEq_detail[[#This Row],[delay_days]])*delay_adj*(C_UKEq_detail[[#This Row],[delay_days]]&gt;delay_threshold))</f>
        <v>167250000</v>
      </c>
      <c r="S113" s="57">
        <f>-PMT(C_UKEq_detail[[#This Row],[wacc_posttax_real]],C_UKEq_detail[[#This Row],[duration_years]],C_UKEq_detail[[#This Row],[lsv_lcy]])</f>
        <v>11217307.647832364</v>
      </c>
      <c r="T113" s="57">
        <f>-PV(C_UKEq_detail[[#This Row],[wacc_posttax_real]],notional_term,C_UKEq_detail[[#This Row],[annuity_lcy]])</f>
        <v>167250000.00000024</v>
      </c>
      <c r="U113" s="58">
        <f>INDEX(I_PPP[],MATCH(C_UKEq_detail[[#This Row],[country]],I_PPP[country],0), MATCH(TEXT(C_UKEq_detail[[#This Row],[award_year]], "#"),I_PPP[#Headers],0))</f>
        <v>0.79489100000000001</v>
      </c>
      <c r="V113" s="58">
        <f>INDEX(I_PPP[],MATCH("United Kingdom",I_PPP[country],0), MATCH(TEXT(C_UKEq_detail[[#This Row],[award_year]], "#"),I_PPP[#Headers],0))</f>
        <v>0.71626400000000001</v>
      </c>
      <c r="W113" s="57">
        <f>C_UKEq_detail[[#This Row],[lsv_norm_lcy]]*C_UKEq_detail[[#This Row],[ppp_gbp]]/C_UKEq_detail[[#This Row],[ppp_lcy]]</f>
        <v>150706391.19074211</v>
      </c>
      <c r="X113" s="58">
        <f>eff_cpi_uk/SUMIFS(I_CPI_UK[index],I_CPI_UK[month],TEXT(C_UKEq_detail[[#This Row],[award_date]],"YYYY MMM"))</f>
        <v>1.0091659028414299</v>
      </c>
      <c r="Y113" s="57">
        <f>C_UKEq_detail[[#This Row],[lsv_norm_gbp]]*C_UKEq_detail[[#This Row],[cpi_factor]]</f>
        <v>152087751.32997897</v>
      </c>
      <c r="Z113" s="57">
        <f>INDEX(I_Population[], MATCH(C_UKEq_detail[[#This Row],[country]], I_Population[country], 0), MATCH(TEXT(C_UKEq_detail[[#This Row],[award_year]],"#"), I_Population[#Headers], 0))</f>
        <v>17344874</v>
      </c>
      <c r="AA113" s="58">
        <f>eff_pop_uk/C_UKEq_detail[[#This Row],[population]]</f>
        <v>3.8533763347026908</v>
      </c>
      <c r="AB113" s="57">
        <f>C_UKEq_detail[[#This Row],[lsv_real_gbp]]*C_UKEq_detail[[#This Row],[pop_factor]]</f>
        <v>586051341.77308869</v>
      </c>
    </row>
    <row r="114" spans="1:28" x14ac:dyDescent="0.45">
      <c r="A114" s="50" t="s">
        <v>109</v>
      </c>
      <c r="B114" s="50" t="s">
        <v>156</v>
      </c>
      <c r="C114" s="49">
        <v>44033</v>
      </c>
      <c r="D114" s="50" t="s">
        <v>85</v>
      </c>
      <c r="E114" s="25">
        <v>40</v>
      </c>
      <c r="F114" s="25">
        <v>20</v>
      </c>
      <c r="G114" s="50" t="s">
        <v>97</v>
      </c>
      <c r="H114" s="25">
        <v>163330000</v>
      </c>
      <c r="I114" s="25">
        <v>0</v>
      </c>
      <c r="J114" s="49">
        <v>44197</v>
      </c>
      <c r="K114">
        <v>2020</v>
      </c>
      <c r="L114">
        <v>2.9100000000000001E-2</v>
      </c>
      <c r="M114" t="s">
        <v>779</v>
      </c>
      <c r="N114" s="50">
        <v>2.976395377428076E-2</v>
      </c>
      <c r="O114" t="s">
        <v>779</v>
      </c>
      <c r="P114">
        <v>164</v>
      </c>
      <c r="Q114"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163330000</v>
      </c>
      <c r="R114" s="57">
        <f>C_UKEq_detail[[#This Row],[lf_pv_lcy]]*(1+C_UKEq_detail[[#This Row],[wacc_posttax_real]])^(YEARFRAC(C_UKEq_detail[[#This Row],[award_date]],C_UKEq_detail[[#This Row],[award_date]]+C_UKEq_detail[[#This Row],[delay_days]])*delay_adj*(C_UKEq_detail[[#This Row],[delay_days]]&gt;delay_threshold))</f>
        <v>163330000</v>
      </c>
      <c r="S114" s="57">
        <f>-PMT(C_UKEq_detail[[#This Row],[wacc_posttax_real]],C_UKEq_detail[[#This Row],[duration_years]],C_UKEq_detail[[#This Row],[lsv_lcy]])</f>
        <v>10954396.76006254</v>
      </c>
      <c r="T114" s="57">
        <f>-PV(C_UKEq_detail[[#This Row],[wacc_posttax_real]],notional_term,C_UKEq_detail[[#This Row],[annuity_lcy]])</f>
        <v>163330000.00000021</v>
      </c>
      <c r="U114" s="58">
        <f>INDEX(I_PPP[],MATCH(C_UKEq_detail[[#This Row],[country]],I_PPP[country],0), MATCH(TEXT(C_UKEq_detail[[#This Row],[award_year]], "#"),I_PPP[#Headers],0))</f>
        <v>0.79489100000000001</v>
      </c>
      <c r="V114" s="58">
        <f>INDEX(I_PPP[],MATCH("United Kingdom",I_PPP[country],0), MATCH(TEXT(C_UKEq_detail[[#This Row],[award_year]], "#"),I_PPP[#Headers],0))</f>
        <v>0.71626400000000001</v>
      </c>
      <c r="W114" s="57">
        <f>C_UKEq_detail[[#This Row],[lsv_norm_lcy]]*C_UKEq_detail[[#This Row],[ppp_gbp]]/C_UKEq_detail[[#This Row],[ppp_lcy]]</f>
        <v>147174139.74997848</v>
      </c>
      <c r="X114" s="58">
        <f>eff_cpi_uk/SUMIFS(I_CPI_UK[index],I_CPI_UK[month],TEXT(C_UKEq_detail[[#This Row],[award_date]],"YYYY MMM"))</f>
        <v>1.0091659028414299</v>
      </c>
      <c r="Y114" s="57">
        <f>C_UKEq_detail[[#This Row],[lsv_norm_gbp]]*C_UKEq_detail[[#This Row],[cpi_factor]]</f>
        <v>148523123.6156978</v>
      </c>
      <c r="Z114" s="57">
        <f>INDEX(I_Population[], MATCH(C_UKEq_detail[[#This Row],[country]], I_Population[country], 0), MATCH(TEXT(C_UKEq_detail[[#This Row],[award_year]],"#"), I_Population[#Headers], 0))</f>
        <v>17344874</v>
      </c>
      <c r="AA114" s="58">
        <f>eff_pop_uk/C_UKEq_detail[[#This Row],[population]]</f>
        <v>3.8533763347026908</v>
      </c>
      <c r="AB114" s="57">
        <f>C_UKEq_detail[[#This Row],[lsv_real_gbp]]*C_UKEq_detail[[#This Row],[pop_factor]]</f>
        <v>572315489.69685221</v>
      </c>
    </row>
    <row r="115" spans="1:28" x14ac:dyDescent="0.45">
      <c r="A115" s="50" t="s">
        <v>780</v>
      </c>
      <c r="B115" s="50" t="s">
        <v>146</v>
      </c>
      <c r="C115" s="49">
        <v>44215</v>
      </c>
      <c r="D115" s="50" t="s">
        <v>782</v>
      </c>
      <c r="E115" s="25">
        <v>100</v>
      </c>
      <c r="F115" s="25">
        <v>25</v>
      </c>
      <c r="G115" s="50" t="s">
        <v>95</v>
      </c>
      <c r="H115" s="25">
        <v>491250000</v>
      </c>
      <c r="I115" s="25">
        <v>0</v>
      </c>
      <c r="J115" s="49">
        <v>44216</v>
      </c>
      <c r="K115">
        <v>2021</v>
      </c>
      <c r="L115">
        <v>3.2399999999999998E-2</v>
      </c>
      <c r="M115" t="s">
        <v>779</v>
      </c>
      <c r="N115" s="50">
        <v>3.6913203835751217E-2</v>
      </c>
      <c r="O115" t="s">
        <v>779</v>
      </c>
      <c r="P115">
        <v>1</v>
      </c>
      <c r="Q115"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491250000</v>
      </c>
      <c r="R115" s="57">
        <f>C_UKEq_detail[[#This Row],[lf_pv_lcy]]*(1+C_UKEq_detail[[#This Row],[wacc_posttax_real]])^(YEARFRAC(C_UKEq_detail[[#This Row],[award_date]],C_UKEq_detail[[#This Row],[award_date]]+C_UKEq_detail[[#This Row],[delay_days]])*delay_adj*(C_UKEq_detail[[#This Row],[delay_days]]&gt;delay_threshold))</f>
        <v>491250000</v>
      </c>
      <c r="S115" s="57">
        <f>-PMT(C_UKEq_detail[[#This Row],[wacc_posttax_real]],C_UKEq_detail[[#This Row],[duration_years]],C_UKEq_detail[[#This Row],[lsv_lcy]])</f>
        <v>30428301.770603407</v>
      </c>
      <c r="T115" s="57">
        <f>-PV(C_UKEq_detail[[#This Row],[wacc_posttax_real]],notional_term,C_UKEq_detail[[#This Row],[annuity_lcy]])</f>
        <v>425067543.60597062</v>
      </c>
      <c r="U115" s="58">
        <f>INDEX(I_PPP[],MATCH(C_UKEq_detail[[#This Row],[country]],I_PPP[country],0), MATCH(TEXT(C_UKEq_detail[[#This Row],[award_year]], "#"),I_PPP[#Headers],0))</f>
        <v>8.9027609999999999</v>
      </c>
      <c r="V115" s="58">
        <f>INDEX(I_PPP[],MATCH("United Kingdom",I_PPP[country],0), MATCH(TEXT(C_UKEq_detail[[#This Row],[award_year]], "#"),I_PPP[#Headers],0))</f>
        <v>0.71626400000000001</v>
      </c>
      <c r="W115" s="57">
        <f>C_UKEq_detail[[#This Row],[lsv_norm_lcy]]*C_UKEq_detail[[#This Row],[ppp_gbp]]/C_UKEq_detail[[#This Row],[ppp_lcy]]</f>
        <v>34198444.623346277</v>
      </c>
      <c r="X115" s="58">
        <f>eff_cpi_uk/SUMIFS(I_CPI_UK[index],I_CPI_UK[month],TEXT(C_UKEq_detail[[#This Row],[award_date]],"YYYY MMM"))</f>
        <v>1.010091743119266</v>
      </c>
      <c r="Y115" s="57">
        <f>C_UKEq_detail[[#This Row],[lsv_norm_gbp]]*C_UKEq_detail[[#This Row],[cpi_factor]]</f>
        <v>34543566.541563533</v>
      </c>
      <c r="Z115" s="57">
        <f>INDEX(I_Population[], MATCH(C_UKEq_detail[[#This Row],[country]], I_Population[country], 0), MATCH(TEXT(C_UKEq_detail[[#This Row],[award_year]],"#"), I_Population[#Headers], 0))</f>
        <v>10278887</v>
      </c>
      <c r="AA115" s="58">
        <f>eff_pop_uk/C_UKEq_detail[[#This Row],[population]]</f>
        <v>6.5022922228836642</v>
      </c>
      <c r="AB115" s="57">
        <f>C_UKEq_detail[[#This Row],[lsv_real_gbp]]*C_UKEq_detail[[#This Row],[pop_factor]]</f>
        <v>224612364.07387292</v>
      </c>
    </row>
    <row r="116" spans="1:28" x14ac:dyDescent="0.45">
      <c r="A116" s="50" t="s">
        <v>780</v>
      </c>
      <c r="B116" s="50" t="s">
        <v>146</v>
      </c>
      <c r="C116" s="49">
        <v>44215</v>
      </c>
      <c r="D116" s="50" t="s">
        <v>96</v>
      </c>
      <c r="E116" s="25">
        <v>100</v>
      </c>
      <c r="F116" s="25">
        <v>25</v>
      </c>
      <c r="G116" s="50" t="s">
        <v>95</v>
      </c>
      <c r="H116" s="25">
        <v>665500000</v>
      </c>
      <c r="I116" s="25">
        <v>0</v>
      </c>
      <c r="J116" s="49">
        <v>44216</v>
      </c>
      <c r="K116">
        <v>2021</v>
      </c>
      <c r="L116">
        <v>3.2399999999999998E-2</v>
      </c>
      <c r="M116" t="s">
        <v>779</v>
      </c>
      <c r="N116" s="50">
        <v>3.6913203835751217E-2</v>
      </c>
      <c r="O116" t="s">
        <v>779</v>
      </c>
      <c r="P116">
        <v>1</v>
      </c>
      <c r="Q116"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665500000</v>
      </c>
      <c r="R116" s="57">
        <f>C_UKEq_detail[[#This Row],[lf_pv_lcy]]*(1+C_UKEq_detail[[#This Row],[wacc_posttax_real]])^(YEARFRAC(C_UKEq_detail[[#This Row],[award_date]],C_UKEq_detail[[#This Row],[award_date]]+C_UKEq_detail[[#This Row],[delay_days]])*delay_adj*(C_UKEq_detail[[#This Row],[delay_days]]&gt;delay_threshold))</f>
        <v>665500000</v>
      </c>
      <c r="S116" s="57">
        <f>-PMT(C_UKEq_detail[[#This Row],[wacc_posttax_real]],C_UKEq_detail[[#This Row],[duration_years]],C_UKEq_detail[[#This Row],[lsv_lcy]])</f>
        <v>41221444.943178758</v>
      </c>
      <c r="T116" s="57">
        <f>-PV(C_UKEq_detail[[#This Row],[wacc_posttax_real]],notional_term,C_UKEq_detail[[#This Row],[annuity_lcy]])</f>
        <v>575842137.95373726</v>
      </c>
      <c r="U116" s="58">
        <f>INDEX(I_PPP[],MATCH(C_UKEq_detail[[#This Row],[country]],I_PPP[country],0), MATCH(TEXT(C_UKEq_detail[[#This Row],[award_year]], "#"),I_PPP[#Headers],0))</f>
        <v>8.9027609999999999</v>
      </c>
      <c r="V116" s="58">
        <f>INDEX(I_PPP[],MATCH("United Kingdom",I_PPP[country],0), MATCH(TEXT(C_UKEq_detail[[#This Row],[award_year]], "#"),I_PPP[#Headers],0))</f>
        <v>0.71626400000000001</v>
      </c>
      <c r="W116" s="57">
        <f>C_UKEq_detail[[#This Row],[lsv_norm_lcy]]*C_UKEq_detail[[#This Row],[ppp_gbp]]/C_UKEq_detail[[#This Row],[ppp_lcy]]</f>
        <v>46328885.286182083</v>
      </c>
      <c r="X116" s="58">
        <f>eff_cpi_uk/SUMIFS(I_CPI_UK[index],I_CPI_UK[month],TEXT(C_UKEq_detail[[#This Row],[award_date]],"YYYY MMM"))</f>
        <v>1.010091743119266</v>
      </c>
      <c r="Y116" s="57">
        <f>C_UKEq_detail[[#This Row],[lsv_norm_gbp]]*C_UKEq_detail[[#This Row],[cpi_factor]]</f>
        <v>46796424.495492175</v>
      </c>
      <c r="Z116" s="57">
        <f>INDEX(I_Population[], MATCH(C_UKEq_detail[[#This Row],[country]], I_Population[country], 0), MATCH(TEXT(C_UKEq_detail[[#This Row],[award_year]],"#"), I_Population[#Headers], 0))</f>
        <v>10278887</v>
      </c>
      <c r="AA116" s="58">
        <f>eff_pop_uk/C_UKEq_detail[[#This Row],[population]]</f>
        <v>6.5022922228836642</v>
      </c>
      <c r="AB116" s="57">
        <f>C_UKEq_detail[[#This Row],[lsv_real_gbp]]*C_UKEq_detail[[#This Row],[pop_factor]]</f>
        <v>304284027.05580139</v>
      </c>
    </row>
    <row r="117" spans="1:28" x14ac:dyDescent="0.45">
      <c r="A117" s="50" t="s">
        <v>780</v>
      </c>
      <c r="B117" s="50" t="s">
        <v>146</v>
      </c>
      <c r="C117" s="49">
        <v>44215</v>
      </c>
      <c r="D117" s="50" t="s">
        <v>104</v>
      </c>
      <c r="E117" s="25">
        <v>120</v>
      </c>
      <c r="F117" s="25">
        <v>25</v>
      </c>
      <c r="G117" s="50" t="s">
        <v>95</v>
      </c>
      <c r="H117" s="25">
        <v>760250006</v>
      </c>
      <c r="I117" s="25">
        <v>0</v>
      </c>
      <c r="J117" s="49">
        <v>44216</v>
      </c>
      <c r="K117">
        <v>2021</v>
      </c>
      <c r="L117">
        <v>3.2399999999999998E-2</v>
      </c>
      <c r="M117" t="s">
        <v>779</v>
      </c>
      <c r="N117" s="50">
        <v>3.6913203835751217E-2</v>
      </c>
      <c r="O117" t="s">
        <v>779</v>
      </c>
      <c r="P117">
        <v>1</v>
      </c>
      <c r="Q117"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760250006</v>
      </c>
      <c r="R117" s="57">
        <f>C_UKEq_detail[[#This Row],[lf_pv_lcy]]*(1+C_UKEq_detail[[#This Row],[wacc_posttax_real]])^(YEARFRAC(C_UKEq_detail[[#This Row],[award_date]],C_UKEq_detail[[#This Row],[award_date]]+C_UKEq_detail[[#This Row],[delay_days]])*delay_adj*(C_UKEq_detail[[#This Row],[delay_days]]&gt;delay_threshold))</f>
        <v>760250006</v>
      </c>
      <c r="S117" s="57">
        <f>-PMT(C_UKEq_detail[[#This Row],[wacc_posttax_real]],C_UKEq_detail[[#This Row],[duration_years]],C_UKEq_detail[[#This Row],[lsv_lcy]])</f>
        <v>47090313.697040305</v>
      </c>
      <c r="T117" s="57">
        <f>-PV(C_UKEq_detail[[#This Row],[wacc_posttax_real]],notional_term,C_UKEq_detail[[#This Row],[annuity_lcy]])</f>
        <v>657827180.81800389</v>
      </c>
      <c r="U117" s="58">
        <f>INDEX(I_PPP[],MATCH(C_UKEq_detail[[#This Row],[country]],I_PPP[country],0), MATCH(TEXT(C_UKEq_detail[[#This Row],[award_year]], "#"),I_PPP[#Headers],0))</f>
        <v>8.9027609999999999</v>
      </c>
      <c r="V117" s="58">
        <f>INDEX(I_PPP[],MATCH("United Kingdom",I_PPP[country],0), MATCH(TEXT(C_UKEq_detail[[#This Row],[award_year]], "#"),I_PPP[#Headers],0))</f>
        <v>0.71626400000000001</v>
      </c>
      <c r="W117" s="57">
        <f>C_UKEq_detail[[#This Row],[lsv_norm_lcy]]*C_UKEq_detail[[#This Row],[ppp_gbp]]/C_UKEq_detail[[#This Row],[ppp_lcy]]</f>
        <v>52924921.587968804</v>
      </c>
      <c r="X117" s="58">
        <f>eff_cpi_uk/SUMIFS(I_CPI_UK[index],I_CPI_UK[month],TEXT(C_UKEq_detail[[#This Row],[award_date]],"YYYY MMM"))</f>
        <v>1.010091743119266</v>
      </c>
      <c r="Y117" s="57">
        <f>C_UKEq_detail[[#This Row],[lsv_norm_gbp]]*C_UKEq_detail[[#This Row],[cpi_factor]]</f>
        <v>53459026.301241882</v>
      </c>
      <c r="Z117" s="57">
        <f>INDEX(I_Population[], MATCH(C_UKEq_detail[[#This Row],[country]], I_Population[country], 0), MATCH(TEXT(C_UKEq_detail[[#This Row],[award_year]],"#"), I_Population[#Headers], 0))</f>
        <v>10278887</v>
      </c>
      <c r="AA117" s="58">
        <f>eff_pop_uk/C_UKEq_detail[[#This Row],[population]]</f>
        <v>6.5022922228836642</v>
      </c>
      <c r="AB117" s="57">
        <f>C_UKEq_detail[[#This Row],[lsv_real_gbp]]*C_UKEq_detail[[#This Row],[pop_factor]]</f>
        <v>347606210.96149832</v>
      </c>
    </row>
    <row r="118" spans="1:28" x14ac:dyDescent="0.45">
      <c r="A118" s="50" t="s">
        <v>145</v>
      </c>
      <c r="B118" s="50" t="s">
        <v>146</v>
      </c>
      <c r="C118" s="49">
        <v>44215</v>
      </c>
      <c r="D118" s="50" t="s">
        <v>147</v>
      </c>
      <c r="E118" s="25">
        <v>80</v>
      </c>
      <c r="F118" s="25">
        <v>25</v>
      </c>
      <c r="G118" s="50" t="s">
        <v>95</v>
      </c>
      <c r="H118" s="25">
        <v>400000000</v>
      </c>
      <c r="I118" s="25">
        <v>0</v>
      </c>
      <c r="J118" s="49">
        <v>44216</v>
      </c>
      <c r="K118">
        <v>2021</v>
      </c>
      <c r="L118">
        <v>3.2399999999999998E-2</v>
      </c>
      <c r="M118" t="s">
        <v>779</v>
      </c>
      <c r="N118" s="50">
        <v>3.6913203835751217E-2</v>
      </c>
      <c r="O118" t="s">
        <v>779</v>
      </c>
      <c r="P118">
        <v>1</v>
      </c>
      <c r="Q118"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400000000</v>
      </c>
      <c r="R118" s="57">
        <f>C_UKEq_detail[[#This Row],[lf_pv_lcy]]*(1+C_UKEq_detail[[#This Row],[wacc_posttax_real]])^(YEARFRAC(C_UKEq_detail[[#This Row],[award_date]],C_UKEq_detail[[#This Row],[award_date]]+C_UKEq_detail[[#This Row],[delay_days]])*delay_adj*(C_UKEq_detail[[#This Row],[delay_days]]&gt;delay_threshold))</f>
        <v>400000000</v>
      </c>
      <c r="S118" s="57">
        <f>-PMT(C_UKEq_detail[[#This Row],[wacc_posttax_real]],C_UKEq_detail[[#This Row],[duration_years]],C_UKEq_detail[[#This Row],[lsv_lcy]])</f>
        <v>24776225.360287763</v>
      </c>
      <c r="T118" s="57">
        <f>-PV(C_UKEq_detail[[#This Row],[wacc_posttax_real]],notional_term,C_UKEq_detail[[#This Row],[annuity_lcy]])</f>
        <v>346110976.98196083</v>
      </c>
      <c r="U118" s="58">
        <f>INDEX(I_PPP[],MATCH(C_UKEq_detail[[#This Row],[country]],I_PPP[country],0), MATCH(TEXT(C_UKEq_detail[[#This Row],[award_year]], "#"),I_PPP[#Headers],0))</f>
        <v>8.9027609999999999</v>
      </c>
      <c r="V118" s="58">
        <f>INDEX(I_PPP[],MATCH("United Kingdom",I_PPP[country],0), MATCH(TEXT(C_UKEq_detail[[#This Row],[award_year]], "#"),I_PPP[#Headers],0))</f>
        <v>0.71626400000000001</v>
      </c>
      <c r="W118" s="57">
        <f>C_UKEq_detail[[#This Row],[lsv_norm_lcy]]*C_UKEq_detail[[#This Row],[ppp_gbp]]/C_UKEq_detail[[#This Row],[ppp_lcy]]</f>
        <v>27846061.779823944</v>
      </c>
      <c r="X118" s="58">
        <f>eff_cpi_uk/SUMIFS(I_CPI_UK[index],I_CPI_UK[month],TEXT(C_UKEq_detail[[#This Row],[award_date]],"YYYY MMM"))</f>
        <v>1.010091743119266</v>
      </c>
      <c r="Y118" s="57">
        <f>C_UKEq_detail[[#This Row],[lsv_norm_gbp]]*C_UKEq_detail[[#This Row],[cpi_factor]]</f>
        <v>28127077.082189139</v>
      </c>
      <c r="Z118" s="57">
        <f>INDEX(I_Population[], MATCH(C_UKEq_detail[[#This Row],[country]], I_Population[country], 0), MATCH(TEXT(C_UKEq_detail[[#This Row],[award_year]],"#"), I_Population[#Headers], 0))</f>
        <v>10278887</v>
      </c>
      <c r="AA118" s="58">
        <f>eff_pop_uk/C_UKEq_detail[[#This Row],[population]]</f>
        <v>6.5022922228836642</v>
      </c>
      <c r="AB118" s="57">
        <f>C_UKEq_detail[[#This Row],[lsv_real_gbp]]*C_UKEq_detail[[#This Row],[pop_factor]]</f>
        <v>182890474.56396779</v>
      </c>
    </row>
    <row r="119" spans="1:28" x14ac:dyDescent="0.45">
      <c r="A119" s="50" t="s">
        <v>755</v>
      </c>
      <c r="B119" s="50" t="s">
        <v>143</v>
      </c>
      <c r="C119" s="49">
        <v>44224</v>
      </c>
      <c r="D119" s="50" t="s">
        <v>144</v>
      </c>
      <c r="E119" s="25">
        <v>40</v>
      </c>
      <c r="F119" s="25">
        <v>20</v>
      </c>
      <c r="G119" s="50" t="s">
        <v>120</v>
      </c>
      <c r="H119" s="25">
        <v>25000000000</v>
      </c>
      <c r="I119" s="25">
        <v>1560000000</v>
      </c>
      <c r="J119" s="49">
        <v>44659</v>
      </c>
      <c r="K119">
        <v>2021</v>
      </c>
      <c r="L119">
        <v>4.2799999999999998E-2</v>
      </c>
      <c r="M119" t="s">
        <v>779</v>
      </c>
      <c r="N119" s="50">
        <v>4.7659208261617882E-2</v>
      </c>
      <c r="O119" t="s">
        <v>779</v>
      </c>
      <c r="P119">
        <v>435</v>
      </c>
      <c r="Q119"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45682756750.312653</v>
      </c>
      <c r="R119" s="57">
        <f>C_UKEq_detail[[#This Row],[lf_pv_lcy]]*(1+C_UKEq_detail[[#This Row],[wacc_posttax_real]])^(YEARFRAC(C_UKEq_detail[[#This Row],[award_date]],C_UKEq_detail[[#This Row],[award_date]]+C_UKEq_detail[[#This Row],[delay_days]])*delay_adj*(C_UKEq_detail[[#This Row],[delay_days]]&gt;delay_threshold))</f>
        <v>48295204753.892479</v>
      </c>
      <c r="S119" s="57">
        <f>-PMT(C_UKEq_detail[[#This Row],[wacc_posttax_real]],C_UKEq_detail[[#This Row],[duration_years]],C_UKEq_detail[[#This Row],[lsv_lcy]])</f>
        <v>3798789667.4989319</v>
      </c>
      <c r="T119" s="57">
        <f>-PV(C_UKEq_detail[[#This Row],[wacc_posttax_real]],notional_term,C_UKEq_detail[[#This Row],[annuity_lcy]])</f>
        <v>48295204753.892441</v>
      </c>
      <c r="U119" s="58">
        <f>INDEX(I_PPP[],MATCH(C_UKEq_detail[[#This Row],[country]],I_PPP[country],0), MATCH(TEXT(C_UKEq_detail[[#This Row],[award_year]], "#"),I_PPP[#Headers],0))</f>
        <v>145.659085</v>
      </c>
      <c r="V119" s="58">
        <f>INDEX(I_PPP[],MATCH("United Kingdom",I_PPP[country],0), MATCH(TEXT(C_UKEq_detail[[#This Row],[award_year]], "#"),I_PPP[#Headers],0))</f>
        <v>0.71626400000000001</v>
      </c>
      <c r="W119" s="57">
        <f>C_UKEq_detail[[#This Row],[lsv_norm_lcy]]*C_UKEq_detail[[#This Row],[ppp_gbp]]/C_UKEq_detail[[#This Row],[ppp_lcy]]</f>
        <v>237486844.96982813</v>
      </c>
      <c r="X119" s="58">
        <f>eff_cpi_uk/SUMIFS(I_CPI_UK[index],I_CPI_UK[month],TEXT(C_UKEq_detail[[#This Row],[award_date]],"YYYY MMM"))</f>
        <v>1.010091743119266</v>
      </c>
      <c r="Y119" s="57">
        <f>C_UKEq_detail[[#This Row],[lsv_norm_gbp]]*C_UKEq_detail[[#This Row],[cpi_factor]]</f>
        <v>239883501.20346859</v>
      </c>
      <c r="Z119" s="57">
        <f>INDEX(I_Population[], MATCH(C_UKEq_detail[[#This Row],[country]], I_Population[country], 0), MATCH(TEXT(C_UKEq_detail[[#This Row],[award_year]],"#"), I_Population[#Headers], 0))</f>
        <v>9771141</v>
      </c>
      <c r="AA119" s="58">
        <f>eff_pop_uk/C_UKEq_detail[[#This Row],[population]]</f>
        <v>6.8401762905683174</v>
      </c>
      <c r="AB119" s="57">
        <f>C_UKEq_detail[[#This Row],[lsv_real_gbp]]*C_UKEq_detail[[#This Row],[pop_factor]]</f>
        <v>1640845437.4304824</v>
      </c>
    </row>
    <row r="120" spans="1:28" x14ac:dyDescent="0.45">
      <c r="A120" s="50" t="s">
        <v>755</v>
      </c>
      <c r="B120" s="50" t="s">
        <v>143</v>
      </c>
      <c r="C120" s="49">
        <v>44224</v>
      </c>
      <c r="D120" s="50" t="s">
        <v>105</v>
      </c>
      <c r="E120" s="25">
        <v>40</v>
      </c>
      <c r="F120" s="25">
        <v>20</v>
      </c>
      <c r="G120" s="50" t="s">
        <v>120</v>
      </c>
      <c r="H120" s="25">
        <v>25000000000</v>
      </c>
      <c r="I120" s="25">
        <v>1560000000</v>
      </c>
      <c r="J120" s="49">
        <v>44659</v>
      </c>
      <c r="K120">
        <v>2021</v>
      </c>
      <c r="L120">
        <v>4.2799999999999998E-2</v>
      </c>
      <c r="M120" t="s">
        <v>779</v>
      </c>
      <c r="N120" s="50">
        <v>4.7659208261617882E-2</v>
      </c>
      <c r="O120" t="s">
        <v>779</v>
      </c>
      <c r="P120">
        <v>435</v>
      </c>
      <c r="Q120"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45682756750.312653</v>
      </c>
      <c r="R120" s="57">
        <f>C_UKEq_detail[[#This Row],[lf_pv_lcy]]*(1+C_UKEq_detail[[#This Row],[wacc_posttax_real]])^(YEARFRAC(C_UKEq_detail[[#This Row],[award_date]],C_UKEq_detail[[#This Row],[award_date]]+C_UKEq_detail[[#This Row],[delay_days]])*delay_adj*(C_UKEq_detail[[#This Row],[delay_days]]&gt;delay_threshold))</f>
        <v>48295204753.892479</v>
      </c>
      <c r="S120" s="57">
        <f>-PMT(C_UKEq_detail[[#This Row],[wacc_posttax_real]],C_UKEq_detail[[#This Row],[duration_years]],C_UKEq_detail[[#This Row],[lsv_lcy]])</f>
        <v>3798789667.4989319</v>
      </c>
      <c r="T120" s="57">
        <f>-PV(C_UKEq_detail[[#This Row],[wacc_posttax_real]],notional_term,C_UKEq_detail[[#This Row],[annuity_lcy]])</f>
        <v>48295204753.892441</v>
      </c>
      <c r="U120" s="58">
        <f>INDEX(I_PPP[],MATCH(C_UKEq_detail[[#This Row],[country]],I_PPP[country],0), MATCH(TEXT(C_UKEq_detail[[#This Row],[award_year]], "#"),I_PPP[#Headers],0))</f>
        <v>145.659085</v>
      </c>
      <c r="V120" s="58">
        <f>INDEX(I_PPP[],MATCH("United Kingdom",I_PPP[country],0), MATCH(TEXT(C_UKEq_detail[[#This Row],[award_year]], "#"),I_PPP[#Headers],0))</f>
        <v>0.71626400000000001</v>
      </c>
      <c r="W120" s="57">
        <f>C_UKEq_detail[[#This Row],[lsv_norm_lcy]]*C_UKEq_detail[[#This Row],[ppp_gbp]]/C_UKEq_detail[[#This Row],[ppp_lcy]]</f>
        <v>237486844.96982813</v>
      </c>
      <c r="X120" s="58">
        <f>eff_cpi_uk/SUMIFS(I_CPI_UK[index],I_CPI_UK[month],TEXT(C_UKEq_detail[[#This Row],[award_date]],"YYYY MMM"))</f>
        <v>1.010091743119266</v>
      </c>
      <c r="Y120" s="57">
        <f>C_UKEq_detail[[#This Row],[lsv_norm_gbp]]*C_UKEq_detail[[#This Row],[cpi_factor]]</f>
        <v>239883501.20346859</v>
      </c>
      <c r="Z120" s="57">
        <f>INDEX(I_Population[], MATCH(C_UKEq_detail[[#This Row],[country]], I_Population[country], 0), MATCH(TEXT(C_UKEq_detail[[#This Row],[award_year]],"#"), I_Population[#Headers], 0))</f>
        <v>9771141</v>
      </c>
      <c r="AA120" s="58">
        <f>eff_pop_uk/C_UKEq_detail[[#This Row],[population]]</f>
        <v>6.8401762905683174</v>
      </c>
      <c r="AB120" s="57">
        <f>C_UKEq_detail[[#This Row],[lsv_real_gbp]]*C_UKEq_detail[[#This Row],[pop_factor]]</f>
        <v>1640845437.4304824</v>
      </c>
    </row>
    <row r="121" spans="1:28" x14ac:dyDescent="0.45">
      <c r="A121" s="50" t="s">
        <v>755</v>
      </c>
      <c r="B121" s="50" t="s">
        <v>143</v>
      </c>
      <c r="C121" s="49">
        <v>44224</v>
      </c>
      <c r="D121" s="50" t="s">
        <v>85</v>
      </c>
      <c r="E121" s="25">
        <v>40</v>
      </c>
      <c r="F121" s="25">
        <v>20</v>
      </c>
      <c r="G121" s="50" t="s">
        <v>120</v>
      </c>
      <c r="H121" s="25">
        <v>26400000000</v>
      </c>
      <c r="I121" s="25">
        <v>1560000000</v>
      </c>
      <c r="J121" s="49">
        <v>44659</v>
      </c>
      <c r="K121">
        <v>2021</v>
      </c>
      <c r="L121">
        <v>4.2799999999999998E-2</v>
      </c>
      <c r="M121" t="s">
        <v>779</v>
      </c>
      <c r="N121" s="50">
        <v>4.7659208261617882E-2</v>
      </c>
      <c r="O121" t="s">
        <v>779</v>
      </c>
      <c r="P121">
        <v>435</v>
      </c>
      <c r="Q121"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47082756750.312653</v>
      </c>
      <c r="R121" s="57">
        <f>C_UKEq_detail[[#This Row],[lf_pv_lcy]]*(1+C_UKEq_detail[[#This Row],[wacc_posttax_real]])^(YEARFRAC(C_UKEq_detail[[#This Row],[award_date]],C_UKEq_detail[[#This Row],[award_date]]+C_UKEq_detail[[#This Row],[delay_days]])*delay_adj*(C_UKEq_detail[[#This Row],[delay_days]]&gt;delay_threshold))</f>
        <v>49775266192.062729</v>
      </c>
      <c r="S121" s="57">
        <f>-PMT(C_UKEq_detail[[#This Row],[wacc_posttax_real]],C_UKEq_detail[[#This Row],[duration_years]],C_UKEq_detail[[#This Row],[lsv_lcy]])</f>
        <v>3915207894.2615304</v>
      </c>
      <c r="T121" s="57">
        <f>-PV(C_UKEq_detail[[#This Row],[wacc_posttax_real]],notional_term,C_UKEq_detail[[#This Row],[annuity_lcy]])</f>
        <v>49775266192.062698</v>
      </c>
      <c r="U121" s="58">
        <f>INDEX(I_PPP[],MATCH(C_UKEq_detail[[#This Row],[country]],I_PPP[country],0), MATCH(TEXT(C_UKEq_detail[[#This Row],[award_year]], "#"),I_PPP[#Headers],0))</f>
        <v>145.659085</v>
      </c>
      <c r="V121" s="58">
        <f>INDEX(I_PPP[],MATCH("United Kingdom",I_PPP[country],0), MATCH(TEXT(C_UKEq_detail[[#This Row],[award_year]], "#"),I_PPP[#Headers],0))</f>
        <v>0.71626400000000001</v>
      </c>
      <c r="W121" s="57">
        <f>C_UKEq_detail[[#This Row],[lsv_norm_lcy]]*C_UKEq_detail[[#This Row],[ppp_gbp]]/C_UKEq_detail[[#This Row],[ppp_lcy]]</f>
        <v>244764899.24258137</v>
      </c>
      <c r="X121" s="58">
        <f>eff_cpi_uk/SUMIFS(I_CPI_UK[index],I_CPI_UK[month],TEXT(C_UKEq_detail[[#This Row],[award_date]],"YYYY MMM"))</f>
        <v>1.010091743119266</v>
      </c>
      <c r="Y121" s="57">
        <f>C_UKEq_detail[[#This Row],[lsv_norm_gbp]]*C_UKEq_detail[[#This Row],[cpi_factor]]</f>
        <v>247235003.73035052</v>
      </c>
      <c r="Z121" s="57">
        <f>INDEX(I_Population[], MATCH(C_UKEq_detail[[#This Row],[country]], I_Population[country], 0), MATCH(TEXT(C_UKEq_detail[[#This Row],[award_year]],"#"), I_Population[#Headers], 0))</f>
        <v>9771141</v>
      </c>
      <c r="AA121" s="58">
        <f>eff_pop_uk/C_UKEq_detail[[#This Row],[population]]</f>
        <v>6.8401762905683174</v>
      </c>
      <c r="AB121" s="57">
        <f>C_UKEq_detail[[#This Row],[lsv_real_gbp]]*C_UKEq_detail[[#This Row],[pop_factor]]</f>
        <v>1691131010.7149131</v>
      </c>
    </row>
    <row r="122" spans="1:28" x14ac:dyDescent="0.45">
      <c r="A122" s="50" t="s">
        <v>651</v>
      </c>
      <c r="B122" s="50" t="s">
        <v>169</v>
      </c>
      <c r="C122" s="49">
        <v>44302</v>
      </c>
      <c r="D122" s="50" t="s">
        <v>652</v>
      </c>
      <c r="E122" s="25">
        <v>20</v>
      </c>
      <c r="F122" s="25">
        <v>15</v>
      </c>
      <c r="G122" s="50" t="s">
        <v>97</v>
      </c>
      <c r="H122" s="25">
        <v>10462000</v>
      </c>
      <c r="I122" s="25">
        <v>48000</v>
      </c>
      <c r="J122" s="49"/>
      <c r="K122">
        <v>2021</v>
      </c>
      <c r="L122">
        <v>4.0500000000000001E-2</v>
      </c>
      <c r="M122" t="s">
        <v>779</v>
      </c>
      <c r="N122" s="50">
        <v>4.3696582247356744E-2</v>
      </c>
      <c r="O122" t="s">
        <v>779</v>
      </c>
      <c r="P122"/>
      <c r="Q122"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11012875.049367085</v>
      </c>
      <c r="R122" s="57">
        <f>C_UKEq_detail[[#This Row],[lf_pv_lcy]]*(1+C_UKEq_detail[[#This Row],[wacc_posttax_real]])^(YEARFRAC(C_UKEq_detail[[#This Row],[award_date]],C_UKEq_detail[[#This Row],[award_date]]+C_UKEq_detail[[#This Row],[delay_days]])*delay_adj*(C_UKEq_detail[[#This Row],[delay_days]]&gt;delay_threshold))</f>
        <v>11012875.049367085</v>
      </c>
      <c r="S122" s="57">
        <f>-PMT(C_UKEq_detail[[#This Row],[wacc_posttax_real]],C_UKEq_detail[[#This Row],[duration_years]],C_UKEq_detail[[#This Row],[lsv_lcy]])</f>
        <v>1016282.6873408761</v>
      </c>
      <c r="T122" s="57">
        <f>-PV(C_UKEq_detail[[#This Row],[wacc_posttax_real]],notional_term,C_UKEq_detail[[#This Row],[annuity_lcy]])</f>
        <v>13370321.913949572</v>
      </c>
      <c r="U122" s="58">
        <f>INDEX(I_PPP[],MATCH(C_UKEq_detail[[#This Row],[country]],I_PPP[country],0), MATCH(TEXT(C_UKEq_detail[[#This Row],[award_year]], "#"),I_PPP[#Headers],0))</f>
        <v>0.56842599999999999</v>
      </c>
      <c r="V122" s="58">
        <f>INDEX(I_PPP[],MATCH("United Kingdom",I_PPP[country],0), MATCH(TEXT(C_UKEq_detail[[#This Row],[award_year]], "#"),I_PPP[#Headers],0))</f>
        <v>0.71626400000000001</v>
      </c>
      <c r="W122" s="57">
        <f>C_UKEq_detail[[#This Row],[lsv_norm_lcy]]*C_UKEq_detail[[#This Row],[ppp_gbp]]/C_UKEq_detail[[#This Row],[ppp_lcy]]</f>
        <v>16847716.774695698</v>
      </c>
      <c r="X122" s="58">
        <f>eff_cpi_uk/SUMIFS(I_CPI_UK[index],I_CPI_UK[month],TEXT(C_UKEq_detail[[#This Row],[award_date]],"YYYY MMM"))</f>
        <v>1</v>
      </c>
      <c r="Y122" s="57">
        <f>C_UKEq_detail[[#This Row],[lsv_norm_gbp]]*C_UKEq_detail[[#This Row],[cpi_factor]]</f>
        <v>16847716.774695698</v>
      </c>
      <c r="Z122" s="57">
        <f>INDEX(I_Population[], MATCH(C_UKEq_detail[[#This Row],[country]], I_Population[country], 0), MATCH(TEXT(C_UKEq_detail[[#This Row],[award_year]],"#"), I_Population[#Headers], 0))</f>
        <v>2088385</v>
      </c>
      <c r="AA122" s="58">
        <f>eff_pop_uk/C_UKEq_detail[[#This Row],[population]]</f>
        <v>32.003834063163637</v>
      </c>
      <c r="AB122" s="57">
        <f>C_UKEq_detail[[#This Row],[lsv_real_gbp]]*C_UKEq_detail[[#This Row],[pop_factor]]</f>
        <v>539191532.00053954</v>
      </c>
    </row>
    <row r="123" spans="1:28" x14ac:dyDescent="0.45">
      <c r="A123" s="50" t="s">
        <v>651</v>
      </c>
      <c r="B123" s="50" t="s">
        <v>169</v>
      </c>
      <c r="C123" s="49">
        <v>44302</v>
      </c>
      <c r="D123" s="50" t="s">
        <v>654</v>
      </c>
      <c r="E123" s="25">
        <v>20</v>
      </c>
      <c r="F123" s="25">
        <v>15</v>
      </c>
      <c r="G123" s="50" t="s">
        <v>97</v>
      </c>
      <c r="H123" s="25">
        <v>10473400</v>
      </c>
      <c r="I123" s="25">
        <v>48000</v>
      </c>
      <c r="J123" s="49"/>
      <c r="K123">
        <v>2021</v>
      </c>
      <c r="L123">
        <v>4.0500000000000001E-2</v>
      </c>
      <c r="M123" t="s">
        <v>779</v>
      </c>
      <c r="N123" s="50">
        <v>4.3696582247356744E-2</v>
      </c>
      <c r="O123" t="s">
        <v>779</v>
      </c>
      <c r="P123"/>
      <c r="Q123"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11024275.049367085</v>
      </c>
      <c r="R123" s="57">
        <f>C_UKEq_detail[[#This Row],[lf_pv_lcy]]*(1+C_UKEq_detail[[#This Row],[wacc_posttax_real]])^(YEARFRAC(C_UKEq_detail[[#This Row],[award_date]],C_UKEq_detail[[#This Row],[award_date]]+C_UKEq_detail[[#This Row],[delay_days]])*delay_adj*(C_UKEq_detail[[#This Row],[delay_days]]&gt;delay_threshold))</f>
        <v>11024275.049367085</v>
      </c>
      <c r="S123" s="57">
        <f>-PMT(C_UKEq_detail[[#This Row],[wacc_posttax_real]],C_UKEq_detail[[#This Row],[duration_years]],C_UKEq_detail[[#This Row],[lsv_lcy]])</f>
        <v>1017334.6944311002</v>
      </c>
      <c r="T123" s="57">
        <f>-PV(C_UKEq_detail[[#This Row],[wacc_posttax_real]],notional_term,C_UKEq_detail[[#This Row],[annuity_lcy]])</f>
        <v>13384162.229864877</v>
      </c>
      <c r="U123" s="58">
        <f>INDEX(I_PPP[],MATCH(C_UKEq_detail[[#This Row],[country]],I_PPP[country],0), MATCH(TEXT(C_UKEq_detail[[#This Row],[award_year]], "#"),I_PPP[#Headers],0))</f>
        <v>0.56842599999999999</v>
      </c>
      <c r="V123" s="58">
        <f>INDEX(I_PPP[],MATCH("United Kingdom",I_PPP[country],0), MATCH(TEXT(C_UKEq_detail[[#This Row],[award_year]], "#"),I_PPP[#Headers],0))</f>
        <v>0.71626400000000001</v>
      </c>
      <c r="W123" s="57">
        <f>C_UKEq_detail[[#This Row],[lsv_norm_lcy]]*C_UKEq_detail[[#This Row],[ppp_gbp]]/C_UKEq_detail[[#This Row],[ppp_lcy]]</f>
        <v>16865156.722971745</v>
      </c>
      <c r="X123" s="58">
        <f>eff_cpi_uk/SUMIFS(I_CPI_UK[index],I_CPI_UK[month],TEXT(C_UKEq_detail[[#This Row],[award_date]],"YYYY MMM"))</f>
        <v>1</v>
      </c>
      <c r="Y123" s="57">
        <f>C_UKEq_detail[[#This Row],[lsv_norm_gbp]]*C_UKEq_detail[[#This Row],[cpi_factor]]</f>
        <v>16865156.722971745</v>
      </c>
      <c r="Z123" s="57">
        <f>INDEX(I_Population[], MATCH(C_UKEq_detail[[#This Row],[country]], I_Population[country], 0), MATCH(TEXT(C_UKEq_detail[[#This Row],[award_year]],"#"), I_Population[#Headers], 0))</f>
        <v>2088385</v>
      </c>
      <c r="AA123" s="58">
        <f>eff_pop_uk/C_UKEq_detail[[#This Row],[population]]</f>
        <v>32.003834063163637</v>
      </c>
      <c r="AB123" s="57">
        <f>C_UKEq_detail[[#This Row],[lsv_real_gbp]]*C_UKEq_detail[[#This Row],[pop_factor]]</f>
        <v>539749677.21123636</v>
      </c>
    </row>
    <row r="124" spans="1:28" x14ac:dyDescent="0.45">
      <c r="A124" s="50" t="s">
        <v>651</v>
      </c>
      <c r="B124" s="50" t="s">
        <v>169</v>
      </c>
      <c r="C124" s="49">
        <v>44302</v>
      </c>
      <c r="D124" s="50" t="s">
        <v>98</v>
      </c>
      <c r="E124" s="25">
        <v>20</v>
      </c>
      <c r="F124" s="25">
        <v>15</v>
      </c>
      <c r="G124" s="50" t="s">
        <v>97</v>
      </c>
      <c r="H124" s="25">
        <v>10462000</v>
      </c>
      <c r="I124" s="25">
        <v>48000</v>
      </c>
      <c r="J124" s="49"/>
      <c r="K124">
        <v>2021</v>
      </c>
      <c r="L124">
        <v>4.0500000000000001E-2</v>
      </c>
      <c r="M124" t="s">
        <v>779</v>
      </c>
      <c r="N124" s="50">
        <v>4.3696582247356744E-2</v>
      </c>
      <c r="O124" t="s">
        <v>779</v>
      </c>
      <c r="P124"/>
      <c r="Q124"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11012875.049367085</v>
      </c>
      <c r="R124" s="57">
        <f>C_UKEq_detail[[#This Row],[lf_pv_lcy]]*(1+C_UKEq_detail[[#This Row],[wacc_posttax_real]])^(YEARFRAC(C_UKEq_detail[[#This Row],[award_date]],C_UKEq_detail[[#This Row],[award_date]]+C_UKEq_detail[[#This Row],[delay_days]])*delay_adj*(C_UKEq_detail[[#This Row],[delay_days]]&gt;delay_threshold))</f>
        <v>11012875.049367085</v>
      </c>
      <c r="S124" s="57">
        <f>-PMT(C_UKEq_detail[[#This Row],[wacc_posttax_real]],C_UKEq_detail[[#This Row],[duration_years]],C_UKEq_detail[[#This Row],[lsv_lcy]])</f>
        <v>1016282.6873408761</v>
      </c>
      <c r="T124" s="57">
        <f>-PV(C_UKEq_detail[[#This Row],[wacc_posttax_real]],notional_term,C_UKEq_detail[[#This Row],[annuity_lcy]])</f>
        <v>13370321.913949572</v>
      </c>
      <c r="U124" s="58">
        <f>INDEX(I_PPP[],MATCH(C_UKEq_detail[[#This Row],[country]],I_PPP[country],0), MATCH(TEXT(C_UKEq_detail[[#This Row],[award_year]], "#"),I_PPP[#Headers],0))</f>
        <v>0.56842599999999999</v>
      </c>
      <c r="V124" s="58">
        <f>INDEX(I_PPP[],MATCH("United Kingdom",I_PPP[country],0), MATCH(TEXT(C_UKEq_detail[[#This Row],[award_year]], "#"),I_PPP[#Headers],0))</f>
        <v>0.71626400000000001</v>
      </c>
      <c r="W124" s="57">
        <f>C_UKEq_detail[[#This Row],[lsv_norm_lcy]]*C_UKEq_detail[[#This Row],[ppp_gbp]]/C_UKEq_detail[[#This Row],[ppp_lcy]]</f>
        <v>16847716.774695698</v>
      </c>
      <c r="X124" s="58">
        <f>eff_cpi_uk/SUMIFS(I_CPI_UK[index],I_CPI_UK[month],TEXT(C_UKEq_detail[[#This Row],[award_date]],"YYYY MMM"))</f>
        <v>1</v>
      </c>
      <c r="Y124" s="57">
        <f>C_UKEq_detail[[#This Row],[lsv_norm_gbp]]*C_UKEq_detail[[#This Row],[cpi_factor]]</f>
        <v>16847716.774695698</v>
      </c>
      <c r="Z124" s="57">
        <f>INDEX(I_Population[], MATCH(C_UKEq_detail[[#This Row],[country]], I_Population[country], 0), MATCH(TEXT(C_UKEq_detail[[#This Row],[award_year]],"#"), I_Population[#Headers], 0))</f>
        <v>2088385</v>
      </c>
      <c r="AA124" s="58">
        <f>eff_pop_uk/C_UKEq_detail[[#This Row],[population]]</f>
        <v>32.003834063163637</v>
      </c>
      <c r="AB124" s="57">
        <f>C_UKEq_detail[[#This Row],[lsv_real_gbp]]*C_UKEq_detail[[#This Row],[pop_factor]]</f>
        <v>539191532.00053954</v>
      </c>
    </row>
    <row r="125" spans="1:28" x14ac:dyDescent="0.45">
      <c r="A125" s="50" t="s">
        <v>653</v>
      </c>
      <c r="B125" s="50" t="s">
        <v>169</v>
      </c>
      <c r="C125" s="49">
        <v>44302</v>
      </c>
      <c r="D125" s="50" t="s">
        <v>652</v>
      </c>
      <c r="E125" s="25">
        <v>30</v>
      </c>
      <c r="F125" s="25">
        <v>15</v>
      </c>
      <c r="G125" s="50" t="s">
        <v>97</v>
      </c>
      <c r="H125" s="25">
        <v>17643258</v>
      </c>
      <c r="I125" s="25">
        <v>36000</v>
      </c>
      <c r="J125" s="49"/>
      <c r="K125">
        <v>2021</v>
      </c>
      <c r="L125">
        <v>4.0500000000000001E-2</v>
      </c>
      <c r="M125" t="s">
        <v>779</v>
      </c>
      <c r="N125" s="50">
        <v>4.3696582247356744E-2</v>
      </c>
      <c r="O125" t="s">
        <v>779</v>
      </c>
      <c r="P125"/>
      <c r="Q125"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18056414.287025314</v>
      </c>
      <c r="R125" s="57">
        <f>C_UKEq_detail[[#This Row],[lf_pv_lcy]]*(1+C_UKEq_detail[[#This Row],[wacc_posttax_real]])^(YEARFRAC(C_UKEq_detail[[#This Row],[award_date]],C_UKEq_detail[[#This Row],[award_date]]+C_UKEq_detail[[#This Row],[delay_days]])*delay_adj*(C_UKEq_detail[[#This Row],[delay_days]]&gt;delay_threshold))</f>
        <v>18056414.287025314</v>
      </c>
      <c r="S125" s="57">
        <f>-PMT(C_UKEq_detail[[#This Row],[wacc_posttax_real]],C_UKEq_detail[[#This Row],[duration_years]],C_UKEq_detail[[#This Row],[lsv_lcy]])</f>
        <v>1666269.8117520986</v>
      </c>
      <c r="T125" s="57">
        <f>-PV(C_UKEq_detail[[#This Row],[wacc_posttax_real]],notional_term,C_UKEq_detail[[#This Row],[annuity_lcy]])</f>
        <v>21921620.879830215</v>
      </c>
      <c r="U125" s="58">
        <f>INDEX(I_PPP[],MATCH(C_UKEq_detail[[#This Row],[country]],I_PPP[country],0), MATCH(TEXT(C_UKEq_detail[[#This Row],[award_year]], "#"),I_PPP[#Headers],0))</f>
        <v>0.56842599999999999</v>
      </c>
      <c r="V125" s="58">
        <f>INDEX(I_PPP[],MATCH("United Kingdom",I_PPP[country],0), MATCH(TEXT(C_UKEq_detail[[#This Row],[award_year]], "#"),I_PPP[#Headers],0))</f>
        <v>0.71626400000000001</v>
      </c>
      <c r="W125" s="57">
        <f>C_UKEq_detail[[#This Row],[lsv_norm_lcy]]*C_UKEq_detail[[#This Row],[ppp_gbp]]/C_UKEq_detail[[#This Row],[ppp_lcy]]</f>
        <v>27623064.141806867</v>
      </c>
      <c r="X125" s="58">
        <f>eff_cpi_uk/SUMIFS(I_CPI_UK[index],I_CPI_UK[month],TEXT(C_UKEq_detail[[#This Row],[award_date]],"YYYY MMM"))</f>
        <v>1</v>
      </c>
      <c r="Y125" s="57">
        <f>C_UKEq_detail[[#This Row],[lsv_norm_gbp]]*C_UKEq_detail[[#This Row],[cpi_factor]]</f>
        <v>27623064.141806867</v>
      </c>
      <c r="Z125" s="57">
        <f>INDEX(I_Population[], MATCH(C_UKEq_detail[[#This Row],[country]], I_Population[country], 0), MATCH(TEXT(C_UKEq_detail[[#This Row],[award_year]],"#"), I_Population[#Headers], 0))</f>
        <v>2088385</v>
      </c>
      <c r="AA125" s="58">
        <f>eff_pop_uk/C_UKEq_detail[[#This Row],[population]]</f>
        <v>32.003834063163637</v>
      </c>
      <c r="AB125" s="57">
        <f>C_UKEq_detail[[#This Row],[lsv_real_gbp]]*C_UKEq_detail[[#This Row],[pop_factor]]</f>
        <v>884043961.11051261</v>
      </c>
    </row>
    <row r="126" spans="1:28" x14ac:dyDescent="0.45">
      <c r="A126" s="50" t="s">
        <v>653</v>
      </c>
      <c r="B126" s="50" t="s">
        <v>169</v>
      </c>
      <c r="C126" s="49">
        <v>44302</v>
      </c>
      <c r="D126" s="50" t="s">
        <v>655</v>
      </c>
      <c r="E126" s="25">
        <v>20</v>
      </c>
      <c r="F126" s="25">
        <v>15</v>
      </c>
      <c r="G126" s="50" t="s">
        <v>97</v>
      </c>
      <c r="H126" s="25">
        <v>11762000</v>
      </c>
      <c r="I126" s="25">
        <v>24000</v>
      </c>
      <c r="J126" s="49"/>
      <c r="K126">
        <v>2021</v>
      </c>
      <c r="L126">
        <v>4.0500000000000001E-2</v>
      </c>
      <c r="M126" t="s">
        <v>779</v>
      </c>
      <c r="N126" s="50">
        <v>4.3696582247356744E-2</v>
      </c>
      <c r="O126" t="s">
        <v>779</v>
      </c>
      <c r="P126"/>
      <c r="Q126"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12037437.524683543</v>
      </c>
      <c r="R126" s="57">
        <f>C_UKEq_detail[[#This Row],[lf_pv_lcy]]*(1+C_UKEq_detail[[#This Row],[wacc_posttax_real]])^(YEARFRAC(C_UKEq_detail[[#This Row],[award_date]],C_UKEq_detail[[#This Row],[award_date]]+C_UKEq_detail[[#This Row],[delay_days]])*delay_adj*(C_UKEq_detail[[#This Row],[delay_days]]&gt;delay_threshold))</f>
        <v>12037437.524683543</v>
      </c>
      <c r="S126" s="57">
        <f>-PMT(C_UKEq_detail[[#This Row],[wacc_posttax_real]],C_UKEq_detail[[#This Row],[duration_years]],C_UKEq_detail[[#This Row],[lsv_lcy]])</f>
        <v>1110830.6687803885</v>
      </c>
      <c r="T126" s="57">
        <f>-PV(C_UKEq_detail[[#This Row],[wacc_posttax_real]],notional_term,C_UKEq_detail[[#This Row],[annuity_lcy]])</f>
        <v>14614205.101085277</v>
      </c>
      <c r="U126" s="58">
        <f>INDEX(I_PPP[],MATCH(C_UKEq_detail[[#This Row],[country]],I_PPP[country],0), MATCH(TEXT(C_UKEq_detail[[#This Row],[award_year]], "#"),I_PPP[#Headers],0))</f>
        <v>0.56842599999999999</v>
      </c>
      <c r="V126" s="58">
        <f>INDEX(I_PPP[],MATCH("United Kingdom",I_PPP[country],0), MATCH(TEXT(C_UKEq_detail[[#This Row],[award_year]], "#"),I_PPP[#Headers],0))</f>
        <v>0.71626400000000001</v>
      </c>
      <c r="W126" s="57">
        <f>C_UKEq_detail[[#This Row],[lsv_norm_lcy]]*C_UKEq_detail[[#This Row],[ppp_gbp]]/C_UKEq_detail[[#This Row],[ppp_lcy]]</f>
        <v>18415112.965493739</v>
      </c>
      <c r="X126" s="58">
        <f>eff_cpi_uk/SUMIFS(I_CPI_UK[index],I_CPI_UK[month],TEXT(C_UKEq_detail[[#This Row],[award_date]],"YYYY MMM"))</f>
        <v>1</v>
      </c>
      <c r="Y126" s="57">
        <f>C_UKEq_detail[[#This Row],[lsv_norm_gbp]]*C_UKEq_detail[[#This Row],[cpi_factor]]</f>
        <v>18415112.965493739</v>
      </c>
      <c r="Z126" s="57">
        <f>INDEX(I_Population[], MATCH(C_UKEq_detail[[#This Row],[country]], I_Population[country], 0), MATCH(TEXT(C_UKEq_detail[[#This Row],[award_year]],"#"), I_Population[#Headers], 0))</f>
        <v>2088385</v>
      </c>
      <c r="AA126" s="58">
        <f>eff_pop_uk/C_UKEq_detail[[#This Row],[population]]</f>
        <v>32.003834063163637</v>
      </c>
      <c r="AB126" s="57">
        <f>C_UKEq_detail[[#This Row],[lsv_real_gbp]]*C_UKEq_detail[[#This Row],[pop_factor]]</f>
        <v>589354219.60207486</v>
      </c>
    </row>
    <row r="127" spans="1:28" x14ac:dyDescent="0.45">
      <c r="A127" s="50" t="s">
        <v>653</v>
      </c>
      <c r="B127" s="50" t="s">
        <v>169</v>
      </c>
      <c r="C127" s="49">
        <v>44302</v>
      </c>
      <c r="D127" s="50" t="s">
        <v>654</v>
      </c>
      <c r="E127" s="25">
        <v>40</v>
      </c>
      <c r="F127" s="25">
        <v>15</v>
      </c>
      <c r="G127" s="50" t="s">
        <v>97</v>
      </c>
      <c r="H127" s="25">
        <v>24729943</v>
      </c>
      <c r="I127" s="25">
        <v>48000</v>
      </c>
      <c r="J127" s="49"/>
      <c r="K127">
        <v>2021</v>
      </c>
      <c r="L127">
        <v>4.0500000000000001E-2</v>
      </c>
      <c r="M127" t="s">
        <v>779</v>
      </c>
      <c r="N127" s="50">
        <v>4.3696582247356744E-2</v>
      </c>
      <c r="O127" t="s">
        <v>779</v>
      </c>
      <c r="P127"/>
      <c r="Q127"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25280818.049367085</v>
      </c>
      <c r="R127" s="57">
        <f>C_UKEq_detail[[#This Row],[lf_pv_lcy]]*(1+C_UKEq_detail[[#This Row],[wacc_posttax_real]])^(YEARFRAC(C_UKEq_detail[[#This Row],[award_date]],C_UKEq_detail[[#This Row],[award_date]]+C_UKEq_detail[[#This Row],[delay_days]])*delay_adj*(C_UKEq_detail[[#This Row],[delay_days]]&gt;delay_threshold))</f>
        <v>25280818.049367085</v>
      </c>
      <c r="S127" s="57">
        <f>-PMT(C_UKEq_detail[[#This Row],[wacc_posttax_real]],C_UKEq_detail[[#This Row],[duration_years]],C_UKEq_detail[[#This Row],[lsv_lcy]])</f>
        <v>2332947.3539121891</v>
      </c>
      <c r="T127" s="57">
        <f>-PV(C_UKEq_detail[[#This Row],[wacc_posttax_real]],notional_term,C_UKEq_detail[[#This Row],[annuity_lcy]])</f>
        <v>30692500.73689435</v>
      </c>
      <c r="U127" s="58">
        <f>INDEX(I_PPP[],MATCH(C_UKEq_detail[[#This Row],[country]],I_PPP[country],0), MATCH(TEXT(C_UKEq_detail[[#This Row],[award_year]], "#"),I_PPP[#Headers],0))</f>
        <v>0.56842599999999999</v>
      </c>
      <c r="V127" s="58">
        <f>INDEX(I_PPP[],MATCH("United Kingdom",I_PPP[country],0), MATCH(TEXT(C_UKEq_detail[[#This Row],[award_year]], "#"),I_PPP[#Headers],0))</f>
        <v>0.71626400000000001</v>
      </c>
      <c r="W127" s="57">
        <f>C_UKEq_detail[[#This Row],[lsv_norm_lcy]]*C_UKEq_detail[[#This Row],[ppp_gbp]]/C_UKEq_detail[[#This Row],[ppp_lcy]]</f>
        <v>38675101.680448987</v>
      </c>
      <c r="X127" s="58">
        <f>eff_cpi_uk/SUMIFS(I_CPI_UK[index],I_CPI_UK[month],TEXT(C_UKEq_detail[[#This Row],[award_date]],"YYYY MMM"))</f>
        <v>1</v>
      </c>
      <c r="Y127" s="57">
        <f>C_UKEq_detail[[#This Row],[lsv_norm_gbp]]*C_UKEq_detail[[#This Row],[cpi_factor]]</f>
        <v>38675101.680448987</v>
      </c>
      <c r="Z127" s="57">
        <f>INDEX(I_Population[], MATCH(C_UKEq_detail[[#This Row],[country]], I_Population[country], 0), MATCH(TEXT(C_UKEq_detail[[#This Row],[award_year]],"#"), I_Population[#Headers], 0))</f>
        <v>2088385</v>
      </c>
      <c r="AA127" s="58">
        <f>eff_pop_uk/C_UKEq_detail[[#This Row],[population]]</f>
        <v>32.003834063163637</v>
      </c>
      <c r="AB127" s="57">
        <f>C_UKEq_detail[[#This Row],[lsv_real_gbp]]*C_UKEq_detail[[#This Row],[pop_factor]]</f>
        <v>1237751536.5570705</v>
      </c>
    </row>
    <row r="128" spans="1:28" x14ac:dyDescent="0.45">
      <c r="A128" s="50" t="s">
        <v>653</v>
      </c>
      <c r="B128" s="50" t="s">
        <v>169</v>
      </c>
      <c r="C128" s="49">
        <v>44302</v>
      </c>
      <c r="D128" s="50" t="s">
        <v>98</v>
      </c>
      <c r="E128" s="25">
        <v>30</v>
      </c>
      <c r="F128" s="25">
        <v>15</v>
      </c>
      <c r="G128" s="50" t="s">
        <v>97</v>
      </c>
      <c r="H128" s="25">
        <v>17643000</v>
      </c>
      <c r="I128" s="25">
        <v>36000</v>
      </c>
      <c r="J128" s="49"/>
      <c r="K128">
        <v>2021</v>
      </c>
      <c r="L128">
        <v>4.0500000000000001E-2</v>
      </c>
      <c r="M128" t="s">
        <v>779</v>
      </c>
      <c r="N128" s="50">
        <v>4.3696582247356744E-2</v>
      </c>
      <c r="O128" t="s">
        <v>779</v>
      </c>
      <c r="P128"/>
      <c r="Q128"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18056156.287025314</v>
      </c>
      <c r="R128" s="57">
        <f>C_UKEq_detail[[#This Row],[lf_pv_lcy]]*(1+C_UKEq_detail[[#This Row],[wacc_posttax_real]])^(YEARFRAC(C_UKEq_detail[[#This Row],[award_date]],C_UKEq_detail[[#This Row],[award_date]]+C_UKEq_detail[[#This Row],[delay_days]])*delay_adj*(C_UKEq_detail[[#This Row],[delay_days]]&gt;delay_threshold))</f>
        <v>18056156.287025314</v>
      </c>
      <c r="S128" s="57">
        <f>-PMT(C_UKEq_detail[[#This Row],[wacc_posttax_real]],C_UKEq_detail[[#This Row],[duration_years]],C_UKEq_detail[[#This Row],[lsv_lcy]])</f>
        <v>1666246.0031705827</v>
      </c>
      <c r="T128" s="57">
        <f>-PV(C_UKEq_detail[[#This Row],[wacc_posttax_real]],notional_term,C_UKEq_detail[[#This Row],[annuity_lcy]])</f>
        <v>21921307.651627913</v>
      </c>
      <c r="U128" s="58">
        <f>INDEX(I_PPP[],MATCH(C_UKEq_detail[[#This Row],[country]],I_PPP[country],0), MATCH(TEXT(C_UKEq_detail[[#This Row],[award_year]], "#"),I_PPP[#Headers],0))</f>
        <v>0.56842599999999999</v>
      </c>
      <c r="V128" s="58">
        <f>INDEX(I_PPP[],MATCH("United Kingdom",I_PPP[country],0), MATCH(TEXT(C_UKEq_detail[[#This Row],[award_year]], "#"),I_PPP[#Headers],0))</f>
        <v>0.71626400000000001</v>
      </c>
      <c r="W128" s="57">
        <f>C_UKEq_detail[[#This Row],[lsv_norm_lcy]]*C_UKEq_detail[[#This Row],[ppp_gbp]]/C_UKEq_detail[[#This Row],[ppp_lcy]]</f>
        <v>27622669.448240608</v>
      </c>
      <c r="X128" s="58">
        <f>eff_cpi_uk/SUMIFS(I_CPI_UK[index],I_CPI_UK[month],TEXT(C_UKEq_detail[[#This Row],[award_date]],"YYYY MMM"))</f>
        <v>1</v>
      </c>
      <c r="Y128" s="57">
        <f>C_UKEq_detail[[#This Row],[lsv_norm_gbp]]*C_UKEq_detail[[#This Row],[cpi_factor]]</f>
        <v>27622669.448240608</v>
      </c>
      <c r="Z128" s="57">
        <f>INDEX(I_Population[], MATCH(C_UKEq_detail[[#This Row],[country]], I_Population[country], 0), MATCH(TEXT(C_UKEq_detail[[#This Row],[award_year]],"#"), I_Population[#Headers], 0))</f>
        <v>2088385</v>
      </c>
      <c r="AA128" s="58">
        <f>eff_pop_uk/C_UKEq_detail[[#This Row],[population]]</f>
        <v>32.003834063163637</v>
      </c>
      <c r="AB128" s="57">
        <f>C_UKEq_detail[[#This Row],[lsv_real_gbp]]*C_UKEq_detail[[#This Row],[pop_factor]]</f>
        <v>884031329.40311229</v>
      </c>
    </row>
    <row r="129" spans="1:28" x14ac:dyDescent="0.45">
      <c r="A129" s="50" t="s">
        <v>656</v>
      </c>
      <c r="B129" s="50" t="s">
        <v>169</v>
      </c>
      <c r="C129" s="49">
        <v>44302</v>
      </c>
      <c r="D129" s="50" t="s">
        <v>655</v>
      </c>
      <c r="E129" s="25">
        <v>40</v>
      </c>
      <c r="F129" s="25">
        <v>15</v>
      </c>
      <c r="G129" s="50" t="s">
        <v>97</v>
      </c>
      <c r="H129" s="25">
        <v>6396000</v>
      </c>
      <c r="I129" s="25">
        <v>28800</v>
      </c>
      <c r="J129" s="49"/>
      <c r="K129">
        <v>2021</v>
      </c>
      <c r="L129">
        <v>4.0500000000000001E-2</v>
      </c>
      <c r="M129" t="s">
        <v>779</v>
      </c>
      <c r="N129" s="50">
        <v>4.3696582247356744E-2</v>
      </c>
      <c r="O129" t="s">
        <v>779</v>
      </c>
      <c r="P129"/>
      <c r="Q129"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6726525.0296202516</v>
      </c>
      <c r="R129" s="57">
        <f>C_UKEq_detail[[#This Row],[lf_pv_lcy]]*(1+C_UKEq_detail[[#This Row],[wacc_posttax_real]])^(YEARFRAC(C_UKEq_detail[[#This Row],[award_date]],C_UKEq_detail[[#This Row],[award_date]]+C_UKEq_detail[[#This Row],[delay_days]])*delay_adj*(C_UKEq_detail[[#This Row],[delay_days]]&gt;delay_threshold))</f>
        <v>6726525.0296202516</v>
      </c>
      <c r="S129" s="57">
        <f>-PMT(C_UKEq_detail[[#This Row],[wacc_posttax_real]],C_UKEq_detail[[#This Row],[duration_years]],C_UKEq_detail[[#This Row],[lsv_lcy]])</f>
        <v>620732.63366054499</v>
      </c>
      <c r="T129" s="57">
        <f>-PV(C_UKEq_detail[[#This Row],[wacc_posttax_real]],notional_term,C_UKEq_detail[[#This Row],[annuity_lcy]])</f>
        <v>8166423.8089608205</v>
      </c>
      <c r="U129" s="58">
        <f>INDEX(I_PPP[],MATCH(C_UKEq_detail[[#This Row],[country]],I_PPP[country],0), MATCH(TEXT(C_UKEq_detail[[#This Row],[award_year]], "#"),I_PPP[#Headers],0))</f>
        <v>0.56842599999999999</v>
      </c>
      <c r="V129" s="58">
        <f>INDEX(I_PPP[],MATCH("United Kingdom",I_PPP[country],0), MATCH(TEXT(C_UKEq_detail[[#This Row],[award_year]], "#"),I_PPP[#Headers],0))</f>
        <v>0.71626400000000001</v>
      </c>
      <c r="W129" s="57">
        <f>C_UKEq_detail[[#This Row],[lsv_norm_lcy]]*C_UKEq_detail[[#This Row],[ppp_gbp]]/C_UKEq_detail[[#This Row],[ppp_lcy]]</f>
        <v>10290372.68369412</v>
      </c>
      <c r="X129" s="58">
        <f>eff_cpi_uk/SUMIFS(I_CPI_UK[index],I_CPI_UK[month],TEXT(C_UKEq_detail[[#This Row],[award_date]],"YYYY MMM"))</f>
        <v>1</v>
      </c>
      <c r="Y129" s="57">
        <f>C_UKEq_detail[[#This Row],[lsv_norm_gbp]]*C_UKEq_detail[[#This Row],[cpi_factor]]</f>
        <v>10290372.68369412</v>
      </c>
      <c r="Z129" s="57">
        <f>INDEX(I_Population[], MATCH(C_UKEq_detail[[#This Row],[country]], I_Population[country], 0), MATCH(TEXT(C_UKEq_detail[[#This Row],[award_year]],"#"), I_Population[#Headers], 0))</f>
        <v>2088385</v>
      </c>
      <c r="AA129" s="58">
        <f>eff_pop_uk/C_UKEq_detail[[#This Row],[population]]</f>
        <v>32.003834063163637</v>
      </c>
      <c r="AB129" s="57">
        <f>C_UKEq_detail[[#This Row],[lsv_real_gbp]]*C_UKEq_detail[[#This Row],[pop_factor]]</f>
        <v>329331379.8170585</v>
      </c>
    </row>
    <row r="130" spans="1:28" x14ac:dyDescent="0.45">
      <c r="A130" s="50" t="s">
        <v>656</v>
      </c>
      <c r="B130" s="50" t="s">
        <v>169</v>
      </c>
      <c r="C130" s="49">
        <v>44302</v>
      </c>
      <c r="D130" s="50" t="s">
        <v>98</v>
      </c>
      <c r="E130" s="25">
        <v>30</v>
      </c>
      <c r="F130" s="25">
        <v>15</v>
      </c>
      <c r="G130" s="50" t="s">
        <v>97</v>
      </c>
      <c r="H130" s="25">
        <v>4797000</v>
      </c>
      <c r="I130" s="25">
        <v>21600</v>
      </c>
      <c r="J130" s="49"/>
      <c r="K130">
        <v>2021</v>
      </c>
      <c r="L130">
        <v>4.0500000000000001E-2</v>
      </c>
      <c r="M130" t="s">
        <v>779</v>
      </c>
      <c r="N130" s="50">
        <v>4.3696582247356744E-2</v>
      </c>
      <c r="O130" t="s">
        <v>779</v>
      </c>
      <c r="P130"/>
      <c r="Q130"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5044893.7722151885</v>
      </c>
      <c r="R130" s="57">
        <f>C_UKEq_detail[[#This Row],[lf_pv_lcy]]*(1+C_UKEq_detail[[#This Row],[wacc_posttax_real]])^(YEARFRAC(C_UKEq_detail[[#This Row],[award_date]],C_UKEq_detail[[#This Row],[award_date]]+C_UKEq_detail[[#This Row],[delay_days]])*delay_adj*(C_UKEq_detail[[#This Row],[delay_days]]&gt;delay_threshold))</f>
        <v>5044893.7722151885</v>
      </c>
      <c r="S130" s="57">
        <f>-PMT(C_UKEq_detail[[#This Row],[wacc_posttax_real]],C_UKEq_detail[[#This Row],[duration_years]],C_UKEq_detail[[#This Row],[lsv_lcy]])</f>
        <v>465549.47524540871</v>
      </c>
      <c r="T130" s="57">
        <f>-PV(C_UKEq_detail[[#This Row],[wacc_posttax_real]],notional_term,C_UKEq_detail[[#This Row],[annuity_lcy]])</f>
        <v>6124817.8567206152</v>
      </c>
      <c r="U130" s="58">
        <f>INDEX(I_PPP[],MATCH(C_UKEq_detail[[#This Row],[country]],I_PPP[country],0), MATCH(TEXT(C_UKEq_detail[[#This Row],[award_year]], "#"),I_PPP[#Headers],0))</f>
        <v>0.56842599999999999</v>
      </c>
      <c r="V130" s="58">
        <f>INDEX(I_PPP[],MATCH("United Kingdom",I_PPP[country],0), MATCH(TEXT(C_UKEq_detail[[#This Row],[award_year]], "#"),I_PPP[#Headers],0))</f>
        <v>0.71626400000000001</v>
      </c>
      <c r="W130" s="57">
        <f>C_UKEq_detail[[#This Row],[lsv_norm_lcy]]*C_UKEq_detail[[#This Row],[ppp_gbp]]/C_UKEq_detail[[#This Row],[ppp_lcy]]</f>
        <v>7717779.5127705894</v>
      </c>
      <c r="X130" s="58">
        <f>eff_cpi_uk/SUMIFS(I_CPI_UK[index],I_CPI_UK[month],TEXT(C_UKEq_detail[[#This Row],[award_date]],"YYYY MMM"))</f>
        <v>1</v>
      </c>
      <c r="Y130" s="57">
        <f>C_UKEq_detail[[#This Row],[lsv_norm_gbp]]*C_UKEq_detail[[#This Row],[cpi_factor]]</f>
        <v>7717779.5127705894</v>
      </c>
      <c r="Z130" s="57">
        <f>INDEX(I_Population[], MATCH(C_UKEq_detail[[#This Row],[country]], I_Population[country], 0), MATCH(TEXT(C_UKEq_detail[[#This Row],[award_year]],"#"), I_Population[#Headers], 0))</f>
        <v>2088385</v>
      </c>
      <c r="AA130" s="58">
        <f>eff_pop_uk/C_UKEq_detail[[#This Row],[population]]</f>
        <v>32.003834063163637</v>
      </c>
      <c r="AB130" s="57">
        <f>C_UKEq_detail[[#This Row],[lsv_real_gbp]]*C_UKEq_detail[[#This Row],[pop_factor]]</f>
        <v>246998534.86279386</v>
      </c>
    </row>
    <row r="131" spans="1:28" x14ac:dyDescent="0.45">
      <c r="A131" s="50" t="s">
        <v>786</v>
      </c>
      <c r="B131" s="50" t="s">
        <v>169</v>
      </c>
      <c r="C131" s="49">
        <v>44302</v>
      </c>
      <c r="D131" s="50" t="s">
        <v>652</v>
      </c>
      <c r="E131" s="25">
        <v>100</v>
      </c>
      <c r="F131" s="25">
        <v>15</v>
      </c>
      <c r="G131" s="50" t="s">
        <v>97</v>
      </c>
      <c r="H131" s="25">
        <v>12230000</v>
      </c>
      <c r="I131" s="25">
        <v>60000</v>
      </c>
      <c r="J131" s="49"/>
      <c r="K131">
        <v>2021</v>
      </c>
      <c r="L131">
        <v>4.0500000000000001E-2</v>
      </c>
      <c r="M131" t="s">
        <v>779</v>
      </c>
      <c r="N131" s="50">
        <v>4.3696582247356744E-2</v>
      </c>
      <c r="O131" t="s">
        <v>779</v>
      </c>
      <c r="P131"/>
      <c r="Q131"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12918593.811708856</v>
      </c>
      <c r="R131" s="57">
        <f>C_UKEq_detail[[#This Row],[lf_pv_lcy]]*(1+C_UKEq_detail[[#This Row],[wacc_posttax_real]])^(YEARFRAC(C_UKEq_detail[[#This Row],[award_date]],C_UKEq_detail[[#This Row],[award_date]]+C_UKEq_detail[[#This Row],[delay_days]])*delay_adj*(C_UKEq_detail[[#This Row],[delay_days]]&gt;delay_threshold))</f>
        <v>12918593.811708856</v>
      </c>
      <c r="S131" s="57">
        <f>-PMT(C_UKEq_detail[[#This Row],[wacc_posttax_real]],C_UKEq_detail[[#This Row],[duration_years]],C_UKEq_detail[[#This Row],[lsv_lcy]])</f>
        <v>1192144.9373370684</v>
      </c>
      <c r="T131" s="57">
        <f>-PV(C_UKEq_detail[[#This Row],[wacc_posttax_real]],notional_term,C_UKEq_detail[[#This Row],[annuity_lcy]])</f>
        <v>15683984.169785967</v>
      </c>
      <c r="U131" s="58">
        <f>INDEX(I_PPP[],MATCH(C_UKEq_detail[[#This Row],[country]],I_PPP[country],0), MATCH(TEXT(C_UKEq_detail[[#This Row],[award_year]], "#"),I_PPP[#Headers],0))</f>
        <v>0.56842599999999999</v>
      </c>
      <c r="V131" s="58">
        <f>INDEX(I_PPP[],MATCH("United Kingdom",I_PPP[country],0), MATCH(TEXT(C_UKEq_detail[[#This Row],[award_year]], "#"),I_PPP[#Headers],0))</f>
        <v>0.71626400000000001</v>
      </c>
      <c r="W131" s="57">
        <f>C_UKEq_detail[[#This Row],[lsv_norm_lcy]]*C_UKEq_detail[[#This Row],[ppp_gbp]]/C_UKEq_detail[[#This Row],[ppp_lcy]]</f>
        <v>19763123.497847699</v>
      </c>
      <c r="X131" s="58">
        <f>eff_cpi_uk/SUMIFS(I_CPI_UK[index],I_CPI_UK[month],TEXT(C_UKEq_detail[[#This Row],[award_date]],"YYYY MMM"))</f>
        <v>1</v>
      </c>
      <c r="Y131" s="57">
        <f>C_UKEq_detail[[#This Row],[lsv_norm_gbp]]*C_UKEq_detail[[#This Row],[cpi_factor]]</f>
        <v>19763123.497847699</v>
      </c>
      <c r="Z131" s="57">
        <f>INDEX(I_Population[], MATCH(C_UKEq_detail[[#This Row],[country]], I_Population[country], 0), MATCH(TEXT(C_UKEq_detail[[#This Row],[award_year]],"#"), I_Population[#Headers], 0))</f>
        <v>2088385</v>
      </c>
      <c r="AA131" s="58">
        <f>eff_pop_uk/C_UKEq_detail[[#This Row],[population]]</f>
        <v>32.003834063163637</v>
      </c>
      <c r="AB131" s="57">
        <f>C_UKEq_detail[[#This Row],[lsv_real_gbp]]*C_UKEq_detail[[#This Row],[pop_factor]]</f>
        <v>632495724.99492788</v>
      </c>
    </row>
    <row r="132" spans="1:28" x14ac:dyDescent="0.45">
      <c r="A132" s="50" t="s">
        <v>786</v>
      </c>
      <c r="B132" s="50" t="s">
        <v>169</v>
      </c>
      <c r="C132" s="49">
        <v>44302</v>
      </c>
      <c r="D132" s="50" t="s">
        <v>654</v>
      </c>
      <c r="E132" s="25">
        <v>140</v>
      </c>
      <c r="F132" s="25">
        <v>15</v>
      </c>
      <c r="G132" s="50" t="s">
        <v>97</v>
      </c>
      <c r="H132" s="25">
        <v>17122000</v>
      </c>
      <c r="I132" s="25">
        <v>84000</v>
      </c>
      <c r="J132" s="49"/>
      <c r="K132">
        <v>2021</v>
      </c>
      <c r="L132">
        <v>4.0500000000000001E-2</v>
      </c>
      <c r="M132" t="s">
        <v>779</v>
      </c>
      <c r="N132" s="50">
        <v>4.3696582247356744E-2</v>
      </c>
      <c r="O132" t="s">
        <v>779</v>
      </c>
      <c r="P132"/>
      <c r="Q132"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18086031.336392399</v>
      </c>
      <c r="R132" s="57">
        <f>C_UKEq_detail[[#This Row],[lf_pv_lcy]]*(1+C_UKEq_detail[[#This Row],[wacc_posttax_real]])^(YEARFRAC(C_UKEq_detail[[#This Row],[award_date]],C_UKEq_detail[[#This Row],[award_date]]+C_UKEq_detail[[#This Row],[delay_days]])*delay_adj*(C_UKEq_detail[[#This Row],[delay_days]]&gt;delay_threshold))</f>
        <v>18086031.336392399</v>
      </c>
      <c r="S132" s="57">
        <f>-PMT(C_UKEq_detail[[#This Row],[wacc_posttax_real]],C_UKEq_detail[[#This Row],[duration_years]],C_UKEq_detail[[#This Row],[lsv_lcy]])</f>
        <v>1669002.9122718959</v>
      </c>
      <c r="T132" s="57">
        <f>-PV(C_UKEq_detail[[#This Row],[wacc_posttax_real]],notional_term,C_UKEq_detail[[#This Row],[annuity_lcy]])</f>
        <v>21957577.83770036</v>
      </c>
      <c r="U132" s="58">
        <f>INDEX(I_PPP[],MATCH(C_UKEq_detail[[#This Row],[country]],I_PPP[country],0), MATCH(TEXT(C_UKEq_detail[[#This Row],[award_year]], "#"),I_PPP[#Headers],0))</f>
        <v>0.56842599999999999</v>
      </c>
      <c r="V132" s="58">
        <f>INDEX(I_PPP[],MATCH("United Kingdom",I_PPP[country],0), MATCH(TEXT(C_UKEq_detail[[#This Row],[award_year]], "#"),I_PPP[#Headers],0))</f>
        <v>0.71626400000000001</v>
      </c>
      <c r="W132" s="57">
        <f>C_UKEq_detail[[#This Row],[lsv_norm_lcy]]*C_UKEq_detail[[#This Row],[ppp_gbp]]/C_UKEq_detail[[#This Row],[ppp_lcy]]</f>
        <v>27668372.896986786</v>
      </c>
      <c r="X132" s="58">
        <f>eff_cpi_uk/SUMIFS(I_CPI_UK[index],I_CPI_UK[month],TEXT(C_UKEq_detail[[#This Row],[award_date]],"YYYY MMM"))</f>
        <v>1</v>
      </c>
      <c r="Y132" s="57">
        <f>C_UKEq_detail[[#This Row],[lsv_norm_gbp]]*C_UKEq_detail[[#This Row],[cpi_factor]]</f>
        <v>27668372.896986786</v>
      </c>
      <c r="Z132" s="57">
        <f>INDEX(I_Population[], MATCH(C_UKEq_detail[[#This Row],[country]], I_Population[country], 0), MATCH(TEXT(C_UKEq_detail[[#This Row],[award_year]],"#"), I_Population[#Headers], 0))</f>
        <v>2088385</v>
      </c>
      <c r="AA132" s="58">
        <f>eff_pop_uk/C_UKEq_detail[[#This Row],[population]]</f>
        <v>32.003834063163637</v>
      </c>
      <c r="AB132" s="57">
        <f>C_UKEq_detail[[#This Row],[lsv_real_gbp]]*C_UKEq_detail[[#This Row],[pop_factor]]</f>
        <v>885494014.9928993</v>
      </c>
    </row>
    <row r="133" spans="1:28" x14ac:dyDescent="0.45">
      <c r="A133" s="50" t="s">
        <v>786</v>
      </c>
      <c r="B133" s="50" t="s">
        <v>169</v>
      </c>
      <c r="C133" s="49">
        <v>44302</v>
      </c>
      <c r="D133" s="50" t="s">
        <v>98</v>
      </c>
      <c r="E133" s="25">
        <v>140</v>
      </c>
      <c r="F133" s="25">
        <v>15</v>
      </c>
      <c r="G133" s="50" t="s">
        <v>97</v>
      </c>
      <c r="H133" s="25">
        <v>17122000</v>
      </c>
      <c r="I133" s="25">
        <v>84000</v>
      </c>
      <c r="J133" s="49"/>
      <c r="K133" s="25">
        <v>2021</v>
      </c>
      <c r="L133" s="25">
        <v>4.0500000000000001E-2</v>
      </c>
      <c r="M133" s="25" t="s">
        <v>779</v>
      </c>
      <c r="N133" s="50">
        <v>4.3696582247356744E-2</v>
      </c>
      <c r="O133" s="25" t="s">
        <v>779</v>
      </c>
      <c r="Q133" s="57">
        <f>C_UKEq_detail[[#This Row],[headline_price]]-PV(C_UKEq_detail[[#This Row],[cod_pretax_nom]]-cod_liquidity_premium,C_UKEq_detail[[#This Row],[duration_years]],C_UKEq_detail[[#This Row],[alf]])*(1+C_UKEq_detail[[#This Row],[cod_pretax_nom]]-cod_liquidity_premium)^(-YEARFRAC(C_UKEq_detail[[#This Row],[award_date]], C_UKEq_detail[[#This Row],[award_date]]+C_UKEq_detail[[#This Row],[delay_days]])*delay_adj*(C_UKEq_detail[[#This Row],[delay_days]]&gt;delay_threshold))</f>
        <v>18086031.336392399</v>
      </c>
      <c r="R133" s="57">
        <f>C_UKEq_detail[[#This Row],[lf_pv_lcy]]*(1+C_UKEq_detail[[#This Row],[wacc_posttax_real]])^(YEARFRAC(C_UKEq_detail[[#This Row],[award_date]],C_UKEq_detail[[#This Row],[award_date]]+C_UKEq_detail[[#This Row],[delay_days]])*delay_adj*(C_UKEq_detail[[#This Row],[delay_days]]&gt;delay_threshold))</f>
        <v>18086031.336392399</v>
      </c>
      <c r="S133" s="57">
        <f>-PMT(C_UKEq_detail[[#This Row],[wacc_posttax_real]],C_UKEq_detail[[#This Row],[duration_years]],C_UKEq_detail[[#This Row],[lsv_lcy]])</f>
        <v>1669002.9122718959</v>
      </c>
      <c r="T133" s="57">
        <f>-PV(C_UKEq_detail[[#This Row],[wacc_posttax_real]],notional_term,C_UKEq_detail[[#This Row],[annuity_lcy]])</f>
        <v>21957577.83770036</v>
      </c>
      <c r="U133" s="58">
        <f>INDEX(I_PPP[],MATCH(C_UKEq_detail[[#This Row],[country]],I_PPP[country],0), MATCH(TEXT(C_UKEq_detail[[#This Row],[award_year]], "#"),I_PPP[#Headers],0))</f>
        <v>0.56842599999999999</v>
      </c>
      <c r="V133" s="58">
        <f>INDEX(I_PPP[],MATCH("United Kingdom",I_PPP[country],0), MATCH(TEXT(C_UKEq_detail[[#This Row],[award_year]], "#"),I_PPP[#Headers],0))</f>
        <v>0.71626400000000001</v>
      </c>
      <c r="W133" s="57">
        <f>C_UKEq_detail[[#This Row],[lsv_norm_lcy]]*C_UKEq_detail[[#This Row],[ppp_gbp]]/C_UKEq_detail[[#This Row],[ppp_lcy]]</f>
        <v>27668372.896986786</v>
      </c>
      <c r="X133" s="58">
        <f>eff_cpi_uk/SUMIFS(I_CPI_UK[index],I_CPI_UK[month],TEXT(C_UKEq_detail[[#This Row],[award_date]],"YYYY MMM"))</f>
        <v>1</v>
      </c>
      <c r="Y133" s="57">
        <f>C_UKEq_detail[[#This Row],[lsv_norm_gbp]]*C_UKEq_detail[[#This Row],[cpi_factor]]</f>
        <v>27668372.896986786</v>
      </c>
      <c r="Z133" s="57">
        <f>INDEX(I_Population[], MATCH(C_UKEq_detail[[#This Row],[country]], I_Population[country], 0), MATCH(TEXT(C_UKEq_detail[[#This Row],[award_year]],"#"), I_Population[#Headers], 0))</f>
        <v>2088385</v>
      </c>
      <c r="AA133" s="58">
        <f>eff_pop_uk/C_UKEq_detail[[#This Row],[population]]</f>
        <v>32.003834063163637</v>
      </c>
      <c r="AB133" s="57">
        <f>C_UKEq_detail[[#This Row],[lsv_real_gbp]]*C_UKEq_detail[[#This Row],[pop_factor]]</f>
        <v>885494014.9928993</v>
      </c>
    </row>
  </sheetData>
  <phoneticPr fontId="23" type="noConversion"/>
  <pageMargins left="0.7" right="0.7" top="0.75" bottom="0.75" header="0.3" footer="0.3"/>
  <pageSetup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9D3D75-8FE3-4D15-AA1C-67FFADAC193D}">
  <dimension ref="A1:C46"/>
  <sheetViews>
    <sheetView defaultGridColor="0" colorId="22" workbookViewId="0">
      <pane ySplit="4" topLeftCell="A5" activePane="bottomLeft" state="frozen"/>
      <selection pane="bottomLeft" activeCell="A5" sqref="A5"/>
    </sheetView>
  </sheetViews>
  <sheetFormatPr defaultColWidth="12.86328125" defaultRowHeight="14.25" x14ac:dyDescent="0.45"/>
  <cols>
    <col min="1" max="1" width="30.1328125" bestFit="1" customWidth="1"/>
    <col min="2" max="2" width="13.86328125" bestFit="1" customWidth="1"/>
    <col min="3" max="3" width="13.265625" bestFit="1" customWidth="1"/>
    <col min="4" max="4" width="13.1328125" bestFit="1" customWidth="1"/>
  </cols>
  <sheetData>
    <row r="1" spans="1:3" ht="40.5" customHeight="1" x14ac:dyDescent="0.45">
      <c r="A1" s="48" t="s">
        <v>664</v>
      </c>
    </row>
    <row r="2" spans="1:3" x14ac:dyDescent="0.45">
      <c r="A2" s="29" t="s">
        <v>717</v>
      </c>
    </row>
    <row r="4" spans="1:3" x14ac:dyDescent="0.45">
      <c r="A4" t="s">
        <v>73</v>
      </c>
      <c r="B4" t="s">
        <v>77</v>
      </c>
      <c r="C4" t="s">
        <v>617</v>
      </c>
    </row>
    <row r="5" spans="1:3" x14ac:dyDescent="0.45">
      <c r="A5" s="50" t="s">
        <v>780</v>
      </c>
      <c r="B5" s="50">
        <f>SUMIFS(I_Award[amount_mhz], I_Award[award_id], C_UKEqComp[[#This Row],[award_id]])</f>
        <v>320</v>
      </c>
      <c r="C5" s="57">
        <f>SUMIFS(C_UKEq_detail[lsv_ukeq], C_UKEq_detail[award_id], C_UKEqComp[[#This Row],[award_id]])</f>
        <v>876502602.0911727</v>
      </c>
    </row>
    <row r="6" spans="1:3" x14ac:dyDescent="0.45">
      <c r="A6" s="50" t="s">
        <v>145</v>
      </c>
      <c r="B6" s="50">
        <f>SUMIFS(I_Award[amount_mhz], I_Award[award_id], C_UKEqComp[[#This Row],[award_id]])</f>
        <v>80</v>
      </c>
      <c r="C6" s="57">
        <f>SUMIFS(C_UKEq_detail[lsv_ukeq], C_UKEq_detail[award_id], C_UKEqComp[[#This Row],[award_id]])</f>
        <v>182890474.56396779</v>
      </c>
    </row>
    <row r="7" spans="1:3" x14ac:dyDescent="0.45">
      <c r="A7" s="50" t="s">
        <v>148</v>
      </c>
      <c r="B7" s="50">
        <f>SUMIFS(I_Award[amount_mhz], I_Award[award_id], C_UKEqComp[[#This Row],[award_id]])</f>
        <v>60</v>
      </c>
      <c r="C7" s="57">
        <f>SUMIFS(C_UKEq_detail[lsv_ukeq], C_UKEq_detail[award_id], C_UKEqComp[[#This Row],[award_id]])</f>
        <v>1485771146.973969</v>
      </c>
    </row>
    <row r="8" spans="1:3" x14ac:dyDescent="0.45">
      <c r="A8" s="50" t="s">
        <v>125</v>
      </c>
      <c r="B8" s="50">
        <f>SUMIFS(I_Award[amount_mhz], I_Award[award_id], C_UKEqComp[[#This Row],[award_id]])</f>
        <v>120</v>
      </c>
      <c r="C8" s="57">
        <f>SUMIFS(C_UKEq_detail[lsv_ukeq], C_UKEq_detail[award_id], C_UKEqComp[[#This Row],[award_id]])</f>
        <v>1979294767.3369796</v>
      </c>
    </row>
    <row r="9" spans="1:3" x14ac:dyDescent="0.45">
      <c r="A9" s="50" t="s">
        <v>151</v>
      </c>
      <c r="B9" s="50">
        <f>SUMIFS(I_Award[amount_mhz], I_Award[award_id], C_UKEqComp[[#This Row],[award_id]])</f>
        <v>120</v>
      </c>
      <c r="C9" s="57">
        <f>SUMIFS(C_UKEq_detail[lsv_ukeq], C_UKEq_detail[award_id], C_UKEqComp[[#This Row],[award_id]])</f>
        <v>1039132623.746978</v>
      </c>
    </row>
    <row r="10" spans="1:3" x14ac:dyDescent="0.45">
      <c r="A10" s="50" t="s">
        <v>785</v>
      </c>
      <c r="B10" s="50">
        <f>SUMIFS(I_Award[amount_mhz], I_Award[award_id], C_UKEqComp[[#This Row],[award_id]])</f>
        <v>300</v>
      </c>
      <c r="C10" s="57">
        <f>SUMIFS(C_UKEq_detail[lsv_ukeq], C_UKEq_detail[award_id], C_UKEqComp[[#This Row],[award_id]])</f>
        <v>3283094635.1876168</v>
      </c>
    </row>
    <row r="11" spans="1:3" x14ac:dyDescent="0.45">
      <c r="A11" s="50" t="s">
        <v>783</v>
      </c>
      <c r="B11" s="50">
        <f>SUMIFS(I_Award[amount_mhz], I_Award[award_id], C_UKEqComp[[#This Row],[award_id]])</f>
        <v>390</v>
      </c>
      <c r="C11" s="57">
        <f>SUMIFS(C_UKEq_detail[lsv_ukeq], C_UKEq_detail[award_id], C_UKEqComp[[#This Row],[award_id]])</f>
        <v>964872990.44088483</v>
      </c>
    </row>
    <row r="12" spans="1:3" x14ac:dyDescent="0.45">
      <c r="A12" s="50" t="s">
        <v>107</v>
      </c>
      <c r="B12" s="50">
        <f>SUMIFS(I_Award[amount_mhz], I_Award[award_id], C_UKEqComp[[#This Row],[award_id]])</f>
        <v>60</v>
      </c>
      <c r="C12" s="57">
        <f>SUMIFS(C_UKEq_detail[lsv_ukeq], C_UKEq_detail[award_id], C_UKEqComp[[#This Row],[award_id]])</f>
        <v>1660601443.2268124</v>
      </c>
    </row>
    <row r="13" spans="1:3" x14ac:dyDescent="0.45">
      <c r="A13" s="50" t="s">
        <v>109</v>
      </c>
      <c r="B13" s="50">
        <f>SUMIFS(I_Award[amount_mhz], I_Award[award_id], C_UKEqComp[[#This Row],[award_id]])</f>
        <v>120</v>
      </c>
      <c r="C13" s="57">
        <f>SUMIFS(C_UKEq_detail[lsv_ukeq], C_UKEq_detail[award_id], C_UKEqComp[[#This Row],[award_id]])</f>
        <v>1730682321.1667931</v>
      </c>
    </row>
    <row r="14" spans="1:3" x14ac:dyDescent="0.45">
      <c r="A14" s="50" t="s">
        <v>101</v>
      </c>
      <c r="B14" s="50">
        <f>SUMIFS(I_Award[amount_mhz], I_Award[award_id], C_UKEqComp[[#This Row],[award_id]])</f>
        <v>60</v>
      </c>
      <c r="C14" s="57">
        <f>SUMIFS(C_UKEq_detail[lsv_ukeq], C_UKEq_detail[award_id], C_UKEqComp[[#This Row],[award_id]])</f>
        <v>1141590327.7875938</v>
      </c>
    </row>
    <row r="15" spans="1:3" x14ac:dyDescent="0.45">
      <c r="A15" s="50" t="s">
        <v>121</v>
      </c>
      <c r="B15" s="50">
        <f>SUMIFS(I_Award[amount_mhz], I_Award[award_id], C_UKEqComp[[#This Row],[award_id]])</f>
        <v>30</v>
      </c>
      <c r="C15" s="57">
        <f>SUMIFS(C_UKEq_detail[lsv_ukeq], C_UKEq_detail[award_id], C_UKEqComp[[#This Row],[award_id]])</f>
        <v>1070928515.3408773</v>
      </c>
    </row>
    <row r="16" spans="1:3" x14ac:dyDescent="0.45">
      <c r="A16" s="50" t="s">
        <v>784</v>
      </c>
      <c r="B16" s="50">
        <f>SUMIFS(I_Award[amount_mhz], I_Award[award_id], C_UKEqComp[[#This Row],[award_id]])</f>
        <v>310</v>
      </c>
      <c r="C16" s="57">
        <f>SUMIFS(C_UKEq_detail[lsv_ukeq], C_UKEq_detail[award_id], C_UKEqComp[[#This Row],[award_id]])</f>
        <v>3449586492.1738348</v>
      </c>
    </row>
    <row r="17" spans="1:3" x14ac:dyDescent="0.45">
      <c r="A17" s="50" t="s">
        <v>106</v>
      </c>
      <c r="B17" s="50">
        <f>SUMIFS(I_Award[amount_mhz], I_Award[award_id], C_UKEqComp[[#This Row],[award_id]])</f>
        <v>30</v>
      </c>
      <c r="C17" s="57">
        <f>SUMIFS(C_UKEq_detail[lsv_ukeq], C_UKEq_detail[award_id], C_UKEqComp[[#This Row],[award_id]])</f>
        <v>338067203.79485601</v>
      </c>
    </row>
    <row r="18" spans="1:3" x14ac:dyDescent="0.45">
      <c r="A18" s="50" t="s">
        <v>160</v>
      </c>
      <c r="B18" s="50">
        <f>SUMIFS(I_Award[amount_mhz], I_Award[award_id], C_UKEqComp[[#This Row],[award_id]])</f>
        <v>30</v>
      </c>
      <c r="C18" s="57">
        <f>SUMIFS(C_UKEq_detail[lsv_ukeq], C_UKEq_detail[award_id], C_UKEqComp[[#This Row],[award_id]])</f>
        <v>1042373897.8416295</v>
      </c>
    </row>
    <row r="19" spans="1:3" x14ac:dyDescent="0.45">
      <c r="A19" s="50" t="s">
        <v>92</v>
      </c>
      <c r="B19" s="50">
        <f>SUMIFS(I_Award[amount_mhz], I_Award[award_id], C_UKEqComp[[#This Row],[award_id]])</f>
        <v>40</v>
      </c>
      <c r="C19" s="57">
        <f>SUMIFS(C_UKEq_detail[lsv_ukeq], C_UKEq_detail[award_id], C_UKEqComp[[#This Row],[award_id]])</f>
        <v>1402740146.7284904</v>
      </c>
    </row>
    <row r="20" spans="1:3" x14ac:dyDescent="0.45">
      <c r="A20" s="50" t="s">
        <v>111</v>
      </c>
      <c r="B20" s="50">
        <f>SUMIFS(I_Award[amount_mhz], I_Award[award_id], C_UKEqComp[[#This Row],[award_id]])</f>
        <v>40</v>
      </c>
      <c r="C20" s="57">
        <f>SUMIFS(C_UKEq_detail[lsv_ukeq], C_UKEq_detail[award_id], C_UKEqComp[[#This Row],[award_id]])</f>
        <v>221319693.631607</v>
      </c>
    </row>
    <row r="21" spans="1:3" x14ac:dyDescent="0.45">
      <c r="A21" s="50" t="s">
        <v>114</v>
      </c>
      <c r="B21" s="50">
        <f>SUMIFS(I_Award[amount_mhz], I_Award[award_id], C_UKEqComp[[#This Row],[award_id]])</f>
        <v>20</v>
      </c>
      <c r="C21" s="57">
        <f>SUMIFS(C_UKEq_detail[lsv_ukeq], C_UKEq_detail[award_id], C_UKEqComp[[#This Row],[award_id]])</f>
        <v>110659846.8158035</v>
      </c>
    </row>
    <row r="22" spans="1:3" x14ac:dyDescent="0.45">
      <c r="A22" s="50" t="s">
        <v>117</v>
      </c>
      <c r="B22" s="50">
        <f>SUMIFS(I_Award[amount_mhz], I_Award[award_id], C_UKEqComp[[#This Row],[award_id]])</f>
        <v>30</v>
      </c>
      <c r="C22" s="57">
        <f>SUMIFS(C_UKEq_detail[lsv_ukeq], C_UKEq_detail[award_id], C_UKEqComp[[#This Row],[award_id]])</f>
        <v>155439795.1436137</v>
      </c>
    </row>
    <row r="23" spans="1:3" x14ac:dyDescent="0.45">
      <c r="A23" s="50" t="s">
        <v>166</v>
      </c>
      <c r="B23" s="50">
        <f>SUMIFS(I_Award[amount_mhz], I_Award[award_id], C_UKEqComp[[#This Row],[award_id]])</f>
        <v>140</v>
      </c>
      <c r="C23" s="57">
        <f>SUMIFS(C_UKEq_detail[lsv_ukeq], C_UKEq_detail[award_id], C_UKEqComp[[#This Row],[award_id]])</f>
        <v>515529177.8171733</v>
      </c>
    </row>
    <row r="24" spans="1:3" x14ac:dyDescent="0.45">
      <c r="A24" s="50" t="s">
        <v>129</v>
      </c>
      <c r="B24" s="50">
        <f>SUMIFS(I_Award[amount_mhz], I_Award[award_id], C_UKEqComp[[#This Row],[award_id]])</f>
        <v>100</v>
      </c>
      <c r="C24" s="57">
        <f>SUMIFS(C_UKEq_detail[lsv_ukeq], C_UKEq_detail[award_id], C_UKEqComp[[#This Row],[award_id]])</f>
        <v>2280917381.1005106</v>
      </c>
    </row>
    <row r="25" spans="1:3" x14ac:dyDescent="0.45">
      <c r="A25" s="50" t="s">
        <v>132</v>
      </c>
      <c r="B25" s="50">
        <f>SUMIFS(I_Award[amount_mhz], I_Award[award_id], C_UKEqComp[[#This Row],[award_id]])</f>
        <v>60</v>
      </c>
      <c r="C25" s="57">
        <f>SUMIFS(C_UKEq_detail[lsv_ukeq], C_UKEq_detail[award_id], C_UKEqComp[[#This Row],[award_id]])</f>
        <v>984190395.33165312</v>
      </c>
    </row>
    <row r="26" spans="1:3" x14ac:dyDescent="0.45">
      <c r="A26" s="50" t="s">
        <v>174</v>
      </c>
      <c r="B26" s="50">
        <f>SUMIFS(I_Award[amount_mhz], I_Award[award_id], C_UKEqComp[[#This Row],[award_id]])</f>
        <v>140</v>
      </c>
      <c r="C26" s="57">
        <f>SUMIFS(C_UKEq_detail[lsv_ukeq], C_UKEq_detail[award_id], C_UKEqComp[[#This Row],[award_id]])</f>
        <v>567370720.10885942</v>
      </c>
    </row>
    <row r="27" spans="1:3" x14ac:dyDescent="0.45">
      <c r="A27" s="50" t="s">
        <v>124</v>
      </c>
      <c r="B27" s="50">
        <f>SUMIFS(I_Award[amount_mhz], I_Award[award_id], C_UKEqComp[[#This Row],[award_id]])</f>
        <v>60</v>
      </c>
      <c r="C27" s="57">
        <f>SUMIFS(C_UKEq_detail[lsv_ukeq], C_UKEq_detail[award_id], C_UKEqComp[[#This Row],[award_id]])</f>
        <v>2664411654.9545751</v>
      </c>
    </row>
    <row r="28" spans="1:3" x14ac:dyDescent="0.45">
      <c r="A28" s="50" t="s">
        <v>180</v>
      </c>
      <c r="B28" s="50">
        <f>SUMIFS(I_Award[amount_mhz], I_Award[award_id], C_UKEqComp[[#This Row],[award_id]])</f>
        <v>140</v>
      </c>
      <c r="C28" s="57">
        <f>SUMIFS(C_UKEq_detail[lsv_ukeq], C_UKEq_detail[award_id], C_UKEqComp[[#This Row],[award_id]])</f>
        <v>272517374.51332194</v>
      </c>
    </row>
    <row r="29" spans="1:3" x14ac:dyDescent="0.45">
      <c r="A29" s="50" t="s">
        <v>135</v>
      </c>
      <c r="B29" s="50">
        <f>SUMIFS(I_Award[amount_mhz], I_Award[award_id], C_UKEqComp[[#This Row],[award_id]])</f>
        <v>60</v>
      </c>
      <c r="C29" s="57">
        <f>SUMIFS(C_UKEq_detail[lsv_ukeq], C_UKEq_detail[award_id], C_UKEqComp[[#This Row],[award_id]])</f>
        <v>3780987353.4587383</v>
      </c>
    </row>
    <row r="30" spans="1:3" x14ac:dyDescent="0.45">
      <c r="A30" s="50" t="s">
        <v>701</v>
      </c>
      <c r="B30" s="50">
        <f>SUMIFS(I_Award[amount_mhz], I_Award[award_id], C_UKEqComp[[#This Row],[award_id]])</f>
        <v>60</v>
      </c>
      <c r="C30" s="57">
        <f>SUMIFS(C_UKEq_detail[lsv_ukeq], C_UKEq_detail[award_id], C_UKEqComp[[#This Row],[award_id]])</f>
        <v>1300165164.980804</v>
      </c>
    </row>
    <row r="31" spans="1:3" x14ac:dyDescent="0.45">
      <c r="A31" s="50" t="s">
        <v>649</v>
      </c>
      <c r="B31" s="50">
        <f>SUMIFS(I_Award[amount_mhz], I_Award[award_id], C_UKEqComp[[#This Row],[award_id]])</f>
        <v>10</v>
      </c>
      <c r="C31" s="57">
        <f>SUMIFS(C_UKEq_detail[lsv_ukeq], C_UKEq_detail[award_id], C_UKEqComp[[#This Row],[award_id]])</f>
        <v>864434121.37204695</v>
      </c>
    </row>
    <row r="32" spans="1:3" x14ac:dyDescent="0.45">
      <c r="A32" s="50" t="s">
        <v>799</v>
      </c>
      <c r="B32" s="50">
        <f>SUMIFS(I_Award[amount_mhz], I_Award[award_id], C_UKEqComp[[#This Row],[award_id]])</f>
        <v>10</v>
      </c>
      <c r="C32" s="57">
        <f>SUMIFS(C_UKEq_detail[lsv_ukeq], C_UKEq_detail[award_id], C_UKEqComp[[#This Row],[award_id]])</f>
        <v>601192854.270715</v>
      </c>
    </row>
    <row r="33" spans="1:3" x14ac:dyDescent="0.45">
      <c r="A33" s="50" t="s">
        <v>645</v>
      </c>
      <c r="B33" s="50">
        <f>SUMIFS(I_Award[amount_mhz], I_Award[award_id], C_UKEqComp[[#This Row],[award_id]])</f>
        <v>120</v>
      </c>
      <c r="C33" s="57">
        <f>SUMIFS(C_UKEq_detail[lsv_ukeq], C_UKEq_detail[award_id], C_UKEqComp[[#This Row],[award_id]])</f>
        <v>1443778243.5639246</v>
      </c>
    </row>
    <row r="34" spans="1:3" x14ac:dyDescent="0.45">
      <c r="A34" s="50" t="s">
        <v>634</v>
      </c>
      <c r="B34" s="50">
        <f>SUMIFS(I_Award[amount_mhz], I_Award[award_id], C_UKEqComp[[#This Row],[award_id]])</f>
        <v>60</v>
      </c>
      <c r="C34" s="57">
        <f>SUMIFS(C_UKEq_detail[lsv_ukeq], C_UKEq_detail[award_id], C_UKEqComp[[#This Row],[award_id]])</f>
        <v>139563407.25182089</v>
      </c>
    </row>
    <row r="35" spans="1:3" x14ac:dyDescent="0.45">
      <c r="A35" s="50" t="s">
        <v>800</v>
      </c>
      <c r="B35" s="50">
        <f>SUMIFS(I_Award[amount_mhz], I_Award[award_id], C_UKEqComp[[#This Row],[award_id]])</f>
        <v>210</v>
      </c>
      <c r="C35" s="57">
        <f>SUMIFS(C_UKEq_detail[lsv_ukeq], C_UKEq_detail[award_id], C_UKEqComp[[#This Row],[award_id]])</f>
        <v>915691715.94057345</v>
      </c>
    </row>
    <row r="36" spans="1:3" x14ac:dyDescent="0.45">
      <c r="A36" s="50" t="s">
        <v>755</v>
      </c>
      <c r="B36" s="50">
        <f>SUMIFS(I_Award[amount_mhz], I_Award[award_id], C_UKEqComp[[#This Row],[award_id]])</f>
        <v>120</v>
      </c>
      <c r="C36" s="57">
        <f>SUMIFS(C_UKEq_detail[lsv_ukeq], C_UKEq_detail[award_id], C_UKEqComp[[#This Row],[award_id]])</f>
        <v>4972821885.5758781</v>
      </c>
    </row>
    <row r="37" spans="1:3" x14ac:dyDescent="0.45">
      <c r="A37" s="50" t="s">
        <v>756</v>
      </c>
      <c r="B37" s="50">
        <f>SUMIFS(I_Award[amount_mhz], I_Award[award_id], C_UKEqComp[[#This Row],[award_id]])</f>
        <v>50</v>
      </c>
      <c r="C37" s="57">
        <f>SUMIFS(C_UKEq_detail[lsv_ukeq], C_UKEq_detail[award_id], C_UKEqComp[[#This Row],[award_id]])</f>
        <v>4042608800.5276394</v>
      </c>
    </row>
    <row r="38" spans="1:3" x14ac:dyDescent="0.45">
      <c r="A38" s="50" t="s">
        <v>757</v>
      </c>
      <c r="B38" s="50">
        <f>SUMIFS(I_Award[amount_mhz], I_Award[award_id], C_UKEqComp[[#This Row],[award_id]])</f>
        <v>30</v>
      </c>
      <c r="C38" s="57">
        <f>SUMIFS(C_UKEq_detail[lsv_ukeq], C_UKEq_detail[award_id], C_UKEqComp[[#This Row],[award_id]])</f>
        <v>990788595.79049969</v>
      </c>
    </row>
    <row r="39" spans="1:3" x14ac:dyDescent="0.45">
      <c r="A39" s="50" t="s">
        <v>795</v>
      </c>
      <c r="B39" s="50">
        <f>SUMIFS(I_Award[amount_mhz], I_Award[award_id], C_UKEqComp[[#This Row],[award_id]])</f>
        <v>310</v>
      </c>
      <c r="C39" s="57">
        <f>SUMIFS(C_UKEq_detail[lsv_ukeq], C_UKEq_detail[award_id], C_UKEqComp[[#This Row],[award_id]])</f>
        <v>3115526626.2551513</v>
      </c>
    </row>
    <row r="40" spans="1:3" x14ac:dyDescent="0.45">
      <c r="A40" s="50" t="s">
        <v>651</v>
      </c>
      <c r="B40" s="50">
        <f>SUMIFS(I_Award[amount_mhz], I_Award[award_id], C_UKEqComp[[#This Row],[award_id]])</f>
        <v>60</v>
      </c>
      <c r="C40" s="57">
        <f>SUMIFS(C_UKEq_detail[lsv_ukeq], C_UKEq_detail[award_id], C_UKEqComp[[#This Row],[award_id]])</f>
        <v>1618132741.2123153</v>
      </c>
    </row>
    <row r="41" spans="1:3" x14ac:dyDescent="0.45">
      <c r="A41" s="50" t="s">
        <v>653</v>
      </c>
      <c r="B41" s="50">
        <f>SUMIFS(I_Award[amount_mhz], I_Award[award_id], C_UKEqComp[[#This Row],[award_id]])</f>
        <v>120</v>
      </c>
      <c r="C41" s="57">
        <f>SUMIFS(C_UKEq_detail[lsv_ukeq], C_UKEq_detail[award_id], C_UKEqComp[[#This Row],[award_id]])</f>
        <v>3595181046.6727705</v>
      </c>
    </row>
    <row r="42" spans="1:3" x14ac:dyDescent="0.45">
      <c r="A42" s="50" t="s">
        <v>656</v>
      </c>
      <c r="B42" s="50">
        <f>SUMIFS(I_Award[amount_mhz], I_Award[award_id], C_UKEqComp[[#This Row],[award_id]])</f>
        <v>70</v>
      </c>
      <c r="C42" s="57">
        <f>SUMIFS(C_UKEq_detail[lsv_ukeq], C_UKEq_detail[award_id], C_UKEqComp[[#This Row],[award_id]])</f>
        <v>576329914.67985237</v>
      </c>
    </row>
    <row r="43" spans="1:3" x14ac:dyDescent="0.45">
      <c r="A43" s="50" t="s">
        <v>786</v>
      </c>
      <c r="B43" s="50">
        <f>SUMIFS(I_Award[amount_mhz], I_Award[award_id], C_UKEqComp[[#This Row],[award_id]])</f>
        <v>380</v>
      </c>
      <c r="C43" s="57">
        <f>SUMIFS(C_UKEq_detail[lsv_ukeq], C_UKEq_detail[award_id], C_UKEqComp[[#This Row],[award_id]])</f>
        <v>2403483754.9807267</v>
      </c>
    </row>
    <row r="44" spans="1:3" x14ac:dyDescent="0.45">
      <c r="A44" s="50" t="s">
        <v>137</v>
      </c>
      <c r="B44" s="50">
        <f>SUMIFS(I_Award[amount_mhz], I_Award[award_id], C_UKEqComp[[#This Row],[award_id]])</f>
        <v>20</v>
      </c>
      <c r="C44" s="57">
        <f>SUMIFS(C_UKEq_detail[lsv_ukeq], C_UKEq_detail[award_id], C_UKEqComp[[#This Row],[award_id]])</f>
        <v>1723960969.1322947</v>
      </c>
    </row>
    <row r="45" spans="1:3" x14ac:dyDescent="0.45">
      <c r="A45" s="50" t="s">
        <v>860</v>
      </c>
      <c r="B45" s="50">
        <f>SUMIFS(I_Award[amount_mhz], I_Award[award_id], C_UKEqComp[[#This Row],[award_id]])</f>
        <v>1</v>
      </c>
      <c r="C45" s="57">
        <f>SUMIFS(C_UKEq_detail[lsv_ukeq], C_UKEq_detail[award_id], C_UKEqComp[[#This Row],[award_id]])</f>
        <v>12.948227568970466</v>
      </c>
    </row>
    <row r="46" spans="1:3" x14ac:dyDescent="0.45">
      <c r="A46" s="50" t="s">
        <v>861</v>
      </c>
      <c r="B46" s="50">
        <f>SUMIFS(I_Award[amount_mhz], I_Award[award_id], C_UKEqComp[[#This Row],[award_id]])</f>
        <v>1</v>
      </c>
      <c r="C46" s="57">
        <f>SUMIFS(C_UKEq_detail[lsv_ukeq], C_UKEq_detail[award_id], C_UKEqComp[[#This Row],[award_id]])</f>
        <v>1.3861009195950531</v>
      </c>
    </row>
  </sheetData>
  <pageMargins left="0.7" right="0.7" top="0.75" bottom="0.75" header="0.3" footer="0.3"/>
  <pageSetup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24666-76D0-4434-A33C-4795411E4C2F}">
  <dimension ref="A1:K13"/>
  <sheetViews>
    <sheetView defaultGridColor="0" colorId="22" zoomScaleNormal="100" workbookViewId="0">
      <pane ySplit="4" topLeftCell="A5" activePane="bottomLeft" state="frozen"/>
      <selection pane="bottomLeft" activeCell="A5" sqref="A5"/>
    </sheetView>
  </sheetViews>
  <sheetFormatPr defaultColWidth="12.86328125" defaultRowHeight="14.25" x14ac:dyDescent="0.45"/>
  <cols>
    <col min="1" max="1" width="19.59765625" bestFit="1" customWidth="1"/>
    <col min="2" max="2" width="12.3984375" bestFit="1" customWidth="1"/>
    <col min="3" max="3" width="15.59765625" bestFit="1" customWidth="1"/>
    <col min="4" max="5" width="13.86328125" bestFit="1" customWidth="1"/>
    <col min="6" max="6" width="12.265625" bestFit="1" customWidth="1"/>
    <col min="7" max="7" width="18.73046875" bestFit="1" customWidth="1"/>
    <col min="8" max="8" width="9.265625" bestFit="1" customWidth="1"/>
    <col min="9" max="9" width="10.73046875" bestFit="1" customWidth="1"/>
    <col min="10" max="10" width="11.59765625" bestFit="1" customWidth="1"/>
    <col min="11" max="11" width="10.265625" bestFit="1" customWidth="1"/>
  </cols>
  <sheetData>
    <row r="1" spans="1:11" ht="40.5" customHeight="1" x14ac:dyDescent="0.45">
      <c r="A1" s="48" t="s">
        <v>663</v>
      </c>
    </row>
    <row r="2" spans="1:11" x14ac:dyDescent="0.45">
      <c r="A2" s="29" t="s">
        <v>719</v>
      </c>
    </row>
    <row r="4" spans="1:11" x14ac:dyDescent="0.45">
      <c r="A4" t="s">
        <v>629</v>
      </c>
      <c r="B4" t="s">
        <v>630</v>
      </c>
      <c r="C4" t="s">
        <v>78</v>
      </c>
      <c r="D4" t="s">
        <v>77</v>
      </c>
      <c r="E4" t="s">
        <v>633</v>
      </c>
      <c r="F4" t="s">
        <v>635</v>
      </c>
      <c r="G4" t="s">
        <v>598</v>
      </c>
      <c r="H4" t="s">
        <v>636</v>
      </c>
      <c r="I4" t="s">
        <v>639</v>
      </c>
      <c r="J4" t="s">
        <v>613</v>
      </c>
      <c r="K4" t="s">
        <v>638</v>
      </c>
    </row>
    <row r="5" spans="1:11" x14ac:dyDescent="0.45">
      <c r="A5" s="50" t="s">
        <v>827</v>
      </c>
      <c r="B5" s="49">
        <v>41364</v>
      </c>
      <c r="C5" s="25">
        <v>20</v>
      </c>
      <c r="D5" s="25">
        <v>1</v>
      </c>
      <c r="E5" s="57">
        <v>33000000</v>
      </c>
      <c r="F5" s="25">
        <v>2013</v>
      </c>
      <c r="G5" s="50">
        <v>4.7120000000000002E-2</v>
      </c>
      <c r="H5" s="57">
        <f>-PMT(C_UKComp[[#This Row],[wacc_posttax_real]],C_UKComp[[#This Row],[duration_years]],C_UKComp[[#This Row],[lsv_nom_gbp]])</f>
        <v>2583728.9869718384</v>
      </c>
      <c r="I5" s="57">
        <f>-PV(C_UKComp[[#This Row],[wacc_posttax_real]],notional_term,C_UKComp[[#This Row],[annuity]])</f>
        <v>33000000.000000037</v>
      </c>
      <c r="J5" s="60">
        <f>eff_cpi_uk/SUMIFS(I_CPI_UK[index], I_CPI_UK[month], TEXT(C_UKComp[[#This Row],[comp_date]], "YYYY MMM"))</f>
        <v>1.1223241590214068</v>
      </c>
      <c r="K5" s="57">
        <f>C_UKComp[[#This Row],[lsv_norm]]*C_UKComp[[#This Row],[cpi_factor]]</f>
        <v>37036697.247706465</v>
      </c>
    </row>
    <row r="6" spans="1:11" x14ac:dyDescent="0.45">
      <c r="A6" s="50" t="s">
        <v>887</v>
      </c>
      <c r="B6" s="49">
        <v>41364</v>
      </c>
      <c r="C6" s="25">
        <v>20</v>
      </c>
      <c r="D6" s="25">
        <v>1</v>
      </c>
      <c r="E6" s="57">
        <v>30000000</v>
      </c>
      <c r="F6" s="25">
        <v>2013</v>
      </c>
      <c r="G6" s="50">
        <v>4.7120000000000002E-2</v>
      </c>
      <c r="H6" s="57">
        <f>-PMT(C_UKComp[[#This Row],[wacc_posttax_real]],C_UKComp[[#This Row],[duration_years]],C_UKComp[[#This Row],[lsv_nom_gbp]])</f>
        <v>2348844.5336107626</v>
      </c>
      <c r="I6" s="57">
        <f>-PV(C_UKComp[[#This Row],[wacc_posttax_real]],notional_term,C_UKComp[[#This Row],[annuity]])</f>
        <v>30000000.000000037</v>
      </c>
      <c r="J6" s="60">
        <f>eff_cpi_uk/SUMIFS(I_CPI_UK[index], I_CPI_UK[month], TEXT(C_UKComp[[#This Row],[comp_date]], "YYYY MMM"))</f>
        <v>1.1223241590214068</v>
      </c>
      <c r="K6" s="57">
        <f>C_UKComp[[#This Row],[lsv_norm]]*C_UKComp[[#This Row],[cpi_factor]]</f>
        <v>33669724.770642243</v>
      </c>
    </row>
    <row r="7" spans="1:11" x14ac:dyDescent="0.45">
      <c r="A7" s="50" t="s">
        <v>828</v>
      </c>
      <c r="B7" s="49">
        <v>41364</v>
      </c>
      <c r="C7" s="25">
        <v>20</v>
      </c>
      <c r="D7" s="25">
        <v>1</v>
      </c>
      <c r="E7" s="57">
        <v>5500000</v>
      </c>
      <c r="F7" s="25">
        <v>2013</v>
      </c>
      <c r="G7" s="50">
        <v>4.7120000000000002E-2</v>
      </c>
      <c r="H7" s="57">
        <f>-PMT(C_UKComp[[#This Row],[wacc_posttax_real]],C_UKComp[[#This Row],[duration_years]],C_UKComp[[#This Row],[lsv_nom_gbp]])</f>
        <v>430621.49782863975</v>
      </c>
      <c r="I7" s="57">
        <f>-PV(C_UKComp[[#This Row],[wacc_posttax_real]],notional_term,C_UKComp[[#This Row],[annuity]])</f>
        <v>5500000.0000000056</v>
      </c>
      <c r="J7" s="60">
        <f>eff_cpi_uk/SUMIFS(I_CPI_UK[index], I_CPI_UK[month], TEXT(C_UKComp[[#This Row],[comp_date]], "YYYY MMM"))</f>
        <v>1.1223241590214068</v>
      </c>
      <c r="K7" s="57">
        <f>C_UKComp[[#This Row],[lsv_norm]]*C_UKComp[[#This Row],[cpi_factor]]</f>
        <v>6172782.8746177433</v>
      </c>
    </row>
    <row r="8" spans="1:11" x14ac:dyDescent="0.45">
      <c r="A8" s="50" t="s">
        <v>88</v>
      </c>
      <c r="B8" s="49">
        <v>43203</v>
      </c>
      <c r="C8" s="25">
        <v>20</v>
      </c>
      <c r="D8" s="25">
        <v>1</v>
      </c>
      <c r="E8" s="57">
        <v>5147400</v>
      </c>
      <c r="F8" s="25">
        <v>2018</v>
      </c>
      <c r="G8" s="50">
        <v>5.8100000000000006E-2</v>
      </c>
      <c r="H8" s="57">
        <f>-PMT(C_UKComp[[#This Row],[wacc_posttax_real]],C_UKComp[[#This Row],[duration_years]],C_UKComp[[#This Row],[lsv_nom_gbp]])</f>
        <v>441876.60370960744</v>
      </c>
      <c r="I8" s="57">
        <f>-PV(C_UKComp[[#This Row],[wacc_posttax_real]],notional_term,C_UKComp[[#This Row],[annuity]])</f>
        <v>5147400.0000000009</v>
      </c>
      <c r="J8" s="60">
        <f>eff_cpi_uk/SUMIFS(I_CPI_UK[index], I_CPI_UK[month], TEXT(C_UKComp[[#This Row],[comp_date]], "YYYY MMM"))</f>
        <v>1.0445920303605312</v>
      </c>
      <c r="K8" s="57">
        <f>C_UKComp[[#This Row],[lsv_norm]]*C_UKComp[[#This Row],[cpi_factor]]</f>
        <v>5376933.017077799</v>
      </c>
    </row>
    <row r="9" spans="1:11" x14ac:dyDescent="0.45">
      <c r="A9" s="50" t="s">
        <v>790</v>
      </c>
      <c r="B9" s="49">
        <v>43203</v>
      </c>
      <c r="C9" s="25">
        <v>20</v>
      </c>
      <c r="D9" s="25">
        <v>1</v>
      </c>
      <c r="E9" s="57">
        <v>7564800</v>
      </c>
      <c r="F9" s="25">
        <v>2018</v>
      </c>
      <c r="G9" s="50">
        <v>5.8100000000000006E-2</v>
      </c>
      <c r="H9" s="57">
        <f>-PMT(C_UKComp[[#This Row],[wacc_posttax_real]],C_UKComp[[#This Row],[duration_years]],C_UKComp[[#This Row],[lsv_nom_gbp]])</f>
        <v>649397.39125431061</v>
      </c>
      <c r="I9" s="57">
        <f>-PV(C_UKComp[[#This Row],[wacc_posttax_real]],notional_term,C_UKComp[[#This Row],[annuity]])</f>
        <v>7564800.0000000028</v>
      </c>
      <c r="J9" s="60">
        <f>eff_cpi_uk/SUMIFS(I_CPI_UK[index], I_CPI_UK[month], TEXT(C_UKComp[[#This Row],[comp_date]], "YYYY MMM"))</f>
        <v>1.0445920303605312</v>
      </c>
      <c r="K9" s="57">
        <f>C_UKComp[[#This Row],[lsv_norm]]*C_UKComp[[#This Row],[cpi_factor]]</f>
        <v>7902129.7912713494</v>
      </c>
    </row>
    <row r="10" spans="1:11" x14ac:dyDescent="0.45">
      <c r="A10" s="50" t="s">
        <v>703</v>
      </c>
      <c r="B10" s="49">
        <v>43220</v>
      </c>
      <c r="C10" s="25">
        <v>20</v>
      </c>
      <c r="D10" s="25">
        <v>1</v>
      </c>
      <c r="E10" s="57">
        <v>19000000</v>
      </c>
      <c r="F10" s="25">
        <v>2018</v>
      </c>
      <c r="G10" s="50">
        <v>5.8100000000000006E-2</v>
      </c>
      <c r="H10" s="57">
        <f>-PMT(C_UKComp[[#This Row],[wacc_posttax_real]],C_UKComp[[#This Row],[duration_years]],C_UKComp[[#This Row],[lsv_nom_gbp]])</f>
        <v>1631047.8048106893</v>
      </c>
      <c r="I10" s="57">
        <f>-PV(C_UKComp[[#This Row],[wacc_posttax_real]],notional_term,C_UKComp[[#This Row],[annuity]])</f>
        <v>19000000.000000007</v>
      </c>
      <c r="J10" s="60">
        <f>eff_cpi_uk/SUMIFS(I_CPI_UK[index], I_CPI_UK[month], TEXT(C_UKComp[[#This Row],[comp_date]], "YYYY MMM"))</f>
        <v>1.0445920303605312</v>
      </c>
      <c r="K10" s="57">
        <f>C_UKComp[[#This Row],[lsv_norm]]*C_UKComp[[#This Row],[cpi_factor]]</f>
        <v>19847248.576850101</v>
      </c>
    </row>
    <row r="11" spans="1:11" x14ac:dyDescent="0.45">
      <c r="A11" s="50" t="s">
        <v>632</v>
      </c>
      <c r="B11" s="49">
        <v>43220</v>
      </c>
      <c r="C11" s="25">
        <v>20</v>
      </c>
      <c r="D11" s="25">
        <v>1</v>
      </c>
      <c r="E11" s="57">
        <v>14000000</v>
      </c>
      <c r="F11" s="25">
        <v>2018</v>
      </c>
      <c r="G11" s="50">
        <v>5.8100000000000006E-2</v>
      </c>
      <c r="H11" s="57">
        <f>-PMT(C_UKComp[[#This Row],[wacc_posttax_real]],C_UKComp[[#This Row],[duration_years]],C_UKComp[[#This Row],[lsv_nom_gbp]])</f>
        <v>1201824.6982815606</v>
      </c>
      <c r="I11" s="57">
        <f>-PV(C_UKComp[[#This Row],[wacc_posttax_real]],notional_term,C_UKComp[[#This Row],[annuity]])</f>
        <v>14000000.000000006</v>
      </c>
      <c r="J11" s="60">
        <f>eff_cpi_uk/SUMIFS(I_CPI_UK[index], I_CPI_UK[month], TEXT(C_UKComp[[#This Row],[comp_date]], "YYYY MMM"))</f>
        <v>1.0445920303605312</v>
      </c>
      <c r="K11" s="57">
        <f>C_UKComp[[#This Row],[lsv_norm]]*C_UKComp[[#This Row],[cpi_factor]]</f>
        <v>14624288.425047442</v>
      </c>
    </row>
    <row r="12" spans="1:11" x14ac:dyDescent="0.45">
      <c r="A12" s="50" t="s">
        <v>631</v>
      </c>
      <c r="B12" s="49">
        <v>44272</v>
      </c>
      <c r="C12" s="25">
        <v>20</v>
      </c>
      <c r="D12" s="25">
        <v>1</v>
      </c>
      <c r="E12" s="57">
        <v>14000000</v>
      </c>
      <c r="F12" s="25">
        <v>2021</v>
      </c>
      <c r="G12" s="50">
        <v>3.5999999999999997E-2</v>
      </c>
      <c r="H12" s="57">
        <f>-PMT(C_UKComp[[#This Row],[wacc_posttax_real]],C_UKComp[[#This Row],[duration_years]],C_UKComp[[#This Row],[lsv_nom_gbp]])</f>
        <v>993989.310759163</v>
      </c>
      <c r="I12" s="57">
        <f>-PV(C_UKComp[[#This Row],[wacc_posttax_real]],notional_term,C_UKComp[[#This Row],[annuity]])</f>
        <v>14000000.000000009</v>
      </c>
      <c r="J12" s="60">
        <f>eff_cpi_uk/SUMIFS(I_CPI_UK[index], I_CPI_UK[month], TEXT(C_UKComp[[#This Row],[comp_date]], "YYYY MMM"))</f>
        <v>1.006398537477148</v>
      </c>
      <c r="K12" s="57">
        <f>C_UKComp[[#This Row],[lsv_norm]]*C_UKComp[[#This Row],[cpi_factor]]</f>
        <v>14089579.524680082</v>
      </c>
    </row>
    <row r="13" spans="1:11" x14ac:dyDescent="0.45">
      <c r="A13" s="50" t="s">
        <v>789</v>
      </c>
      <c r="B13" s="49">
        <v>44272</v>
      </c>
      <c r="C13" s="25">
        <v>20</v>
      </c>
      <c r="D13" s="25">
        <v>1</v>
      </c>
      <c r="E13" s="57">
        <v>4200000</v>
      </c>
      <c r="F13" s="25">
        <v>2021</v>
      </c>
      <c r="G13" s="50">
        <v>3.5999999999999997E-2</v>
      </c>
      <c r="H13" s="57">
        <f>-PMT(C_UKComp[[#This Row],[wacc_posttax_real]],C_UKComp[[#This Row],[duration_years]],C_UKComp[[#This Row],[lsv_nom_gbp]])</f>
        <v>298196.79322774889</v>
      </c>
      <c r="I13" s="57">
        <f>-PV(C_UKComp[[#This Row],[wacc_posttax_real]],notional_term,C_UKComp[[#This Row],[annuity]])</f>
        <v>4200000.0000000028</v>
      </c>
      <c r="J13" s="60">
        <f>eff_cpi_uk/SUMIFS(I_CPI_UK[index], I_CPI_UK[month], TEXT(C_UKComp[[#This Row],[comp_date]], "YYYY MMM"))</f>
        <v>1.006398537477148</v>
      </c>
      <c r="K13" s="57">
        <f>C_UKComp[[#This Row],[lsv_norm]]*C_UKComp[[#This Row],[cpi_factor]]</f>
        <v>4226873.8574040243</v>
      </c>
    </row>
  </sheetData>
  <pageMargins left="0.7" right="0.7" top="0.75" bottom="0.75" header="0.3" footer="0.3"/>
  <pageSetup orientation="portrait"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58285-1410-4899-8837-9435EAD8E63B}">
  <dimension ref="A1:D55"/>
  <sheetViews>
    <sheetView defaultGridColor="0" colorId="22" zoomScaleNormal="100" workbookViewId="0">
      <pane ySplit="4" topLeftCell="A5" activePane="bottomLeft" state="frozen"/>
      <selection pane="bottomLeft" activeCell="A5" sqref="A5"/>
    </sheetView>
  </sheetViews>
  <sheetFormatPr defaultColWidth="12.86328125" defaultRowHeight="14.25" x14ac:dyDescent="0.45"/>
  <cols>
    <col min="1" max="1" width="30.1328125" bestFit="1" customWidth="1"/>
    <col min="2" max="2" width="13.86328125" bestFit="1" customWidth="1"/>
    <col min="3" max="4" width="13.265625" bestFit="1" customWidth="1"/>
  </cols>
  <sheetData>
    <row r="1" spans="1:4" ht="40.5" customHeight="1" x14ac:dyDescent="0.45">
      <c r="A1" s="48" t="s">
        <v>665</v>
      </c>
    </row>
    <row r="2" spans="1:4" x14ac:dyDescent="0.45">
      <c r="A2" s="29" t="s">
        <v>721</v>
      </c>
    </row>
    <row r="4" spans="1:4" x14ac:dyDescent="0.45">
      <c r="A4" t="s">
        <v>629</v>
      </c>
      <c r="B4" t="s">
        <v>77</v>
      </c>
      <c r="C4" t="s">
        <v>638</v>
      </c>
      <c r="D4" t="s">
        <v>618</v>
      </c>
    </row>
    <row r="5" spans="1:4" x14ac:dyDescent="0.45">
      <c r="A5" s="25" t="s">
        <v>780</v>
      </c>
      <c r="B5" s="25">
        <v>320</v>
      </c>
      <c r="C5" s="57">
        <v>876502602.0911727</v>
      </c>
      <c r="D5" s="57">
        <f>C_UKEq_UKComp[[#This Row],[lsv_total]]/C_UKEq_UKComp[[#This Row],[amount_mhz]]</f>
        <v>2739070.6315349145</v>
      </c>
    </row>
    <row r="6" spans="1:4" x14ac:dyDescent="0.45">
      <c r="A6" s="25" t="s">
        <v>145</v>
      </c>
      <c r="B6" s="25">
        <v>80</v>
      </c>
      <c r="C6" s="57">
        <v>182890474.56396779</v>
      </c>
      <c r="D6" s="57">
        <f>C_UKEq_UKComp[[#This Row],[lsv_total]]/C_UKEq_UKComp[[#This Row],[amount_mhz]]</f>
        <v>2286130.9320495976</v>
      </c>
    </row>
    <row r="7" spans="1:4" x14ac:dyDescent="0.45">
      <c r="A7" s="25" t="s">
        <v>148</v>
      </c>
      <c r="B7" s="25">
        <v>60</v>
      </c>
      <c r="C7" s="57">
        <v>1485771146.973969</v>
      </c>
      <c r="D7" s="57">
        <f>C_UKEq_UKComp[[#This Row],[lsv_total]]/C_UKEq_UKComp[[#This Row],[amount_mhz]]</f>
        <v>24762852.449566148</v>
      </c>
    </row>
    <row r="8" spans="1:4" x14ac:dyDescent="0.45">
      <c r="A8" s="25" t="s">
        <v>125</v>
      </c>
      <c r="B8" s="25">
        <v>120</v>
      </c>
      <c r="C8" s="57">
        <v>1979294767.3369796</v>
      </c>
      <c r="D8" s="57">
        <f>C_UKEq_UKComp[[#This Row],[lsv_total]]/C_UKEq_UKComp[[#This Row],[amount_mhz]]</f>
        <v>16494123.061141497</v>
      </c>
    </row>
    <row r="9" spans="1:4" x14ac:dyDescent="0.45">
      <c r="A9" s="25" t="s">
        <v>151</v>
      </c>
      <c r="B9" s="25">
        <v>120</v>
      </c>
      <c r="C9" s="57">
        <v>1039132623.746978</v>
      </c>
      <c r="D9" s="57">
        <f>C_UKEq_UKComp[[#This Row],[lsv_total]]/C_UKEq_UKComp[[#This Row],[amount_mhz]]</f>
        <v>8659438.531224817</v>
      </c>
    </row>
    <row r="10" spans="1:4" x14ac:dyDescent="0.45">
      <c r="A10" s="25" t="s">
        <v>785</v>
      </c>
      <c r="B10" s="25">
        <v>300</v>
      </c>
      <c r="C10" s="57">
        <v>3283094635.1876168</v>
      </c>
      <c r="D10" s="57">
        <f>C_UKEq_UKComp[[#This Row],[lsv_total]]/C_UKEq_UKComp[[#This Row],[amount_mhz]]</f>
        <v>10943648.783958722</v>
      </c>
    </row>
    <row r="11" spans="1:4" x14ac:dyDescent="0.45">
      <c r="A11" s="25" t="s">
        <v>783</v>
      </c>
      <c r="B11" s="25">
        <v>390</v>
      </c>
      <c r="C11" s="57">
        <v>964872990.44088483</v>
      </c>
      <c r="D11" s="57">
        <f>C_UKEq_UKComp[[#This Row],[lsv_total]]/C_UKEq_UKComp[[#This Row],[amount_mhz]]</f>
        <v>2474033.3088227818</v>
      </c>
    </row>
    <row r="12" spans="1:4" x14ac:dyDescent="0.45">
      <c r="A12" s="25" t="s">
        <v>107</v>
      </c>
      <c r="B12" s="25">
        <v>60</v>
      </c>
      <c r="C12" s="57">
        <v>1660601443.2268124</v>
      </c>
      <c r="D12" s="57">
        <f>C_UKEq_UKComp[[#This Row],[lsv_total]]/C_UKEq_UKComp[[#This Row],[amount_mhz]]</f>
        <v>27676690.720446873</v>
      </c>
    </row>
    <row r="13" spans="1:4" x14ac:dyDescent="0.45">
      <c r="A13" s="25" t="s">
        <v>109</v>
      </c>
      <c r="B13" s="25">
        <v>120</v>
      </c>
      <c r="C13" s="57">
        <v>1730682321.1667931</v>
      </c>
      <c r="D13" s="57">
        <f>C_UKEq_UKComp[[#This Row],[lsv_total]]/C_UKEq_UKComp[[#This Row],[amount_mhz]]</f>
        <v>14422352.676389942</v>
      </c>
    </row>
    <row r="14" spans="1:4" x14ac:dyDescent="0.45">
      <c r="A14" s="25" t="s">
        <v>101</v>
      </c>
      <c r="B14" s="25">
        <v>60</v>
      </c>
      <c r="C14" s="57">
        <v>1141590327.7875938</v>
      </c>
      <c r="D14" s="57">
        <f>C_UKEq_UKComp[[#This Row],[lsv_total]]/C_UKEq_UKComp[[#This Row],[amount_mhz]]</f>
        <v>19026505.463126563</v>
      </c>
    </row>
    <row r="15" spans="1:4" x14ac:dyDescent="0.45">
      <c r="A15" s="25" t="s">
        <v>121</v>
      </c>
      <c r="B15" s="25">
        <v>30</v>
      </c>
      <c r="C15" s="57">
        <v>1070928515.3408773</v>
      </c>
      <c r="D15" s="57">
        <f>C_UKEq_UKComp[[#This Row],[lsv_total]]/C_UKEq_UKComp[[#This Row],[amount_mhz]]</f>
        <v>35697617.178029247</v>
      </c>
    </row>
    <row r="16" spans="1:4" x14ac:dyDescent="0.45">
      <c r="A16" s="25" t="s">
        <v>784</v>
      </c>
      <c r="B16" s="25">
        <v>310</v>
      </c>
      <c r="C16" s="57">
        <v>3449586492.1738348</v>
      </c>
      <c r="D16" s="57">
        <f>C_UKEq_UKComp[[#This Row],[lsv_total]]/C_UKEq_UKComp[[#This Row],[amount_mhz]]</f>
        <v>11127698.361851079</v>
      </c>
    </row>
    <row r="17" spans="1:4" x14ac:dyDescent="0.45">
      <c r="A17" s="25" t="s">
        <v>106</v>
      </c>
      <c r="B17" s="25">
        <v>30</v>
      </c>
      <c r="C17" s="57">
        <v>338067203.79485601</v>
      </c>
      <c r="D17" s="57">
        <f>C_UKEq_UKComp[[#This Row],[lsv_total]]/C_UKEq_UKComp[[#This Row],[amount_mhz]]</f>
        <v>11268906.793161867</v>
      </c>
    </row>
    <row r="18" spans="1:4" x14ac:dyDescent="0.45">
      <c r="A18" s="25" t="s">
        <v>160</v>
      </c>
      <c r="B18" s="25">
        <v>30</v>
      </c>
      <c r="C18" s="57">
        <v>1042373897.8416295</v>
      </c>
      <c r="D18" s="57">
        <f>C_UKEq_UKComp[[#This Row],[lsv_total]]/C_UKEq_UKComp[[#This Row],[amount_mhz]]</f>
        <v>34745796.594720982</v>
      </c>
    </row>
    <row r="19" spans="1:4" x14ac:dyDescent="0.45">
      <c r="A19" s="25" t="s">
        <v>92</v>
      </c>
      <c r="B19" s="25">
        <v>40</v>
      </c>
      <c r="C19" s="57">
        <v>1402740146.7284904</v>
      </c>
      <c r="D19" s="57">
        <f>C_UKEq_UKComp[[#This Row],[lsv_total]]/C_UKEq_UKComp[[#This Row],[amount_mhz]]</f>
        <v>35068503.668212257</v>
      </c>
    </row>
    <row r="20" spans="1:4" x14ac:dyDescent="0.45">
      <c r="A20" s="25" t="s">
        <v>111</v>
      </c>
      <c r="B20" s="25">
        <v>40</v>
      </c>
      <c r="C20" s="57">
        <v>221319693.631607</v>
      </c>
      <c r="D20" s="57">
        <f>C_UKEq_UKComp[[#This Row],[lsv_total]]/C_UKEq_UKComp[[#This Row],[amount_mhz]]</f>
        <v>5532992.3407901749</v>
      </c>
    </row>
    <row r="21" spans="1:4" x14ac:dyDescent="0.45">
      <c r="A21" s="25" t="s">
        <v>114</v>
      </c>
      <c r="B21" s="25">
        <v>20</v>
      </c>
      <c r="C21" s="57">
        <v>110659846.8158035</v>
      </c>
      <c r="D21" s="57">
        <f>C_UKEq_UKComp[[#This Row],[lsv_total]]/C_UKEq_UKComp[[#This Row],[amount_mhz]]</f>
        <v>5532992.3407901749</v>
      </c>
    </row>
    <row r="22" spans="1:4" x14ac:dyDescent="0.45">
      <c r="A22" s="25" t="s">
        <v>117</v>
      </c>
      <c r="B22" s="25">
        <v>30</v>
      </c>
      <c r="C22" s="57">
        <v>155439795.1436137</v>
      </c>
      <c r="D22" s="57">
        <f>C_UKEq_UKComp[[#This Row],[lsv_total]]/C_UKEq_UKComp[[#This Row],[amount_mhz]]</f>
        <v>5181326.5047871228</v>
      </c>
    </row>
    <row r="23" spans="1:4" x14ac:dyDescent="0.45">
      <c r="A23" s="25" t="s">
        <v>166</v>
      </c>
      <c r="B23" s="25">
        <v>140</v>
      </c>
      <c r="C23" s="57">
        <v>515529177.8171733</v>
      </c>
      <c r="D23" s="57">
        <f>C_UKEq_UKComp[[#This Row],[lsv_total]]/C_UKEq_UKComp[[#This Row],[amount_mhz]]</f>
        <v>3682351.2701226664</v>
      </c>
    </row>
    <row r="24" spans="1:4" x14ac:dyDescent="0.45">
      <c r="A24" s="25" t="s">
        <v>129</v>
      </c>
      <c r="B24" s="25">
        <v>100</v>
      </c>
      <c r="C24" s="57">
        <v>2280917381.1005106</v>
      </c>
      <c r="D24" s="57">
        <f>C_UKEq_UKComp[[#This Row],[lsv_total]]/C_UKEq_UKComp[[#This Row],[amount_mhz]]</f>
        <v>22809173.811005104</v>
      </c>
    </row>
    <row r="25" spans="1:4" x14ac:dyDescent="0.45">
      <c r="A25" s="25" t="s">
        <v>132</v>
      </c>
      <c r="B25" s="25">
        <v>60</v>
      </c>
      <c r="C25" s="57">
        <v>984190395.33165312</v>
      </c>
      <c r="D25" s="57">
        <f>C_UKEq_UKComp[[#This Row],[lsv_total]]/C_UKEq_UKComp[[#This Row],[amount_mhz]]</f>
        <v>16403173.255527552</v>
      </c>
    </row>
    <row r="26" spans="1:4" x14ac:dyDescent="0.45">
      <c r="A26" s="25" t="s">
        <v>174</v>
      </c>
      <c r="B26" s="25">
        <v>140</v>
      </c>
      <c r="C26" s="57">
        <v>567370720.10885942</v>
      </c>
      <c r="D26" s="57">
        <f>C_UKEq_UKComp[[#This Row],[lsv_total]]/C_UKEq_UKComp[[#This Row],[amount_mhz]]</f>
        <v>4052648.0007775673</v>
      </c>
    </row>
    <row r="27" spans="1:4" x14ac:dyDescent="0.45">
      <c r="A27" s="25" t="s">
        <v>124</v>
      </c>
      <c r="B27" s="25">
        <v>60</v>
      </c>
      <c r="C27" s="57">
        <v>2664411654.9545751</v>
      </c>
      <c r="D27" s="57">
        <f>C_UKEq_UKComp[[#This Row],[lsv_total]]/C_UKEq_UKComp[[#This Row],[amount_mhz]]</f>
        <v>44406860.915909581</v>
      </c>
    </row>
    <row r="28" spans="1:4" x14ac:dyDescent="0.45">
      <c r="A28" s="25" t="s">
        <v>180</v>
      </c>
      <c r="B28" s="25">
        <v>140</v>
      </c>
      <c r="C28" s="57">
        <v>272517374.51332194</v>
      </c>
      <c r="D28" s="57">
        <f>C_UKEq_UKComp[[#This Row],[lsv_total]]/C_UKEq_UKComp[[#This Row],[amount_mhz]]</f>
        <v>1946552.6750951568</v>
      </c>
    </row>
    <row r="29" spans="1:4" x14ac:dyDescent="0.45">
      <c r="A29" s="25" t="s">
        <v>135</v>
      </c>
      <c r="B29" s="25">
        <v>60</v>
      </c>
      <c r="C29" s="57">
        <v>3780987353.4587383</v>
      </c>
      <c r="D29" s="57">
        <f>C_UKEq_UKComp[[#This Row],[lsv_total]]/C_UKEq_UKComp[[#This Row],[amount_mhz]]</f>
        <v>63016455.89097897</v>
      </c>
    </row>
    <row r="30" spans="1:4" x14ac:dyDescent="0.45">
      <c r="A30" s="25" t="s">
        <v>701</v>
      </c>
      <c r="B30" s="25">
        <v>60</v>
      </c>
      <c r="C30" s="57">
        <v>1300165164.980804</v>
      </c>
      <c r="D30" s="57">
        <f>C_UKEq_UKComp[[#This Row],[lsv_total]]/C_UKEq_UKComp[[#This Row],[amount_mhz]]</f>
        <v>21669419.416346733</v>
      </c>
    </row>
    <row r="31" spans="1:4" x14ac:dyDescent="0.45">
      <c r="A31" s="25" t="s">
        <v>649</v>
      </c>
      <c r="B31" s="25">
        <v>10</v>
      </c>
      <c r="C31" s="57">
        <v>864434121.37204695</v>
      </c>
      <c r="D31" s="57">
        <f>C_UKEq_UKComp[[#This Row],[lsv_total]]/C_UKEq_UKComp[[#This Row],[amount_mhz]]</f>
        <v>86443412.137204692</v>
      </c>
    </row>
    <row r="32" spans="1:4" x14ac:dyDescent="0.45">
      <c r="A32" s="25" t="s">
        <v>799</v>
      </c>
      <c r="B32" s="25">
        <v>10</v>
      </c>
      <c r="C32" s="57">
        <v>601192854.270715</v>
      </c>
      <c r="D32" s="57">
        <f>C_UKEq_UKComp[[#This Row],[lsv_total]]/C_UKEq_UKComp[[#This Row],[amount_mhz]]</f>
        <v>60119285.427071497</v>
      </c>
    </row>
    <row r="33" spans="1:4" x14ac:dyDescent="0.45">
      <c r="A33" s="25" t="s">
        <v>645</v>
      </c>
      <c r="B33" s="25">
        <v>120</v>
      </c>
      <c r="C33" s="57">
        <v>1443778243.5639246</v>
      </c>
      <c r="D33" s="57">
        <f>C_UKEq_UKComp[[#This Row],[lsv_total]]/C_UKEq_UKComp[[#This Row],[amount_mhz]]</f>
        <v>12031485.363032704</v>
      </c>
    </row>
    <row r="34" spans="1:4" x14ac:dyDescent="0.45">
      <c r="A34" s="25" t="s">
        <v>634</v>
      </c>
      <c r="B34" s="25">
        <v>60</v>
      </c>
      <c r="C34" s="57">
        <v>139563407.25182089</v>
      </c>
      <c r="D34" s="57">
        <f>C_UKEq_UKComp[[#This Row],[lsv_total]]/C_UKEq_UKComp[[#This Row],[amount_mhz]]</f>
        <v>2326056.7875303482</v>
      </c>
    </row>
    <row r="35" spans="1:4" x14ac:dyDescent="0.45">
      <c r="A35" s="25" t="s">
        <v>800</v>
      </c>
      <c r="B35" s="25">
        <v>210</v>
      </c>
      <c r="C35" s="57">
        <v>915691715.94057345</v>
      </c>
      <c r="D35" s="57">
        <f>C_UKEq_UKComp[[#This Row],[lsv_total]]/C_UKEq_UKComp[[#This Row],[amount_mhz]]</f>
        <v>4360436.7425741591</v>
      </c>
    </row>
    <row r="36" spans="1:4" x14ac:dyDescent="0.45">
      <c r="A36" s="25" t="s">
        <v>755</v>
      </c>
      <c r="B36" s="25">
        <v>120</v>
      </c>
      <c r="C36" s="57">
        <v>4972821885.5758781</v>
      </c>
      <c r="D36" s="57">
        <f>C_UKEq_UKComp[[#This Row],[lsv_total]]/C_UKEq_UKComp[[#This Row],[amount_mhz]]</f>
        <v>41440182.379798986</v>
      </c>
    </row>
    <row r="37" spans="1:4" x14ac:dyDescent="0.45">
      <c r="A37" s="25" t="s">
        <v>756</v>
      </c>
      <c r="B37" s="25">
        <v>50</v>
      </c>
      <c r="C37" s="57">
        <v>4042608800.5276394</v>
      </c>
      <c r="D37" s="57">
        <f>C_UKEq_UKComp[[#This Row],[lsv_total]]/C_UKEq_UKComp[[#This Row],[amount_mhz]]</f>
        <v>80852176.010552794</v>
      </c>
    </row>
    <row r="38" spans="1:4" x14ac:dyDescent="0.45">
      <c r="A38" s="25" t="s">
        <v>757</v>
      </c>
      <c r="B38" s="25">
        <v>30</v>
      </c>
      <c r="C38" s="57">
        <v>990788595.79049969</v>
      </c>
      <c r="D38" s="57">
        <f>C_UKEq_UKComp[[#This Row],[lsv_total]]/C_UKEq_UKComp[[#This Row],[amount_mhz]]</f>
        <v>33026286.526349988</v>
      </c>
    </row>
    <row r="39" spans="1:4" x14ac:dyDescent="0.45">
      <c r="A39" s="25" t="s">
        <v>795</v>
      </c>
      <c r="B39" s="25">
        <v>310</v>
      </c>
      <c r="C39" s="57">
        <v>3115526626.2551513</v>
      </c>
      <c r="D39" s="57">
        <f>C_UKEq_UKComp[[#This Row],[lsv_total]]/C_UKEq_UKComp[[#This Row],[amount_mhz]]</f>
        <v>10050085.891145648</v>
      </c>
    </row>
    <row r="40" spans="1:4" x14ac:dyDescent="0.45">
      <c r="A40" s="25" t="s">
        <v>651</v>
      </c>
      <c r="B40" s="25">
        <v>60</v>
      </c>
      <c r="C40" s="57">
        <v>1618132741.2123153</v>
      </c>
      <c r="D40" s="57">
        <f>C_UKEq_UKComp[[#This Row],[lsv_total]]/C_UKEq_UKComp[[#This Row],[amount_mhz]]</f>
        <v>26968879.020205256</v>
      </c>
    </row>
    <row r="41" spans="1:4" x14ac:dyDescent="0.45">
      <c r="A41" s="25" t="s">
        <v>653</v>
      </c>
      <c r="B41" s="25">
        <v>120</v>
      </c>
      <c r="C41" s="57">
        <v>3595181046.6727705</v>
      </c>
      <c r="D41" s="57">
        <f>C_UKEq_UKComp[[#This Row],[lsv_total]]/C_UKEq_UKComp[[#This Row],[amount_mhz]]</f>
        <v>29959842.055606421</v>
      </c>
    </row>
    <row r="42" spans="1:4" x14ac:dyDescent="0.45">
      <c r="A42" s="25" t="s">
        <v>656</v>
      </c>
      <c r="B42" s="25">
        <v>70</v>
      </c>
      <c r="C42" s="57">
        <v>576329914.67985237</v>
      </c>
      <c r="D42" s="57">
        <f>C_UKEq_UKComp[[#This Row],[lsv_total]]/C_UKEq_UKComp[[#This Row],[amount_mhz]]</f>
        <v>8233284.495426462</v>
      </c>
    </row>
    <row r="43" spans="1:4" x14ac:dyDescent="0.45">
      <c r="A43" s="25" t="s">
        <v>786</v>
      </c>
      <c r="B43" s="25">
        <v>380</v>
      </c>
      <c r="C43" s="57">
        <v>2403483754.9807267</v>
      </c>
      <c r="D43" s="57">
        <f>C_UKEq_UKComp[[#This Row],[lsv_total]]/C_UKEq_UKComp[[#This Row],[amount_mhz]]</f>
        <v>6324957.2499492811</v>
      </c>
    </row>
    <row r="44" spans="1:4" x14ac:dyDescent="0.45">
      <c r="A44" s="25" t="s">
        <v>137</v>
      </c>
      <c r="B44" s="25">
        <v>20</v>
      </c>
      <c r="C44" s="57">
        <v>1723960969.1322947</v>
      </c>
      <c r="D44" s="57">
        <f>C_UKEq_UKComp[[#This Row],[lsv_total]]/C_UKEq_UKComp[[#This Row],[amount_mhz]]</f>
        <v>86198048.456614733</v>
      </c>
    </row>
    <row r="45" spans="1:4" x14ac:dyDescent="0.45">
      <c r="A45" s="25" t="s">
        <v>860</v>
      </c>
      <c r="B45" s="25">
        <v>1</v>
      </c>
      <c r="C45" s="57">
        <v>12.948227568970466</v>
      </c>
      <c r="D45" s="57">
        <f>C_UKEq_UKComp[[#This Row],[lsv_total]]/C_UKEq_UKComp[[#This Row],[amount_mhz]]</f>
        <v>12.948227568970466</v>
      </c>
    </row>
    <row r="46" spans="1:4" x14ac:dyDescent="0.45">
      <c r="A46" s="25" t="s">
        <v>861</v>
      </c>
      <c r="B46" s="25">
        <v>1</v>
      </c>
      <c r="C46" s="57">
        <v>1.3861009195950531</v>
      </c>
      <c r="D46" s="57">
        <f>C_UKEq_UKComp[[#This Row],[lsv_total]]/C_UKEq_UKComp[[#This Row],[amount_mhz]]</f>
        <v>1.3861009195950531</v>
      </c>
    </row>
    <row r="47" spans="1:4" x14ac:dyDescent="0.45">
      <c r="A47" s="25" t="s">
        <v>827</v>
      </c>
      <c r="B47" s="25">
        <v>1</v>
      </c>
      <c r="C47" s="57">
        <v>37036697.247706465</v>
      </c>
      <c r="D47" s="57">
        <f>C_UKEq_UKComp[[#This Row],[lsv_total]]/C_UKEq_UKComp[[#This Row],[amount_mhz]]</f>
        <v>37036697.247706465</v>
      </c>
    </row>
    <row r="48" spans="1:4" x14ac:dyDescent="0.45">
      <c r="A48" s="25" t="s">
        <v>887</v>
      </c>
      <c r="B48" s="25">
        <v>1</v>
      </c>
      <c r="C48" s="57">
        <v>33669724.770642243</v>
      </c>
      <c r="D48" s="57">
        <f>C_UKEq_UKComp[[#This Row],[lsv_total]]/C_UKEq_UKComp[[#This Row],[amount_mhz]]</f>
        <v>33669724.770642243</v>
      </c>
    </row>
    <row r="49" spans="1:4" x14ac:dyDescent="0.45">
      <c r="A49" s="25" t="s">
        <v>828</v>
      </c>
      <c r="B49" s="25">
        <v>1</v>
      </c>
      <c r="C49" s="57">
        <v>6172782.8746177433</v>
      </c>
      <c r="D49" s="57">
        <f>C_UKEq_UKComp[[#This Row],[lsv_total]]/C_UKEq_UKComp[[#This Row],[amount_mhz]]</f>
        <v>6172782.8746177433</v>
      </c>
    </row>
    <row r="50" spans="1:4" x14ac:dyDescent="0.45">
      <c r="A50" s="25" t="s">
        <v>88</v>
      </c>
      <c r="B50" s="25">
        <v>1</v>
      </c>
      <c r="C50" s="57">
        <v>5376933.017077799</v>
      </c>
      <c r="D50" s="57">
        <f>C_UKEq_UKComp[[#This Row],[lsv_total]]/C_UKEq_UKComp[[#This Row],[amount_mhz]]</f>
        <v>5376933.017077799</v>
      </c>
    </row>
    <row r="51" spans="1:4" x14ac:dyDescent="0.45">
      <c r="A51" s="25" t="s">
        <v>790</v>
      </c>
      <c r="B51" s="25">
        <v>1</v>
      </c>
      <c r="C51" s="57">
        <v>7902129.7912713494</v>
      </c>
      <c r="D51" s="57">
        <f>C_UKEq_UKComp[[#This Row],[lsv_total]]/C_UKEq_UKComp[[#This Row],[amount_mhz]]</f>
        <v>7902129.7912713494</v>
      </c>
    </row>
    <row r="52" spans="1:4" x14ac:dyDescent="0.45">
      <c r="A52" s="25" t="s">
        <v>703</v>
      </c>
      <c r="B52" s="25">
        <v>1</v>
      </c>
      <c r="C52" s="57">
        <v>19847248.576850101</v>
      </c>
      <c r="D52" s="57">
        <f>C_UKEq_UKComp[[#This Row],[lsv_total]]/C_UKEq_UKComp[[#This Row],[amount_mhz]]</f>
        <v>19847248.576850101</v>
      </c>
    </row>
    <row r="53" spans="1:4" x14ac:dyDescent="0.45">
      <c r="A53" s="25" t="s">
        <v>632</v>
      </c>
      <c r="B53" s="25">
        <v>1</v>
      </c>
      <c r="C53" s="57">
        <v>14624288.425047442</v>
      </c>
      <c r="D53" s="57">
        <f>C_UKEq_UKComp[[#This Row],[lsv_total]]/C_UKEq_UKComp[[#This Row],[amount_mhz]]</f>
        <v>14624288.425047442</v>
      </c>
    </row>
    <row r="54" spans="1:4" x14ac:dyDescent="0.45">
      <c r="A54" s="25" t="s">
        <v>631</v>
      </c>
      <c r="B54" s="25">
        <v>1</v>
      </c>
      <c r="C54" s="57">
        <v>14089579.524680082</v>
      </c>
      <c r="D54" s="57">
        <f>C_UKEq_UKComp[[#This Row],[lsv_total]]/C_UKEq_UKComp[[#This Row],[amount_mhz]]</f>
        <v>14089579.524680082</v>
      </c>
    </row>
    <row r="55" spans="1:4" x14ac:dyDescent="0.45">
      <c r="A55" s="25" t="s">
        <v>789</v>
      </c>
      <c r="B55" s="25">
        <v>1</v>
      </c>
      <c r="C55" s="57">
        <v>4226873.8574040243</v>
      </c>
      <c r="D55" s="57">
        <f>C_UKEq_UKComp[[#This Row],[lsv_total]]/C_UKEq_UKComp[[#This Row],[amount_mhz]]</f>
        <v>4226873.8574040243</v>
      </c>
    </row>
  </sheetData>
  <pageMargins left="0.7" right="0.7" top="0.75" bottom="0.75" header="0.3" footer="0.3"/>
  <pageSetup orientation="portrait"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AF488-4D95-4AB5-A4F0-37787A060955}">
  <dimension ref="A1:F25"/>
  <sheetViews>
    <sheetView defaultGridColor="0" colorId="22" workbookViewId="0">
      <pane ySplit="4" topLeftCell="A5" activePane="bottomLeft" state="frozen"/>
      <selection pane="bottomLeft" activeCell="A5" sqref="A5"/>
    </sheetView>
  </sheetViews>
  <sheetFormatPr defaultColWidth="12.86328125" defaultRowHeight="14.25" x14ac:dyDescent="0.45"/>
  <cols>
    <col min="1" max="1" width="14.73046875" bestFit="1" customWidth="1"/>
    <col min="2" max="2" width="27.59765625" bestFit="1" customWidth="1"/>
    <col min="3" max="3" width="26.3984375" bestFit="1" customWidth="1"/>
    <col min="4" max="5" width="15.3984375" bestFit="1" customWidth="1"/>
    <col min="6" max="6" width="11.1328125" bestFit="1" customWidth="1"/>
  </cols>
  <sheetData>
    <row r="1" spans="1:6" ht="40.5" customHeight="1" x14ac:dyDescent="0.45">
      <c r="A1" s="48" t="s">
        <v>650</v>
      </c>
    </row>
    <row r="2" spans="1:6" x14ac:dyDescent="0.45">
      <c r="A2" s="29" t="s">
        <v>723</v>
      </c>
    </row>
    <row r="4" spans="1:6" x14ac:dyDescent="0.45">
      <c r="A4" t="s">
        <v>586</v>
      </c>
      <c r="B4" t="s">
        <v>587</v>
      </c>
      <c r="C4" t="s">
        <v>588</v>
      </c>
      <c r="D4" t="s">
        <v>619</v>
      </c>
      <c r="E4" t="s">
        <v>620</v>
      </c>
      <c r="F4" t="s">
        <v>621</v>
      </c>
    </row>
    <row r="5" spans="1:6" x14ac:dyDescent="0.45">
      <c r="A5" s="25" t="s">
        <v>702</v>
      </c>
      <c r="B5" s="25" t="s">
        <v>651</v>
      </c>
      <c r="C5" s="25" t="s">
        <v>656</v>
      </c>
      <c r="D5" s="57">
        <f>INDEX(C_UKEq_UKComp[lsv_per_mhz],MATCH(C_Proxy_sample[[#This Row],[comp1]], C_UKEq_UKComp[comp_id], 0))</f>
        <v>26968879.020205256</v>
      </c>
      <c r="E5" s="57">
        <f>INDEX(C_UKEq_UKComp[lsv_per_mhz],MATCH(C_Proxy_sample[[#This Row],[comp2]], C_UKEq_UKComp[comp_id], 0))</f>
        <v>8233284.495426462</v>
      </c>
      <c r="F5" s="69">
        <f>C_Proxy_sample[[#This Row],[lsv_per_mhz_2]]/C_Proxy_sample[[#This Row],[lsv_per_mhz_1]]</f>
        <v>0.30528834695939838</v>
      </c>
    </row>
    <row r="6" spans="1:6" x14ac:dyDescent="0.45">
      <c r="A6" s="25" t="s">
        <v>702</v>
      </c>
      <c r="B6" s="25" t="s">
        <v>92</v>
      </c>
      <c r="C6" s="25" t="s">
        <v>145</v>
      </c>
      <c r="D6" s="57">
        <f>INDEX(C_UKEq_UKComp[lsv_per_mhz],MATCH(C_Proxy_sample[[#This Row],[comp1]], C_UKEq_UKComp[comp_id], 0))</f>
        <v>35068503.668212257</v>
      </c>
      <c r="E6" s="57">
        <f>INDEX(C_UKEq_UKComp[lsv_per_mhz],MATCH(C_Proxy_sample[[#This Row],[comp2]], C_UKEq_UKComp[comp_id], 0))</f>
        <v>2286130.9320495976</v>
      </c>
      <c r="F6" s="69">
        <f>C_Proxy_sample[[#This Row],[lsv_per_mhz_2]]/C_Proxy_sample[[#This Row],[lsv_per_mhz_1]]</f>
        <v>6.5190432807712126E-2</v>
      </c>
    </row>
    <row r="7" spans="1:6" x14ac:dyDescent="0.45">
      <c r="A7" s="25" t="s">
        <v>702</v>
      </c>
      <c r="B7" s="25" t="s">
        <v>631</v>
      </c>
      <c r="C7" s="25" t="s">
        <v>88</v>
      </c>
      <c r="D7" s="57">
        <f>INDEX(C_UKEq_UKComp[lsv_per_mhz],MATCH(C_Proxy_sample[[#This Row],[comp1]], C_UKEq_UKComp[comp_id], 0))</f>
        <v>14089579.524680082</v>
      </c>
      <c r="E7" s="57">
        <f>INDEX(C_UKEq_UKComp[lsv_per_mhz],MATCH(C_Proxy_sample[[#This Row],[comp2]], C_UKEq_UKComp[comp_id], 0))</f>
        <v>5376933.017077799</v>
      </c>
      <c r="F7" s="69">
        <f>C_Proxy_sample[[#This Row],[lsv_per_mhz_2]]/C_Proxy_sample[[#This Row],[lsv_per_mhz_1]]</f>
        <v>0.38162480346977479</v>
      </c>
    </row>
    <row r="8" spans="1:6" x14ac:dyDescent="0.45">
      <c r="A8" s="25" t="s">
        <v>677</v>
      </c>
      <c r="B8" s="25" t="s">
        <v>701</v>
      </c>
      <c r="C8" s="25" t="s">
        <v>634</v>
      </c>
      <c r="D8" s="57">
        <f>INDEX(C_UKEq_UKComp[lsv_per_mhz],MATCH(C_Proxy_sample[[#This Row],[comp1]], C_UKEq_UKComp[comp_id], 0))</f>
        <v>21669419.416346733</v>
      </c>
      <c r="E8" s="57">
        <f>INDEX(C_UKEq_UKComp[lsv_per_mhz],MATCH(C_Proxy_sample[[#This Row],[comp2]], C_UKEq_UKComp[comp_id], 0))</f>
        <v>2326056.7875303482</v>
      </c>
      <c r="F8" s="69">
        <f>C_Proxy_sample[[#This Row],[lsv_per_mhz_2]]/C_Proxy_sample[[#This Row],[lsv_per_mhz_1]]</f>
        <v>0.10734282921191897</v>
      </c>
    </row>
    <row r="9" spans="1:6" x14ac:dyDescent="0.45">
      <c r="A9" s="25" t="s">
        <v>677</v>
      </c>
      <c r="B9" s="25" t="s">
        <v>132</v>
      </c>
      <c r="C9" s="25" t="s">
        <v>180</v>
      </c>
      <c r="D9" s="57">
        <f>INDEX(C_UKEq_UKComp[lsv_per_mhz],MATCH(C_Proxy_sample[[#This Row],[comp1]], C_UKEq_UKComp[comp_id], 0))</f>
        <v>16403173.255527552</v>
      </c>
      <c r="E9" s="57">
        <f>INDEX(C_UKEq_UKComp[lsv_per_mhz],MATCH(C_Proxy_sample[[#This Row],[comp2]], C_UKEq_UKComp[comp_id], 0))</f>
        <v>1946552.6750951568</v>
      </c>
      <c r="F9" s="69">
        <f>C_Proxy_sample[[#This Row],[lsv_per_mhz_2]]/C_Proxy_sample[[#This Row],[lsv_per_mhz_1]]</f>
        <v>0.11866927482700375</v>
      </c>
    </row>
    <row r="10" spans="1:6" x14ac:dyDescent="0.45">
      <c r="A10" s="25" t="s">
        <v>677</v>
      </c>
      <c r="B10" s="25" t="s">
        <v>631</v>
      </c>
      <c r="C10" s="25" t="s">
        <v>828</v>
      </c>
      <c r="D10" s="57">
        <f>INDEX(C_UKEq_UKComp[lsv_per_mhz],MATCH(C_Proxy_sample[[#This Row],[comp1]], C_UKEq_UKComp[comp_id], 0))</f>
        <v>14089579.524680082</v>
      </c>
      <c r="E10" s="57">
        <f>INDEX(C_UKEq_UKComp[lsv_per_mhz],MATCH(C_Proxy_sample[[#This Row],[comp2]], C_UKEq_UKComp[comp_id], 0))</f>
        <v>6172782.8746177433</v>
      </c>
      <c r="F10" s="69">
        <f>C_Proxy_sample[[#This Row],[lsv_per_mhz_2]]/C_Proxy_sample[[#This Row],[lsv_per_mhz_1]]</f>
        <v>0.43810980049512177</v>
      </c>
    </row>
    <row r="11" spans="1:6" x14ac:dyDescent="0.45">
      <c r="A11" s="25" t="s">
        <v>798</v>
      </c>
      <c r="B11" s="25" t="s">
        <v>701</v>
      </c>
      <c r="C11" s="25" t="s">
        <v>800</v>
      </c>
      <c r="D11" s="57">
        <f>INDEX(C_UKEq_UKComp[lsv_per_mhz],MATCH(C_Proxy_sample[[#This Row],[comp1]], C_UKEq_UKComp[comp_id], 0))</f>
        <v>21669419.416346733</v>
      </c>
      <c r="E11" s="57">
        <f>INDEX(C_UKEq_UKComp[lsv_per_mhz],MATCH(C_Proxy_sample[[#This Row],[comp2]], C_UKEq_UKComp[comp_id], 0))</f>
        <v>4360436.7425741591</v>
      </c>
      <c r="F11" s="69">
        <f>C_Proxy_sample[[#This Row],[lsv_per_mhz_2]]/C_Proxy_sample[[#This Row],[lsv_per_mhz_1]]</f>
        <v>0.20122536090121462</v>
      </c>
    </row>
    <row r="12" spans="1:6" x14ac:dyDescent="0.45">
      <c r="A12" s="25" t="s">
        <v>798</v>
      </c>
      <c r="B12" s="25" t="s">
        <v>132</v>
      </c>
      <c r="C12" s="25" t="s">
        <v>785</v>
      </c>
      <c r="D12" s="57">
        <f>INDEX(C_UKEq_UKComp[lsv_per_mhz],MATCH(C_Proxy_sample[[#This Row],[comp1]], C_UKEq_UKComp[comp_id], 0))</f>
        <v>16403173.255527552</v>
      </c>
      <c r="E12" s="57">
        <f>INDEX(C_UKEq_UKComp[lsv_per_mhz],MATCH(C_Proxy_sample[[#This Row],[comp2]], C_UKEq_UKComp[comp_id], 0))</f>
        <v>10943648.783958722</v>
      </c>
      <c r="F12" s="69">
        <f>C_Proxy_sample[[#This Row],[lsv_per_mhz_2]]/C_Proxy_sample[[#This Row],[lsv_per_mhz_1]]</f>
        <v>0.66716656670506869</v>
      </c>
    </row>
    <row r="13" spans="1:6" x14ac:dyDescent="0.45">
      <c r="A13" s="25" t="s">
        <v>798</v>
      </c>
      <c r="B13" s="25" t="s">
        <v>756</v>
      </c>
      <c r="C13" s="25" t="s">
        <v>795</v>
      </c>
      <c r="D13" s="57">
        <f>INDEX(C_UKEq_UKComp[lsv_per_mhz],MATCH(C_Proxy_sample[[#This Row],[comp1]], C_UKEq_UKComp[comp_id], 0))</f>
        <v>80852176.010552794</v>
      </c>
      <c r="E13" s="57">
        <f>INDEX(C_UKEq_UKComp[lsv_per_mhz],MATCH(C_Proxy_sample[[#This Row],[comp2]], C_UKEq_UKComp[comp_id], 0))</f>
        <v>10050085.891145648</v>
      </c>
      <c r="F13" s="69">
        <f>C_Proxy_sample[[#This Row],[lsv_per_mhz_2]]/C_Proxy_sample[[#This Row],[lsv_per_mhz_1]]</f>
        <v>0.12430198402865392</v>
      </c>
    </row>
    <row r="14" spans="1:6" x14ac:dyDescent="0.45">
      <c r="A14" s="25" t="s">
        <v>798</v>
      </c>
      <c r="B14" s="25" t="s">
        <v>651</v>
      </c>
      <c r="C14" s="25" t="s">
        <v>786</v>
      </c>
      <c r="D14" s="57">
        <f>INDEX(C_UKEq_UKComp[lsv_per_mhz],MATCH(C_Proxy_sample[[#This Row],[comp1]], C_UKEq_UKComp[comp_id], 0))</f>
        <v>26968879.020205256</v>
      </c>
      <c r="E14" s="57">
        <f>INDEX(C_UKEq_UKComp[lsv_per_mhz],MATCH(C_Proxy_sample[[#This Row],[comp2]], C_UKEq_UKComp[comp_id], 0))</f>
        <v>6324957.2499492811</v>
      </c>
      <c r="F14" s="69">
        <f>C_Proxy_sample[[#This Row],[lsv_per_mhz_2]]/C_Proxy_sample[[#This Row],[lsv_per_mhz_1]]</f>
        <v>0.23452799966993745</v>
      </c>
    </row>
    <row r="15" spans="1:6" x14ac:dyDescent="0.45">
      <c r="A15" s="25" t="s">
        <v>798</v>
      </c>
      <c r="B15" s="25" t="s">
        <v>92</v>
      </c>
      <c r="C15" s="25" t="s">
        <v>780</v>
      </c>
      <c r="D15" s="57">
        <f>INDEX(C_UKEq_UKComp[lsv_per_mhz],MATCH(C_Proxy_sample[[#This Row],[comp1]], C_UKEq_UKComp[comp_id], 0))</f>
        <v>35068503.668212257</v>
      </c>
      <c r="E15" s="57">
        <f>INDEX(C_UKEq_UKComp[lsv_per_mhz],MATCH(C_Proxy_sample[[#This Row],[comp2]], C_UKEq_UKComp[comp_id], 0))</f>
        <v>2739070.6315349145</v>
      </c>
      <c r="F15" s="69">
        <f>C_Proxy_sample[[#This Row],[lsv_per_mhz_2]]/C_Proxy_sample[[#This Row],[lsv_per_mhz_1]]</f>
        <v>7.8106287552204209E-2</v>
      </c>
    </row>
    <row r="16" spans="1:6" x14ac:dyDescent="0.45">
      <c r="A16" s="25" t="s">
        <v>798</v>
      </c>
      <c r="B16" s="25" t="s">
        <v>631</v>
      </c>
      <c r="C16" s="25" t="s">
        <v>790</v>
      </c>
      <c r="D16" s="57">
        <f>INDEX(C_UKEq_UKComp[lsv_per_mhz],MATCH(C_Proxy_sample[[#This Row],[comp1]], C_UKEq_UKComp[comp_id], 0))</f>
        <v>14089579.524680082</v>
      </c>
      <c r="E16" s="57">
        <f>INDEX(C_UKEq_UKComp[lsv_per_mhz],MATCH(C_Proxy_sample[[#This Row],[comp2]], C_UKEq_UKComp[comp_id], 0))</f>
        <v>7902129.7912713494</v>
      </c>
      <c r="F16" s="69">
        <f>C_Proxy_sample[[#This Row],[lsv_per_mhz_2]]/C_Proxy_sample[[#This Row],[lsv_per_mhz_1]]</f>
        <v>0.56084922743290844</v>
      </c>
    </row>
    <row r="17" spans="1:6" x14ac:dyDescent="0.45">
      <c r="A17" s="25" t="s">
        <v>798</v>
      </c>
      <c r="B17" s="25" t="s">
        <v>631</v>
      </c>
      <c r="C17" s="25" t="s">
        <v>789</v>
      </c>
      <c r="D17" s="57">
        <f>INDEX(C_UKEq_UKComp[lsv_per_mhz],MATCH(C_Proxy_sample[[#This Row],[comp1]], C_UKEq_UKComp[comp_id], 0))</f>
        <v>14089579.524680082</v>
      </c>
      <c r="E17" s="57">
        <f>INDEX(C_UKEq_UKComp[lsv_per_mhz],MATCH(C_Proxy_sample[[#This Row],[comp2]], C_UKEq_UKComp[comp_id], 0))</f>
        <v>4226873.8574040243</v>
      </c>
      <c r="F17" s="69">
        <f>C_Proxy_sample[[#This Row],[lsv_per_mhz_2]]/C_Proxy_sample[[#This Row],[lsv_per_mhz_1]]</f>
        <v>0.3</v>
      </c>
    </row>
    <row r="18" spans="1:6" x14ac:dyDescent="0.45">
      <c r="A18" s="25" t="s">
        <v>834</v>
      </c>
      <c r="B18" s="25" t="s">
        <v>653</v>
      </c>
      <c r="C18" s="25" t="s">
        <v>656</v>
      </c>
      <c r="D18" s="57">
        <f>INDEX(C_UKEq_UKComp[lsv_per_mhz],MATCH(C_Proxy_sample[[#This Row],[comp1]], C_UKEq_UKComp[comp_id], 0))</f>
        <v>29959842.055606421</v>
      </c>
      <c r="E18" s="57">
        <f>INDEX(C_UKEq_UKComp[lsv_per_mhz],MATCH(C_Proxy_sample[[#This Row],[comp2]], C_UKEq_UKComp[comp_id], 0))</f>
        <v>8233284.495426462</v>
      </c>
      <c r="F18" s="69">
        <f>C_Proxy_sample[[#This Row],[lsv_per_mhz_2]]/C_Proxy_sample[[#This Row],[lsv_per_mhz_1]]</f>
        <v>0.2748106775778465</v>
      </c>
    </row>
    <row r="19" spans="1:6" x14ac:dyDescent="0.45">
      <c r="A19" s="25" t="s">
        <v>835</v>
      </c>
      <c r="B19" s="25" t="s">
        <v>645</v>
      </c>
      <c r="C19" s="25" t="s">
        <v>634</v>
      </c>
      <c r="D19" s="57">
        <f>INDEX(C_UKEq_UKComp[lsv_per_mhz],MATCH(C_Proxy_sample[[#This Row],[comp1]], C_UKEq_UKComp[comp_id], 0))</f>
        <v>12031485.363032704</v>
      </c>
      <c r="E19" s="57">
        <f>INDEX(C_UKEq_UKComp[lsv_per_mhz],MATCH(C_Proxy_sample[[#This Row],[comp2]], C_UKEq_UKComp[comp_id], 0))</f>
        <v>2326056.7875303482</v>
      </c>
      <c r="F19" s="69">
        <f>C_Proxy_sample[[#This Row],[lsv_per_mhz_2]]/C_Proxy_sample[[#This Row],[lsv_per_mhz_1]]</f>
        <v>0.1933308080710687</v>
      </c>
    </row>
    <row r="20" spans="1:6" x14ac:dyDescent="0.45">
      <c r="A20" s="25" t="s">
        <v>835</v>
      </c>
      <c r="B20" s="25" t="s">
        <v>125</v>
      </c>
      <c r="C20" s="25" t="s">
        <v>180</v>
      </c>
      <c r="D20" s="57">
        <f>INDEX(C_UKEq_UKComp[lsv_per_mhz],MATCH(C_Proxy_sample[[#This Row],[comp1]], C_UKEq_UKComp[comp_id], 0))</f>
        <v>16494123.061141497</v>
      </c>
      <c r="E20" s="57">
        <f>INDEX(C_UKEq_UKComp[lsv_per_mhz],MATCH(C_Proxy_sample[[#This Row],[comp2]], C_UKEq_UKComp[comp_id], 0))</f>
        <v>1946552.6750951568</v>
      </c>
      <c r="F20" s="69">
        <f>C_Proxy_sample[[#This Row],[lsv_per_mhz_2]]/C_Proxy_sample[[#This Row],[lsv_per_mhz_1]]</f>
        <v>0.11801492373250447</v>
      </c>
    </row>
    <row r="21" spans="1:6" x14ac:dyDescent="0.45">
      <c r="A21" s="25" t="s">
        <v>829</v>
      </c>
      <c r="B21" s="25" t="s">
        <v>645</v>
      </c>
      <c r="C21" s="25" t="s">
        <v>800</v>
      </c>
      <c r="D21" s="57">
        <f>INDEX(C_UKEq_UKComp[lsv_per_mhz],MATCH(C_Proxy_sample[[#This Row],[comp1]], C_UKEq_UKComp[comp_id], 0))</f>
        <v>12031485.363032704</v>
      </c>
      <c r="E21" s="57">
        <f>INDEX(C_UKEq_UKComp[lsv_per_mhz],MATCH(C_Proxy_sample[[#This Row],[comp2]], C_UKEq_UKComp[comp_id], 0))</f>
        <v>4360436.7425741591</v>
      </c>
      <c r="F21" s="69">
        <f>C_Proxy_sample[[#This Row],[lsv_per_mhz_2]]/C_Proxy_sample[[#This Row],[lsv_per_mhz_1]]</f>
        <v>0.36241882120156194</v>
      </c>
    </row>
    <row r="22" spans="1:6" x14ac:dyDescent="0.45">
      <c r="A22" s="25" t="s">
        <v>829</v>
      </c>
      <c r="B22" s="25" t="s">
        <v>125</v>
      </c>
      <c r="C22" s="25" t="s">
        <v>785</v>
      </c>
      <c r="D22" s="57">
        <f>INDEX(C_UKEq_UKComp[lsv_per_mhz],MATCH(C_Proxy_sample[[#This Row],[comp1]], C_UKEq_UKComp[comp_id], 0))</f>
        <v>16494123.061141497</v>
      </c>
      <c r="E22" s="57">
        <f>INDEX(C_UKEq_UKComp[lsv_per_mhz],MATCH(C_Proxy_sample[[#This Row],[comp2]], C_UKEq_UKComp[comp_id], 0))</f>
        <v>10943648.783958722</v>
      </c>
      <c r="F22" s="69">
        <f>C_Proxy_sample[[#This Row],[lsv_per_mhz_2]]/C_Proxy_sample[[#This Row],[lsv_per_mhz_1]]</f>
        <v>0.6634877612706106</v>
      </c>
    </row>
    <row r="23" spans="1:6" x14ac:dyDescent="0.45">
      <c r="A23" s="25" t="s">
        <v>829</v>
      </c>
      <c r="B23" s="25" t="s">
        <v>757</v>
      </c>
      <c r="C23" s="25" t="s">
        <v>795</v>
      </c>
      <c r="D23" s="57">
        <f>INDEX(C_UKEq_UKComp[lsv_per_mhz],MATCH(C_Proxy_sample[[#This Row],[comp1]], C_UKEq_UKComp[comp_id], 0))</f>
        <v>33026286.526349988</v>
      </c>
      <c r="E23" s="57">
        <f>INDEX(C_UKEq_UKComp[lsv_per_mhz],MATCH(C_Proxy_sample[[#This Row],[comp2]], C_UKEq_UKComp[comp_id], 0))</f>
        <v>10050085.891145648</v>
      </c>
      <c r="F23" s="69">
        <f>C_Proxy_sample[[#This Row],[lsv_per_mhz_2]]/C_Proxy_sample[[#This Row],[lsv_per_mhz_1]]</f>
        <v>0.30430565916416907</v>
      </c>
    </row>
    <row r="24" spans="1:6" x14ac:dyDescent="0.45">
      <c r="A24" s="25" t="s">
        <v>829</v>
      </c>
      <c r="B24" s="25" t="s">
        <v>653</v>
      </c>
      <c r="C24" s="25" t="s">
        <v>786</v>
      </c>
      <c r="D24" s="57">
        <f>INDEX(C_UKEq_UKComp[lsv_per_mhz],MATCH(C_Proxy_sample[[#This Row],[comp1]], C_UKEq_UKComp[comp_id], 0))</f>
        <v>29959842.055606421</v>
      </c>
      <c r="E24" s="57">
        <f>INDEX(C_UKEq_UKComp[lsv_per_mhz],MATCH(C_Proxy_sample[[#This Row],[comp2]], C_UKEq_UKComp[comp_id], 0))</f>
        <v>6324957.2499492811</v>
      </c>
      <c r="F24" s="69">
        <f>C_Proxy_sample[[#This Row],[lsv_per_mhz_2]]/C_Proxy_sample[[#This Row],[lsv_per_mhz_1]]</f>
        <v>0.21111450581781971</v>
      </c>
    </row>
    <row r="25" spans="1:6" x14ac:dyDescent="0.45">
      <c r="A25" s="25" t="s">
        <v>826</v>
      </c>
      <c r="B25" s="25" t="s">
        <v>860</v>
      </c>
      <c r="C25" s="25" t="s">
        <v>861</v>
      </c>
      <c r="D25" s="57">
        <f>INDEX(C_UKEq_UKComp[lsv_per_mhz],MATCH(C_Proxy_sample[[#This Row],[comp1]], C_UKEq_UKComp[comp_id], 0))</f>
        <v>12.948227568970466</v>
      </c>
      <c r="E25" s="57">
        <f>INDEX(C_UKEq_UKComp[lsv_per_mhz],MATCH(C_Proxy_sample[[#This Row],[comp2]], C_UKEq_UKComp[comp_id], 0))</f>
        <v>1.3861009195950531</v>
      </c>
      <c r="F25" s="69">
        <f>C_Proxy_sample[[#This Row],[lsv_per_mhz_2]]/C_Proxy_sample[[#This Row],[lsv_per_mhz_1]]</f>
        <v>0.1070494716139179</v>
      </c>
    </row>
  </sheetData>
  <pageMargins left="0.7" right="0.7" top="0.75" bottom="0.75" header="0.3" footer="0.3"/>
  <pageSetup orientation="portrait"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F049B-27C3-41B3-A511-877528EEF819}">
  <dimension ref="A1:F17"/>
  <sheetViews>
    <sheetView defaultGridColor="0" colorId="22" workbookViewId="0">
      <pane ySplit="4" topLeftCell="A5" activePane="bottomLeft" state="frozen"/>
      <selection pane="bottomLeft" activeCell="A5" sqref="A5"/>
    </sheetView>
  </sheetViews>
  <sheetFormatPr defaultColWidth="12.86328125" defaultRowHeight="14.25" x14ac:dyDescent="0.45"/>
  <cols>
    <col min="1" max="1" width="25.86328125" bestFit="1" customWidth="1"/>
    <col min="2" max="2" width="14.73046875" bestFit="1" customWidth="1"/>
    <col min="3" max="3" width="23.1328125" bestFit="1" customWidth="1"/>
    <col min="4" max="4" width="18.265625" bestFit="1" customWidth="1"/>
    <col min="5" max="5" width="12.73046875" bestFit="1" customWidth="1"/>
    <col min="6" max="6" width="13.265625" bestFit="1" customWidth="1"/>
  </cols>
  <sheetData>
    <row r="1" spans="1:6" ht="40.5" customHeight="1" x14ac:dyDescent="0.45">
      <c r="A1" s="48" t="s">
        <v>666</v>
      </c>
    </row>
    <row r="2" spans="1:6" x14ac:dyDescent="0.45">
      <c r="A2" s="29" t="s">
        <v>726</v>
      </c>
    </row>
    <row r="4" spans="1:6" x14ac:dyDescent="0.45">
      <c r="A4" t="s">
        <v>629</v>
      </c>
      <c r="B4" t="s">
        <v>586</v>
      </c>
      <c r="C4" t="s">
        <v>640</v>
      </c>
      <c r="D4" t="s">
        <v>642</v>
      </c>
      <c r="E4" t="s">
        <v>643</v>
      </c>
      <c r="F4" t="s">
        <v>618</v>
      </c>
    </row>
    <row r="5" spans="1:6" x14ac:dyDescent="0.45">
      <c r="A5" s="50" t="s">
        <v>838</v>
      </c>
      <c r="B5" s="50" t="s">
        <v>702</v>
      </c>
      <c r="C5" s="50" t="s">
        <v>107</v>
      </c>
      <c r="D5" s="57">
        <f>INDEX(C_UKEq_UKComp[lsv_per_mhz], MATCH(C_ProxyComp[[#This Row],[base_id]], C_UKEq_UKComp[comp_id], 0))</f>
        <v>27676690.720446873</v>
      </c>
      <c r="E5" s="69">
        <f>AVERAGEIFS(C_Proxy_sample[ratio_2_1], C_Proxy_sample[proxy_id], C_ProxyComp[[#This Row],[proxy_id]])</f>
        <v>0.2507011944122951</v>
      </c>
      <c r="F5" s="57">
        <f>C_ProxyComp[[#This Row],[base_lsv_per_mhz]]*C_ProxyComp[[#This Row],[proxy_ratio]]</f>
        <v>6938579.4209957151</v>
      </c>
    </row>
    <row r="6" spans="1:6" x14ac:dyDescent="0.45">
      <c r="A6" s="50" t="s">
        <v>839</v>
      </c>
      <c r="B6" s="50" t="s">
        <v>677</v>
      </c>
      <c r="C6" s="50" t="s">
        <v>107</v>
      </c>
      <c r="D6" s="57">
        <f>INDEX(C_UKEq_UKComp[lsv_per_mhz], MATCH(C_ProxyComp[[#This Row],[base_id]], C_UKEq_UKComp[comp_id], 0))</f>
        <v>27676690.720446873</v>
      </c>
      <c r="E6" s="69">
        <f>AVERAGEIFS(C_Proxy_sample[ratio_2_1], C_Proxy_sample[proxy_id], C_ProxyComp[[#This Row],[proxy_id]])</f>
        <v>0.22137396817801483</v>
      </c>
      <c r="F6" s="57">
        <f>C_ProxyComp[[#This Row],[base_lsv_per_mhz]]*C_ProxyComp[[#This Row],[proxy_ratio]]</f>
        <v>6126898.8508209642</v>
      </c>
    </row>
    <row r="7" spans="1:6" x14ac:dyDescent="0.45">
      <c r="A7" s="50" t="s">
        <v>830</v>
      </c>
      <c r="B7" s="50" t="s">
        <v>798</v>
      </c>
      <c r="C7" s="50" t="s">
        <v>107</v>
      </c>
      <c r="D7" s="57">
        <f>INDEX(C_UKEq_UKComp[lsv_per_mhz], MATCH(C_ProxyComp[[#This Row],[base_id]], C_UKEq_UKComp[comp_id], 0))</f>
        <v>27676690.720446873</v>
      </c>
      <c r="E7" s="69">
        <f>AVERAGEIFS(C_Proxy_sample[ratio_2_1], C_Proxy_sample[proxy_id], C_ProxyComp[[#This Row],[proxy_id]])</f>
        <v>0.30945391804142675</v>
      </c>
      <c r="F7" s="57">
        <f>C_ProxyComp[[#This Row],[base_lsv_per_mhz]]*C_ProxyComp[[#This Row],[proxy_ratio]]</f>
        <v>8564660.3818630837</v>
      </c>
    </row>
    <row r="8" spans="1:6" x14ac:dyDescent="0.45">
      <c r="A8" s="50" t="s">
        <v>836</v>
      </c>
      <c r="B8" s="50" t="s">
        <v>834</v>
      </c>
      <c r="C8" s="50" t="s">
        <v>109</v>
      </c>
      <c r="D8" s="57">
        <f>INDEX(C_UKEq_UKComp[lsv_per_mhz], MATCH(C_ProxyComp[[#This Row],[base_id]], C_UKEq_UKComp[comp_id], 0))</f>
        <v>14422352.676389942</v>
      </c>
      <c r="E8" s="69">
        <f>AVERAGEIFS(C_Proxy_sample[ratio_2_1], C_Proxy_sample[proxy_id], C_ProxyComp[[#This Row],[proxy_id]])</f>
        <v>0.2748106775778465</v>
      </c>
      <c r="F8" s="57">
        <f>C_ProxyComp[[#This Row],[base_lsv_per_mhz]]*C_ProxyComp[[#This Row],[proxy_ratio]]</f>
        <v>3963416.5112653878</v>
      </c>
    </row>
    <row r="9" spans="1:6" x14ac:dyDescent="0.45">
      <c r="A9" s="50" t="s">
        <v>837</v>
      </c>
      <c r="B9" s="50" t="s">
        <v>835</v>
      </c>
      <c r="C9" s="50" t="s">
        <v>109</v>
      </c>
      <c r="D9" s="57">
        <f>INDEX(C_UKEq_UKComp[lsv_per_mhz], MATCH(C_ProxyComp[[#This Row],[base_id]], C_UKEq_UKComp[comp_id], 0))</f>
        <v>14422352.676389942</v>
      </c>
      <c r="E9" s="69">
        <f>AVERAGEIFS(C_Proxy_sample[ratio_2_1], C_Proxy_sample[proxy_id], C_ProxyComp[[#This Row],[proxy_id]])</f>
        <v>0.15567286590178658</v>
      </c>
      <c r="F9" s="57">
        <f>C_ProxyComp[[#This Row],[base_lsv_per_mhz]]*C_ProxyComp[[#This Row],[proxy_ratio]]</f>
        <v>2245168.9741799245</v>
      </c>
    </row>
    <row r="10" spans="1:6" x14ac:dyDescent="0.45">
      <c r="A10" s="50" t="s">
        <v>831</v>
      </c>
      <c r="B10" s="50" t="s">
        <v>829</v>
      </c>
      <c r="C10" s="50" t="s">
        <v>109</v>
      </c>
      <c r="D10" s="57">
        <f>INDEX(C_UKEq_UKComp[lsv_per_mhz], MATCH(C_ProxyComp[[#This Row],[base_id]], C_UKEq_UKComp[comp_id], 0))</f>
        <v>14422352.676389942</v>
      </c>
      <c r="E10" s="69">
        <f>AVERAGEIFS(C_Proxy_sample[ratio_2_1], C_Proxy_sample[proxy_id], C_ProxyComp[[#This Row],[proxy_id]])</f>
        <v>0.3853316868635403</v>
      </c>
      <c r="F10" s="57">
        <f>C_ProxyComp[[#This Row],[base_lsv_per_mhz]]*C_ProxyComp[[#This Row],[proxy_ratio]]</f>
        <v>5557389.4853342315</v>
      </c>
    </row>
    <row r="11" spans="1:6" x14ac:dyDescent="0.45">
      <c r="A11" s="50" t="s">
        <v>843</v>
      </c>
      <c r="B11" s="50" t="s">
        <v>702</v>
      </c>
      <c r="C11" s="50" t="s">
        <v>101</v>
      </c>
      <c r="D11" s="57">
        <f>INDEX(C_UKEq_UKComp[lsv_per_mhz], MATCH(C_ProxyComp[[#This Row],[base_id]], C_UKEq_UKComp[comp_id], 0))</f>
        <v>19026505.463126563</v>
      </c>
      <c r="E11" s="69">
        <f>AVERAGEIFS(C_Proxy_sample[ratio_2_1], C_Proxy_sample[proxy_id], C_ProxyComp[[#This Row],[proxy_id]])</f>
        <v>0.2507011944122951</v>
      </c>
      <c r="F11" s="57">
        <f>C_ProxyComp[[#This Row],[base_lsv_per_mhz]]*C_ProxyComp[[#This Row],[proxy_ratio]]</f>
        <v>4769967.6450978871</v>
      </c>
    </row>
    <row r="12" spans="1:6" x14ac:dyDescent="0.45">
      <c r="A12" s="50" t="s">
        <v>842</v>
      </c>
      <c r="B12" s="50" t="s">
        <v>677</v>
      </c>
      <c r="C12" s="50" t="s">
        <v>101</v>
      </c>
      <c r="D12" s="57">
        <f>INDEX(C_UKEq_UKComp[lsv_per_mhz], MATCH(C_ProxyComp[[#This Row],[base_id]], C_UKEq_UKComp[comp_id], 0))</f>
        <v>19026505.463126563</v>
      </c>
      <c r="E12" s="69">
        <f>AVERAGEIFS(C_Proxy_sample[ratio_2_1], C_Proxy_sample[proxy_id], C_ProxyComp[[#This Row],[proxy_id]])</f>
        <v>0.22137396817801483</v>
      </c>
      <c r="F12" s="57">
        <f>C_ProxyComp[[#This Row],[base_lsv_per_mhz]]*C_ProxyComp[[#This Row],[proxy_ratio]]</f>
        <v>4211973.014933005</v>
      </c>
    </row>
    <row r="13" spans="1:6" x14ac:dyDescent="0.45">
      <c r="A13" s="50" t="s">
        <v>833</v>
      </c>
      <c r="B13" s="50" t="s">
        <v>798</v>
      </c>
      <c r="C13" s="50" t="s">
        <v>101</v>
      </c>
      <c r="D13" s="57">
        <f>INDEX(C_UKEq_UKComp[lsv_per_mhz], MATCH(C_ProxyComp[[#This Row],[base_id]], C_UKEq_UKComp[comp_id], 0))</f>
        <v>19026505.463126563</v>
      </c>
      <c r="E13" s="69">
        <f>AVERAGEIFS(C_Proxy_sample[ratio_2_1], C_Proxy_sample[proxy_id], C_ProxyComp[[#This Row],[proxy_id]])</f>
        <v>0.30945391804142675</v>
      </c>
      <c r="F13" s="57">
        <f>C_ProxyComp[[#This Row],[base_lsv_per_mhz]]*C_ProxyComp[[#This Row],[proxy_ratio]]</f>
        <v>5887826.6622011252</v>
      </c>
    </row>
    <row r="14" spans="1:6" x14ac:dyDescent="0.45">
      <c r="A14" s="50" t="s">
        <v>841</v>
      </c>
      <c r="B14" s="50" t="s">
        <v>834</v>
      </c>
      <c r="C14" s="50" t="s">
        <v>106</v>
      </c>
      <c r="D14" s="57">
        <f>INDEX(C_UKEq_UKComp[lsv_per_mhz], MATCH(C_ProxyComp[[#This Row],[base_id]], C_UKEq_UKComp[comp_id], 0))</f>
        <v>11268906.793161867</v>
      </c>
      <c r="E14" s="69">
        <f>AVERAGEIFS(C_Proxy_sample[ratio_2_1], C_Proxy_sample[proxy_id], C_ProxyComp[[#This Row],[proxy_id]])</f>
        <v>0.2748106775778465</v>
      </c>
      <c r="F14" s="57">
        <f>C_ProxyComp[[#This Row],[base_lsv_per_mhz]]*C_ProxyComp[[#This Row],[proxy_ratio]]</f>
        <v>3096815.9113904098</v>
      </c>
    </row>
    <row r="15" spans="1:6" x14ac:dyDescent="0.45">
      <c r="A15" s="50" t="s">
        <v>840</v>
      </c>
      <c r="B15" s="50" t="s">
        <v>835</v>
      </c>
      <c r="C15" s="50" t="s">
        <v>106</v>
      </c>
      <c r="D15" s="57">
        <f>INDEX(C_UKEq_UKComp[lsv_per_mhz], MATCH(C_ProxyComp[[#This Row],[base_id]], C_UKEq_UKComp[comp_id], 0))</f>
        <v>11268906.793161867</v>
      </c>
      <c r="E15" s="69">
        <f>AVERAGEIFS(C_Proxy_sample[ratio_2_1], C_Proxy_sample[proxy_id], C_ProxyComp[[#This Row],[proxy_id]])</f>
        <v>0.15567286590178658</v>
      </c>
      <c r="F15" s="57">
        <f>C_ProxyComp[[#This Row],[base_lsv_per_mhz]]*C_ProxyComp[[#This Row],[proxy_ratio]]</f>
        <v>1754263.0160716192</v>
      </c>
    </row>
    <row r="16" spans="1:6" x14ac:dyDescent="0.45">
      <c r="A16" s="50" t="s">
        <v>832</v>
      </c>
      <c r="B16" s="50" t="s">
        <v>829</v>
      </c>
      <c r="C16" s="50" t="s">
        <v>106</v>
      </c>
      <c r="D16" s="57">
        <f>INDEX(C_UKEq_UKComp[lsv_per_mhz], MATCH(C_ProxyComp[[#This Row],[base_id]], C_UKEq_UKComp[comp_id], 0))</f>
        <v>11268906.793161867</v>
      </c>
      <c r="E16" s="69">
        <f>AVERAGEIFS(C_Proxy_sample[ratio_2_1], C_Proxy_sample[proxy_id], C_ProxyComp[[#This Row],[proxy_id]])</f>
        <v>0.3853316868635403</v>
      </c>
      <c r="F16" s="57">
        <f>C_ProxyComp[[#This Row],[base_lsv_per_mhz]]*C_ProxyComp[[#This Row],[proxy_ratio]]</f>
        <v>4342266.8637170708</v>
      </c>
    </row>
    <row r="17" spans="1:6" x14ac:dyDescent="0.45">
      <c r="A17" s="50" t="s">
        <v>859</v>
      </c>
      <c r="B17" s="50" t="s">
        <v>826</v>
      </c>
      <c r="C17" s="50" t="s">
        <v>137</v>
      </c>
      <c r="D17" s="57">
        <f>INDEX(C_UKEq_UKComp[lsv_per_mhz], MATCH(C_ProxyComp[[#This Row],[base_id]], C_UKEq_UKComp[comp_id], 0))</f>
        <v>86198048.456614733</v>
      </c>
      <c r="E17" s="69">
        <f>AVERAGEIFS(C_Proxy_sample[ratio_2_1], C_Proxy_sample[proxy_id], C_ProxyComp[[#This Row],[proxy_id]])</f>
        <v>0.1070494716139179</v>
      </c>
      <c r="F17" s="57">
        <f>C_ProxyComp[[#This Row],[base_lsv_per_mhz]]*C_ProxyComp[[#This Row],[proxy_ratio]]</f>
        <v>9227455.5414314978</v>
      </c>
    </row>
  </sheetData>
  <pageMargins left="0.7" right="0.7" top="0.75" bottom="0.75" header="0.3" footer="0.3"/>
  <pageSetup orientation="portrait"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9F9AA-7E80-4442-8962-EC01DBFDD16E}">
  <dimension ref="A1:B68"/>
  <sheetViews>
    <sheetView defaultGridColor="0" colorId="22" workbookViewId="0">
      <pane ySplit="4" topLeftCell="A5" activePane="bottomLeft" state="frozen"/>
      <selection pane="bottomLeft" activeCell="A5" sqref="A5"/>
    </sheetView>
  </sheetViews>
  <sheetFormatPr defaultColWidth="12.86328125" defaultRowHeight="14.25" x14ac:dyDescent="0.45"/>
  <cols>
    <col min="1" max="1" width="30.1328125" bestFit="1" customWidth="1"/>
    <col min="2" max="2" width="13.265625" bestFit="1" customWidth="1"/>
    <col min="3" max="3" width="2.86328125" customWidth="1"/>
    <col min="4" max="4" width="42.86328125" customWidth="1"/>
  </cols>
  <sheetData>
    <row r="1" spans="1:2" ht="40.5" customHeight="1" x14ac:dyDescent="0.45">
      <c r="A1" s="48" t="s">
        <v>662</v>
      </c>
    </row>
    <row r="2" spans="1:2" x14ac:dyDescent="0.45">
      <c r="A2" s="29" t="s">
        <v>727</v>
      </c>
    </row>
    <row r="4" spans="1:2" x14ac:dyDescent="0.45">
      <c r="A4" t="s">
        <v>629</v>
      </c>
      <c r="B4" t="s">
        <v>618</v>
      </c>
    </row>
    <row r="5" spans="1:2" x14ac:dyDescent="0.45">
      <c r="A5" s="25" t="s">
        <v>780</v>
      </c>
      <c r="B5" s="57">
        <v>2739070.6315349145</v>
      </c>
    </row>
    <row r="6" spans="1:2" x14ac:dyDescent="0.45">
      <c r="A6" s="25" t="s">
        <v>145</v>
      </c>
      <c r="B6" s="57">
        <v>2286130.9320495976</v>
      </c>
    </row>
    <row r="7" spans="1:2" x14ac:dyDescent="0.45">
      <c r="A7" s="25" t="s">
        <v>148</v>
      </c>
      <c r="B7" s="57">
        <v>24762852.449566148</v>
      </c>
    </row>
    <row r="8" spans="1:2" x14ac:dyDescent="0.45">
      <c r="A8" s="25" t="s">
        <v>125</v>
      </c>
      <c r="B8" s="57">
        <v>16494123.061141497</v>
      </c>
    </row>
    <row r="9" spans="1:2" x14ac:dyDescent="0.45">
      <c r="A9" s="25" t="s">
        <v>151</v>
      </c>
      <c r="B9" s="57">
        <v>8659438.531224817</v>
      </c>
    </row>
    <row r="10" spans="1:2" x14ac:dyDescent="0.45">
      <c r="A10" s="25" t="s">
        <v>785</v>
      </c>
      <c r="B10" s="57">
        <v>10943648.783958722</v>
      </c>
    </row>
    <row r="11" spans="1:2" x14ac:dyDescent="0.45">
      <c r="A11" s="25" t="s">
        <v>783</v>
      </c>
      <c r="B11" s="57">
        <v>2474033.3088227818</v>
      </c>
    </row>
    <row r="12" spans="1:2" x14ac:dyDescent="0.45">
      <c r="A12" s="25" t="s">
        <v>107</v>
      </c>
      <c r="B12" s="57">
        <v>27676690.720446873</v>
      </c>
    </row>
    <row r="13" spans="1:2" x14ac:dyDescent="0.45">
      <c r="A13" s="25" t="s">
        <v>109</v>
      </c>
      <c r="B13" s="57">
        <v>14422352.676389942</v>
      </c>
    </row>
    <row r="14" spans="1:2" x14ac:dyDescent="0.45">
      <c r="A14" s="25" t="s">
        <v>101</v>
      </c>
      <c r="B14" s="57">
        <v>19026505.463126563</v>
      </c>
    </row>
    <row r="15" spans="1:2" x14ac:dyDescent="0.45">
      <c r="A15" s="25" t="s">
        <v>121</v>
      </c>
      <c r="B15" s="57">
        <v>35697617.178029247</v>
      </c>
    </row>
    <row r="16" spans="1:2" x14ac:dyDescent="0.45">
      <c r="A16" s="25" t="s">
        <v>784</v>
      </c>
      <c r="B16" s="57">
        <v>11127698.361851079</v>
      </c>
    </row>
    <row r="17" spans="1:2" x14ac:dyDescent="0.45">
      <c r="A17" s="25" t="s">
        <v>106</v>
      </c>
      <c r="B17" s="57">
        <v>11268906.793161867</v>
      </c>
    </row>
    <row r="18" spans="1:2" x14ac:dyDescent="0.45">
      <c r="A18" s="25" t="s">
        <v>160</v>
      </c>
      <c r="B18" s="57">
        <v>34745796.594720982</v>
      </c>
    </row>
    <row r="19" spans="1:2" x14ac:dyDescent="0.45">
      <c r="A19" s="25" t="s">
        <v>92</v>
      </c>
      <c r="B19" s="57">
        <v>35068503.668212257</v>
      </c>
    </row>
    <row r="20" spans="1:2" x14ac:dyDescent="0.45">
      <c r="A20" s="25" t="s">
        <v>111</v>
      </c>
      <c r="B20" s="57">
        <v>5532992.3407901749</v>
      </c>
    </row>
    <row r="21" spans="1:2" x14ac:dyDescent="0.45">
      <c r="A21" s="25" t="s">
        <v>114</v>
      </c>
      <c r="B21" s="57">
        <v>5532992.3407901749</v>
      </c>
    </row>
    <row r="22" spans="1:2" x14ac:dyDescent="0.45">
      <c r="A22" s="25" t="s">
        <v>117</v>
      </c>
      <c r="B22" s="57">
        <v>5181326.5047871228</v>
      </c>
    </row>
    <row r="23" spans="1:2" x14ac:dyDescent="0.45">
      <c r="A23" s="25" t="s">
        <v>166</v>
      </c>
      <c r="B23" s="57">
        <v>3682351.2701226664</v>
      </c>
    </row>
    <row r="24" spans="1:2" x14ac:dyDescent="0.45">
      <c r="A24" s="25" t="s">
        <v>129</v>
      </c>
      <c r="B24" s="57">
        <v>22809173.811005104</v>
      </c>
    </row>
    <row r="25" spans="1:2" x14ac:dyDescent="0.45">
      <c r="A25" s="25" t="s">
        <v>132</v>
      </c>
      <c r="B25" s="57">
        <v>16403173.255527552</v>
      </c>
    </row>
    <row r="26" spans="1:2" x14ac:dyDescent="0.45">
      <c r="A26" s="25" t="s">
        <v>174</v>
      </c>
      <c r="B26" s="57">
        <v>4052648.0007775673</v>
      </c>
    </row>
    <row r="27" spans="1:2" x14ac:dyDescent="0.45">
      <c r="A27" s="25" t="s">
        <v>124</v>
      </c>
      <c r="B27" s="57">
        <v>44406860.915909581</v>
      </c>
    </row>
    <row r="28" spans="1:2" x14ac:dyDescent="0.45">
      <c r="A28" s="25" t="s">
        <v>180</v>
      </c>
      <c r="B28" s="57">
        <v>1946552.6750951568</v>
      </c>
    </row>
    <row r="29" spans="1:2" x14ac:dyDescent="0.45">
      <c r="A29" s="25" t="s">
        <v>135</v>
      </c>
      <c r="B29" s="57">
        <v>63016455.89097897</v>
      </c>
    </row>
    <row r="30" spans="1:2" x14ac:dyDescent="0.45">
      <c r="A30" s="25" t="s">
        <v>701</v>
      </c>
      <c r="B30" s="57">
        <v>21669419.416346733</v>
      </c>
    </row>
    <row r="31" spans="1:2" x14ac:dyDescent="0.45">
      <c r="A31" s="25" t="s">
        <v>649</v>
      </c>
      <c r="B31" s="57">
        <v>86443412.137204692</v>
      </c>
    </row>
    <row r="32" spans="1:2" x14ac:dyDescent="0.45">
      <c r="A32" s="25" t="s">
        <v>799</v>
      </c>
      <c r="B32" s="57">
        <v>60119285.427071497</v>
      </c>
    </row>
    <row r="33" spans="1:2" x14ac:dyDescent="0.45">
      <c r="A33" s="25" t="s">
        <v>645</v>
      </c>
      <c r="B33" s="57">
        <v>12031485.363032704</v>
      </c>
    </row>
    <row r="34" spans="1:2" x14ac:dyDescent="0.45">
      <c r="A34" s="25" t="s">
        <v>634</v>
      </c>
      <c r="B34" s="57">
        <v>2326056.7875303482</v>
      </c>
    </row>
    <row r="35" spans="1:2" x14ac:dyDescent="0.45">
      <c r="A35" s="25" t="s">
        <v>800</v>
      </c>
      <c r="B35" s="57">
        <v>4360436.7425741591</v>
      </c>
    </row>
    <row r="36" spans="1:2" x14ac:dyDescent="0.45">
      <c r="A36" s="25" t="s">
        <v>755</v>
      </c>
      <c r="B36" s="57">
        <v>41440182.379798986</v>
      </c>
    </row>
    <row r="37" spans="1:2" x14ac:dyDescent="0.45">
      <c r="A37" s="25" t="s">
        <v>756</v>
      </c>
      <c r="B37" s="57">
        <v>80852176.010552794</v>
      </c>
    </row>
    <row r="38" spans="1:2" x14ac:dyDescent="0.45">
      <c r="A38" s="25" t="s">
        <v>757</v>
      </c>
      <c r="B38" s="57">
        <v>33026286.526349988</v>
      </c>
    </row>
    <row r="39" spans="1:2" x14ac:dyDescent="0.45">
      <c r="A39" s="25" t="s">
        <v>795</v>
      </c>
      <c r="B39" s="57">
        <v>10050085.891145648</v>
      </c>
    </row>
    <row r="40" spans="1:2" x14ac:dyDescent="0.45">
      <c r="A40" s="25" t="s">
        <v>651</v>
      </c>
      <c r="B40" s="57">
        <v>26968879.020205256</v>
      </c>
    </row>
    <row r="41" spans="1:2" x14ac:dyDescent="0.45">
      <c r="A41" s="25" t="s">
        <v>653</v>
      </c>
      <c r="B41" s="57">
        <v>29959842.055606421</v>
      </c>
    </row>
    <row r="42" spans="1:2" x14ac:dyDescent="0.45">
      <c r="A42" s="25" t="s">
        <v>656</v>
      </c>
      <c r="B42" s="57">
        <v>8233284.495426462</v>
      </c>
    </row>
    <row r="43" spans="1:2" x14ac:dyDescent="0.45">
      <c r="A43" s="25" t="s">
        <v>786</v>
      </c>
      <c r="B43" s="57">
        <v>6324957.2499492811</v>
      </c>
    </row>
    <row r="44" spans="1:2" x14ac:dyDescent="0.45">
      <c r="A44" s="25" t="s">
        <v>137</v>
      </c>
      <c r="B44" s="57">
        <v>86198048.456614733</v>
      </c>
    </row>
    <row r="45" spans="1:2" x14ac:dyDescent="0.45">
      <c r="A45" s="25" t="s">
        <v>860</v>
      </c>
      <c r="B45" s="57">
        <v>12.948227568970466</v>
      </c>
    </row>
    <row r="46" spans="1:2" x14ac:dyDescent="0.45">
      <c r="A46" s="25" t="s">
        <v>861</v>
      </c>
      <c r="B46" s="57">
        <v>1.3861009195950531</v>
      </c>
    </row>
    <row r="47" spans="1:2" x14ac:dyDescent="0.45">
      <c r="A47" s="25" t="s">
        <v>827</v>
      </c>
      <c r="B47" s="57">
        <v>37036697.247706465</v>
      </c>
    </row>
    <row r="48" spans="1:2" x14ac:dyDescent="0.45">
      <c r="A48" s="25" t="s">
        <v>887</v>
      </c>
      <c r="B48" s="57">
        <v>33669724.770642243</v>
      </c>
    </row>
    <row r="49" spans="1:2" x14ac:dyDescent="0.45">
      <c r="A49" s="25" t="s">
        <v>828</v>
      </c>
      <c r="B49" s="57">
        <v>6172782.8746177433</v>
      </c>
    </row>
    <row r="50" spans="1:2" x14ac:dyDescent="0.45">
      <c r="A50" s="25" t="s">
        <v>88</v>
      </c>
      <c r="B50" s="57">
        <v>5376933.017077799</v>
      </c>
    </row>
    <row r="51" spans="1:2" x14ac:dyDescent="0.45">
      <c r="A51" s="25" t="s">
        <v>790</v>
      </c>
      <c r="B51" s="57">
        <v>7902129.7912713494</v>
      </c>
    </row>
    <row r="52" spans="1:2" x14ac:dyDescent="0.45">
      <c r="A52" s="25" t="s">
        <v>703</v>
      </c>
      <c r="B52" s="57">
        <v>19847248.576850101</v>
      </c>
    </row>
    <row r="53" spans="1:2" x14ac:dyDescent="0.45">
      <c r="A53" s="25" t="s">
        <v>632</v>
      </c>
      <c r="B53" s="57">
        <v>14624288.425047442</v>
      </c>
    </row>
    <row r="54" spans="1:2" x14ac:dyDescent="0.45">
      <c r="A54" s="25" t="s">
        <v>631</v>
      </c>
      <c r="B54" s="57">
        <v>14089579.524680082</v>
      </c>
    </row>
    <row r="55" spans="1:2" x14ac:dyDescent="0.45">
      <c r="A55" s="25" t="s">
        <v>789</v>
      </c>
      <c r="B55" s="57">
        <v>4226873.8574040243</v>
      </c>
    </row>
    <row r="56" spans="1:2" x14ac:dyDescent="0.45">
      <c r="A56" s="25" t="s">
        <v>838</v>
      </c>
      <c r="B56" s="57">
        <v>6938579.4209957151</v>
      </c>
    </row>
    <row r="57" spans="1:2" x14ac:dyDescent="0.45">
      <c r="A57" s="25" t="s">
        <v>839</v>
      </c>
      <c r="B57" s="57">
        <v>6126898.8508209642</v>
      </c>
    </row>
    <row r="58" spans="1:2" x14ac:dyDescent="0.45">
      <c r="A58" s="25" t="s">
        <v>830</v>
      </c>
      <c r="B58" s="57">
        <v>8564660.3818630837</v>
      </c>
    </row>
    <row r="59" spans="1:2" x14ac:dyDescent="0.45">
      <c r="A59" s="25" t="s">
        <v>836</v>
      </c>
      <c r="B59" s="57">
        <v>3963416.5112653878</v>
      </c>
    </row>
    <row r="60" spans="1:2" x14ac:dyDescent="0.45">
      <c r="A60" s="25" t="s">
        <v>837</v>
      </c>
      <c r="B60" s="57">
        <v>2245168.9741799245</v>
      </c>
    </row>
    <row r="61" spans="1:2" x14ac:dyDescent="0.45">
      <c r="A61" s="25" t="s">
        <v>831</v>
      </c>
      <c r="B61" s="57">
        <v>5557389.4853342315</v>
      </c>
    </row>
    <row r="62" spans="1:2" x14ac:dyDescent="0.45">
      <c r="A62" s="25" t="s">
        <v>843</v>
      </c>
      <c r="B62" s="57">
        <v>4769967.6450978871</v>
      </c>
    </row>
    <row r="63" spans="1:2" x14ac:dyDescent="0.45">
      <c r="A63" s="25" t="s">
        <v>842</v>
      </c>
      <c r="B63" s="57">
        <v>4211973.014933005</v>
      </c>
    </row>
    <row r="64" spans="1:2" x14ac:dyDescent="0.45">
      <c r="A64" s="25" t="s">
        <v>833</v>
      </c>
      <c r="B64" s="57">
        <v>5887826.6622011252</v>
      </c>
    </row>
    <row r="65" spans="1:2" x14ac:dyDescent="0.45">
      <c r="A65" s="25" t="s">
        <v>841</v>
      </c>
      <c r="B65" s="57">
        <v>3096815.9113904098</v>
      </c>
    </row>
    <row r="66" spans="1:2" x14ac:dyDescent="0.45">
      <c r="A66" s="25" t="s">
        <v>840</v>
      </c>
      <c r="B66" s="57">
        <v>1754263.0160716192</v>
      </c>
    </row>
    <row r="67" spans="1:2" x14ac:dyDescent="0.45">
      <c r="A67" s="25" t="s">
        <v>832</v>
      </c>
      <c r="B67" s="57">
        <v>4342266.8637170708</v>
      </c>
    </row>
    <row r="68" spans="1:2" x14ac:dyDescent="0.45">
      <c r="A68" s="25" t="s">
        <v>859</v>
      </c>
      <c r="B68" s="57">
        <v>9227455.5414314978</v>
      </c>
    </row>
  </sheetData>
  <pageMargins left="0.7" right="0.7" top="0.75" bottom="0.75" header="0.3" footer="0.3"/>
  <pageSetup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1C28B-4F20-47DC-B681-45E30B7885F9}">
  <dimension ref="A1:P21"/>
  <sheetViews>
    <sheetView defaultGridColor="0" colorId="22" workbookViewId="0">
      <pane ySplit="4" topLeftCell="A5" activePane="bottomLeft" state="frozen"/>
      <selection pane="bottomLeft" activeCell="A5" sqref="A5"/>
    </sheetView>
  </sheetViews>
  <sheetFormatPr defaultColWidth="12.86328125" defaultRowHeight="14.25" x14ac:dyDescent="0.45"/>
  <cols>
    <col min="1" max="1" width="39.86328125" bestFit="1" customWidth="1"/>
    <col min="2" max="2" width="13.1328125" bestFit="1" customWidth="1"/>
    <col min="3" max="3" width="12.73046875" bestFit="1" customWidth="1"/>
    <col min="4" max="4" width="10.86328125" bestFit="1" customWidth="1"/>
    <col min="5" max="5" width="30.1328125" bestFit="1" customWidth="1"/>
    <col min="6" max="6" width="26.3984375" style="25" bestFit="1" customWidth="1"/>
    <col min="7" max="7" width="16.59765625" style="25" bestFit="1" customWidth="1"/>
    <col min="8" max="8" width="6" style="25" bestFit="1" customWidth="1"/>
    <col min="9" max="9" width="10.265625" style="25" bestFit="1" customWidth="1"/>
    <col min="10" max="10" width="11.59765625" style="25" bestFit="1" customWidth="1"/>
    <col min="11" max="11" width="14.73046875" style="25" bestFit="1" customWidth="1"/>
    <col min="12" max="12" width="15.3984375" style="25" bestFit="1" customWidth="1"/>
    <col min="13" max="13" width="15.3984375" bestFit="1" customWidth="1"/>
    <col min="14" max="14" width="17.265625" bestFit="1" customWidth="1"/>
    <col min="15" max="15" width="11.1328125" bestFit="1" customWidth="1"/>
    <col min="16" max="16" width="17.265625" bestFit="1" customWidth="1"/>
    <col min="17" max="17" width="17.1328125" bestFit="1" customWidth="1"/>
  </cols>
  <sheetData>
    <row r="1" spans="1:16" ht="40.5" customHeight="1" x14ac:dyDescent="0.45">
      <c r="A1" s="48" t="s">
        <v>758</v>
      </c>
    </row>
    <row r="2" spans="1:16" x14ac:dyDescent="0.45">
      <c r="A2" s="29" t="s">
        <v>907</v>
      </c>
    </row>
    <row r="4" spans="1:16" x14ac:dyDescent="0.45">
      <c r="A4" t="s">
        <v>591</v>
      </c>
      <c r="B4" t="s">
        <v>803</v>
      </c>
      <c r="C4" t="s">
        <v>761</v>
      </c>
      <c r="D4" t="s">
        <v>142</v>
      </c>
      <c r="E4" t="s">
        <v>574</v>
      </c>
      <c r="F4" t="s">
        <v>575</v>
      </c>
      <c r="G4" t="s">
        <v>576</v>
      </c>
      <c r="H4" t="s">
        <v>577</v>
      </c>
      <c r="I4" t="s">
        <v>680</v>
      </c>
      <c r="J4" t="s">
        <v>681</v>
      </c>
      <c r="K4" t="s">
        <v>682</v>
      </c>
      <c r="L4" t="s">
        <v>619</v>
      </c>
      <c r="M4" t="s">
        <v>620</v>
      </c>
      <c r="N4" t="s">
        <v>623</v>
      </c>
      <c r="O4" t="s">
        <v>621</v>
      </c>
      <c r="P4" t="s">
        <v>622</v>
      </c>
    </row>
    <row r="5" spans="1:16" x14ac:dyDescent="0.45">
      <c r="A5" s="50" t="s">
        <v>808</v>
      </c>
      <c r="B5">
        <v>2100</v>
      </c>
      <c r="C5">
        <v>1800</v>
      </c>
      <c r="D5" t="s">
        <v>203</v>
      </c>
      <c r="E5" s="50" t="s">
        <v>799</v>
      </c>
      <c r="F5" s="50" t="s">
        <v>645</v>
      </c>
      <c r="G5" s="50" t="s">
        <v>632</v>
      </c>
      <c r="H5" s="50">
        <v>1</v>
      </c>
      <c r="I5" t="s">
        <v>685</v>
      </c>
      <c r="J5" t="s">
        <v>687</v>
      </c>
      <c r="K5" t="s">
        <v>692</v>
      </c>
      <c r="L5" s="57">
        <f>INDEX(C_AllComp[lsv_per_mhz], MATCH(C_Paired[[#This Row],[int_comp1]], C_AllComp[comp_id], 0))</f>
        <v>60119285.427071497</v>
      </c>
      <c r="M5" s="57">
        <f>INDEX(C_AllComp[lsv_per_mhz], MATCH(C_Paired[[#This Row],[int_comp2]], C_AllComp[comp_id], 0))</f>
        <v>12031485.363032704</v>
      </c>
      <c r="N5" s="57">
        <f>INDEX(C_AllComp[lsv_per_mhz], MATCH(C_Paired[[#This Row],[uk_comp1]], C_AllComp[comp_id], 0))</f>
        <v>14624288.425047442</v>
      </c>
      <c r="O5" s="59">
        <f>C_Paired[[#This Row],[lsv_per_mhz_2]]/C_Paired[[#This Row],[lsv_per_mhz_1]]</f>
        <v>0.20012688570005807</v>
      </c>
      <c r="P5" s="57">
        <f>C_Paired[[#This Row],[lsv_per_mhz_uk1]]*C_Paired[[#This Row],[ratio_2_1]]</f>
        <v>2926713.2980841519</v>
      </c>
    </row>
    <row r="6" spans="1:16" x14ac:dyDescent="0.45">
      <c r="A6" s="50" t="s">
        <v>882</v>
      </c>
      <c r="B6">
        <v>2100</v>
      </c>
      <c r="C6">
        <v>3400</v>
      </c>
      <c r="D6" t="s">
        <v>203</v>
      </c>
      <c r="E6" s="50" t="s">
        <v>800</v>
      </c>
      <c r="F6" s="50" t="s">
        <v>645</v>
      </c>
      <c r="G6" s="50" t="s">
        <v>790</v>
      </c>
      <c r="H6" s="50">
        <v>1</v>
      </c>
      <c r="I6" t="s">
        <v>687</v>
      </c>
      <c r="J6" t="s">
        <v>687</v>
      </c>
      <c r="K6" t="s">
        <v>687</v>
      </c>
      <c r="L6" s="57">
        <f>INDEX(C_AllComp[lsv_per_mhz], MATCH(C_Paired[[#This Row],[int_comp1]], C_AllComp[comp_id], 0))</f>
        <v>4360436.7425741591</v>
      </c>
      <c r="M6" s="57">
        <f>INDEX(C_AllComp[lsv_per_mhz], MATCH(C_Paired[[#This Row],[int_comp2]], C_AllComp[comp_id], 0))</f>
        <v>12031485.363032704</v>
      </c>
      <c r="N6" s="57">
        <f>INDEX(C_AllComp[lsv_per_mhz], MATCH(C_Paired[[#This Row],[uk_comp1]], C_AllComp[comp_id], 0))</f>
        <v>7902129.7912713494</v>
      </c>
      <c r="O6" s="59">
        <f>C_Paired[[#This Row],[lsv_per_mhz_2]]/C_Paired[[#This Row],[lsv_per_mhz_1]]</f>
        <v>2.7592385977212883</v>
      </c>
      <c r="P6" s="57">
        <f>C_Paired[[#This Row],[lsv_per_mhz_uk1]]*C_Paired[[#This Row],[ratio_2_1]]</f>
        <v>21803861.524279173</v>
      </c>
    </row>
    <row r="7" spans="1:16" x14ac:dyDescent="0.45">
      <c r="A7" s="50" t="s">
        <v>883</v>
      </c>
      <c r="B7">
        <v>2100</v>
      </c>
      <c r="C7">
        <v>3600</v>
      </c>
      <c r="D7" t="s">
        <v>203</v>
      </c>
      <c r="E7" s="50" t="s">
        <v>800</v>
      </c>
      <c r="F7" s="50" t="s">
        <v>645</v>
      </c>
      <c r="G7" s="50" t="s">
        <v>789</v>
      </c>
      <c r="H7" s="50">
        <v>1</v>
      </c>
      <c r="I7" t="s">
        <v>687</v>
      </c>
      <c r="J7" t="s">
        <v>687</v>
      </c>
      <c r="K7" t="s">
        <v>687</v>
      </c>
      <c r="L7" s="57">
        <f>INDEX(C_AllComp[lsv_per_mhz], MATCH(C_Paired[[#This Row],[int_comp1]], C_AllComp[comp_id], 0))</f>
        <v>4360436.7425741591</v>
      </c>
      <c r="M7" s="57">
        <f>INDEX(C_AllComp[lsv_per_mhz], MATCH(C_Paired[[#This Row],[int_comp2]], C_AllComp[comp_id], 0))</f>
        <v>12031485.363032704</v>
      </c>
      <c r="N7" s="57">
        <f>INDEX(C_AllComp[lsv_per_mhz], MATCH(C_Paired[[#This Row],[uk_comp1]], C_AllComp[comp_id], 0))</f>
        <v>4226873.8574040243</v>
      </c>
      <c r="O7" s="59">
        <f>C_Paired[[#This Row],[lsv_per_mhz_2]]/C_Paired[[#This Row],[lsv_per_mhz_1]]</f>
        <v>2.7592385977212883</v>
      </c>
      <c r="P7" s="57">
        <f>C_Paired[[#This Row],[lsv_per_mhz_uk1]]*C_Paired[[#This Row],[ratio_2_1]]</f>
        <v>11662953.495048253</v>
      </c>
    </row>
    <row r="8" spans="1:16" x14ac:dyDescent="0.45">
      <c r="A8" s="50" t="s">
        <v>804</v>
      </c>
      <c r="B8">
        <v>2100</v>
      </c>
      <c r="C8">
        <v>700</v>
      </c>
      <c r="D8" t="s">
        <v>203</v>
      </c>
      <c r="E8" s="50" t="s">
        <v>701</v>
      </c>
      <c r="F8" s="50" t="s">
        <v>645</v>
      </c>
      <c r="G8" s="50" t="s">
        <v>631</v>
      </c>
      <c r="H8" s="50">
        <v>1</v>
      </c>
      <c r="I8" t="s">
        <v>687</v>
      </c>
      <c r="J8" t="s">
        <v>687</v>
      </c>
      <c r="K8" t="s">
        <v>687</v>
      </c>
      <c r="L8" s="57">
        <f>INDEX(C_AllComp[lsv_per_mhz], MATCH(C_Paired[[#This Row],[int_comp1]], C_AllComp[comp_id], 0))</f>
        <v>21669419.416346733</v>
      </c>
      <c r="M8" s="57">
        <f>INDEX(C_AllComp[lsv_per_mhz], MATCH(C_Paired[[#This Row],[int_comp2]], C_AllComp[comp_id], 0))</f>
        <v>12031485.363032704</v>
      </c>
      <c r="N8" s="57">
        <f>INDEX(C_AllComp[lsv_per_mhz], MATCH(C_Paired[[#This Row],[uk_comp1]], C_AllComp[comp_id], 0))</f>
        <v>14089579.524680082</v>
      </c>
      <c r="O8" s="59">
        <f>C_Paired[[#This Row],[lsv_per_mhz_2]]/C_Paired[[#This Row],[lsv_per_mhz_1]]</f>
        <v>0.55522878263902764</v>
      </c>
      <c r="P8" s="57">
        <f>C_Paired[[#This Row],[lsv_per_mhz_uk1]]*C_Paired[[#This Row],[ratio_2_1]]</f>
        <v>7822940.0873838915</v>
      </c>
    </row>
    <row r="9" spans="1:16" x14ac:dyDescent="0.45">
      <c r="A9" s="50" t="s">
        <v>885</v>
      </c>
      <c r="B9">
        <v>2100</v>
      </c>
      <c r="C9">
        <v>1800</v>
      </c>
      <c r="D9" t="s">
        <v>158</v>
      </c>
      <c r="E9" s="50" t="s">
        <v>129</v>
      </c>
      <c r="F9" s="50" t="s">
        <v>125</v>
      </c>
      <c r="G9" s="50" t="s">
        <v>632</v>
      </c>
      <c r="H9" s="50">
        <v>1</v>
      </c>
      <c r="I9" t="s">
        <v>685</v>
      </c>
      <c r="J9" t="s">
        <v>687</v>
      </c>
      <c r="K9" t="s">
        <v>691</v>
      </c>
      <c r="L9" s="57">
        <f>INDEX(C_AllComp[lsv_per_mhz], MATCH(C_Paired[[#This Row],[int_comp1]], C_AllComp[comp_id], 0))</f>
        <v>22809173.811005104</v>
      </c>
      <c r="M9" s="57">
        <f>INDEX(C_AllComp[lsv_per_mhz], MATCH(C_Paired[[#This Row],[int_comp2]], C_AllComp[comp_id], 0))</f>
        <v>16494123.061141497</v>
      </c>
      <c r="N9" s="57">
        <f>INDEX(C_AllComp[lsv_per_mhz], MATCH(C_Paired[[#This Row],[uk_comp1]], C_AllComp[comp_id], 0))</f>
        <v>14624288.425047442</v>
      </c>
      <c r="O9" s="59">
        <f>C_Paired[[#This Row],[lsv_per_mhz_2]]/C_Paired[[#This Row],[lsv_per_mhz_1]]</f>
        <v>0.72313548915933623</v>
      </c>
      <c r="P9" s="57">
        <f>C_Paired[[#This Row],[lsv_per_mhz_uk1]]*C_Paired[[#This Row],[ratio_2_1]]</f>
        <v>10575341.963853901</v>
      </c>
    </row>
    <row r="10" spans="1:16" x14ac:dyDescent="0.45">
      <c r="A10" s="50" t="s">
        <v>809</v>
      </c>
      <c r="B10">
        <v>2100</v>
      </c>
      <c r="C10">
        <v>3400</v>
      </c>
      <c r="D10" t="s">
        <v>158</v>
      </c>
      <c r="E10" s="50" t="s">
        <v>785</v>
      </c>
      <c r="F10" s="50" t="s">
        <v>125</v>
      </c>
      <c r="G10" s="50" t="s">
        <v>790</v>
      </c>
      <c r="H10" s="50">
        <v>1</v>
      </c>
      <c r="I10" t="s">
        <v>687</v>
      </c>
      <c r="J10" t="s">
        <v>687</v>
      </c>
      <c r="K10" t="s">
        <v>687</v>
      </c>
      <c r="L10" s="57">
        <f>INDEX(C_AllComp[lsv_per_mhz], MATCH(C_Paired[[#This Row],[int_comp1]], C_AllComp[comp_id], 0))</f>
        <v>10943648.783958722</v>
      </c>
      <c r="M10" s="57">
        <f>INDEX(C_AllComp[lsv_per_mhz], MATCH(C_Paired[[#This Row],[int_comp2]], C_AllComp[comp_id], 0))</f>
        <v>16494123.061141497</v>
      </c>
      <c r="N10" s="57">
        <f>INDEX(C_AllComp[lsv_per_mhz], MATCH(C_Paired[[#This Row],[uk_comp1]], C_AllComp[comp_id], 0))</f>
        <v>7902129.7912713494</v>
      </c>
      <c r="O10" s="59">
        <f>C_Paired[[#This Row],[lsv_per_mhz_2]]/C_Paired[[#This Row],[lsv_per_mhz_1]]</f>
        <v>1.5071868064076306</v>
      </c>
      <c r="P10" s="57">
        <f>C_Paired[[#This Row],[lsv_per_mhz_uk1]]*C_Paired[[#This Row],[ratio_2_1]]</f>
        <v>11909985.763924861</v>
      </c>
    </row>
    <row r="11" spans="1:16" x14ac:dyDescent="0.45">
      <c r="A11" s="50" t="s">
        <v>812</v>
      </c>
      <c r="B11">
        <v>2100</v>
      </c>
      <c r="C11">
        <v>3600</v>
      </c>
      <c r="D11" t="s">
        <v>158</v>
      </c>
      <c r="E11" s="50" t="s">
        <v>785</v>
      </c>
      <c r="F11" s="50" t="s">
        <v>125</v>
      </c>
      <c r="G11" s="50" t="s">
        <v>789</v>
      </c>
      <c r="H11" s="50">
        <v>1</v>
      </c>
      <c r="I11" t="s">
        <v>687</v>
      </c>
      <c r="J11" t="s">
        <v>687</v>
      </c>
      <c r="K11" t="s">
        <v>687</v>
      </c>
      <c r="L11" s="57">
        <f>INDEX(C_AllComp[lsv_per_mhz], MATCH(C_Paired[[#This Row],[int_comp1]], C_AllComp[comp_id], 0))</f>
        <v>10943648.783958722</v>
      </c>
      <c r="M11" s="57">
        <f>INDEX(C_AllComp[lsv_per_mhz], MATCH(C_Paired[[#This Row],[int_comp2]], C_AllComp[comp_id], 0))</f>
        <v>16494123.061141497</v>
      </c>
      <c r="N11" s="57">
        <f>INDEX(C_AllComp[lsv_per_mhz], MATCH(C_Paired[[#This Row],[uk_comp1]], C_AllComp[comp_id], 0))</f>
        <v>4226873.8574040243</v>
      </c>
      <c r="O11" s="59">
        <f>C_Paired[[#This Row],[lsv_per_mhz_2]]/C_Paired[[#This Row],[lsv_per_mhz_1]]</f>
        <v>1.5071868064076306</v>
      </c>
      <c r="P11" s="57">
        <f>C_Paired[[#This Row],[lsv_per_mhz_uk1]]*C_Paired[[#This Row],[ratio_2_1]]</f>
        <v>6370688.5102286739</v>
      </c>
    </row>
    <row r="12" spans="1:16" x14ac:dyDescent="0.45">
      <c r="A12" s="50" t="s">
        <v>881</v>
      </c>
      <c r="B12">
        <v>2100</v>
      </c>
      <c r="C12">
        <v>700</v>
      </c>
      <c r="D12" t="s">
        <v>158</v>
      </c>
      <c r="E12" s="50" t="s">
        <v>132</v>
      </c>
      <c r="F12" s="50" t="s">
        <v>125</v>
      </c>
      <c r="G12" s="50" t="s">
        <v>631</v>
      </c>
      <c r="H12" s="50">
        <v>1</v>
      </c>
      <c r="I12" t="s">
        <v>687</v>
      </c>
      <c r="J12" t="s">
        <v>687</v>
      </c>
      <c r="K12" t="s">
        <v>691</v>
      </c>
      <c r="L12" s="57">
        <f>INDEX(C_AllComp[lsv_per_mhz], MATCH(C_Paired[[#This Row],[int_comp1]], C_AllComp[comp_id], 0))</f>
        <v>16403173.255527552</v>
      </c>
      <c r="M12" s="57">
        <f>INDEX(C_AllComp[lsv_per_mhz], MATCH(C_Paired[[#This Row],[int_comp2]], C_AllComp[comp_id], 0))</f>
        <v>16494123.061141497</v>
      </c>
      <c r="N12" s="57">
        <f>INDEX(C_AllComp[lsv_per_mhz], MATCH(C_Paired[[#This Row],[uk_comp1]], C_AllComp[comp_id], 0))</f>
        <v>14089579.524680082</v>
      </c>
      <c r="O12" s="59">
        <f>C_Paired[[#This Row],[lsv_per_mhz_2]]/C_Paired[[#This Row],[lsv_per_mhz_1]]</f>
        <v>1.005544647014156</v>
      </c>
      <c r="P12" s="57">
        <f>C_Paired[[#This Row],[lsv_per_mhz_uk1]]*C_Paired[[#This Row],[ratio_2_1]]</f>
        <v>14167701.269722313</v>
      </c>
    </row>
    <row r="13" spans="1:16" x14ac:dyDescent="0.45">
      <c r="A13" s="50" t="s">
        <v>884</v>
      </c>
      <c r="B13">
        <v>2100</v>
      </c>
      <c r="C13">
        <v>1800</v>
      </c>
      <c r="D13" t="s">
        <v>143</v>
      </c>
      <c r="E13" s="50" t="s">
        <v>755</v>
      </c>
      <c r="F13" s="50" t="s">
        <v>757</v>
      </c>
      <c r="G13" s="50" t="s">
        <v>632</v>
      </c>
      <c r="H13" s="50">
        <v>1</v>
      </c>
      <c r="I13" t="s">
        <v>685</v>
      </c>
      <c r="J13" t="s">
        <v>687</v>
      </c>
      <c r="K13" t="s">
        <v>687</v>
      </c>
      <c r="L13" s="57">
        <f>INDEX(C_AllComp[lsv_per_mhz], MATCH(C_Paired[[#This Row],[int_comp1]], C_AllComp[comp_id], 0))</f>
        <v>41440182.379798986</v>
      </c>
      <c r="M13" s="57">
        <f>INDEX(C_AllComp[lsv_per_mhz], MATCH(C_Paired[[#This Row],[int_comp2]], C_AllComp[comp_id], 0))</f>
        <v>33026286.526349988</v>
      </c>
      <c r="N13" s="57">
        <f>INDEX(C_AllComp[lsv_per_mhz], MATCH(C_Paired[[#This Row],[uk_comp1]], C_AllComp[comp_id], 0))</f>
        <v>14624288.425047442</v>
      </c>
      <c r="O13" s="59">
        <f>C_Paired[[#This Row],[lsv_per_mhz_2]]/C_Paired[[#This Row],[lsv_per_mhz_1]]</f>
        <v>0.79696286622641521</v>
      </c>
      <c r="P13" s="57">
        <f>C_Paired[[#This Row],[lsv_per_mhz_uk1]]*C_Paired[[#This Row],[ratio_2_1]]</f>
        <v>11655014.819747597</v>
      </c>
    </row>
    <row r="14" spans="1:16" x14ac:dyDescent="0.45">
      <c r="A14" s="50" t="s">
        <v>810</v>
      </c>
      <c r="B14">
        <v>2100</v>
      </c>
      <c r="C14">
        <v>3400</v>
      </c>
      <c r="D14" t="s">
        <v>143</v>
      </c>
      <c r="E14" s="50" t="s">
        <v>784</v>
      </c>
      <c r="F14" s="50" t="s">
        <v>121</v>
      </c>
      <c r="G14" s="50" t="s">
        <v>790</v>
      </c>
      <c r="H14" s="50">
        <v>1</v>
      </c>
      <c r="I14" t="s">
        <v>687</v>
      </c>
      <c r="J14" t="s">
        <v>687</v>
      </c>
      <c r="K14" t="s">
        <v>687</v>
      </c>
      <c r="L14" s="57">
        <f>INDEX(C_AllComp[lsv_per_mhz], MATCH(C_Paired[[#This Row],[int_comp1]], C_AllComp[comp_id], 0))</f>
        <v>11127698.361851079</v>
      </c>
      <c r="M14" s="57">
        <f>INDEX(C_AllComp[lsv_per_mhz], MATCH(C_Paired[[#This Row],[int_comp2]], C_AllComp[comp_id], 0))</f>
        <v>35697617.178029247</v>
      </c>
      <c r="N14" s="57">
        <f>INDEX(C_AllComp[lsv_per_mhz], MATCH(C_Paired[[#This Row],[uk_comp1]], C_AllComp[comp_id], 0))</f>
        <v>7902129.7912713494</v>
      </c>
      <c r="O14" s="59">
        <f>C_Paired[[#This Row],[lsv_per_mhz_2]]/C_Paired[[#This Row],[lsv_per_mhz_1]]</f>
        <v>3.207996480243466</v>
      </c>
      <c r="P14" s="57">
        <f>C_Paired[[#This Row],[lsv_per_mhz_uk1]]*C_Paired[[#This Row],[ratio_2_1]]</f>
        <v>25350004.556825522</v>
      </c>
    </row>
    <row r="15" spans="1:16" x14ac:dyDescent="0.45">
      <c r="A15" s="50" t="s">
        <v>813</v>
      </c>
      <c r="B15">
        <v>2100</v>
      </c>
      <c r="C15">
        <v>3600</v>
      </c>
      <c r="D15" t="s">
        <v>143</v>
      </c>
      <c r="E15" s="50" t="s">
        <v>784</v>
      </c>
      <c r="F15" s="50" t="s">
        <v>121</v>
      </c>
      <c r="G15" s="50" t="s">
        <v>789</v>
      </c>
      <c r="H15" s="50">
        <v>1</v>
      </c>
      <c r="I15" t="s">
        <v>687</v>
      </c>
      <c r="J15" t="s">
        <v>687</v>
      </c>
      <c r="K15" t="s">
        <v>687</v>
      </c>
      <c r="L15" s="57">
        <f>INDEX(C_AllComp[lsv_per_mhz], MATCH(C_Paired[[#This Row],[int_comp1]], C_AllComp[comp_id], 0))</f>
        <v>11127698.361851079</v>
      </c>
      <c r="M15" s="57">
        <f>INDEX(C_AllComp[lsv_per_mhz], MATCH(C_Paired[[#This Row],[int_comp2]], C_AllComp[comp_id], 0))</f>
        <v>35697617.178029247</v>
      </c>
      <c r="N15" s="57">
        <f>INDEX(C_AllComp[lsv_per_mhz], MATCH(C_Paired[[#This Row],[uk_comp1]], C_AllComp[comp_id], 0))</f>
        <v>4226873.8574040243</v>
      </c>
      <c r="O15" s="59">
        <f>C_Paired[[#This Row],[lsv_per_mhz_2]]/C_Paired[[#This Row],[lsv_per_mhz_1]]</f>
        <v>3.207996480243466</v>
      </c>
      <c r="P15" s="57">
        <f>C_Paired[[#This Row],[lsv_per_mhz_uk1]]*C_Paired[[#This Row],[ratio_2_1]]</f>
        <v>13559796.456985231</v>
      </c>
    </row>
    <row r="16" spans="1:16" x14ac:dyDescent="0.45">
      <c r="A16" s="50" t="s">
        <v>886</v>
      </c>
      <c r="B16">
        <v>2100</v>
      </c>
      <c r="C16">
        <v>700</v>
      </c>
      <c r="D16" t="s">
        <v>143</v>
      </c>
      <c r="E16" s="50" t="s">
        <v>756</v>
      </c>
      <c r="F16" s="50" t="s">
        <v>757</v>
      </c>
      <c r="G16" s="50" t="s">
        <v>631</v>
      </c>
      <c r="H16" s="50">
        <v>1</v>
      </c>
      <c r="I16" t="s">
        <v>687</v>
      </c>
      <c r="J16" t="s">
        <v>687</v>
      </c>
      <c r="K16" t="s">
        <v>687</v>
      </c>
      <c r="L16" s="57">
        <f>INDEX(C_AllComp[lsv_per_mhz], MATCH(C_Paired[[#This Row],[int_comp1]], C_AllComp[comp_id], 0))</f>
        <v>80852176.010552794</v>
      </c>
      <c r="M16" s="57">
        <f>INDEX(C_AllComp[lsv_per_mhz], MATCH(C_Paired[[#This Row],[int_comp2]], C_AllComp[comp_id], 0))</f>
        <v>33026286.526349988</v>
      </c>
      <c r="N16" s="57">
        <f>INDEX(C_AllComp[lsv_per_mhz], MATCH(C_Paired[[#This Row],[uk_comp1]], C_AllComp[comp_id], 0))</f>
        <v>14089579.524680082</v>
      </c>
      <c r="O16" s="59">
        <f>C_Paired[[#This Row],[lsv_per_mhz_2]]/C_Paired[[#This Row],[lsv_per_mhz_1]]</f>
        <v>0.40847739858033516</v>
      </c>
      <c r="P16" s="57">
        <f>C_Paired[[#This Row],[lsv_per_mhz_uk1]]*C_Paired[[#This Row],[ratio_2_1]]</f>
        <v>5755274.7913320754</v>
      </c>
    </row>
    <row r="17" spans="1:16" x14ac:dyDescent="0.45">
      <c r="A17" s="50" t="s">
        <v>805</v>
      </c>
      <c r="B17">
        <v>2100</v>
      </c>
      <c r="C17">
        <v>700</v>
      </c>
      <c r="D17" t="s">
        <v>156</v>
      </c>
      <c r="E17" s="50" t="s">
        <v>107</v>
      </c>
      <c r="F17" s="50" t="s">
        <v>109</v>
      </c>
      <c r="G17" s="50" t="s">
        <v>631</v>
      </c>
      <c r="H17" s="50">
        <v>1</v>
      </c>
      <c r="I17" s="25" t="s">
        <v>687</v>
      </c>
      <c r="J17" s="25" t="s">
        <v>687</v>
      </c>
      <c r="K17" s="25" t="s">
        <v>687</v>
      </c>
      <c r="L17" s="57">
        <f>INDEX(C_AllComp[lsv_per_mhz], MATCH(C_Paired[[#This Row],[int_comp1]], C_AllComp[comp_id], 0))</f>
        <v>27676690.720446873</v>
      </c>
      <c r="M17" s="57">
        <f>INDEX(C_AllComp[lsv_per_mhz], MATCH(C_Paired[[#This Row],[int_comp2]], C_AllComp[comp_id], 0))</f>
        <v>14422352.676389942</v>
      </c>
      <c r="N17" s="57">
        <f>INDEX(C_AllComp[lsv_per_mhz], MATCH(C_Paired[[#This Row],[uk_comp1]], C_AllComp[comp_id], 0))</f>
        <v>14089579.524680082</v>
      </c>
      <c r="O17" s="59">
        <f>C_Paired[[#This Row],[lsv_per_mhz_2]]/C_Paired[[#This Row],[lsv_per_mhz_1]]</f>
        <v>0.52110105294254183</v>
      </c>
      <c r="P17" s="57">
        <f>C_Paired[[#This Row],[lsv_per_mhz_uk1]]*C_Paired[[#This Row],[ratio_2_1]]</f>
        <v>7342094.7258284688</v>
      </c>
    </row>
    <row r="18" spans="1:16" x14ac:dyDescent="0.45">
      <c r="A18" s="50" t="s">
        <v>807</v>
      </c>
      <c r="B18">
        <v>2100</v>
      </c>
      <c r="C18">
        <v>2300</v>
      </c>
      <c r="D18" t="s">
        <v>169</v>
      </c>
      <c r="E18" s="50" t="s">
        <v>656</v>
      </c>
      <c r="F18" s="50" t="s">
        <v>653</v>
      </c>
      <c r="G18" s="50" t="s">
        <v>88</v>
      </c>
      <c r="H18" s="50">
        <v>1</v>
      </c>
      <c r="I18" s="25" t="s">
        <v>687</v>
      </c>
      <c r="J18" s="25" t="s">
        <v>687</v>
      </c>
      <c r="K18" s="25" t="s">
        <v>687</v>
      </c>
      <c r="L18" s="57">
        <f>INDEX(C_AllComp[lsv_per_mhz], MATCH(C_Paired[[#This Row],[int_comp1]], C_AllComp[comp_id], 0))</f>
        <v>8233284.495426462</v>
      </c>
      <c r="M18" s="57">
        <f>INDEX(C_AllComp[lsv_per_mhz], MATCH(C_Paired[[#This Row],[int_comp2]], C_AllComp[comp_id], 0))</f>
        <v>29959842.055606421</v>
      </c>
      <c r="N18" s="57">
        <f>INDEX(C_AllComp[lsv_per_mhz], MATCH(C_Paired[[#This Row],[uk_comp1]], C_AllComp[comp_id], 0))</f>
        <v>5376933.017077799</v>
      </c>
      <c r="O18" s="59">
        <f>C_Paired[[#This Row],[lsv_per_mhz_2]]/C_Paired[[#This Row],[lsv_per_mhz_1]]</f>
        <v>3.6388687980172341</v>
      </c>
      <c r="P18" s="57">
        <f>C_Paired[[#This Row],[lsv_per_mhz_uk1]]*C_Paired[[#This Row],[ratio_2_1]]</f>
        <v>19565953.784873068</v>
      </c>
    </row>
    <row r="19" spans="1:16" x14ac:dyDescent="0.45">
      <c r="A19" s="50" t="s">
        <v>811</v>
      </c>
      <c r="B19">
        <v>2100</v>
      </c>
      <c r="C19" s="25">
        <v>3400</v>
      </c>
      <c r="D19" s="25" t="s">
        <v>169</v>
      </c>
      <c r="E19" s="50" t="s">
        <v>786</v>
      </c>
      <c r="F19" s="50" t="s">
        <v>653</v>
      </c>
      <c r="G19" s="50" t="s">
        <v>790</v>
      </c>
      <c r="H19" s="50">
        <v>1</v>
      </c>
      <c r="I19" s="25" t="s">
        <v>687</v>
      </c>
      <c r="J19" s="25" t="s">
        <v>687</v>
      </c>
      <c r="K19" s="25" t="s">
        <v>687</v>
      </c>
      <c r="L19" s="57">
        <f>INDEX(C_AllComp[lsv_per_mhz], MATCH(C_Paired[[#This Row],[int_comp1]], C_AllComp[comp_id], 0))</f>
        <v>6324957.2499492811</v>
      </c>
      <c r="M19" s="57">
        <f>INDEX(C_AllComp[lsv_per_mhz], MATCH(C_Paired[[#This Row],[int_comp2]], C_AllComp[comp_id], 0))</f>
        <v>29959842.055606421</v>
      </c>
      <c r="N19" s="57">
        <f>INDEX(C_AllComp[lsv_per_mhz], MATCH(C_Paired[[#This Row],[uk_comp1]], C_AllComp[comp_id], 0))</f>
        <v>7902129.7912713494</v>
      </c>
      <c r="O19" s="59">
        <f>C_Paired[[#This Row],[lsv_per_mhz_2]]/C_Paired[[#This Row],[lsv_per_mhz_1]]</f>
        <v>4.736765937168455</v>
      </c>
      <c r="P19" s="57">
        <f>C_Paired[[#This Row],[lsv_per_mhz_uk1]]*C_Paired[[#This Row],[ratio_2_1]]</f>
        <v>37430539.226378202</v>
      </c>
    </row>
    <row r="20" spans="1:16" x14ac:dyDescent="0.45">
      <c r="A20" s="50" t="s">
        <v>814</v>
      </c>
      <c r="B20">
        <v>2100</v>
      </c>
      <c r="C20" s="25">
        <v>3600</v>
      </c>
      <c r="D20" s="25" t="s">
        <v>169</v>
      </c>
      <c r="E20" s="50" t="s">
        <v>786</v>
      </c>
      <c r="F20" s="50" t="s">
        <v>653</v>
      </c>
      <c r="G20" s="50" t="s">
        <v>789</v>
      </c>
      <c r="H20" s="50">
        <v>1</v>
      </c>
      <c r="I20" s="25" t="s">
        <v>687</v>
      </c>
      <c r="J20" s="25" t="s">
        <v>687</v>
      </c>
      <c r="K20" s="25" t="s">
        <v>687</v>
      </c>
      <c r="L20" s="57">
        <f>INDEX(C_AllComp[lsv_per_mhz], MATCH(C_Paired[[#This Row],[int_comp1]], C_AllComp[comp_id], 0))</f>
        <v>6324957.2499492811</v>
      </c>
      <c r="M20" s="57">
        <f>INDEX(C_AllComp[lsv_per_mhz], MATCH(C_Paired[[#This Row],[int_comp2]], C_AllComp[comp_id], 0))</f>
        <v>29959842.055606421</v>
      </c>
      <c r="N20" s="57">
        <f>INDEX(C_AllComp[lsv_per_mhz], MATCH(C_Paired[[#This Row],[uk_comp1]], C_AllComp[comp_id], 0))</f>
        <v>4226873.8574040243</v>
      </c>
      <c r="O20" s="59">
        <f>C_Paired[[#This Row],[lsv_per_mhz_2]]/C_Paired[[#This Row],[lsv_per_mhz_1]]</f>
        <v>4.736765937168455</v>
      </c>
      <c r="P20" s="57">
        <f>C_Paired[[#This Row],[lsv_per_mhz_uk1]]*C_Paired[[#This Row],[ratio_2_1]]</f>
        <v>20021712.108459216</v>
      </c>
    </row>
    <row r="21" spans="1:16" x14ac:dyDescent="0.45">
      <c r="A21" s="50" t="s">
        <v>806</v>
      </c>
      <c r="B21" s="25">
        <v>2100</v>
      </c>
      <c r="C21" s="25">
        <v>700</v>
      </c>
      <c r="D21" s="25" t="s">
        <v>169</v>
      </c>
      <c r="E21" s="50" t="s">
        <v>651</v>
      </c>
      <c r="F21" s="50" t="s">
        <v>653</v>
      </c>
      <c r="G21" s="50" t="s">
        <v>631</v>
      </c>
      <c r="H21" s="50">
        <v>1</v>
      </c>
      <c r="I21" s="25" t="s">
        <v>687</v>
      </c>
      <c r="J21" s="25" t="s">
        <v>687</v>
      </c>
      <c r="K21" s="25" t="s">
        <v>691</v>
      </c>
      <c r="L21" s="57">
        <f>INDEX(C_AllComp[lsv_per_mhz], MATCH(C_Paired[[#This Row],[int_comp1]], C_AllComp[comp_id], 0))</f>
        <v>26968879.020205256</v>
      </c>
      <c r="M21" s="57">
        <f>INDEX(C_AllComp[lsv_per_mhz], MATCH(C_Paired[[#This Row],[int_comp2]], C_AllComp[comp_id], 0))</f>
        <v>29959842.055606421</v>
      </c>
      <c r="N21" s="57">
        <f>INDEX(C_AllComp[lsv_per_mhz], MATCH(C_Paired[[#This Row],[uk_comp1]], C_AllComp[comp_id], 0))</f>
        <v>14089579.524680082</v>
      </c>
      <c r="O21" s="59">
        <f>C_Paired[[#This Row],[lsv_per_mhz_2]]/C_Paired[[#This Row],[lsv_per_mhz_1]]</f>
        <v>1.1109042401488143</v>
      </c>
      <c r="P21" s="57">
        <f>C_Paired[[#This Row],[lsv_per_mhz_uk1]]*C_Paired[[#This Row],[ratio_2_1]]</f>
        <v>15652173.635881018</v>
      </c>
    </row>
  </sheetData>
  <phoneticPr fontId="23" type="noConversion"/>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reamble2">
    <pageSetUpPr autoPageBreaks="0"/>
  </sheetPr>
  <dimension ref="A1:D9"/>
  <sheetViews>
    <sheetView showGridLines="0" showRowColHeaders="0" defaultGridColor="0" colorId="22" zoomScaleNormal="100" zoomScaleSheetLayoutView="75" workbookViewId="0">
      <pane ySplit="6" topLeftCell="A7" activePane="bottomLeft" state="frozen"/>
      <selection pane="bottomLeft" activeCell="A7" sqref="A7"/>
    </sheetView>
  </sheetViews>
  <sheetFormatPr defaultColWidth="12.59765625" defaultRowHeight="14.25" x14ac:dyDescent="0.45"/>
  <cols>
    <col min="1" max="1" width="23" style="12" customWidth="1"/>
    <col min="2" max="2" width="18.59765625" style="13" customWidth="1"/>
    <col min="3" max="3" width="50" style="12" customWidth="1"/>
    <col min="4" max="4" width="92.59765625" style="15" customWidth="1"/>
  </cols>
  <sheetData>
    <row r="1" spans="1:4" ht="12" customHeight="1" x14ac:dyDescent="0.75">
      <c r="A1" s="15"/>
      <c r="B1" s="15"/>
      <c r="C1" s="23"/>
    </row>
    <row r="2" spans="1:4" ht="42" customHeight="1" x14ac:dyDescent="0.75">
      <c r="A2"/>
      <c r="B2"/>
      <c r="C2"/>
      <c r="D2" s="24" t="s">
        <v>41</v>
      </c>
    </row>
    <row r="3" spans="1:4" ht="12" customHeight="1" x14ac:dyDescent="0.75">
      <c r="A3"/>
      <c r="B3"/>
      <c r="C3"/>
      <c r="D3" s="24"/>
    </row>
    <row r="4" spans="1:4" s="1" customFormat="1" ht="21" x14ac:dyDescent="0.65">
      <c r="A4" s="2" t="s">
        <v>26</v>
      </c>
    </row>
    <row r="5" spans="1:4" ht="6" customHeight="1" x14ac:dyDescent="0.45">
      <c r="A5"/>
      <c r="B5"/>
      <c r="C5"/>
      <c r="D5"/>
    </row>
    <row r="6" spans="1:4" ht="18" x14ac:dyDescent="0.55000000000000004">
      <c r="A6" s="3" t="s">
        <v>21</v>
      </c>
      <c r="B6" s="17" t="s">
        <v>35</v>
      </c>
      <c r="C6" s="3" t="s">
        <v>24</v>
      </c>
      <c r="D6" s="17" t="s">
        <v>34</v>
      </c>
    </row>
    <row r="7" spans="1:4" x14ac:dyDescent="0.45">
      <c r="A7" s="26" t="s">
        <v>898</v>
      </c>
      <c r="B7" s="66">
        <v>44407</v>
      </c>
      <c r="C7" s="26" t="s">
        <v>910</v>
      </c>
      <c r="D7" s="15" t="s">
        <v>912</v>
      </c>
    </row>
    <row r="8" spans="1:4" x14ac:dyDescent="0.45">
      <c r="A8" s="26"/>
      <c r="B8" s="66"/>
      <c r="C8" s="26"/>
      <c r="D8" s="67"/>
    </row>
    <row r="9" spans="1:4" x14ac:dyDescent="0.45">
      <c r="A9" s="26"/>
      <c r="B9" s="66"/>
      <c r="C9" s="26"/>
    </row>
  </sheetData>
  <phoneticPr fontId="0" type="noConversion"/>
  <pageMargins left="0.70866141732283472" right="0.70866141732283472" top="0.51181102362204722" bottom="0.51181102362204722" header="0.51181102362204722" footer="0.35433070866141736"/>
  <pageSetup paperSize="9" orientation="landscape" horizontalDpi="4294967292" verticalDpi="4294967292" r:id="rId1"/>
  <headerFooter alignWithMargins="0">
    <oddFooter>&amp;L&amp;A :page&amp;P&amp;COfcom Confidential&amp;R&amp;D</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0919F-DEB4-44ED-BF66-3B2DCC271865}">
  <dimension ref="A1:V46"/>
  <sheetViews>
    <sheetView defaultGridColor="0" colorId="22" zoomScaleNormal="100" workbookViewId="0">
      <pane ySplit="4" topLeftCell="A5" activePane="bottomLeft" state="frozen"/>
      <selection pane="bottomLeft" activeCell="A5" sqref="A5"/>
    </sheetView>
  </sheetViews>
  <sheetFormatPr defaultColWidth="12.86328125" defaultRowHeight="14.25" x14ac:dyDescent="0.45"/>
  <cols>
    <col min="1" max="1" width="47.73046875" bestFit="1" customWidth="1"/>
    <col min="2" max="2" width="13.1328125" bestFit="1" customWidth="1"/>
    <col min="3" max="3" width="12.73046875" bestFit="1" customWidth="1"/>
    <col min="4" max="4" width="10.86328125" bestFit="1" customWidth="1"/>
    <col min="5" max="5" width="27.59765625" bestFit="1" customWidth="1"/>
    <col min="6" max="7" width="26.3984375" bestFit="1" customWidth="1"/>
    <col min="8" max="8" width="19.59765625" style="25" bestFit="1" customWidth="1"/>
    <col min="9" max="9" width="16.59765625" style="25" bestFit="1" customWidth="1"/>
    <col min="10" max="10" width="6" style="25" bestFit="1" customWidth="1"/>
    <col min="11" max="11" width="10.265625" style="25" bestFit="1" customWidth="1"/>
    <col min="12" max="12" width="11.59765625" style="25" bestFit="1" customWidth="1"/>
    <col min="13" max="13" width="14.73046875" style="25" bestFit="1" customWidth="1"/>
    <col min="14" max="14" width="15.3984375" style="25" bestFit="1" customWidth="1"/>
    <col min="15" max="16" width="15.3984375" bestFit="1" customWidth="1"/>
    <col min="17" max="18" width="12" bestFit="1" customWidth="1"/>
    <col min="19" max="19" width="10.86328125" bestFit="1" customWidth="1"/>
    <col min="20" max="22" width="17.265625" bestFit="1" customWidth="1"/>
    <col min="23" max="23" width="17.1328125" bestFit="1" customWidth="1"/>
  </cols>
  <sheetData>
    <row r="1" spans="1:22" ht="40.5" customHeight="1" x14ac:dyDescent="0.45">
      <c r="A1" s="48" t="s">
        <v>573</v>
      </c>
    </row>
    <row r="2" spans="1:22" x14ac:dyDescent="0.45">
      <c r="A2" s="29" t="s">
        <v>905</v>
      </c>
    </row>
    <row r="4" spans="1:22" x14ac:dyDescent="0.45">
      <c r="A4" t="s">
        <v>591</v>
      </c>
      <c r="B4" t="s">
        <v>803</v>
      </c>
      <c r="C4" t="s">
        <v>761</v>
      </c>
      <c r="D4" t="s">
        <v>142</v>
      </c>
      <c r="E4" t="s">
        <v>574</v>
      </c>
      <c r="F4" t="s">
        <v>575</v>
      </c>
      <c r="G4" t="s">
        <v>589</v>
      </c>
      <c r="H4" t="s">
        <v>576</v>
      </c>
      <c r="I4" t="s">
        <v>590</v>
      </c>
      <c r="J4" t="s">
        <v>577</v>
      </c>
      <c r="K4" t="s">
        <v>680</v>
      </c>
      <c r="L4" t="s">
        <v>681</v>
      </c>
      <c r="M4" t="s">
        <v>682</v>
      </c>
      <c r="N4" t="s">
        <v>619</v>
      </c>
      <c r="O4" t="s">
        <v>620</v>
      </c>
      <c r="P4" t="s">
        <v>624</v>
      </c>
      <c r="Q4" t="s">
        <v>625</v>
      </c>
      <c r="R4" t="s">
        <v>626</v>
      </c>
      <c r="S4" t="s">
        <v>627</v>
      </c>
      <c r="T4" t="s">
        <v>623</v>
      </c>
      <c r="U4" t="s">
        <v>628</v>
      </c>
      <c r="V4" t="s">
        <v>622</v>
      </c>
    </row>
    <row r="5" spans="1:22" x14ac:dyDescent="0.45">
      <c r="A5" s="50" t="s">
        <v>850</v>
      </c>
      <c r="B5">
        <v>2100</v>
      </c>
      <c r="C5" t="s">
        <v>762</v>
      </c>
      <c r="D5" t="s">
        <v>203</v>
      </c>
      <c r="E5" s="50" t="s">
        <v>701</v>
      </c>
      <c r="F5" s="50" t="s">
        <v>645</v>
      </c>
      <c r="G5" s="50" t="s">
        <v>634</v>
      </c>
      <c r="H5" s="50" t="s">
        <v>631</v>
      </c>
      <c r="I5" s="50" t="s">
        <v>828</v>
      </c>
      <c r="J5" s="50">
        <v>1</v>
      </c>
      <c r="K5" t="s">
        <v>687</v>
      </c>
      <c r="L5" t="s">
        <v>687</v>
      </c>
      <c r="M5" t="s">
        <v>687</v>
      </c>
      <c r="N5" s="57">
        <f>INDEX(C_AllComp[lsv_per_mhz], MATCH(C_Distance[[#This Row],[int_comp1]], C_AllComp[comp_id], 0))</f>
        <v>21669419.416346733</v>
      </c>
      <c r="O5" s="57">
        <f>INDEX(C_AllComp[lsv_per_mhz], MATCH(C_Distance[[#This Row],[int_comp2]], C_AllComp[comp_id], 0))</f>
        <v>12031485.363032704</v>
      </c>
      <c r="P5" s="57">
        <f>INDEX(C_AllComp[lsv_per_mhz], MATCH(C_Distance[[#This Row],[int_comp3]], C_AllComp[comp_id], 0))</f>
        <v>2326056.7875303482</v>
      </c>
      <c r="Q5" s="57">
        <f>C_Distance[[#This Row],[lsv_per_mhz_1]]-C_Distance[[#This Row],[lsv_per_mhz_3]]</f>
        <v>19343362.628816385</v>
      </c>
      <c r="R5" s="57">
        <f>C_Distance[[#This Row],[lsv_per_mhz_2]]-C_Distance[[#This Row],[lsv_per_mhz_3]]</f>
        <v>9705428.5755023565</v>
      </c>
      <c r="S5" s="56">
        <f>C_Distance[[#This Row],[dist_y_2_3]]/C_Distance[[#This Row],[dist_x_1_3]]</f>
        <v>0.50174464294247834</v>
      </c>
      <c r="T5" s="57">
        <f>INDEX(C_AllComp[lsv_per_mhz], MATCH(C_Distance[[#This Row],[uk_comp1]], C_AllComp[comp_id], 0))</f>
        <v>14089579.524680082</v>
      </c>
      <c r="U5" s="57">
        <f>INDEX(C_AllComp[lsv_per_mhz], MATCH(C_Distance[[#This Row],[uk_comp3]], C_AllComp[comp_id], 0))</f>
        <v>6172782.8746177433</v>
      </c>
      <c r="V5" s="57">
        <f>C_Distance[[#This Row],[lsv_per_mhz_uk3]]+C_Distance[[#This Row],[ratio_y_x]]*(C_Distance[[#This Row],[lsv_per_mhz_uk1]]-C_Distance[[#This Row],[lsv_per_mhz_uk3]])</f>
        <v>10144993.18305148</v>
      </c>
    </row>
    <row r="6" spans="1:22" x14ac:dyDescent="0.45">
      <c r="A6" s="50" t="s">
        <v>851</v>
      </c>
      <c r="B6">
        <v>2100</v>
      </c>
      <c r="C6" t="s">
        <v>796</v>
      </c>
      <c r="D6" t="s">
        <v>203</v>
      </c>
      <c r="E6" s="50" t="s">
        <v>701</v>
      </c>
      <c r="F6" s="50" t="s">
        <v>645</v>
      </c>
      <c r="G6" s="50" t="s">
        <v>800</v>
      </c>
      <c r="H6" s="50" t="s">
        <v>631</v>
      </c>
      <c r="I6" s="50" t="s">
        <v>790</v>
      </c>
      <c r="J6" s="50">
        <v>1</v>
      </c>
      <c r="K6" t="s">
        <v>687</v>
      </c>
      <c r="L6" t="s">
        <v>687</v>
      </c>
      <c r="M6" t="s">
        <v>687</v>
      </c>
      <c r="N6" s="57">
        <f>INDEX(C_AllComp[lsv_per_mhz], MATCH(C_Distance[[#This Row],[int_comp1]], C_AllComp[comp_id], 0))</f>
        <v>21669419.416346733</v>
      </c>
      <c r="O6" s="57">
        <f>INDEX(C_AllComp[lsv_per_mhz], MATCH(C_Distance[[#This Row],[int_comp2]], C_AllComp[comp_id], 0))</f>
        <v>12031485.363032704</v>
      </c>
      <c r="P6" s="57">
        <f>INDEX(C_AllComp[lsv_per_mhz], MATCH(C_Distance[[#This Row],[int_comp3]], C_AllComp[comp_id], 0))</f>
        <v>4360436.7425741591</v>
      </c>
      <c r="Q6" s="57">
        <f>C_Distance[[#This Row],[lsv_per_mhz_1]]-C_Distance[[#This Row],[lsv_per_mhz_3]]</f>
        <v>17308982.673772573</v>
      </c>
      <c r="R6" s="57">
        <f>C_Distance[[#This Row],[lsv_per_mhz_2]]-C_Distance[[#This Row],[lsv_per_mhz_3]]</f>
        <v>7671048.6204585452</v>
      </c>
      <c r="S6" s="56">
        <f>C_Distance[[#This Row],[dist_y_2_3]]/C_Distance[[#This Row],[dist_x_1_3]]</f>
        <v>0.44318310122767052</v>
      </c>
      <c r="T6" s="57">
        <f>INDEX(C_AllComp[lsv_per_mhz], MATCH(C_Distance[[#This Row],[uk_comp1]], C_AllComp[comp_id], 0))</f>
        <v>14089579.524680082</v>
      </c>
      <c r="U6" s="57">
        <f>INDEX(C_AllComp[lsv_per_mhz], MATCH(C_Distance[[#This Row],[uk_comp3]], C_AllComp[comp_id], 0))</f>
        <v>7902129.7912713494</v>
      </c>
      <c r="V6" s="57">
        <f>C_Distance[[#This Row],[lsv_per_mhz_uk3]]+C_Distance[[#This Row],[ratio_y_x]]*(C_Distance[[#This Row],[lsv_per_mhz_uk1]]-C_Distance[[#This Row],[lsv_per_mhz_uk3]])</f>
        <v>10644302.952813756</v>
      </c>
    </row>
    <row r="7" spans="1:22" x14ac:dyDescent="0.45">
      <c r="A7" s="50" t="s">
        <v>852</v>
      </c>
      <c r="B7">
        <v>2100</v>
      </c>
      <c r="C7" t="s">
        <v>787</v>
      </c>
      <c r="D7" t="s">
        <v>203</v>
      </c>
      <c r="E7" s="50" t="s">
        <v>701</v>
      </c>
      <c r="F7" s="50" t="s">
        <v>645</v>
      </c>
      <c r="G7" s="50" t="s">
        <v>800</v>
      </c>
      <c r="H7" s="50" t="s">
        <v>631</v>
      </c>
      <c r="I7" s="50" t="s">
        <v>789</v>
      </c>
      <c r="J7" s="50">
        <v>1</v>
      </c>
      <c r="K7" t="s">
        <v>687</v>
      </c>
      <c r="L7" t="s">
        <v>687</v>
      </c>
      <c r="M7" t="s">
        <v>687</v>
      </c>
      <c r="N7" s="57">
        <f>INDEX(C_AllComp[lsv_per_mhz], MATCH(C_Distance[[#This Row],[int_comp1]], C_AllComp[comp_id], 0))</f>
        <v>21669419.416346733</v>
      </c>
      <c r="O7" s="57">
        <f>INDEX(C_AllComp[lsv_per_mhz], MATCH(C_Distance[[#This Row],[int_comp2]], C_AllComp[comp_id], 0))</f>
        <v>12031485.363032704</v>
      </c>
      <c r="P7" s="57">
        <f>INDEX(C_AllComp[lsv_per_mhz], MATCH(C_Distance[[#This Row],[int_comp3]], C_AllComp[comp_id], 0))</f>
        <v>4360436.7425741591</v>
      </c>
      <c r="Q7" s="57">
        <f>C_Distance[[#This Row],[lsv_per_mhz_1]]-C_Distance[[#This Row],[lsv_per_mhz_3]]</f>
        <v>17308982.673772573</v>
      </c>
      <c r="R7" s="57">
        <f>C_Distance[[#This Row],[lsv_per_mhz_2]]-C_Distance[[#This Row],[lsv_per_mhz_3]]</f>
        <v>7671048.6204585452</v>
      </c>
      <c r="S7" s="56">
        <f>C_Distance[[#This Row],[dist_y_2_3]]/C_Distance[[#This Row],[dist_x_1_3]]</f>
        <v>0.44318310122767052</v>
      </c>
      <c r="T7" s="57">
        <f>INDEX(C_AllComp[lsv_per_mhz], MATCH(C_Distance[[#This Row],[uk_comp1]], C_AllComp[comp_id], 0))</f>
        <v>14089579.524680082</v>
      </c>
      <c r="U7" s="57">
        <f>INDEX(C_AllComp[lsv_per_mhz], MATCH(C_Distance[[#This Row],[uk_comp3]], C_AllComp[comp_id], 0))</f>
        <v>4226873.8574040243</v>
      </c>
      <c r="V7" s="57">
        <f>C_Distance[[#This Row],[lsv_per_mhz_uk3]]+C_Distance[[#This Row],[ratio_y_x]]*(C_Distance[[#This Row],[lsv_per_mhz_uk1]]-C_Distance[[#This Row],[lsv_per_mhz_uk3]])</f>
        <v>8597858.3415231481</v>
      </c>
    </row>
    <row r="8" spans="1:22" x14ac:dyDescent="0.45">
      <c r="A8" s="50" t="s">
        <v>853</v>
      </c>
      <c r="B8">
        <v>2100</v>
      </c>
      <c r="C8" t="s">
        <v>763</v>
      </c>
      <c r="D8" t="s">
        <v>203</v>
      </c>
      <c r="E8" s="50" t="s">
        <v>649</v>
      </c>
      <c r="F8" s="50" t="s">
        <v>645</v>
      </c>
      <c r="G8" s="50" t="s">
        <v>634</v>
      </c>
      <c r="H8" s="50" t="s">
        <v>827</v>
      </c>
      <c r="I8" s="50" t="s">
        <v>828</v>
      </c>
      <c r="J8" s="50">
        <v>1</v>
      </c>
      <c r="K8" t="s">
        <v>687</v>
      </c>
      <c r="L8" t="s">
        <v>687</v>
      </c>
      <c r="M8" t="s">
        <v>692</v>
      </c>
      <c r="N8" s="57">
        <f>INDEX(C_AllComp[lsv_per_mhz], MATCH(C_Distance[[#This Row],[int_comp1]], C_AllComp[comp_id], 0))</f>
        <v>86443412.137204692</v>
      </c>
      <c r="O8" s="57">
        <f>INDEX(C_AllComp[lsv_per_mhz], MATCH(C_Distance[[#This Row],[int_comp2]], C_AllComp[comp_id], 0))</f>
        <v>12031485.363032704</v>
      </c>
      <c r="P8" s="57">
        <f>INDEX(C_AllComp[lsv_per_mhz], MATCH(C_Distance[[#This Row],[int_comp3]], C_AllComp[comp_id], 0))</f>
        <v>2326056.7875303482</v>
      </c>
      <c r="Q8" s="57">
        <f>C_Distance[[#This Row],[lsv_per_mhz_1]]-C_Distance[[#This Row],[lsv_per_mhz_3]]</f>
        <v>84117355.349674344</v>
      </c>
      <c r="R8" s="57">
        <f>C_Distance[[#This Row],[lsv_per_mhz_2]]-C_Distance[[#This Row],[lsv_per_mhz_3]]</f>
        <v>9705428.5755023565</v>
      </c>
      <c r="S8" s="56">
        <f>C_Distance[[#This Row],[dist_y_2_3]]/C_Distance[[#This Row],[dist_x_1_3]]</f>
        <v>0.11537962094929237</v>
      </c>
      <c r="T8" s="57">
        <f>INDEX(C_AllComp[lsv_per_mhz], MATCH(C_Distance[[#This Row],[uk_comp1]], C_AllComp[comp_id], 0))</f>
        <v>37036697.247706465</v>
      </c>
      <c r="U8" s="57">
        <f>INDEX(C_AllComp[lsv_per_mhz], MATCH(C_Distance[[#This Row],[uk_comp3]], C_AllComp[comp_id], 0))</f>
        <v>6172782.8746177433</v>
      </c>
      <c r="V8" s="57">
        <f>C_Distance[[#This Row],[lsv_per_mhz_uk3]]+C_Distance[[#This Row],[ratio_y_x]]*(C_Distance[[#This Row],[lsv_per_mhz_uk1]]-C_Distance[[#This Row],[lsv_per_mhz_uk3]])</f>
        <v>9733849.6159961373</v>
      </c>
    </row>
    <row r="9" spans="1:22" x14ac:dyDescent="0.45">
      <c r="A9" s="50" t="s">
        <v>854</v>
      </c>
      <c r="B9">
        <v>2100</v>
      </c>
      <c r="C9" t="s">
        <v>797</v>
      </c>
      <c r="D9" t="s">
        <v>203</v>
      </c>
      <c r="E9" s="50" t="s">
        <v>649</v>
      </c>
      <c r="F9" s="50" t="s">
        <v>645</v>
      </c>
      <c r="G9" s="50" t="s">
        <v>800</v>
      </c>
      <c r="H9" s="50" t="s">
        <v>827</v>
      </c>
      <c r="I9" s="50" t="s">
        <v>790</v>
      </c>
      <c r="J9" s="50">
        <v>1</v>
      </c>
      <c r="K9" t="s">
        <v>687</v>
      </c>
      <c r="L9" t="s">
        <v>687</v>
      </c>
      <c r="M9" t="s">
        <v>692</v>
      </c>
      <c r="N9" s="57">
        <f>INDEX(C_AllComp[lsv_per_mhz], MATCH(C_Distance[[#This Row],[int_comp1]], C_AllComp[comp_id], 0))</f>
        <v>86443412.137204692</v>
      </c>
      <c r="O9" s="57">
        <f>INDEX(C_AllComp[lsv_per_mhz], MATCH(C_Distance[[#This Row],[int_comp2]], C_AllComp[comp_id], 0))</f>
        <v>12031485.363032704</v>
      </c>
      <c r="P9" s="57">
        <f>INDEX(C_AllComp[lsv_per_mhz], MATCH(C_Distance[[#This Row],[int_comp3]], C_AllComp[comp_id], 0))</f>
        <v>4360436.7425741591</v>
      </c>
      <c r="Q9" s="57">
        <f>C_Distance[[#This Row],[lsv_per_mhz_1]]-C_Distance[[#This Row],[lsv_per_mhz_3]]</f>
        <v>82082975.394630536</v>
      </c>
      <c r="R9" s="57">
        <f>C_Distance[[#This Row],[lsv_per_mhz_2]]-C_Distance[[#This Row],[lsv_per_mhz_3]]</f>
        <v>7671048.6204585452</v>
      </c>
      <c r="S9" s="56">
        <f>C_Distance[[#This Row],[dist_y_2_3]]/C_Distance[[#This Row],[dist_x_1_3]]</f>
        <v>9.3454806963056886E-2</v>
      </c>
      <c r="T9" s="57">
        <f>INDEX(C_AllComp[lsv_per_mhz], MATCH(C_Distance[[#This Row],[uk_comp1]], C_AllComp[comp_id], 0))</f>
        <v>37036697.247706465</v>
      </c>
      <c r="U9" s="57">
        <f>INDEX(C_AllComp[lsv_per_mhz], MATCH(C_Distance[[#This Row],[uk_comp3]], C_AllComp[comp_id], 0))</f>
        <v>7902129.7912713494</v>
      </c>
      <c r="V9" s="57">
        <f>C_Distance[[#This Row],[lsv_per_mhz_uk3]]+C_Distance[[#This Row],[ratio_y_x]]*(C_Distance[[#This Row],[lsv_per_mhz_uk1]]-C_Distance[[#This Row],[lsv_per_mhz_uk3]])</f>
        <v>10624895.168864653</v>
      </c>
    </row>
    <row r="10" spans="1:22" x14ac:dyDescent="0.45">
      <c r="A10" s="50" t="s">
        <v>855</v>
      </c>
      <c r="B10">
        <v>2100</v>
      </c>
      <c r="C10" t="s">
        <v>788</v>
      </c>
      <c r="D10" t="s">
        <v>203</v>
      </c>
      <c r="E10" s="50" t="s">
        <v>649</v>
      </c>
      <c r="F10" s="50" t="s">
        <v>645</v>
      </c>
      <c r="G10" s="50" t="s">
        <v>800</v>
      </c>
      <c r="H10" s="50" t="s">
        <v>827</v>
      </c>
      <c r="I10" s="50" t="s">
        <v>789</v>
      </c>
      <c r="J10" s="50">
        <v>1</v>
      </c>
      <c r="K10" t="s">
        <v>687</v>
      </c>
      <c r="L10" t="s">
        <v>687</v>
      </c>
      <c r="M10" t="s">
        <v>692</v>
      </c>
      <c r="N10" s="57">
        <f>INDEX(C_AllComp[lsv_per_mhz], MATCH(C_Distance[[#This Row],[int_comp1]], C_AllComp[comp_id], 0))</f>
        <v>86443412.137204692</v>
      </c>
      <c r="O10" s="57">
        <f>INDEX(C_AllComp[lsv_per_mhz], MATCH(C_Distance[[#This Row],[int_comp2]], C_AllComp[comp_id], 0))</f>
        <v>12031485.363032704</v>
      </c>
      <c r="P10" s="57">
        <f>INDEX(C_AllComp[lsv_per_mhz], MATCH(C_Distance[[#This Row],[int_comp3]], C_AllComp[comp_id], 0))</f>
        <v>4360436.7425741591</v>
      </c>
      <c r="Q10" s="57">
        <f>C_Distance[[#This Row],[lsv_per_mhz_1]]-C_Distance[[#This Row],[lsv_per_mhz_3]]</f>
        <v>82082975.394630536</v>
      </c>
      <c r="R10" s="57">
        <f>C_Distance[[#This Row],[lsv_per_mhz_2]]-C_Distance[[#This Row],[lsv_per_mhz_3]]</f>
        <v>7671048.6204585452</v>
      </c>
      <c r="S10" s="56">
        <f>C_Distance[[#This Row],[dist_y_2_3]]/C_Distance[[#This Row],[dist_x_1_3]]</f>
        <v>9.3454806963056886E-2</v>
      </c>
      <c r="T10" s="57">
        <f>INDEX(C_AllComp[lsv_per_mhz], MATCH(C_Distance[[#This Row],[uk_comp1]], C_AllComp[comp_id], 0))</f>
        <v>37036697.247706465</v>
      </c>
      <c r="U10" s="57">
        <f>INDEX(C_AllComp[lsv_per_mhz], MATCH(C_Distance[[#This Row],[uk_comp3]], C_AllComp[comp_id], 0))</f>
        <v>4226873.8574040243</v>
      </c>
      <c r="V10" s="57">
        <f>C_Distance[[#This Row],[lsv_per_mhz_uk3]]+C_Distance[[#This Row],[ratio_y_x]]*(C_Distance[[#This Row],[lsv_per_mhz_uk1]]-C_Distance[[#This Row],[lsv_per_mhz_uk3]])</f>
        <v>7293109.5688367281</v>
      </c>
    </row>
    <row r="11" spans="1:22" x14ac:dyDescent="0.45">
      <c r="A11" s="50" t="s">
        <v>844</v>
      </c>
      <c r="B11">
        <v>2100</v>
      </c>
      <c r="C11" t="s">
        <v>762</v>
      </c>
      <c r="D11" t="s">
        <v>158</v>
      </c>
      <c r="E11" s="50" t="s">
        <v>132</v>
      </c>
      <c r="F11" s="50" t="s">
        <v>125</v>
      </c>
      <c r="G11" s="50" t="s">
        <v>180</v>
      </c>
      <c r="H11" s="50" t="s">
        <v>631</v>
      </c>
      <c r="I11" s="50" t="s">
        <v>828</v>
      </c>
      <c r="J11" s="50">
        <v>1</v>
      </c>
      <c r="K11" t="s">
        <v>685</v>
      </c>
      <c r="L11" t="s">
        <v>687</v>
      </c>
      <c r="M11" t="s">
        <v>691</v>
      </c>
      <c r="N11" s="57">
        <f>INDEX(C_AllComp[lsv_per_mhz], MATCH(C_Distance[[#This Row],[int_comp1]], C_AllComp[comp_id], 0))</f>
        <v>16403173.255527552</v>
      </c>
      <c r="O11" s="57">
        <f>INDEX(C_AllComp[lsv_per_mhz], MATCH(C_Distance[[#This Row],[int_comp2]], C_AllComp[comp_id], 0))</f>
        <v>16494123.061141497</v>
      </c>
      <c r="P11" s="57">
        <f>INDEX(C_AllComp[lsv_per_mhz], MATCH(C_Distance[[#This Row],[int_comp3]], C_AllComp[comp_id], 0))</f>
        <v>1946552.6750951568</v>
      </c>
      <c r="Q11" s="57">
        <f>C_Distance[[#This Row],[lsv_per_mhz_1]]-C_Distance[[#This Row],[lsv_per_mhz_3]]</f>
        <v>14456620.580432396</v>
      </c>
      <c r="R11" s="57">
        <f>C_Distance[[#This Row],[lsv_per_mhz_2]]-C_Distance[[#This Row],[lsv_per_mhz_3]]</f>
        <v>14547570.386046339</v>
      </c>
      <c r="S11" s="56">
        <f>C_Distance[[#This Row],[dist_y_2_3]]/C_Distance[[#This Row],[dist_x_1_3]]</f>
        <v>1.0062912217352544</v>
      </c>
      <c r="T11" s="57">
        <f>INDEX(C_AllComp[lsv_per_mhz], MATCH(C_Distance[[#This Row],[uk_comp1]], C_AllComp[comp_id], 0))</f>
        <v>14089579.524680082</v>
      </c>
      <c r="U11" s="57">
        <f>INDEX(C_AllComp[lsv_per_mhz], MATCH(C_Distance[[#This Row],[uk_comp3]], C_AllComp[comp_id], 0))</f>
        <v>6172782.8746177433</v>
      </c>
      <c r="V11" s="57">
        <f>C_Distance[[#This Row],[lsv_per_mhz_uk3]]+C_Distance[[#This Row],[ratio_y_x]]*(C_Distance[[#This Row],[lsv_per_mhz_uk1]]-C_Distance[[#This Row],[lsv_per_mhz_uk3]])</f>
        <v>14139385.847838543</v>
      </c>
    </row>
    <row r="12" spans="1:22" x14ac:dyDescent="0.45">
      <c r="A12" s="50" t="s">
        <v>845</v>
      </c>
      <c r="B12">
        <v>2100</v>
      </c>
      <c r="C12" t="s">
        <v>796</v>
      </c>
      <c r="D12" t="s">
        <v>158</v>
      </c>
      <c r="E12" s="50" t="s">
        <v>132</v>
      </c>
      <c r="F12" s="50" t="s">
        <v>125</v>
      </c>
      <c r="G12" s="50" t="s">
        <v>785</v>
      </c>
      <c r="H12" s="50" t="s">
        <v>631</v>
      </c>
      <c r="I12" s="50" t="s">
        <v>790</v>
      </c>
      <c r="J12" s="50">
        <v>1</v>
      </c>
      <c r="K12" t="s">
        <v>687</v>
      </c>
      <c r="L12" t="s">
        <v>687</v>
      </c>
      <c r="M12" t="s">
        <v>691</v>
      </c>
      <c r="N12" s="57">
        <f>INDEX(C_AllComp[lsv_per_mhz], MATCH(C_Distance[[#This Row],[int_comp1]], C_AllComp[comp_id], 0))</f>
        <v>16403173.255527552</v>
      </c>
      <c r="O12" s="57">
        <f>INDEX(C_AllComp[lsv_per_mhz], MATCH(C_Distance[[#This Row],[int_comp2]], C_AllComp[comp_id], 0))</f>
        <v>16494123.061141497</v>
      </c>
      <c r="P12" s="57">
        <f>INDEX(C_AllComp[lsv_per_mhz], MATCH(C_Distance[[#This Row],[int_comp3]], C_AllComp[comp_id], 0))</f>
        <v>10943648.783958722</v>
      </c>
      <c r="Q12" s="57">
        <f>C_Distance[[#This Row],[lsv_per_mhz_1]]-C_Distance[[#This Row],[lsv_per_mhz_3]]</f>
        <v>5459524.4715688303</v>
      </c>
      <c r="R12" s="57">
        <f>C_Distance[[#This Row],[lsv_per_mhz_2]]-C_Distance[[#This Row],[lsv_per_mhz_3]]</f>
        <v>5550474.2771827746</v>
      </c>
      <c r="S12" s="56">
        <f>C_Distance[[#This Row],[dist_y_2_3]]/C_Distance[[#This Row],[dist_x_1_3]]</f>
        <v>1.0166589244333599</v>
      </c>
      <c r="T12" s="57">
        <f>INDEX(C_AllComp[lsv_per_mhz], MATCH(C_Distance[[#This Row],[uk_comp1]], C_AllComp[comp_id], 0))</f>
        <v>14089579.524680082</v>
      </c>
      <c r="U12" s="57">
        <f>INDEX(C_AllComp[lsv_per_mhz], MATCH(C_Distance[[#This Row],[uk_comp3]], C_AllComp[comp_id], 0))</f>
        <v>7902129.7912713494</v>
      </c>
      <c r="V12" s="57">
        <f>C_Distance[[#This Row],[lsv_per_mhz_uk3]]+C_Distance[[#This Row],[ratio_y_x]]*(C_Distance[[#This Row],[lsv_per_mhz_uk1]]-C_Distance[[#This Row],[lsv_per_mhz_uk3]])</f>
        <v>14192655.78222415</v>
      </c>
    </row>
    <row r="13" spans="1:22" x14ac:dyDescent="0.45">
      <c r="A13" s="50" t="s">
        <v>846</v>
      </c>
      <c r="B13">
        <v>2100</v>
      </c>
      <c r="C13" t="s">
        <v>787</v>
      </c>
      <c r="D13" t="s">
        <v>158</v>
      </c>
      <c r="E13" s="50" t="s">
        <v>132</v>
      </c>
      <c r="F13" s="50" t="s">
        <v>125</v>
      </c>
      <c r="G13" s="50" t="s">
        <v>785</v>
      </c>
      <c r="H13" s="50" t="s">
        <v>631</v>
      </c>
      <c r="I13" s="50" t="s">
        <v>789</v>
      </c>
      <c r="J13" s="50">
        <v>1</v>
      </c>
      <c r="K13" t="s">
        <v>687</v>
      </c>
      <c r="L13" t="s">
        <v>687</v>
      </c>
      <c r="M13" t="s">
        <v>691</v>
      </c>
      <c r="N13" s="57">
        <f>INDEX(C_AllComp[lsv_per_mhz], MATCH(C_Distance[[#This Row],[int_comp1]], C_AllComp[comp_id], 0))</f>
        <v>16403173.255527552</v>
      </c>
      <c r="O13" s="57">
        <f>INDEX(C_AllComp[lsv_per_mhz], MATCH(C_Distance[[#This Row],[int_comp2]], C_AllComp[comp_id], 0))</f>
        <v>16494123.061141497</v>
      </c>
      <c r="P13" s="57">
        <f>INDEX(C_AllComp[lsv_per_mhz], MATCH(C_Distance[[#This Row],[int_comp3]], C_AllComp[comp_id], 0))</f>
        <v>10943648.783958722</v>
      </c>
      <c r="Q13" s="57">
        <f>C_Distance[[#This Row],[lsv_per_mhz_1]]-C_Distance[[#This Row],[lsv_per_mhz_3]]</f>
        <v>5459524.4715688303</v>
      </c>
      <c r="R13" s="57">
        <f>C_Distance[[#This Row],[lsv_per_mhz_2]]-C_Distance[[#This Row],[lsv_per_mhz_3]]</f>
        <v>5550474.2771827746</v>
      </c>
      <c r="S13" s="56">
        <f>C_Distance[[#This Row],[dist_y_2_3]]/C_Distance[[#This Row],[dist_x_1_3]]</f>
        <v>1.0166589244333599</v>
      </c>
      <c r="T13" s="57">
        <f>INDEX(C_AllComp[lsv_per_mhz], MATCH(C_Distance[[#This Row],[uk_comp1]], C_AllComp[comp_id], 0))</f>
        <v>14089579.524680082</v>
      </c>
      <c r="U13" s="57">
        <f>INDEX(C_AllComp[lsv_per_mhz], MATCH(C_Distance[[#This Row],[uk_comp3]], C_AllComp[comp_id], 0))</f>
        <v>4226873.8574040243</v>
      </c>
      <c r="V13" s="57">
        <f>C_Distance[[#This Row],[lsv_per_mhz_uk3]]+C_Distance[[#This Row],[ratio_y_x]]*(C_Distance[[#This Row],[lsv_per_mhz_uk1]]-C_Distance[[#This Row],[lsv_per_mhz_uk3]])</f>
        <v>14253881.593099706</v>
      </c>
    </row>
    <row r="14" spans="1:22" x14ac:dyDescent="0.45">
      <c r="A14" s="50" t="s">
        <v>847</v>
      </c>
      <c r="B14">
        <v>2100</v>
      </c>
      <c r="C14" t="s">
        <v>763</v>
      </c>
      <c r="D14" t="s">
        <v>158</v>
      </c>
      <c r="E14" s="50" t="s">
        <v>135</v>
      </c>
      <c r="F14" s="50" t="s">
        <v>125</v>
      </c>
      <c r="G14" s="50" t="s">
        <v>180</v>
      </c>
      <c r="H14" s="50" t="s">
        <v>827</v>
      </c>
      <c r="I14" s="50" t="s">
        <v>828</v>
      </c>
      <c r="J14" s="50">
        <v>1</v>
      </c>
      <c r="K14" t="s">
        <v>685</v>
      </c>
      <c r="L14" t="s">
        <v>687</v>
      </c>
      <c r="M14" t="s">
        <v>692</v>
      </c>
      <c r="N14" s="57">
        <f>INDEX(C_AllComp[lsv_per_mhz], MATCH(C_Distance[[#This Row],[int_comp1]], C_AllComp[comp_id], 0))</f>
        <v>63016455.89097897</v>
      </c>
      <c r="O14" s="57">
        <f>INDEX(C_AllComp[lsv_per_mhz], MATCH(C_Distance[[#This Row],[int_comp2]], C_AllComp[comp_id], 0))</f>
        <v>16494123.061141497</v>
      </c>
      <c r="P14" s="57">
        <f>INDEX(C_AllComp[lsv_per_mhz], MATCH(C_Distance[[#This Row],[int_comp3]], C_AllComp[comp_id], 0))</f>
        <v>1946552.6750951568</v>
      </c>
      <c r="Q14" s="57">
        <f>C_Distance[[#This Row],[lsv_per_mhz_1]]-C_Distance[[#This Row],[lsv_per_mhz_3]]</f>
        <v>61069903.215883814</v>
      </c>
      <c r="R14" s="57">
        <f>C_Distance[[#This Row],[lsv_per_mhz_2]]-C_Distance[[#This Row],[lsv_per_mhz_3]]</f>
        <v>14547570.386046339</v>
      </c>
      <c r="S14" s="56">
        <f>C_Distance[[#This Row],[dist_y_2_3]]/C_Distance[[#This Row],[dist_x_1_3]]</f>
        <v>0.23821178059870624</v>
      </c>
      <c r="T14" s="57">
        <f>INDEX(C_AllComp[lsv_per_mhz], MATCH(C_Distance[[#This Row],[uk_comp1]], C_AllComp[comp_id], 0))</f>
        <v>37036697.247706465</v>
      </c>
      <c r="U14" s="57">
        <f>INDEX(C_AllComp[lsv_per_mhz], MATCH(C_Distance[[#This Row],[uk_comp3]], C_AllComp[comp_id], 0))</f>
        <v>6172782.8746177433</v>
      </c>
      <c r="V14" s="57">
        <f>C_Distance[[#This Row],[lsv_per_mhz_uk3]]+C_Distance[[#This Row],[ratio_y_x]]*(C_Distance[[#This Row],[lsv_per_mhz_uk1]]-C_Distance[[#This Row],[lsv_per_mhz_uk3]])</f>
        <v>13524930.873677209</v>
      </c>
    </row>
    <row r="15" spans="1:22" x14ac:dyDescent="0.45">
      <c r="A15" s="50" t="s">
        <v>848</v>
      </c>
      <c r="B15">
        <v>2100</v>
      </c>
      <c r="C15" t="s">
        <v>797</v>
      </c>
      <c r="D15" t="s">
        <v>158</v>
      </c>
      <c r="E15" s="50" t="s">
        <v>135</v>
      </c>
      <c r="F15" s="50" t="s">
        <v>125</v>
      </c>
      <c r="G15" s="50" t="s">
        <v>785</v>
      </c>
      <c r="H15" s="50" t="s">
        <v>827</v>
      </c>
      <c r="I15" s="50" t="s">
        <v>790</v>
      </c>
      <c r="J15" s="50">
        <v>1</v>
      </c>
      <c r="K15" t="s">
        <v>685</v>
      </c>
      <c r="L15" t="s">
        <v>685</v>
      </c>
      <c r="M15" t="s">
        <v>692</v>
      </c>
      <c r="N15" s="57">
        <f>INDEX(C_AllComp[lsv_per_mhz], MATCH(C_Distance[[#This Row],[int_comp1]], C_AllComp[comp_id], 0))</f>
        <v>63016455.89097897</v>
      </c>
      <c r="O15" s="57">
        <f>INDEX(C_AllComp[lsv_per_mhz], MATCH(C_Distance[[#This Row],[int_comp2]], C_AllComp[comp_id], 0))</f>
        <v>16494123.061141497</v>
      </c>
      <c r="P15" s="57">
        <f>INDEX(C_AllComp[lsv_per_mhz], MATCH(C_Distance[[#This Row],[int_comp3]], C_AllComp[comp_id], 0))</f>
        <v>10943648.783958722</v>
      </c>
      <c r="Q15" s="57">
        <f>C_Distance[[#This Row],[lsv_per_mhz_1]]-C_Distance[[#This Row],[lsv_per_mhz_3]]</f>
        <v>52072807.107020244</v>
      </c>
      <c r="R15" s="57">
        <f>C_Distance[[#This Row],[lsv_per_mhz_2]]-C_Distance[[#This Row],[lsv_per_mhz_3]]</f>
        <v>5550474.2771827746</v>
      </c>
      <c r="S15" s="56">
        <f>C_Distance[[#This Row],[dist_y_2_3]]/C_Distance[[#This Row],[dist_x_1_3]]</f>
        <v>0.1065906484698514</v>
      </c>
      <c r="T15" s="57">
        <f>INDEX(C_AllComp[lsv_per_mhz], MATCH(C_Distance[[#This Row],[uk_comp1]], C_AllComp[comp_id], 0))</f>
        <v>37036697.247706465</v>
      </c>
      <c r="U15" s="57">
        <f>INDEX(C_AllComp[lsv_per_mhz], MATCH(C_Distance[[#This Row],[uk_comp3]], C_AllComp[comp_id], 0))</f>
        <v>7902129.7912713494</v>
      </c>
      <c r="V15" s="57">
        <f>C_Distance[[#This Row],[lsv_per_mhz_uk3]]+C_Distance[[#This Row],[ratio_y_x]]*(C_Distance[[#This Row],[lsv_per_mhz_uk1]]-C_Distance[[#This Row],[lsv_per_mhz_uk3]])</f>
        <v>11007602.229341397</v>
      </c>
    </row>
    <row r="16" spans="1:22" x14ac:dyDescent="0.45">
      <c r="A16" s="50" t="s">
        <v>849</v>
      </c>
      <c r="B16">
        <v>2100</v>
      </c>
      <c r="C16" t="s">
        <v>788</v>
      </c>
      <c r="D16" t="s">
        <v>158</v>
      </c>
      <c r="E16" s="50" t="s">
        <v>135</v>
      </c>
      <c r="F16" s="50" t="s">
        <v>125</v>
      </c>
      <c r="G16" s="50" t="s">
        <v>785</v>
      </c>
      <c r="H16" s="50" t="s">
        <v>827</v>
      </c>
      <c r="I16" s="50" t="s">
        <v>789</v>
      </c>
      <c r="J16" s="50">
        <v>1</v>
      </c>
      <c r="K16" t="s">
        <v>685</v>
      </c>
      <c r="L16" t="s">
        <v>685</v>
      </c>
      <c r="M16" t="s">
        <v>692</v>
      </c>
      <c r="N16" s="57">
        <f>INDEX(C_AllComp[lsv_per_mhz], MATCH(C_Distance[[#This Row],[int_comp1]], C_AllComp[comp_id], 0))</f>
        <v>63016455.89097897</v>
      </c>
      <c r="O16" s="57">
        <f>INDEX(C_AllComp[lsv_per_mhz], MATCH(C_Distance[[#This Row],[int_comp2]], C_AllComp[comp_id], 0))</f>
        <v>16494123.061141497</v>
      </c>
      <c r="P16" s="57">
        <f>INDEX(C_AllComp[lsv_per_mhz], MATCH(C_Distance[[#This Row],[int_comp3]], C_AllComp[comp_id], 0))</f>
        <v>10943648.783958722</v>
      </c>
      <c r="Q16" s="57">
        <f>C_Distance[[#This Row],[lsv_per_mhz_1]]-C_Distance[[#This Row],[lsv_per_mhz_3]]</f>
        <v>52072807.107020244</v>
      </c>
      <c r="R16" s="57">
        <f>C_Distance[[#This Row],[lsv_per_mhz_2]]-C_Distance[[#This Row],[lsv_per_mhz_3]]</f>
        <v>5550474.2771827746</v>
      </c>
      <c r="S16" s="56">
        <f>C_Distance[[#This Row],[dist_y_2_3]]/C_Distance[[#This Row],[dist_x_1_3]]</f>
        <v>0.1065906484698514</v>
      </c>
      <c r="T16" s="57">
        <f>INDEX(C_AllComp[lsv_per_mhz], MATCH(C_Distance[[#This Row],[uk_comp1]], C_AllComp[comp_id], 0))</f>
        <v>37036697.247706465</v>
      </c>
      <c r="U16" s="57">
        <f>INDEX(C_AllComp[lsv_per_mhz], MATCH(C_Distance[[#This Row],[uk_comp3]], C_AllComp[comp_id], 0))</f>
        <v>4226873.8574040243</v>
      </c>
      <c r="V16" s="57">
        <f>C_Distance[[#This Row],[lsv_per_mhz_uk3]]+C_Distance[[#This Row],[ratio_y_x]]*(C_Distance[[#This Row],[lsv_per_mhz_uk1]]-C_Distance[[#This Row],[lsv_per_mhz_uk3]])</f>
        <v>7724094.2087576604</v>
      </c>
    </row>
    <row r="17" spans="1:22" x14ac:dyDescent="0.45">
      <c r="A17" s="50" t="s">
        <v>816</v>
      </c>
      <c r="B17">
        <v>2100</v>
      </c>
      <c r="C17" t="s">
        <v>796</v>
      </c>
      <c r="D17" t="s">
        <v>143</v>
      </c>
      <c r="E17" s="50" t="s">
        <v>756</v>
      </c>
      <c r="F17" s="50" t="s">
        <v>757</v>
      </c>
      <c r="G17" s="50" t="s">
        <v>795</v>
      </c>
      <c r="H17" s="50" t="s">
        <v>631</v>
      </c>
      <c r="I17" s="50" t="s">
        <v>790</v>
      </c>
      <c r="J17" s="50">
        <v>1</v>
      </c>
      <c r="K17" t="s">
        <v>687</v>
      </c>
      <c r="L17" t="s">
        <v>687</v>
      </c>
      <c r="M17" t="s">
        <v>687</v>
      </c>
      <c r="N17" s="57">
        <f>INDEX(C_AllComp[lsv_per_mhz], MATCH(C_Distance[[#This Row],[int_comp1]], C_AllComp[comp_id], 0))</f>
        <v>80852176.010552794</v>
      </c>
      <c r="O17" s="57">
        <f>INDEX(C_AllComp[lsv_per_mhz], MATCH(C_Distance[[#This Row],[int_comp2]], C_AllComp[comp_id], 0))</f>
        <v>33026286.526349988</v>
      </c>
      <c r="P17" s="57">
        <f>INDEX(C_AllComp[lsv_per_mhz], MATCH(C_Distance[[#This Row],[int_comp3]], C_AllComp[comp_id], 0))</f>
        <v>10050085.891145648</v>
      </c>
      <c r="Q17" s="57">
        <f>C_Distance[[#This Row],[lsv_per_mhz_1]]-C_Distance[[#This Row],[lsv_per_mhz_3]]</f>
        <v>70802090.119407147</v>
      </c>
      <c r="R17" s="57">
        <f>C_Distance[[#This Row],[lsv_per_mhz_2]]-C_Distance[[#This Row],[lsv_per_mhz_3]]</f>
        <v>22976200.635204338</v>
      </c>
      <c r="S17" s="56">
        <f>C_Distance[[#This Row],[dist_y_2_3]]/C_Distance[[#This Row],[dist_x_1_3]]</f>
        <v>0.32451302774332175</v>
      </c>
      <c r="T17" s="57">
        <f>INDEX(C_AllComp[lsv_per_mhz], MATCH(C_Distance[[#This Row],[uk_comp1]], C_AllComp[comp_id], 0))</f>
        <v>14089579.524680082</v>
      </c>
      <c r="U17" s="57">
        <f>INDEX(C_AllComp[lsv_per_mhz], MATCH(C_Distance[[#This Row],[uk_comp3]], C_AllComp[comp_id], 0))</f>
        <v>7902129.7912713494</v>
      </c>
      <c r="V17" s="57">
        <f>C_Distance[[#This Row],[lsv_per_mhz_uk3]]+C_Distance[[#This Row],[ratio_y_x]]*(C_Distance[[#This Row],[lsv_per_mhz_uk1]]-C_Distance[[#This Row],[lsv_per_mhz_uk3]])</f>
        <v>9910037.8382694256</v>
      </c>
    </row>
    <row r="18" spans="1:22" x14ac:dyDescent="0.45">
      <c r="A18" s="50" t="s">
        <v>815</v>
      </c>
      <c r="B18">
        <v>2100</v>
      </c>
      <c r="C18" t="s">
        <v>787</v>
      </c>
      <c r="D18" t="s">
        <v>143</v>
      </c>
      <c r="E18" s="50" t="s">
        <v>756</v>
      </c>
      <c r="F18" s="50" t="s">
        <v>757</v>
      </c>
      <c r="G18" s="50" t="s">
        <v>795</v>
      </c>
      <c r="H18" s="50" t="s">
        <v>631</v>
      </c>
      <c r="I18" s="50" t="s">
        <v>789</v>
      </c>
      <c r="J18" s="50">
        <v>1</v>
      </c>
      <c r="K18" t="s">
        <v>687</v>
      </c>
      <c r="L18" t="s">
        <v>687</v>
      </c>
      <c r="M18" t="s">
        <v>687</v>
      </c>
      <c r="N18" s="57">
        <f>INDEX(C_AllComp[lsv_per_mhz], MATCH(C_Distance[[#This Row],[int_comp1]], C_AllComp[comp_id], 0))</f>
        <v>80852176.010552794</v>
      </c>
      <c r="O18" s="57">
        <f>INDEX(C_AllComp[lsv_per_mhz], MATCH(C_Distance[[#This Row],[int_comp2]], C_AllComp[comp_id], 0))</f>
        <v>33026286.526349988</v>
      </c>
      <c r="P18" s="57">
        <f>INDEX(C_AllComp[lsv_per_mhz], MATCH(C_Distance[[#This Row],[int_comp3]], C_AllComp[comp_id], 0))</f>
        <v>10050085.891145648</v>
      </c>
      <c r="Q18" s="57">
        <f>C_Distance[[#This Row],[lsv_per_mhz_1]]-C_Distance[[#This Row],[lsv_per_mhz_3]]</f>
        <v>70802090.119407147</v>
      </c>
      <c r="R18" s="57">
        <f>C_Distance[[#This Row],[lsv_per_mhz_2]]-C_Distance[[#This Row],[lsv_per_mhz_3]]</f>
        <v>22976200.635204338</v>
      </c>
      <c r="S18" s="56">
        <f>C_Distance[[#This Row],[dist_y_2_3]]/C_Distance[[#This Row],[dist_x_1_3]]</f>
        <v>0.32451302774332175</v>
      </c>
      <c r="T18" s="57">
        <f>INDEX(C_AllComp[lsv_per_mhz], MATCH(C_Distance[[#This Row],[uk_comp1]], C_AllComp[comp_id], 0))</f>
        <v>14089579.524680082</v>
      </c>
      <c r="U18" s="57">
        <f>INDEX(C_AllComp[lsv_per_mhz], MATCH(C_Distance[[#This Row],[uk_comp3]], C_AllComp[comp_id], 0))</f>
        <v>4226873.8574040243</v>
      </c>
      <c r="V18" s="57">
        <f>C_Distance[[#This Row],[lsv_per_mhz_uk3]]+C_Distance[[#This Row],[ratio_y_x]]*(C_Distance[[#This Row],[lsv_per_mhz_uk1]]-C_Distance[[#This Row],[lsv_per_mhz_uk3]])</f>
        <v>7427450.3352329964</v>
      </c>
    </row>
    <row r="19" spans="1:22" x14ac:dyDescent="0.45">
      <c r="A19" s="50" t="s">
        <v>866</v>
      </c>
      <c r="B19">
        <v>2100</v>
      </c>
      <c r="C19" t="s">
        <v>764</v>
      </c>
      <c r="D19" t="s">
        <v>156</v>
      </c>
      <c r="E19" s="50" t="s">
        <v>107</v>
      </c>
      <c r="F19" s="50" t="s">
        <v>109</v>
      </c>
      <c r="G19" s="50" t="s">
        <v>836</v>
      </c>
      <c r="H19" s="50" t="s">
        <v>631</v>
      </c>
      <c r="I19" s="50" t="s">
        <v>88</v>
      </c>
      <c r="J19" s="50">
        <v>1</v>
      </c>
      <c r="K19" s="25" t="s">
        <v>687</v>
      </c>
      <c r="L19" s="25" t="s">
        <v>687</v>
      </c>
      <c r="M19" s="25" t="s">
        <v>687</v>
      </c>
      <c r="N19" s="57">
        <f>INDEX(C_AllComp[lsv_per_mhz], MATCH(C_Distance[[#This Row],[int_comp1]], C_AllComp[comp_id], 0))</f>
        <v>27676690.720446873</v>
      </c>
      <c r="O19" s="57">
        <f>INDEX(C_AllComp[lsv_per_mhz], MATCH(C_Distance[[#This Row],[int_comp2]], C_AllComp[comp_id], 0))</f>
        <v>14422352.676389942</v>
      </c>
      <c r="P19" s="57">
        <f>INDEX(C_AllComp[lsv_per_mhz], MATCH(C_Distance[[#This Row],[int_comp3]], C_AllComp[comp_id], 0))</f>
        <v>3963416.5112653878</v>
      </c>
      <c r="Q19" s="57">
        <f>C_Distance[[#This Row],[lsv_per_mhz_1]]-C_Distance[[#This Row],[lsv_per_mhz_3]]</f>
        <v>23713274.209181488</v>
      </c>
      <c r="R19" s="57">
        <f>C_Distance[[#This Row],[lsv_per_mhz_2]]-C_Distance[[#This Row],[lsv_per_mhz_3]]</f>
        <v>10458936.165124554</v>
      </c>
      <c r="S19" s="56">
        <f>C_Distance[[#This Row],[dist_y_2_3]]/C_Distance[[#This Row],[dist_x_1_3]]</f>
        <v>0.44105828966777533</v>
      </c>
      <c r="T19" s="57">
        <f>INDEX(C_AllComp[lsv_per_mhz], MATCH(C_Distance[[#This Row],[uk_comp1]], C_AllComp[comp_id], 0))</f>
        <v>14089579.524680082</v>
      </c>
      <c r="U19" s="57">
        <f>INDEX(C_AllComp[lsv_per_mhz], MATCH(C_Distance[[#This Row],[uk_comp3]], C_AllComp[comp_id], 0))</f>
        <v>5376933.017077799</v>
      </c>
      <c r="V19" s="57">
        <f>C_Distance[[#This Row],[lsv_per_mhz_uk3]]+C_Distance[[#This Row],[ratio_y_x]]*(C_Distance[[#This Row],[lsv_per_mhz_uk1]]-C_Distance[[#This Row],[lsv_per_mhz_uk3]])</f>
        <v>9219717.9842007775</v>
      </c>
    </row>
    <row r="20" spans="1:22" x14ac:dyDescent="0.45">
      <c r="A20" s="50" t="s">
        <v>865</v>
      </c>
      <c r="B20">
        <v>2100</v>
      </c>
      <c r="C20" t="s">
        <v>764</v>
      </c>
      <c r="D20" t="s">
        <v>156</v>
      </c>
      <c r="E20" s="50" t="s">
        <v>107</v>
      </c>
      <c r="F20" s="50" t="s">
        <v>109</v>
      </c>
      <c r="G20" s="50" t="s">
        <v>838</v>
      </c>
      <c r="H20" s="50" t="s">
        <v>631</v>
      </c>
      <c r="I20" s="50" t="s">
        <v>88</v>
      </c>
      <c r="J20" s="50">
        <v>1</v>
      </c>
      <c r="K20" s="25" t="s">
        <v>687</v>
      </c>
      <c r="L20" s="25" t="s">
        <v>687</v>
      </c>
      <c r="M20" s="25" t="s">
        <v>687</v>
      </c>
      <c r="N20" s="57">
        <f>INDEX(C_AllComp[lsv_per_mhz], MATCH(C_Distance[[#This Row],[int_comp1]], C_AllComp[comp_id], 0))</f>
        <v>27676690.720446873</v>
      </c>
      <c r="O20" s="57">
        <f>INDEX(C_AllComp[lsv_per_mhz], MATCH(C_Distance[[#This Row],[int_comp2]], C_AllComp[comp_id], 0))</f>
        <v>14422352.676389942</v>
      </c>
      <c r="P20" s="57">
        <f>INDEX(C_AllComp[lsv_per_mhz], MATCH(C_Distance[[#This Row],[int_comp3]], C_AllComp[comp_id], 0))</f>
        <v>6938579.4209957151</v>
      </c>
      <c r="Q20" s="57">
        <f>C_Distance[[#This Row],[lsv_per_mhz_1]]-C_Distance[[#This Row],[lsv_per_mhz_3]]</f>
        <v>20738111.299451157</v>
      </c>
      <c r="R20" s="57">
        <f>C_Distance[[#This Row],[lsv_per_mhz_2]]-C_Distance[[#This Row],[lsv_per_mhz_3]]</f>
        <v>7483773.2553942269</v>
      </c>
      <c r="S20" s="56">
        <f>C_Distance[[#This Row],[dist_y_2_3]]/C_Distance[[#This Row],[dist_x_1_3]]</f>
        <v>0.36087053190770985</v>
      </c>
      <c r="T20" s="57">
        <f>INDEX(C_AllComp[lsv_per_mhz], MATCH(C_Distance[[#This Row],[uk_comp1]], C_AllComp[comp_id], 0))</f>
        <v>14089579.524680082</v>
      </c>
      <c r="U20" s="57">
        <f>INDEX(C_AllComp[lsv_per_mhz], MATCH(C_Distance[[#This Row],[uk_comp3]], C_AllComp[comp_id], 0))</f>
        <v>5376933.017077799</v>
      </c>
      <c r="V20" s="57">
        <f>C_Distance[[#This Row],[lsv_per_mhz_uk3]]+C_Distance[[#This Row],[ratio_y_x]]*(C_Distance[[#This Row],[lsv_per_mhz_uk1]]-C_Distance[[#This Row],[lsv_per_mhz_uk3]])</f>
        <v>8521070.3966000844</v>
      </c>
    </row>
    <row r="21" spans="1:22" x14ac:dyDescent="0.45">
      <c r="A21" s="50" t="s">
        <v>868</v>
      </c>
      <c r="B21">
        <v>2100</v>
      </c>
      <c r="C21" t="s">
        <v>762</v>
      </c>
      <c r="D21" t="s">
        <v>156</v>
      </c>
      <c r="E21" s="50" t="s">
        <v>107</v>
      </c>
      <c r="F21" s="50" t="s">
        <v>109</v>
      </c>
      <c r="G21" s="50" t="s">
        <v>837</v>
      </c>
      <c r="H21" s="50" t="s">
        <v>631</v>
      </c>
      <c r="I21" s="50" t="s">
        <v>828</v>
      </c>
      <c r="J21" s="50">
        <v>1</v>
      </c>
      <c r="K21" s="25" t="s">
        <v>687</v>
      </c>
      <c r="L21" s="25" t="s">
        <v>687</v>
      </c>
      <c r="M21" s="25" t="s">
        <v>687</v>
      </c>
      <c r="N21" s="57">
        <f>INDEX(C_AllComp[lsv_per_mhz], MATCH(C_Distance[[#This Row],[int_comp1]], C_AllComp[comp_id], 0))</f>
        <v>27676690.720446873</v>
      </c>
      <c r="O21" s="57">
        <f>INDEX(C_AllComp[lsv_per_mhz], MATCH(C_Distance[[#This Row],[int_comp2]], C_AllComp[comp_id], 0))</f>
        <v>14422352.676389942</v>
      </c>
      <c r="P21" s="57">
        <f>INDEX(C_AllComp[lsv_per_mhz], MATCH(C_Distance[[#This Row],[int_comp3]], C_AllComp[comp_id], 0))</f>
        <v>2245168.9741799245</v>
      </c>
      <c r="Q21" s="57">
        <f>C_Distance[[#This Row],[lsv_per_mhz_1]]-C_Distance[[#This Row],[lsv_per_mhz_3]]</f>
        <v>25431521.74626695</v>
      </c>
      <c r="R21" s="57">
        <f>C_Distance[[#This Row],[lsv_per_mhz_2]]-C_Distance[[#This Row],[lsv_per_mhz_3]]</f>
        <v>12177183.702210017</v>
      </c>
      <c r="S21" s="56">
        <f>C_Distance[[#This Row],[dist_y_2_3]]/C_Distance[[#This Row],[dist_x_1_3]]</f>
        <v>0.47882245599390783</v>
      </c>
      <c r="T21" s="57">
        <f>INDEX(C_AllComp[lsv_per_mhz], MATCH(C_Distance[[#This Row],[uk_comp1]], C_AllComp[comp_id], 0))</f>
        <v>14089579.524680082</v>
      </c>
      <c r="U21" s="57">
        <f>INDEX(C_AllComp[lsv_per_mhz], MATCH(C_Distance[[#This Row],[uk_comp3]], C_AllComp[comp_id], 0))</f>
        <v>6172782.8746177433</v>
      </c>
      <c r="V21" s="57">
        <f>C_Distance[[#This Row],[lsv_per_mhz_uk3]]+C_Distance[[#This Row],[ratio_y_x]]*(C_Distance[[#This Row],[lsv_per_mhz_uk1]]-C_Distance[[#This Row],[lsv_per_mhz_uk3]])</f>
        <v>9963522.8902049344</v>
      </c>
    </row>
    <row r="22" spans="1:22" x14ac:dyDescent="0.45">
      <c r="A22" s="50" t="s">
        <v>867</v>
      </c>
      <c r="B22">
        <v>2100</v>
      </c>
      <c r="C22" t="s">
        <v>762</v>
      </c>
      <c r="D22" t="s">
        <v>156</v>
      </c>
      <c r="E22" s="50" t="s">
        <v>107</v>
      </c>
      <c r="F22" s="50" t="s">
        <v>109</v>
      </c>
      <c r="G22" s="50" t="s">
        <v>839</v>
      </c>
      <c r="H22" s="50" t="s">
        <v>631</v>
      </c>
      <c r="I22" s="50" t="s">
        <v>828</v>
      </c>
      <c r="J22" s="50">
        <v>1</v>
      </c>
      <c r="K22" s="25" t="s">
        <v>687</v>
      </c>
      <c r="L22" s="25" t="s">
        <v>687</v>
      </c>
      <c r="M22" s="25" t="s">
        <v>687</v>
      </c>
      <c r="N22" s="57">
        <f>INDEX(C_AllComp[lsv_per_mhz], MATCH(C_Distance[[#This Row],[int_comp1]], C_AllComp[comp_id], 0))</f>
        <v>27676690.720446873</v>
      </c>
      <c r="O22" s="57">
        <f>INDEX(C_AllComp[lsv_per_mhz], MATCH(C_Distance[[#This Row],[int_comp2]], C_AllComp[comp_id], 0))</f>
        <v>14422352.676389942</v>
      </c>
      <c r="P22" s="57">
        <f>INDEX(C_AllComp[lsv_per_mhz], MATCH(C_Distance[[#This Row],[int_comp3]], C_AllComp[comp_id], 0))</f>
        <v>6126898.8508209642</v>
      </c>
      <c r="Q22" s="57">
        <f>C_Distance[[#This Row],[lsv_per_mhz_1]]-C_Distance[[#This Row],[lsv_per_mhz_3]]</f>
        <v>21549791.869625911</v>
      </c>
      <c r="R22" s="57">
        <f>C_Distance[[#This Row],[lsv_per_mhz_2]]-C_Distance[[#This Row],[lsv_per_mhz_3]]</f>
        <v>8295453.8255689777</v>
      </c>
      <c r="S22" s="56">
        <f>C_Distance[[#This Row],[dist_y_2_3]]/C_Distance[[#This Row],[dist_x_1_3]]</f>
        <v>0.38494357048808847</v>
      </c>
      <c r="T22" s="57">
        <f>INDEX(C_AllComp[lsv_per_mhz], MATCH(C_Distance[[#This Row],[uk_comp1]], C_AllComp[comp_id], 0))</f>
        <v>14089579.524680082</v>
      </c>
      <c r="U22" s="57">
        <f>INDEX(C_AllComp[lsv_per_mhz], MATCH(C_Distance[[#This Row],[uk_comp3]], C_AllComp[comp_id], 0))</f>
        <v>6172782.8746177433</v>
      </c>
      <c r="V22" s="57">
        <f>C_Distance[[#This Row],[lsv_per_mhz_uk3]]+C_Distance[[#This Row],[ratio_y_x]]*(C_Distance[[#This Row],[lsv_per_mhz_uk1]]-C_Distance[[#This Row],[lsv_per_mhz_uk3]])</f>
        <v>9220302.8439208772</v>
      </c>
    </row>
    <row r="23" spans="1:22" x14ac:dyDescent="0.45">
      <c r="A23" s="50" t="s">
        <v>871</v>
      </c>
      <c r="B23">
        <v>2100</v>
      </c>
      <c r="C23" t="s">
        <v>796</v>
      </c>
      <c r="D23" t="s">
        <v>156</v>
      </c>
      <c r="E23" s="50" t="s">
        <v>107</v>
      </c>
      <c r="F23" s="50" t="s">
        <v>109</v>
      </c>
      <c r="G23" s="50" t="s">
        <v>831</v>
      </c>
      <c r="H23" s="50" t="s">
        <v>631</v>
      </c>
      <c r="I23" s="50" t="s">
        <v>790</v>
      </c>
      <c r="J23" s="50">
        <v>1</v>
      </c>
      <c r="K23" s="25" t="s">
        <v>687</v>
      </c>
      <c r="L23" s="25" t="s">
        <v>687</v>
      </c>
      <c r="M23" s="25" t="s">
        <v>687</v>
      </c>
      <c r="N23" s="57">
        <f>INDEX(C_AllComp[lsv_per_mhz], MATCH(C_Distance[[#This Row],[int_comp1]], C_AllComp[comp_id], 0))</f>
        <v>27676690.720446873</v>
      </c>
      <c r="O23" s="57">
        <f>INDEX(C_AllComp[lsv_per_mhz], MATCH(C_Distance[[#This Row],[int_comp2]], C_AllComp[comp_id], 0))</f>
        <v>14422352.676389942</v>
      </c>
      <c r="P23" s="57">
        <f>INDEX(C_AllComp[lsv_per_mhz], MATCH(C_Distance[[#This Row],[int_comp3]], C_AllComp[comp_id], 0))</f>
        <v>5557389.4853342315</v>
      </c>
      <c r="Q23" s="57">
        <f>C_Distance[[#This Row],[lsv_per_mhz_1]]-C_Distance[[#This Row],[lsv_per_mhz_3]]</f>
        <v>22119301.235112641</v>
      </c>
      <c r="R23" s="57">
        <f>C_Distance[[#This Row],[lsv_per_mhz_2]]-C_Distance[[#This Row],[lsv_per_mhz_3]]</f>
        <v>8864963.1910557114</v>
      </c>
      <c r="S23" s="56">
        <f>C_Distance[[#This Row],[dist_y_2_3]]/C_Distance[[#This Row],[dist_x_1_3]]</f>
        <v>0.40077953172332964</v>
      </c>
      <c r="T23" s="57">
        <f>INDEX(C_AllComp[lsv_per_mhz], MATCH(C_Distance[[#This Row],[uk_comp1]], C_AllComp[comp_id], 0))</f>
        <v>14089579.524680082</v>
      </c>
      <c r="U23" s="57">
        <f>INDEX(C_AllComp[lsv_per_mhz], MATCH(C_Distance[[#This Row],[uk_comp3]], C_AllComp[comp_id], 0))</f>
        <v>7902129.7912713494</v>
      </c>
      <c r="V23" s="57">
        <f>C_Distance[[#This Row],[lsv_per_mhz_uk3]]+C_Distance[[#This Row],[ratio_y_x]]*(C_Distance[[#This Row],[lsv_per_mhz_uk1]]-C_Distance[[#This Row],[lsv_per_mhz_uk3]])</f>
        <v>10381932.997988543</v>
      </c>
    </row>
    <row r="24" spans="1:22" x14ac:dyDescent="0.45">
      <c r="A24" s="50" t="s">
        <v>872</v>
      </c>
      <c r="B24">
        <v>2100</v>
      </c>
      <c r="C24" t="s">
        <v>787</v>
      </c>
      <c r="D24" t="s">
        <v>156</v>
      </c>
      <c r="E24" s="50" t="s">
        <v>107</v>
      </c>
      <c r="F24" s="50" t="s">
        <v>109</v>
      </c>
      <c r="G24" s="50" t="s">
        <v>831</v>
      </c>
      <c r="H24" s="50" t="s">
        <v>631</v>
      </c>
      <c r="I24" s="50" t="s">
        <v>789</v>
      </c>
      <c r="J24" s="50">
        <v>1</v>
      </c>
      <c r="K24" s="25" t="s">
        <v>687</v>
      </c>
      <c r="L24" s="25" t="s">
        <v>687</v>
      </c>
      <c r="M24" s="25" t="s">
        <v>687</v>
      </c>
      <c r="N24" s="57">
        <f>INDEX(C_AllComp[lsv_per_mhz], MATCH(C_Distance[[#This Row],[int_comp1]], C_AllComp[comp_id], 0))</f>
        <v>27676690.720446873</v>
      </c>
      <c r="O24" s="57">
        <f>INDEX(C_AllComp[lsv_per_mhz], MATCH(C_Distance[[#This Row],[int_comp2]], C_AllComp[comp_id], 0))</f>
        <v>14422352.676389942</v>
      </c>
      <c r="P24" s="57">
        <f>INDEX(C_AllComp[lsv_per_mhz], MATCH(C_Distance[[#This Row],[int_comp3]], C_AllComp[comp_id], 0))</f>
        <v>5557389.4853342315</v>
      </c>
      <c r="Q24" s="57">
        <f>C_Distance[[#This Row],[lsv_per_mhz_1]]-C_Distance[[#This Row],[lsv_per_mhz_3]]</f>
        <v>22119301.235112641</v>
      </c>
      <c r="R24" s="57">
        <f>C_Distance[[#This Row],[lsv_per_mhz_2]]-C_Distance[[#This Row],[lsv_per_mhz_3]]</f>
        <v>8864963.1910557114</v>
      </c>
      <c r="S24" s="56">
        <f>C_Distance[[#This Row],[dist_y_2_3]]/C_Distance[[#This Row],[dist_x_1_3]]</f>
        <v>0.40077953172332964</v>
      </c>
      <c r="T24" s="57">
        <f>INDEX(C_AllComp[lsv_per_mhz], MATCH(C_Distance[[#This Row],[uk_comp1]], C_AllComp[comp_id], 0))</f>
        <v>14089579.524680082</v>
      </c>
      <c r="U24" s="57">
        <f>INDEX(C_AllComp[lsv_per_mhz], MATCH(C_Distance[[#This Row],[uk_comp3]], C_AllComp[comp_id], 0))</f>
        <v>4226873.8574040243</v>
      </c>
      <c r="V24" s="57">
        <f>C_Distance[[#This Row],[lsv_per_mhz_uk3]]+C_Distance[[#This Row],[ratio_y_x]]*(C_Distance[[#This Row],[lsv_per_mhz_uk1]]-C_Distance[[#This Row],[lsv_per_mhz_uk3]])</f>
        <v>8179644.4162599519</v>
      </c>
    </row>
    <row r="25" spans="1:22" x14ac:dyDescent="0.45">
      <c r="A25" s="50" t="s">
        <v>869</v>
      </c>
      <c r="B25">
        <v>2100</v>
      </c>
      <c r="C25" t="s">
        <v>796</v>
      </c>
      <c r="D25" t="s">
        <v>156</v>
      </c>
      <c r="E25" s="50" t="s">
        <v>107</v>
      </c>
      <c r="F25" s="50" t="s">
        <v>109</v>
      </c>
      <c r="G25" s="50" t="s">
        <v>830</v>
      </c>
      <c r="H25" s="50" t="s">
        <v>631</v>
      </c>
      <c r="I25" s="50" t="s">
        <v>790</v>
      </c>
      <c r="J25" s="50">
        <v>1</v>
      </c>
      <c r="K25" s="25" t="s">
        <v>687</v>
      </c>
      <c r="L25" s="25" t="s">
        <v>687</v>
      </c>
      <c r="M25" s="25" t="s">
        <v>687</v>
      </c>
      <c r="N25" s="57">
        <f>INDEX(C_AllComp[lsv_per_mhz], MATCH(C_Distance[[#This Row],[int_comp1]], C_AllComp[comp_id], 0))</f>
        <v>27676690.720446873</v>
      </c>
      <c r="O25" s="57">
        <f>INDEX(C_AllComp[lsv_per_mhz], MATCH(C_Distance[[#This Row],[int_comp2]], C_AllComp[comp_id], 0))</f>
        <v>14422352.676389942</v>
      </c>
      <c r="P25" s="57">
        <f>INDEX(C_AllComp[lsv_per_mhz], MATCH(C_Distance[[#This Row],[int_comp3]], C_AllComp[comp_id], 0))</f>
        <v>8564660.3818630837</v>
      </c>
      <c r="Q25" s="57">
        <f>C_Distance[[#This Row],[lsv_per_mhz_1]]-C_Distance[[#This Row],[lsv_per_mhz_3]]</f>
        <v>19112030.33858379</v>
      </c>
      <c r="R25" s="57">
        <f>C_Distance[[#This Row],[lsv_per_mhz_2]]-C_Distance[[#This Row],[lsv_per_mhz_3]]</f>
        <v>5857692.2945268583</v>
      </c>
      <c r="S25" s="56">
        <f>C_Distance[[#This Row],[dist_y_2_3]]/C_Distance[[#This Row],[dist_x_1_3]]</f>
        <v>0.3064924129332936</v>
      </c>
      <c r="T25" s="57">
        <f>INDEX(C_AllComp[lsv_per_mhz], MATCH(C_Distance[[#This Row],[uk_comp1]], C_AllComp[comp_id], 0))</f>
        <v>14089579.524680082</v>
      </c>
      <c r="U25" s="57">
        <f>INDEX(C_AllComp[lsv_per_mhz], MATCH(C_Distance[[#This Row],[uk_comp3]], C_AllComp[comp_id], 0))</f>
        <v>7902129.7912713494</v>
      </c>
      <c r="V25" s="57">
        <f>C_Distance[[#This Row],[lsv_per_mhz_uk3]]+C_Distance[[#This Row],[ratio_y_x]]*(C_Distance[[#This Row],[lsv_per_mhz_uk1]]-C_Distance[[#This Row],[lsv_per_mhz_uk3]])</f>
        <v>9798536.189967256</v>
      </c>
    </row>
    <row r="26" spans="1:22" x14ac:dyDescent="0.45">
      <c r="A26" s="50" t="s">
        <v>870</v>
      </c>
      <c r="B26">
        <v>2100</v>
      </c>
      <c r="C26" t="s">
        <v>787</v>
      </c>
      <c r="D26" t="s">
        <v>156</v>
      </c>
      <c r="E26" s="50" t="s">
        <v>107</v>
      </c>
      <c r="F26" s="50" t="s">
        <v>109</v>
      </c>
      <c r="G26" s="50" t="s">
        <v>830</v>
      </c>
      <c r="H26" s="50" t="s">
        <v>631</v>
      </c>
      <c r="I26" s="50" t="s">
        <v>789</v>
      </c>
      <c r="J26" s="50">
        <v>1</v>
      </c>
      <c r="K26" s="25" t="s">
        <v>687</v>
      </c>
      <c r="L26" s="25" t="s">
        <v>687</v>
      </c>
      <c r="M26" s="25" t="s">
        <v>687</v>
      </c>
      <c r="N26" s="57">
        <f>INDEX(C_AllComp[lsv_per_mhz], MATCH(C_Distance[[#This Row],[int_comp1]], C_AllComp[comp_id], 0))</f>
        <v>27676690.720446873</v>
      </c>
      <c r="O26" s="57">
        <f>INDEX(C_AllComp[lsv_per_mhz], MATCH(C_Distance[[#This Row],[int_comp2]], C_AllComp[comp_id], 0))</f>
        <v>14422352.676389942</v>
      </c>
      <c r="P26" s="57">
        <f>INDEX(C_AllComp[lsv_per_mhz], MATCH(C_Distance[[#This Row],[int_comp3]], C_AllComp[comp_id], 0))</f>
        <v>8564660.3818630837</v>
      </c>
      <c r="Q26" s="57">
        <f>C_Distance[[#This Row],[lsv_per_mhz_1]]-C_Distance[[#This Row],[lsv_per_mhz_3]]</f>
        <v>19112030.33858379</v>
      </c>
      <c r="R26" s="57">
        <f>C_Distance[[#This Row],[lsv_per_mhz_2]]-C_Distance[[#This Row],[lsv_per_mhz_3]]</f>
        <v>5857692.2945268583</v>
      </c>
      <c r="S26" s="56">
        <f>C_Distance[[#This Row],[dist_y_2_3]]/C_Distance[[#This Row],[dist_x_1_3]]</f>
        <v>0.3064924129332936</v>
      </c>
      <c r="T26" s="57">
        <f>INDEX(C_AllComp[lsv_per_mhz], MATCH(C_Distance[[#This Row],[uk_comp1]], C_AllComp[comp_id], 0))</f>
        <v>14089579.524680082</v>
      </c>
      <c r="U26" s="57">
        <f>INDEX(C_AllComp[lsv_per_mhz], MATCH(C_Distance[[#This Row],[uk_comp3]], C_AllComp[comp_id], 0))</f>
        <v>4226873.8574040243</v>
      </c>
      <c r="V26" s="57">
        <f>C_Distance[[#This Row],[lsv_per_mhz_uk3]]+C_Distance[[#This Row],[ratio_y_x]]*(C_Distance[[#This Row],[lsv_per_mhz_uk1]]-C_Distance[[#This Row],[lsv_per_mhz_uk3]])</f>
        <v>7249718.3154183328</v>
      </c>
    </row>
    <row r="27" spans="1:22" x14ac:dyDescent="0.45">
      <c r="A27" s="50" t="s">
        <v>817</v>
      </c>
      <c r="B27">
        <v>2100</v>
      </c>
      <c r="C27" t="s">
        <v>764</v>
      </c>
      <c r="D27" t="s">
        <v>169</v>
      </c>
      <c r="E27" s="50" t="s">
        <v>651</v>
      </c>
      <c r="F27" s="50" t="s">
        <v>653</v>
      </c>
      <c r="G27" s="50" t="s">
        <v>656</v>
      </c>
      <c r="H27" s="50" t="s">
        <v>631</v>
      </c>
      <c r="I27" s="50" t="s">
        <v>88</v>
      </c>
      <c r="J27" s="50">
        <v>1</v>
      </c>
      <c r="K27" s="25" t="s">
        <v>687</v>
      </c>
      <c r="L27" s="25" t="s">
        <v>687</v>
      </c>
      <c r="M27" s="25" t="s">
        <v>691</v>
      </c>
      <c r="N27" s="57">
        <f>INDEX(C_AllComp[lsv_per_mhz], MATCH(C_Distance[[#This Row],[int_comp1]], C_AllComp[comp_id], 0))</f>
        <v>26968879.020205256</v>
      </c>
      <c r="O27" s="57">
        <f>INDEX(C_AllComp[lsv_per_mhz], MATCH(C_Distance[[#This Row],[int_comp2]], C_AllComp[comp_id], 0))</f>
        <v>29959842.055606421</v>
      </c>
      <c r="P27" s="57">
        <f>INDEX(C_AllComp[lsv_per_mhz], MATCH(C_Distance[[#This Row],[int_comp3]], C_AllComp[comp_id], 0))</f>
        <v>8233284.495426462</v>
      </c>
      <c r="Q27" s="57">
        <f>C_Distance[[#This Row],[lsv_per_mhz_1]]-C_Distance[[#This Row],[lsv_per_mhz_3]]</f>
        <v>18735594.524778794</v>
      </c>
      <c r="R27" s="57">
        <f>C_Distance[[#This Row],[lsv_per_mhz_2]]-C_Distance[[#This Row],[lsv_per_mhz_3]]</f>
        <v>21726557.56017996</v>
      </c>
      <c r="S27" s="56">
        <f>C_Distance[[#This Row],[dist_y_2_3]]/C_Distance[[#This Row],[dist_x_1_3]]</f>
        <v>1.1596406792133265</v>
      </c>
      <c r="T27" s="57">
        <f>INDEX(C_AllComp[lsv_per_mhz], MATCH(C_Distance[[#This Row],[uk_comp1]], C_AllComp[comp_id], 0))</f>
        <v>14089579.524680082</v>
      </c>
      <c r="U27" s="57">
        <f>INDEX(C_AllComp[lsv_per_mhz], MATCH(C_Distance[[#This Row],[uk_comp3]], C_AllComp[comp_id], 0))</f>
        <v>5376933.017077799</v>
      </c>
      <c r="V27" s="57">
        <f>C_Distance[[#This Row],[lsv_per_mhz_uk3]]+C_Distance[[#This Row],[ratio_y_x]]*(C_Distance[[#This Row],[lsv_per_mhz_uk1]]-C_Distance[[#This Row],[lsv_per_mhz_uk3]])</f>
        <v>15480472.330899324</v>
      </c>
    </row>
    <row r="28" spans="1:22" x14ac:dyDescent="0.45">
      <c r="A28" s="50" t="s">
        <v>818</v>
      </c>
      <c r="B28">
        <v>2100</v>
      </c>
      <c r="C28" t="s">
        <v>796</v>
      </c>
      <c r="D28" t="s">
        <v>169</v>
      </c>
      <c r="E28" s="50" t="s">
        <v>651</v>
      </c>
      <c r="F28" s="50" t="s">
        <v>653</v>
      </c>
      <c r="G28" s="50" t="s">
        <v>786</v>
      </c>
      <c r="H28" s="50" t="s">
        <v>631</v>
      </c>
      <c r="I28" s="50" t="s">
        <v>790</v>
      </c>
      <c r="J28" s="50">
        <v>1</v>
      </c>
      <c r="K28" s="25" t="s">
        <v>687</v>
      </c>
      <c r="L28" s="25" t="s">
        <v>687</v>
      </c>
      <c r="M28" s="25" t="s">
        <v>691</v>
      </c>
      <c r="N28" s="57">
        <f>INDEX(C_AllComp[lsv_per_mhz], MATCH(C_Distance[[#This Row],[int_comp1]], C_AllComp[comp_id], 0))</f>
        <v>26968879.020205256</v>
      </c>
      <c r="O28" s="57">
        <f>INDEX(C_AllComp[lsv_per_mhz], MATCH(C_Distance[[#This Row],[int_comp2]], C_AllComp[comp_id], 0))</f>
        <v>29959842.055606421</v>
      </c>
      <c r="P28" s="57">
        <f>INDEX(C_AllComp[lsv_per_mhz], MATCH(C_Distance[[#This Row],[int_comp3]], C_AllComp[comp_id], 0))</f>
        <v>6324957.2499492811</v>
      </c>
      <c r="Q28" s="57">
        <f>C_Distance[[#This Row],[lsv_per_mhz_1]]-C_Distance[[#This Row],[lsv_per_mhz_3]]</f>
        <v>20643921.770255975</v>
      </c>
      <c r="R28" s="57">
        <f>C_Distance[[#This Row],[lsv_per_mhz_2]]-C_Distance[[#This Row],[lsv_per_mhz_3]]</f>
        <v>23634884.805657141</v>
      </c>
      <c r="S28" s="56">
        <f>C_Distance[[#This Row],[dist_y_2_3]]/C_Distance[[#This Row],[dist_x_1_3]]</f>
        <v>1.144883470722631</v>
      </c>
      <c r="T28" s="57">
        <f>INDEX(C_AllComp[lsv_per_mhz], MATCH(C_Distance[[#This Row],[uk_comp1]], C_AllComp[comp_id], 0))</f>
        <v>14089579.524680082</v>
      </c>
      <c r="U28" s="57">
        <f>INDEX(C_AllComp[lsv_per_mhz], MATCH(C_Distance[[#This Row],[uk_comp3]], C_AllComp[comp_id], 0))</f>
        <v>7902129.7912713494</v>
      </c>
      <c r="V28" s="57">
        <f>C_Distance[[#This Row],[lsv_per_mhz_uk3]]+C_Distance[[#This Row],[ratio_y_x]]*(C_Distance[[#This Row],[lsv_per_mhz_uk1]]-C_Distance[[#This Row],[lsv_per_mhz_uk3]])</f>
        <v>14986038.716978157</v>
      </c>
    </row>
    <row r="29" spans="1:22" x14ac:dyDescent="0.45">
      <c r="A29" s="50" t="s">
        <v>819</v>
      </c>
      <c r="B29">
        <v>2100</v>
      </c>
      <c r="C29" t="s">
        <v>787</v>
      </c>
      <c r="D29" t="s">
        <v>169</v>
      </c>
      <c r="E29" s="50" t="s">
        <v>651</v>
      </c>
      <c r="F29" s="50" t="s">
        <v>653</v>
      </c>
      <c r="G29" s="50" t="s">
        <v>786</v>
      </c>
      <c r="H29" s="50" t="s">
        <v>631</v>
      </c>
      <c r="I29" s="50" t="s">
        <v>789</v>
      </c>
      <c r="J29" s="50">
        <v>1</v>
      </c>
      <c r="K29" s="25" t="s">
        <v>687</v>
      </c>
      <c r="L29" s="25" t="s">
        <v>687</v>
      </c>
      <c r="M29" s="25" t="s">
        <v>691</v>
      </c>
      <c r="N29" s="57">
        <f>INDEX(C_AllComp[lsv_per_mhz], MATCH(C_Distance[[#This Row],[int_comp1]], C_AllComp[comp_id], 0))</f>
        <v>26968879.020205256</v>
      </c>
      <c r="O29" s="57">
        <f>INDEX(C_AllComp[lsv_per_mhz], MATCH(C_Distance[[#This Row],[int_comp2]], C_AllComp[comp_id], 0))</f>
        <v>29959842.055606421</v>
      </c>
      <c r="P29" s="57">
        <f>INDEX(C_AllComp[lsv_per_mhz], MATCH(C_Distance[[#This Row],[int_comp3]], C_AllComp[comp_id], 0))</f>
        <v>6324957.2499492811</v>
      </c>
      <c r="Q29" s="57">
        <f>C_Distance[[#This Row],[lsv_per_mhz_1]]-C_Distance[[#This Row],[lsv_per_mhz_3]]</f>
        <v>20643921.770255975</v>
      </c>
      <c r="R29" s="57">
        <f>C_Distance[[#This Row],[lsv_per_mhz_2]]-C_Distance[[#This Row],[lsv_per_mhz_3]]</f>
        <v>23634884.805657141</v>
      </c>
      <c r="S29" s="56">
        <f>C_Distance[[#This Row],[dist_y_2_3]]/C_Distance[[#This Row],[dist_x_1_3]]</f>
        <v>1.144883470722631</v>
      </c>
      <c r="T29" s="57">
        <f>INDEX(C_AllComp[lsv_per_mhz], MATCH(C_Distance[[#This Row],[uk_comp1]], C_AllComp[comp_id], 0))</f>
        <v>14089579.524680082</v>
      </c>
      <c r="U29" s="57">
        <f>INDEX(C_AllComp[lsv_per_mhz], MATCH(C_Distance[[#This Row],[uk_comp3]], C_AllComp[comp_id], 0))</f>
        <v>4226873.8574040243</v>
      </c>
      <c r="V29" s="57">
        <f>C_Distance[[#This Row],[lsv_per_mhz_uk3]]+C_Distance[[#This Row],[ratio_y_x]]*(C_Distance[[#This Row],[lsv_per_mhz_uk1]]-C_Distance[[#This Row],[lsv_per_mhz_uk3]])</f>
        <v>15518522.5524708</v>
      </c>
    </row>
    <row r="30" spans="1:22" x14ac:dyDescent="0.45">
      <c r="A30" s="50" t="s">
        <v>895</v>
      </c>
      <c r="B30">
        <v>2100</v>
      </c>
      <c r="C30" t="s">
        <v>763</v>
      </c>
      <c r="D30" t="s">
        <v>161</v>
      </c>
      <c r="E30" s="50" t="s">
        <v>137</v>
      </c>
      <c r="F30" s="50" t="s">
        <v>160</v>
      </c>
      <c r="G30" s="50" t="s">
        <v>859</v>
      </c>
      <c r="H30" s="50" t="s">
        <v>887</v>
      </c>
      <c r="I30" s="50" t="s">
        <v>828</v>
      </c>
      <c r="J30" s="50">
        <v>3</v>
      </c>
      <c r="K30" s="25" t="s">
        <v>687</v>
      </c>
      <c r="L30" s="25" t="s">
        <v>687</v>
      </c>
      <c r="M30" s="25" t="s">
        <v>687</v>
      </c>
      <c r="N30" s="57">
        <f>INDEX(C_AllComp[lsv_per_mhz], MATCH(C_Distance[[#This Row],[int_comp1]], C_AllComp[comp_id], 0))</f>
        <v>86198048.456614733</v>
      </c>
      <c r="O30" s="57">
        <f>INDEX(C_AllComp[lsv_per_mhz], MATCH(C_Distance[[#This Row],[int_comp2]], C_AllComp[comp_id], 0))</f>
        <v>34745796.594720982</v>
      </c>
      <c r="P30" s="57">
        <f>INDEX(C_AllComp[lsv_per_mhz], MATCH(C_Distance[[#This Row],[int_comp3]], C_AllComp[comp_id], 0))</f>
        <v>9227455.5414314978</v>
      </c>
      <c r="Q30" s="57">
        <f>C_Distance[[#This Row],[lsv_per_mhz_1]]-C_Distance[[#This Row],[lsv_per_mhz_3]]</f>
        <v>76970592.915183231</v>
      </c>
      <c r="R30" s="57">
        <f>C_Distance[[#This Row],[lsv_per_mhz_2]]-C_Distance[[#This Row],[lsv_per_mhz_3]]</f>
        <v>25518341.053289484</v>
      </c>
      <c r="S30" s="56">
        <f>C_Distance[[#This Row],[dist_y_2_3]]/C_Distance[[#This Row],[dist_x_1_3]]</f>
        <v>0.33153364274339286</v>
      </c>
      <c r="T30" s="57">
        <f>INDEX(C_AllComp[lsv_per_mhz], MATCH(C_Distance[[#This Row],[uk_comp1]], C_AllComp[comp_id], 0))</f>
        <v>33669724.770642243</v>
      </c>
      <c r="U30" s="57">
        <f>INDEX(C_AllComp[lsv_per_mhz], MATCH(C_Distance[[#This Row],[uk_comp3]], C_AllComp[comp_id], 0))</f>
        <v>6172782.8746177433</v>
      </c>
      <c r="V30" s="57">
        <f>C_Distance[[#This Row],[lsv_per_mhz_uk3]]+C_Distance[[#This Row],[ratio_y_x]]*(C_Distance[[#This Row],[lsv_per_mhz_uk1]]-C_Distance[[#This Row],[lsv_per_mhz_uk3]])</f>
        <v>15288944.185710162</v>
      </c>
    </row>
    <row r="31" spans="1:22" x14ac:dyDescent="0.45">
      <c r="A31" s="50" t="s">
        <v>864</v>
      </c>
      <c r="B31">
        <v>2100</v>
      </c>
      <c r="C31" t="s">
        <v>762</v>
      </c>
      <c r="D31" t="s">
        <v>149</v>
      </c>
      <c r="E31" s="50" t="s">
        <v>148</v>
      </c>
      <c r="F31" s="50" t="s">
        <v>151</v>
      </c>
      <c r="G31" s="50" t="s">
        <v>174</v>
      </c>
      <c r="H31" s="50" t="s">
        <v>631</v>
      </c>
      <c r="I31" s="50" t="s">
        <v>828</v>
      </c>
      <c r="J31" s="50">
        <v>3</v>
      </c>
      <c r="K31" s="25" t="s">
        <v>687</v>
      </c>
      <c r="L31" s="25" t="s">
        <v>687</v>
      </c>
      <c r="M31" s="25" t="s">
        <v>687</v>
      </c>
      <c r="N31" s="57">
        <f>INDEX(C_AllComp[lsv_per_mhz], MATCH(C_Distance[[#This Row],[int_comp1]], C_AllComp[comp_id], 0))</f>
        <v>24762852.449566148</v>
      </c>
      <c r="O31" s="57">
        <f>INDEX(C_AllComp[lsv_per_mhz], MATCH(C_Distance[[#This Row],[int_comp2]], C_AllComp[comp_id], 0))</f>
        <v>8659438.531224817</v>
      </c>
      <c r="P31" s="57">
        <f>INDEX(C_AllComp[lsv_per_mhz], MATCH(C_Distance[[#This Row],[int_comp3]], C_AllComp[comp_id], 0))</f>
        <v>4052648.0007775673</v>
      </c>
      <c r="Q31" s="57">
        <f>C_Distance[[#This Row],[lsv_per_mhz_1]]-C_Distance[[#This Row],[lsv_per_mhz_3]]</f>
        <v>20710204.44878858</v>
      </c>
      <c r="R31" s="57">
        <f>C_Distance[[#This Row],[lsv_per_mhz_2]]-C_Distance[[#This Row],[lsv_per_mhz_3]]</f>
        <v>4606790.5304472502</v>
      </c>
      <c r="S31" s="56">
        <f>C_Distance[[#This Row],[dist_y_2_3]]/C_Distance[[#This Row],[dist_x_1_3]]</f>
        <v>0.2224406109480353</v>
      </c>
      <c r="T31" s="57">
        <f>INDEX(C_AllComp[lsv_per_mhz], MATCH(C_Distance[[#This Row],[uk_comp1]], C_AllComp[comp_id], 0))</f>
        <v>14089579.524680082</v>
      </c>
      <c r="U31" s="57">
        <f>INDEX(C_AllComp[lsv_per_mhz], MATCH(C_Distance[[#This Row],[uk_comp3]], C_AllComp[comp_id], 0))</f>
        <v>6172782.8746177433</v>
      </c>
      <c r="V31" s="57">
        <f>C_Distance[[#This Row],[lsv_per_mhz_uk3]]+C_Distance[[#This Row],[ratio_y_x]]*(C_Distance[[#This Row],[lsv_per_mhz_uk1]]-C_Distance[[#This Row],[lsv_per_mhz_uk3]])</f>
        <v>7933799.9582089689</v>
      </c>
    </row>
    <row r="32" spans="1:22" x14ac:dyDescent="0.45">
      <c r="A32" s="50" t="s">
        <v>822</v>
      </c>
      <c r="B32">
        <v>2100</v>
      </c>
      <c r="C32" t="s">
        <v>796</v>
      </c>
      <c r="D32" t="s">
        <v>149</v>
      </c>
      <c r="E32" s="50" t="s">
        <v>148</v>
      </c>
      <c r="F32" s="50" t="s">
        <v>151</v>
      </c>
      <c r="G32" s="50" t="s">
        <v>783</v>
      </c>
      <c r="H32" s="50" t="s">
        <v>631</v>
      </c>
      <c r="I32" s="50" t="s">
        <v>790</v>
      </c>
      <c r="J32" s="50">
        <v>3</v>
      </c>
      <c r="K32" s="25" t="s">
        <v>687</v>
      </c>
      <c r="L32" s="25" t="s">
        <v>687</v>
      </c>
      <c r="M32" s="25" t="s">
        <v>687</v>
      </c>
      <c r="N32" s="57">
        <f>INDEX(C_AllComp[lsv_per_mhz], MATCH(C_Distance[[#This Row],[int_comp1]], C_AllComp[comp_id], 0))</f>
        <v>24762852.449566148</v>
      </c>
      <c r="O32" s="57">
        <f>INDEX(C_AllComp[lsv_per_mhz], MATCH(C_Distance[[#This Row],[int_comp2]], C_AllComp[comp_id], 0))</f>
        <v>8659438.531224817</v>
      </c>
      <c r="P32" s="57">
        <f>INDEX(C_AllComp[lsv_per_mhz], MATCH(C_Distance[[#This Row],[int_comp3]], C_AllComp[comp_id], 0))</f>
        <v>2474033.3088227818</v>
      </c>
      <c r="Q32" s="57">
        <f>C_Distance[[#This Row],[lsv_per_mhz_1]]-C_Distance[[#This Row],[lsv_per_mhz_3]]</f>
        <v>22288819.140743367</v>
      </c>
      <c r="R32" s="57">
        <f>C_Distance[[#This Row],[lsv_per_mhz_2]]-C_Distance[[#This Row],[lsv_per_mhz_3]]</f>
        <v>6185405.2224020353</v>
      </c>
      <c r="S32" s="56">
        <f>C_Distance[[#This Row],[dist_y_2_3]]/C_Distance[[#This Row],[dist_x_1_3]]</f>
        <v>0.27751157131044596</v>
      </c>
      <c r="T32" s="57">
        <f>INDEX(C_AllComp[lsv_per_mhz], MATCH(C_Distance[[#This Row],[uk_comp1]], C_AllComp[comp_id], 0))</f>
        <v>14089579.524680082</v>
      </c>
      <c r="U32" s="57">
        <f>INDEX(C_AllComp[lsv_per_mhz], MATCH(C_Distance[[#This Row],[uk_comp3]], C_AllComp[comp_id], 0))</f>
        <v>7902129.7912713494</v>
      </c>
      <c r="V32" s="57">
        <f>C_Distance[[#This Row],[lsv_per_mhz_uk3]]+C_Distance[[#This Row],[ratio_y_x]]*(C_Distance[[#This Row],[lsv_per_mhz_uk1]]-C_Distance[[#This Row],[lsv_per_mhz_uk3]])</f>
        <v>9619218.6891940068</v>
      </c>
    </row>
    <row r="33" spans="1:22" x14ac:dyDescent="0.45">
      <c r="A33" s="50" t="s">
        <v>823</v>
      </c>
      <c r="B33">
        <v>2100</v>
      </c>
      <c r="C33" t="s">
        <v>787</v>
      </c>
      <c r="D33" t="s">
        <v>149</v>
      </c>
      <c r="E33" s="50" t="s">
        <v>148</v>
      </c>
      <c r="F33" s="50" t="s">
        <v>151</v>
      </c>
      <c r="G33" s="50" t="s">
        <v>783</v>
      </c>
      <c r="H33" s="50" t="s">
        <v>631</v>
      </c>
      <c r="I33" s="50" t="s">
        <v>789</v>
      </c>
      <c r="J33" s="50">
        <v>3</v>
      </c>
      <c r="K33" s="25" t="s">
        <v>687</v>
      </c>
      <c r="L33" s="25" t="s">
        <v>687</v>
      </c>
      <c r="M33" s="25" t="s">
        <v>687</v>
      </c>
      <c r="N33" s="57">
        <f>INDEX(C_AllComp[lsv_per_mhz], MATCH(C_Distance[[#This Row],[int_comp1]], C_AllComp[comp_id], 0))</f>
        <v>24762852.449566148</v>
      </c>
      <c r="O33" s="57">
        <f>INDEX(C_AllComp[lsv_per_mhz], MATCH(C_Distance[[#This Row],[int_comp2]], C_AllComp[comp_id], 0))</f>
        <v>8659438.531224817</v>
      </c>
      <c r="P33" s="57">
        <f>INDEX(C_AllComp[lsv_per_mhz], MATCH(C_Distance[[#This Row],[int_comp3]], C_AllComp[comp_id], 0))</f>
        <v>2474033.3088227818</v>
      </c>
      <c r="Q33" s="57">
        <f>C_Distance[[#This Row],[lsv_per_mhz_1]]-C_Distance[[#This Row],[lsv_per_mhz_3]]</f>
        <v>22288819.140743367</v>
      </c>
      <c r="R33" s="57">
        <f>C_Distance[[#This Row],[lsv_per_mhz_2]]-C_Distance[[#This Row],[lsv_per_mhz_3]]</f>
        <v>6185405.2224020353</v>
      </c>
      <c r="S33" s="56">
        <f>C_Distance[[#This Row],[dist_y_2_3]]/C_Distance[[#This Row],[dist_x_1_3]]</f>
        <v>0.27751157131044596</v>
      </c>
      <c r="T33" s="57">
        <f>INDEX(C_AllComp[lsv_per_mhz], MATCH(C_Distance[[#This Row],[uk_comp1]], C_AllComp[comp_id], 0))</f>
        <v>14089579.524680082</v>
      </c>
      <c r="U33" s="57">
        <f>INDEX(C_AllComp[lsv_per_mhz], MATCH(C_Distance[[#This Row],[uk_comp3]], C_AllComp[comp_id], 0))</f>
        <v>4226873.8574040243</v>
      </c>
      <c r="V33" s="57">
        <f>C_Distance[[#This Row],[lsv_per_mhz_uk3]]+C_Distance[[#This Row],[ratio_y_x]]*(C_Distance[[#This Row],[lsv_per_mhz_uk1]]-C_Distance[[#This Row],[lsv_per_mhz_uk3]])</f>
        <v>6963888.8045022432</v>
      </c>
    </row>
    <row r="34" spans="1:22" x14ac:dyDescent="0.45">
      <c r="A34" s="50" t="s">
        <v>856</v>
      </c>
      <c r="B34">
        <v>2100</v>
      </c>
      <c r="C34" t="s">
        <v>763</v>
      </c>
      <c r="D34" t="s">
        <v>149</v>
      </c>
      <c r="E34" s="50" t="s">
        <v>124</v>
      </c>
      <c r="F34" s="50" t="s">
        <v>151</v>
      </c>
      <c r="G34" s="50" t="s">
        <v>174</v>
      </c>
      <c r="H34" s="50" t="s">
        <v>887</v>
      </c>
      <c r="I34" s="50" t="s">
        <v>828</v>
      </c>
      <c r="J34" s="50">
        <v>3</v>
      </c>
      <c r="K34" s="25" t="s">
        <v>687</v>
      </c>
      <c r="L34" s="25" t="s">
        <v>687</v>
      </c>
      <c r="M34" s="25" t="s">
        <v>687</v>
      </c>
      <c r="N34" s="57">
        <f>INDEX(C_AllComp[lsv_per_mhz], MATCH(C_Distance[[#This Row],[int_comp1]], C_AllComp[comp_id], 0))</f>
        <v>44406860.915909581</v>
      </c>
      <c r="O34" s="57">
        <f>INDEX(C_AllComp[lsv_per_mhz], MATCH(C_Distance[[#This Row],[int_comp2]], C_AllComp[comp_id], 0))</f>
        <v>8659438.531224817</v>
      </c>
      <c r="P34" s="57">
        <f>INDEX(C_AllComp[lsv_per_mhz], MATCH(C_Distance[[#This Row],[int_comp3]], C_AllComp[comp_id], 0))</f>
        <v>4052648.0007775673</v>
      </c>
      <c r="Q34" s="57">
        <f>C_Distance[[#This Row],[lsv_per_mhz_1]]-C_Distance[[#This Row],[lsv_per_mhz_3]]</f>
        <v>40354212.915132016</v>
      </c>
      <c r="R34" s="57">
        <f>C_Distance[[#This Row],[lsv_per_mhz_2]]-C_Distance[[#This Row],[lsv_per_mhz_3]]</f>
        <v>4606790.5304472502</v>
      </c>
      <c r="S34" s="56">
        <f>C_Distance[[#This Row],[dist_y_2_3]]/C_Distance[[#This Row],[dist_x_1_3]]</f>
        <v>0.11415884978690284</v>
      </c>
      <c r="T34" s="57">
        <f>INDEX(C_AllComp[lsv_per_mhz], MATCH(C_Distance[[#This Row],[uk_comp1]], C_AllComp[comp_id], 0))</f>
        <v>33669724.770642243</v>
      </c>
      <c r="U34" s="57">
        <f>INDEX(C_AllComp[lsv_per_mhz], MATCH(C_Distance[[#This Row],[uk_comp3]], C_AllComp[comp_id], 0))</f>
        <v>6172782.8746177433</v>
      </c>
      <c r="V34" s="57">
        <f>C_Distance[[#This Row],[lsv_per_mhz_uk3]]+C_Distance[[#This Row],[ratio_y_x]]*(C_Distance[[#This Row],[lsv_per_mhz_uk1]]-C_Distance[[#This Row],[lsv_per_mhz_uk3]])</f>
        <v>9311802.1341251992</v>
      </c>
    </row>
    <row r="35" spans="1:22" x14ac:dyDescent="0.45">
      <c r="A35" s="50" t="s">
        <v>857</v>
      </c>
      <c r="B35">
        <v>2100</v>
      </c>
      <c r="C35" t="s">
        <v>797</v>
      </c>
      <c r="D35" t="s">
        <v>149</v>
      </c>
      <c r="E35" s="50" t="s">
        <v>124</v>
      </c>
      <c r="F35" s="50" t="s">
        <v>151</v>
      </c>
      <c r="G35" s="50" t="s">
        <v>783</v>
      </c>
      <c r="H35" s="50" t="s">
        <v>887</v>
      </c>
      <c r="I35" s="50" t="s">
        <v>790</v>
      </c>
      <c r="J35" s="50">
        <v>3</v>
      </c>
      <c r="K35" s="25" t="s">
        <v>687</v>
      </c>
      <c r="L35" s="25" t="s">
        <v>687</v>
      </c>
      <c r="M35" s="25" t="s">
        <v>687</v>
      </c>
      <c r="N35" s="57">
        <f>INDEX(C_AllComp[lsv_per_mhz], MATCH(C_Distance[[#This Row],[int_comp1]], C_AllComp[comp_id], 0))</f>
        <v>44406860.915909581</v>
      </c>
      <c r="O35" s="57">
        <f>INDEX(C_AllComp[lsv_per_mhz], MATCH(C_Distance[[#This Row],[int_comp2]], C_AllComp[comp_id], 0))</f>
        <v>8659438.531224817</v>
      </c>
      <c r="P35" s="57">
        <f>INDEX(C_AllComp[lsv_per_mhz], MATCH(C_Distance[[#This Row],[int_comp3]], C_AllComp[comp_id], 0))</f>
        <v>2474033.3088227818</v>
      </c>
      <c r="Q35" s="57">
        <f>C_Distance[[#This Row],[lsv_per_mhz_1]]-C_Distance[[#This Row],[lsv_per_mhz_3]]</f>
        <v>41932827.6070868</v>
      </c>
      <c r="R35" s="57">
        <f>C_Distance[[#This Row],[lsv_per_mhz_2]]-C_Distance[[#This Row],[lsv_per_mhz_3]]</f>
        <v>6185405.2224020353</v>
      </c>
      <c r="S35" s="56">
        <f>C_Distance[[#This Row],[dist_y_2_3]]/C_Distance[[#This Row],[dist_x_1_3]]</f>
        <v>0.14750746790461322</v>
      </c>
      <c r="T35" s="57">
        <f>INDEX(C_AllComp[lsv_per_mhz], MATCH(C_Distance[[#This Row],[uk_comp1]], C_AllComp[comp_id], 0))</f>
        <v>33669724.770642243</v>
      </c>
      <c r="U35" s="57">
        <f>INDEX(C_AllComp[lsv_per_mhz], MATCH(C_Distance[[#This Row],[uk_comp3]], C_AllComp[comp_id], 0))</f>
        <v>7902129.7912713494</v>
      </c>
      <c r="V35" s="57">
        <f>C_Distance[[#This Row],[lsv_per_mhz_uk3]]+C_Distance[[#This Row],[ratio_y_x]]*(C_Distance[[#This Row],[lsv_per_mhz_uk1]]-C_Distance[[#This Row],[lsv_per_mhz_uk3]])</f>
        <v>11703042.480669973</v>
      </c>
    </row>
    <row r="36" spans="1:22" x14ac:dyDescent="0.45">
      <c r="A36" s="50" t="s">
        <v>858</v>
      </c>
      <c r="B36">
        <v>2100</v>
      </c>
      <c r="C36" t="s">
        <v>788</v>
      </c>
      <c r="D36" t="s">
        <v>149</v>
      </c>
      <c r="E36" s="50" t="s">
        <v>124</v>
      </c>
      <c r="F36" s="50" t="s">
        <v>151</v>
      </c>
      <c r="G36" s="50" t="s">
        <v>783</v>
      </c>
      <c r="H36" s="50" t="s">
        <v>887</v>
      </c>
      <c r="I36" s="50" t="s">
        <v>789</v>
      </c>
      <c r="J36" s="50">
        <v>3</v>
      </c>
      <c r="K36" s="25" t="s">
        <v>687</v>
      </c>
      <c r="L36" s="25" t="s">
        <v>687</v>
      </c>
      <c r="M36" s="25" t="s">
        <v>687</v>
      </c>
      <c r="N36" s="57">
        <f>INDEX(C_AllComp[lsv_per_mhz], MATCH(C_Distance[[#This Row],[int_comp1]], C_AllComp[comp_id], 0))</f>
        <v>44406860.915909581</v>
      </c>
      <c r="O36" s="57">
        <f>INDEX(C_AllComp[lsv_per_mhz], MATCH(C_Distance[[#This Row],[int_comp2]], C_AllComp[comp_id], 0))</f>
        <v>8659438.531224817</v>
      </c>
      <c r="P36" s="57">
        <f>INDEX(C_AllComp[lsv_per_mhz], MATCH(C_Distance[[#This Row],[int_comp3]], C_AllComp[comp_id], 0))</f>
        <v>2474033.3088227818</v>
      </c>
      <c r="Q36" s="57">
        <f>C_Distance[[#This Row],[lsv_per_mhz_1]]-C_Distance[[#This Row],[lsv_per_mhz_3]]</f>
        <v>41932827.6070868</v>
      </c>
      <c r="R36" s="57">
        <f>C_Distance[[#This Row],[lsv_per_mhz_2]]-C_Distance[[#This Row],[lsv_per_mhz_3]]</f>
        <v>6185405.2224020353</v>
      </c>
      <c r="S36" s="56">
        <f>C_Distance[[#This Row],[dist_y_2_3]]/C_Distance[[#This Row],[dist_x_1_3]]</f>
        <v>0.14750746790461322</v>
      </c>
      <c r="T36" s="57">
        <f>INDEX(C_AllComp[lsv_per_mhz], MATCH(C_Distance[[#This Row],[uk_comp1]], C_AllComp[comp_id], 0))</f>
        <v>33669724.770642243</v>
      </c>
      <c r="U36" s="57">
        <f>INDEX(C_AllComp[lsv_per_mhz], MATCH(C_Distance[[#This Row],[uk_comp3]], C_AllComp[comp_id], 0))</f>
        <v>4226873.8574040243</v>
      </c>
      <c r="V36" s="57">
        <f>C_Distance[[#This Row],[lsv_per_mhz_uk3]]+C_Distance[[#This Row],[ratio_y_x]]*(C_Distance[[#This Row],[lsv_per_mhz_uk1]]-C_Distance[[#This Row],[lsv_per_mhz_uk3]])</f>
        <v>8569914.2435088232</v>
      </c>
    </row>
    <row r="37" spans="1:22" x14ac:dyDescent="0.45">
      <c r="A37" s="50" t="s">
        <v>821</v>
      </c>
      <c r="B37">
        <v>2100</v>
      </c>
      <c r="C37" s="25" t="s">
        <v>762</v>
      </c>
      <c r="D37" s="25" t="s">
        <v>165</v>
      </c>
      <c r="E37" s="50" t="s">
        <v>111</v>
      </c>
      <c r="F37" s="50" t="s">
        <v>117</v>
      </c>
      <c r="G37" s="50" t="s">
        <v>166</v>
      </c>
      <c r="H37" s="50" t="s">
        <v>631</v>
      </c>
      <c r="I37" s="50" t="s">
        <v>828</v>
      </c>
      <c r="J37" s="50">
        <v>3</v>
      </c>
      <c r="K37" s="25" t="s">
        <v>687</v>
      </c>
      <c r="L37" s="25" t="s">
        <v>687</v>
      </c>
      <c r="M37" s="25" t="s">
        <v>687</v>
      </c>
      <c r="N37" s="57">
        <f>INDEX(C_AllComp[lsv_per_mhz], MATCH(C_Distance[[#This Row],[int_comp1]], C_AllComp[comp_id], 0))</f>
        <v>5532992.3407901749</v>
      </c>
      <c r="O37" s="57">
        <f>INDEX(C_AllComp[lsv_per_mhz], MATCH(C_Distance[[#This Row],[int_comp2]], C_AllComp[comp_id], 0))</f>
        <v>5181326.5047871228</v>
      </c>
      <c r="P37" s="57">
        <f>INDEX(C_AllComp[lsv_per_mhz], MATCH(C_Distance[[#This Row],[int_comp3]], C_AllComp[comp_id], 0))</f>
        <v>3682351.2701226664</v>
      </c>
      <c r="Q37" s="57">
        <f>C_Distance[[#This Row],[lsv_per_mhz_1]]-C_Distance[[#This Row],[lsv_per_mhz_3]]</f>
        <v>1850641.0706675085</v>
      </c>
      <c r="R37" s="57">
        <f>C_Distance[[#This Row],[lsv_per_mhz_2]]-C_Distance[[#This Row],[lsv_per_mhz_3]]</f>
        <v>1498975.2346644565</v>
      </c>
      <c r="S37" s="56">
        <f>C_Distance[[#This Row],[dist_y_2_3]]/C_Distance[[#This Row],[dist_x_1_3]]</f>
        <v>0.80997620685235872</v>
      </c>
      <c r="T37" s="57">
        <f>INDEX(C_AllComp[lsv_per_mhz], MATCH(C_Distance[[#This Row],[uk_comp1]], C_AllComp[comp_id], 0))</f>
        <v>14089579.524680082</v>
      </c>
      <c r="U37" s="57">
        <f>INDEX(C_AllComp[lsv_per_mhz], MATCH(C_Distance[[#This Row],[uk_comp3]], C_AllComp[comp_id], 0))</f>
        <v>6172782.8746177433</v>
      </c>
      <c r="V37" s="57">
        <f>C_Distance[[#This Row],[lsv_per_mhz_uk3]]+C_Distance[[#This Row],[ratio_y_x]]*(C_Distance[[#This Row],[lsv_per_mhz_uk1]]-C_Distance[[#This Row],[lsv_per_mhz_uk3]])</f>
        <v>12585199.795656696</v>
      </c>
    </row>
    <row r="38" spans="1:22" x14ac:dyDescent="0.45">
      <c r="A38" s="50" t="s">
        <v>820</v>
      </c>
      <c r="B38">
        <v>2100</v>
      </c>
      <c r="C38" s="25" t="s">
        <v>763</v>
      </c>
      <c r="D38" s="25" t="s">
        <v>165</v>
      </c>
      <c r="E38" s="50" t="s">
        <v>114</v>
      </c>
      <c r="F38" s="50" t="s">
        <v>117</v>
      </c>
      <c r="G38" s="50" t="s">
        <v>166</v>
      </c>
      <c r="H38" s="50" t="s">
        <v>827</v>
      </c>
      <c r="I38" s="50" t="s">
        <v>828</v>
      </c>
      <c r="J38" s="50">
        <v>3</v>
      </c>
      <c r="K38" s="25" t="s">
        <v>687</v>
      </c>
      <c r="L38" s="25" t="s">
        <v>687</v>
      </c>
      <c r="M38" s="25" t="s">
        <v>687</v>
      </c>
      <c r="N38" s="57">
        <f>INDEX(C_AllComp[lsv_per_mhz], MATCH(C_Distance[[#This Row],[int_comp1]], C_AllComp[comp_id], 0))</f>
        <v>5532992.3407901749</v>
      </c>
      <c r="O38" s="57">
        <f>INDEX(C_AllComp[lsv_per_mhz], MATCH(C_Distance[[#This Row],[int_comp2]], C_AllComp[comp_id], 0))</f>
        <v>5181326.5047871228</v>
      </c>
      <c r="P38" s="57">
        <f>INDEX(C_AllComp[lsv_per_mhz], MATCH(C_Distance[[#This Row],[int_comp3]], C_AllComp[comp_id], 0))</f>
        <v>3682351.2701226664</v>
      </c>
      <c r="Q38" s="57">
        <f>C_Distance[[#This Row],[lsv_per_mhz_1]]-C_Distance[[#This Row],[lsv_per_mhz_3]]</f>
        <v>1850641.0706675085</v>
      </c>
      <c r="R38" s="57">
        <f>C_Distance[[#This Row],[lsv_per_mhz_2]]-C_Distance[[#This Row],[lsv_per_mhz_3]]</f>
        <v>1498975.2346644565</v>
      </c>
      <c r="S38" s="56">
        <f>C_Distance[[#This Row],[dist_y_2_3]]/C_Distance[[#This Row],[dist_x_1_3]]</f>
        <v>0.80997620685235872</v>
      </c>
      <c r="T38" s="57">
        <f>INDEX(C_AllComp[lsv_per_mhz], MATCH(C_Distance[[#This Row],[uk_comp1]], C_AllComp[comp_id], 0))</f>
        <v>37036697.247706465</v>
      </c>
      <c r="U38" s="57">
        <f>INDEX(C_AllComp[lsv_per_mhz], MATCH(C_Distance[[#This Row],[uk_comp3]], C_AllComp[comp_id], 0))</f>
        <v>6172782.8746177433</v>
      </c>
      <c r="V38" s="57">
        <f>C_Distance[[#This Row],[lsv_per_mhz_uk3]]+C_Distance[[#This Row],[ratio_y_x]]*(C_Distance[[#This Row],[lsv_per_mhz_uk1]]-C_Distance[[#This Row],[lsv_per_mhz_uk3]])</f>
        <v>31171819.167148143</v>
      </c>
    </row>
    <row r="39" spans="1:22" x14ac:dyDescent="0.45">
      <c r="A39" s="50" t="s">
        <v>874</v>
      </c>
      <c r="B39">
        <v>2100</v>
      </c>
      <c r="C39" s="25" t="s">
        <v>764</v>
      </c>
      <c r="D39" s="25" t="s">
        <v>159</v>
      </c>
      <c r="E39" s="50" t="s">
        <v>101</v>
      </c>
      <c r="F39" s="50" t="s">
        <v>106</v>
      </c>
      <c r="G39" s="50" t="s">
        <v>841</v>
      </c>
      <c r="H39" s="50" t="s">
        <v>631</v>
      </c>
      <c r="I39" s="50" t="s">
        <v>88</v>
      </c>
      <c r="J39" s="50">
        <v>3</v>
      </c>
      <c r="K39" s="25" t="s">
        <v>687</v>
      </c>
      <c r="L39" s="25" t="s">
        <v>687</v>
      </c>
      <c r="M39" s="25" t="s">
        <v>687</v>
      </c>
      <c r="N39" s="57">
        <f>INDEX(C_AllComp[lsv_per_mhz], MATCH(C_Distance[[#This Row],[int_comp1]], C_AllComp[comp_id], 0))</f>
        <v>19026505.463126563</v>
      </c>
      <c r="O39" s="57">
        <f>INDEX(C_AllComp[lsv_per_mhz], MATCH(C_Distance[[#This Row],[int_comp2]], C_AllComp[comp_id], 0))</f>
        <v>11268906.793161867</v>
      </c>
      <c r="P39" s="57">
        <f>INDEX(C_AllComp[lsv_per_mhz], MATCH(C_Distance[[#This Row],[int_comp3]], C_AllComp[comp_id], 0))</f>
        <v>3096815.9113904098</v>
      </c>
      <c r="Q39" s="57">
        <f>C_Distance[[#This Row],[lsv_per_mhz_1]]-C_Distance[[#This Row],[lsv_per_mhz_3]]</f>
        <v>15929689.551736154</v>
      </c>
      <c r="R39" s="57">
        <f>C_Distance[[#This Row],[lsv_per_mhz_2]]-C_Distance[[#This Row],[lsv_per_mhz_3]]</f>
        <v>8172090.8817714574</v>
      </c>
      <c r="S39" s="56">
        <f>C_Distance[[#This Row],[dist_y_2_3]]/C_Distance[[#This Row],[dist_x_1_3]]</f>
        <v>0.51301005303526415</v>
      </c>
      <c r="T39" s="57">
        <f>INDEX(C_AllComp[lsv_per_mhz], MATCH(C_Distance[[#This Row],[uk_comp1]], C_AllComp[comp_id], 0))</f>
        <v>14089579.524680082</v>
      </c>
      <c r="U39" s="57">
        <f>INDEX(C_AllComp[lsv_per_mhz], MATCH(C_Distance[[#This Row],[uk_comp3]], C_AllComp[comp_id], 0))</f>
        <v>5376933.017077799</v>
      </c>
      <c r="V39" s="57">
        <f>C_Distance[[#This Row],[lsv_per_mhz_uk3]]+C_Distance[[#This Row],[ratio_y_x]]*(C_Distance[[#This Row],[lsv_per_mhz_uk1]]-C_Distance[[#This Row],[lsv_per_mhz_uk3]])</f>
        <v>9846608.2640203536</v>
      </c>
    </row>
    <row r="40" spans="1:22" x14ac:dyDescent="0.45">
      <c r="A40" s="50" t="s">
        <v>873</v>
      </c>
      <c r="B40">
        <v>2100</v>
      </c>
      <c r="C40" s="25" t="s">
        <v>764</v>
      </c>
      <c r="D40" s="25" t="s">
        <v>159</v>
      </c>
      <c r="E40" s="50" t="s">
        <v>101</v>
      </c>
      <c r="F40" s="50" t="s">
        <v>106</v>
      </c>
      <c r="G40" s="50" t="s">
        <v>843</v>
      </c>
      <c r="H40" s="50" t="s">
        <v>631</v>
      </c>
      <c r="I40" s="50" t="s">
        <v>88</v>
      </c>
      <c r="J40" s="50">
        <v>3</v>
      </c>
      <c r="K40" s="25" t="s">
        <v>687</v>
      </c>
      <c r="L40" s="25" t="s">
        <v>687</v>
      </c>
      <c r="M40" s="25" t="s">
        <v>687</v>
      </c>
      <c r="N40" s="57">
        <f>INDEX(C_AllComp[lsv_per_mhz], MATCH(C_Distance[[#This Row],[int_comp1]], C_AllComp[comp_id], 0))</f>
        <v>19026505.463126563</v>
      </c>
      <c r="O40" s="57">
        <f>INDEX(C_AllComp[lsv_per_mhz], MATCH(C_Distance[[#This Row],[int_comp2]], C_AllComp[comp_id], 0))</f>
        <v>11268906.793161867</v>
      </c>
      <c r="P40" s="57">
        <f>INDEX(C_AllComp[lsv_per_mhz], MATCH(C_Distance[[#This Row],[int_comp3]], C_AllComp[comp_id], 0))</f>
        <v>4769967.6450978871</v>
      </c>
      <c r="Q40" s="57">
        <f>C_Distance[[#This Row],[lsv_per_mhz_1]]-C_Distance[[#This Row],[lsv_per_mhz_3]]</f>
        <v>14256537.818028675</v>
      </c>
      <c r="R40" s="57">
        <f>C_Distance[[#This Row],[lsv_per_mhz_2]]-C_Distance[[#This Row],[lsv_per_mhz_3]]</f>
        <v>6498939.14806398</v>
      </c>
      <c r="S40" s="56">
        <f>C_Distance[[#This Row],[dist_y_2_3]]/C_Distance[[#This Row],[dist_x_1_3]]</f>
        <v>0.45585676066776087</v>
      </c>
      <c r="T40" s="57">
        <f>INDEX(C_AllComp[lsv_per_mhz], MATCH(C_Distance[[#This Row],[uk_comp1]], C_AllComp[comp_id], 0))</f>
        <v>14089579.524680082</v>
      </c>
      <c r="U40" s="57">
        <f>INDEX(C_AllComp[lsv_per_mhz], MATCH(C_Distance[[#This Row],[uk_comp3]], C_AllComp[comp_id], 0))</f>
        <v>5376933.017077799</v>
      </c>
      <c r="V40" s="57">
        <f>C_Distance[[#This Row],[lsv_per_mhz_uk3]]+C_Distance[[#This Row],[ratio_y_x]]*(C_Distance[[#This Row],[lsv_per_mhz_uk1]]-C_Distance[[#This Row],[lsv_per_mhz_uk3]])</f>
        <v>9348651.8308766559</v>
      </c>
    </row>
    <row r="41" spans="1:22" x14ac:dyDescent="0.45">
      <c r="A41" s="50" t="s">
        <v>878</v>
      </c>
      <c r="B41">
        <v>2100</v>
      </c>
      <c r="C41" s="25" t="s">
        <v>762</v>
      </c>
      <c r="D41" s="25" t="s">
        <v>159</v>
      </c>
      <c r="E41" s="50" t="s">
        <v>101</v>
      </c>
      <c r="F41" s="50" t="s">
        <v>106</v>
      </c>
      <c r="G41" s="50" t="s">
        <v>840</v>
      </c>
      <c r="H41" s="50" t="s">
        <v>631</v>
      </c>
      <c r="I41" s="50" t="s">
        <v>828</v>
      </c>
      <c r="J41" s="50">
        <v>3</v>
      </c>
      <c r="K41" s="25" t="s">
        <v>687</v>
      </c>
      <c r="L41" s="25" t="s">
        <v>687</v>
      </c>
      <c r="M41" s="25" t="s">
        <v>687</v>
      </c>
      <c r="N41" s="57">
        <f>INDEX(C_AllComp[lsv_per_mhz], MATCH(C_Distance[[#This Row],[int_comp1]], C_AllComp[comp_id], 0))</f>
        <v>19026505.463126563</v>
      </c>
      <c r="O41" s="57">
        <f>INDEX(C_AllComp[lsv_per_mhz], MATCH(C_Distance[[#This Row],[int_comp2]], C_AllComp[comp_id], 0))</f>
        <v>11268906.793161867</v>
      </c>
      <c r="P41" s="57">
        <f>INDEX(C_AllComp[lsv_per_mhz], MATCH(C_Distance[[#This Row],[int_comp3]], C_AllComp[comp_id], 0))</f>
        <v>1754263.0160716192</v>
      </c>
      <c r="Q41" s="57">
        <f>C_Distance[[#This Row],[lsv_per_mhz_1]]-C_Distance[[#This Row],[lsv_per_mhz_3]]</f>
        <v>17272242.447054945</v>
      </c>
      <c r="R41" s="57">
        <f>C_Distance[[#This Row],[lsv_per_mhz_2]]-C_Distance[[#This Row],[lsv_per_mhz_3]]</f>
        <v>9514643.7770902477</v>
      </c>
      <c r="S41" s="56">
        <f>C_Distance[[#This Row],[dist_y_2_3]]/C_Distance[[#This Row],[dist_x_1_3]]</f>
        <v>0.5508632597218186</v>
      </c>
      <c r="T41" s="57">
        <f>INDEX(C_AllComp[lsv_per_mhz], MATCH(C_Distance[[#This Row],[uk_comp1]], C_AllComp[comp_id], 0))</f>
        <v>14089579.524680082</v>
      </c>
      <c r="U41" s="57">
        <f>INDEX(C_AllComp[lsv_per_mhz], MATCH(C_Distance[[#This Row],[uk_comp3]], C_AllComp[comp_id], 0))</f>
        <v>6172782.8746177433</v>
      </c>
      <c r="V41" s="57">
        <f>C_Distance[[#This Row],[lsv_per_mhz_uk3]]+C_Distance[[#This Row],[ratio_y_x]]*(C_Distance[[#This Row],[lsv_per_mhz_uk1]]-C_Distance[[#This Row],[lsv_per_mhz_uk3]])</f>
        <v>10533855.283825856</v>
      </c>
    </row>
    <row r="42" spans="1:22" x14ac:dyDescent="0.45">
      <c r="A42" s="50" t="s">
        <v>875</v>
      </c>
      <c r="B42">
        <v>2100</v>
      </c>
      <c r="C42" s="25" t="s">
        <v>762</v>
      </c>
      <c r="D42" s="25" t="s">
        <v>159</v>
      </c>
      <c r="E42" s="50" t="s">
        <v>101</v>
      </c>
      <c r="F42" s="50" t="s">
        <v>106</v>
      </c>
      <c r="G42" s="50" t="s">
        <v>842</v>
      </c>
      <c r="H42" s="50" t="s">
        <v>631</v>
      </c>
      <c r="I42" s="50" t="s">
        <v>828</v>
      </c>
      <c r="J42" s="50">
        <v>3</v>
      </c>
      <c r="K42" s="25" t="s">
        <v>687</v>
      </c>
      <c r="L42" s="25" t="s">
        <v>687</v>
      </c>
      <c r="M42" s="25" t="s">
        <v>687</v>
      </c>
      <c r="N42" s="57">
        <f>INDEX(C_AllComp[lsv_per_mhz], MATCH(C_Distance[[#This Row],[int_comp1]], C_AllComp[comp_id], 0))</f>
        <v>19026505.463126563</v>
      </c>
      <c r="O42" s="57">
        <f>INDEX(C_AllComp[lsv_per_mhz], MATCH(C_Distance[[#This Row],[int_comp2]], C_AllComp[comp_id], 0))</f>
        <v>11268906.793161867</v>
      </c>
      <c r="P42" s="57">
        <f>INDEX(C_AllComp[lsv_per_mhz], MATCH(C_Distance[[#This Row],[int_comp3]], C_AllComp[comp_id], 0))</f>
        <v>4211973.014933005</v>
      </c>
      <c r="Q42" s="57">
        <f>C_Distance[[#This Row],[lsv_per_mhz_1]]-C_Distance[[#This Row],[lsv_per_mhz_3]]</f>
        <v>14814532.448193558</v>
      </c>
      <c r="R42" s="57">
        <f>C_Distance[[#This Row],[lsv_per_mhz_2]]-C_Distance[[#This Row],[lsv_per_mhz_3]]</f>
        <v>7056933.7782288622</v>
      </c>
      <c r="S42" s="56">
        <f>C_Distance[[#This Row],[dist_y_2_3]]/C_Distance[[#This Row],[dist_x_1_3]]</f>
        <v>0.4763521091811011</v>
      </c>
      <c r="T42" s="57">
        <f>INDEX(C_AllComp[lsv_per_mhz], MATCH(C_Distance[[#This Row],[uk_comp1]], C_AllComp[comp_id], 0))</f>
        <v>14089579.524680082</v>
      </c>
      <c r="U42" s="57">
        <f>INDEX(C_AllComp[lsv_per_mhz], MATCH(C_Distance[[#This Row],[uk_comp3]], C_AllComp[comp_id], 0))</f>
        <v>6172782.8746177433</v>
      </c>
      <c r="V42" s="57">
        <f>C_Distance[[#This Row],[lsv_per_mhz_uk3]]+C_Distance[[#This Row],[ratio_y_x]]*(C_Distance[[#This Row],[lsv_per_mhz_uk1]]-C_Distance[[#This Row],[lsv_per_mhz_uk3]])</f>
        <v>9943965.6568328142</v>
      </c>
    </row>
    <row r="43" spans="1:22" x14ac:dyDescent="0.45">
      <c r="A43" s="50" t="s">
        <v>879</v>
      </c>
      <c r="B43">
        <v>2100</v>
      </c>
      <c r="C43" s="25" t="s">
        <v>796</v>
      </c>
      <c r="D43" s="25" t="s">
        <v>159</v>
      </c>
      <c r="E43" s="50" t="s">
        <v>101</v>
      </c>
      <c r="F43" s="50" t="s">
        <v>106</v>
      </c>
      <c r="G43" s="50" t="s">
        <v>832</v>
      </c>
      <c r="H43" s="50" t="s">
        <v>631</v>
      </c>
      <c r="I43" s="50" t="s">
        <v>790</v>
      </c>
      <c r="J43" s="50">
        <v>3</v>
      </c>
      <c r="K43" s="25" t="s">
        <v>687</v>
      </c>
      <c r="L43" s="25" t="s">
        <v>687</v>
      </c>
      <c r="M43" s="25" t="s">
        <v>687</v>
      </c>
      <c r="N43" s="57">
        <f>INDEX(C_AllComp[lsv_per_mhz], MATCH(C_Distance[[#This Row],[int_comp1]], C_AllComp[comp_id], 0))</f>
        <v>19026505.463126563</v>
      </c>
      <c r="O43" s="57">
        <f>INDEX(C_AllComp[lsv_per_mhz], MATCH(C_Distance[[#This Row],[int_comp2]], C_AllComp[comp_id], 0))</f>
        <v>11268906.793161867</v>
      </c>
      <c r="P43" s="57">
        <f>INDEX(C_AllComp[lsv_per_mhz], MATCH(C_Distance[[#This Row],[int_comp3]], C_AllComp[comp_id], 0))</f>
        <v>4342266.8637170708</v>
      </c>
      <c r="Q43" s="57">
        <f>C_Distance[[#This Row],[lsv_per_mhz_1]]-C_Distance[[#This Row],[lsv_per_mhz_3]]</f>
        <v>14684238.599409491</v>
      </c>
      <c r="R43" s="57">
        <f>C_Distance[[#This Row],[lsv_per_mhz_2]]-C_Distance[[#This Row],[lsv_per_mhz_3]]</f>
        <v>6926639.9294447964</v>
      </c>
      <c r="S43" s="56">
        <f>C_Distance[[#This Row],[dist_y_2_3]]/C_Distance[[#This Row],[dist_x_1_3]]</f>
        <v>0.4717057600605416</v>
      </c>
      <c r="T43" s="57">
        <f>INDEX(C_AllComp[lsv_per_mhz], MATCH(C_Distance[[#This Row],[uk_comp1]], C_AllComp[comp_id], 0))</f>
        <v>14089579.524680082</v>
      </c>
      <c r="U43" s="57">
        <f>INDEX(C_AllComp[lsv_per_mhz], MATCH(C_Distance[[#This Row],[uk_comp3]], C_AllComp[comp_id], 0))</f>
        <v>7902129.7912713494</v>
      </c>
      <c r="V43" s="57">
        <f>C_Distance[[#This Row],[lsv_per_mhz_uk3]]+C_Distance[[#This Row],[ratio_y_x]]*(C_Distance[[#This Row],[lsv_per_mhz_uk1]]-C_Distance[[#This Row],[lsv_per_mhz_uk3]])</f>
        <v>10820785.47060531</v>
      </c>
    </row>
    <row r="44" spans="1:22" x14ac:dyDescent="0.45">
      <c r="A44" s="50" t="s">
        <v>880</v>
      </c>
      <c r="B44">
        <v>2100</v>
      </c>
      <c r="C44" s="25" t="s">
        <v>787</v>
      </c>
      <c r="D44" s="25" t="s">
        <v>159</v>
      </c>
      <c r="E44" s="50" t="s">
        <v>101</v>
      </c>
      <c r="F44" s="50" t="s">
        <v>106</v>
      </c>
      <c r="G44" s="50" t="s">
        <v>832</v>
      </c>
      <c r="H44" s="50" t="s">
        <v>631</v>
      </c>
      <c r="I44" s="50" t="s">
        <v>789</v>
      </c>
      <c r="J44" s="50">
        <v>3</v>
      </c>
      <c r="K44" s="25" t="s">
        <v>687</v>
      </c>
      <c r="L44" s="25" t="s">
        <v>687</v>
      </c>
      <c r="M44" s="25" t="s">
        <v>687</v>
      </c>
      <c r="N44" s="57">
        <f>INDEX(C_AllComp[lsv_per_mhz], MATCH(C_Distance[[#This Row],[int_comp1]], C_AllComp[comp_id], 0))</f>
        <v>19026505.463126563</v>
      </c>
      <c r="O44" s="57">
        <f>INDEX(C_AllComp[lsv_per_mhz], MATCH(C_Distance[[#This Row],[int_comp2]], C_AllComp[comp_id], 0))</f>
        <v>11268906.793161867</v>
      </c>
      <c r="P44" s="57">
        <f>INDEX(C_AllComp[lsv_per_mhz], MATCH(C_Distance[[#This Row],[int_comp3]], C_AllComp[comp_id], 0))</f>
        <v>4342266.8637170708</v>
      </c>
      <c r="Q44" s="57">
        <f>C_Distance[[#This Row],[lsv_per_mhz_1]]-C_Distance[[#This Row],[lsv_per_mhz_3]]</f>
        <v>14684238.599409491</v>
      </c>
      <c r="R44" s="57">
        <f>C_Distance[[#This Row],[lsv_per_mhz_2]]-C_Distance[[#This Row],[lsv_per_mhz_3]]</f>
        <v>6926639.9294447964</v>
      </c>
      <c r="S44" s="56">
        <f>C_Distance[[#This Row],[dist_y_2_3]]/C_Distance[[#This Row],[dist_x_1_3]]</f>
        <v>0.4717057600605416</v>
      </c>
      <c r="T44" s="57">
        <f>INDEX(C_AllComp[lsv_per_mhz], MATCH(C_Distance[[#This Row],[uk_comp1]], C_AllComp[comp_id], 0))</f>
        <v>14089579.524680082</v>
      </c>
      <c r="U44" s="57">
        <f>INDEX(C_AllComp[lsv_per_mhz], MATCH(C_Distance[[#This Row],[uk_comp3]], C_AllComp[comp_id], 0))</f>
        <v>4226873.8574040243</v>
      </c>
      <c r="V44" s="57">
        <f>C_Distance[[#This Row],[lsv_per_mhz_uk3]]+C_Distance[[#This Row],[ratio_y_x]]*(C_Distance[[#This Row],[lsv_per_mhz_uk1]]-C_Distance[[#This Row],[lsv_per_mhz_uk3]])</f>
        <v>8879168.9304398894</v>
      </c>
    </row>
    <row r="45" spans="1:22" x14ac:dyDescent="0.45">
      <c r="A45" s="50" t="s">
        <v>876</v>
      </c>
      <c r="B45">
        <v>2100</v>
      </c>
      <c r="C45" s="25" t="s">
        <v>796</v>
      </c>
      <c r="D45" s="25" t="s">
        <v>159</v>
      </c>
      <c r="E45" s="50" t="s">
        <v>101</v>
      </c>
      <c r="F45" s="50" t="s">
        <v>106</v>
      </c>
      <c r="G45" s="50" t="s">
        <v>833</v>
      </c>
      <c r="H45" s="50" t="s">
        <v>631</v>
      </c>
      <c r="I45" s="50" t="s">
        <v>790</v>
      </c>
      <c r="J45" s="50">
        <v>3</v>
      </c>
      <c r="K45" s="25" t="s">
        <v>687</v>
      </c>
      <c r="L45" s="25" t="s">
        <v>687</v>
      </c>
      <c r="M45" s="25" t="s">
        <v>687</v>
      </c>
      <c r="N45" s="57">
        <f>INDEX(C_AllComp[lsv_per_mhz], MATCH(C_Distance[[#This Row],[int_comp1]], C_AllComp[comp_id], 0))</f>
        <v>19026505.463126563</v>
      </c>
      <c r="O45" s="57">
        <f>INDEX(C_AllComp[lsv_per_mhz], MATCH(C_Distance[[#This Row],[int_comp2]], C_AllComp[comp_id], 0))</f>
        <v>11268906.793161867</v>
      </c>
      <c r="P45" s="57">
        <f>INDEX(C_AllComp[lsv_per_mhz], MATCH(C_Distance[[#This Row],[int_comp3]], C_AllComp[comp_id], 0))</f>
        <v>5887826.6622011252</v>
      </c>
      <c r="Q45" s="57">
        <f>C_Distance[[#This Row],[lsv_per_mhz_1]]-C_Distance[[#This Row],[lsv_per_mhz_3]]</f>
        <v>13138678.800925437</v>
      </c>
      <c r="R45" s="57">
        <f>C_Distance[[#This Row],[lsv_per_mhz_2]]-C_Distance[[#This Row],[lsv_per_mhz_3]]</f>
        <v>5381080.130960742</v>
      </c>
      <c r="S45" s="56">
        <f>C_Distance[[#This Row],[dist_y_2_3]]/C_Distance[[#This Row],[dist_x_1_3]]</f>
        <v>0.40956021625109823</v>
      </c>
      <c r="T45" s="57">
        <f>INDEX(C_AllComp[lsv_per_mhz], MATCH(C_Distance[[#This Row],[uk_comp1]], C_AllComp[comp_id], 0))</f>
        <v>14089579.524680082</v>
      </c>
      <c r="U45" s="57">
        <f>INDEX(C_AllComp[lsv_per_mhz], MATCH(C_Distance[[#This Row],[uk_comp3]], C_AllComp[comp_id], 0))</f>
        <v>7902129.7912713494</v>
      </c>
      <c r="V45" s="57">
        <f>C_Distance[[#This Row],[lsv_per_mhz_uk3]]+C_Distance[[#This Row],[ratio_y_x]]*(C_Distance[[#This Row],[lsv_per_mhz_uk1]]-C_Distance[[#This Row],[lsv_per_mhz_uk3]])</f>
        <v>10436263.04212903</v>
      </c>
    </row>
    <row r="46" spans="1:22" x14ac:dyDescent="0.45">
      <c r="A46" s="50" t="s">
        <v>877</v>
      </c>
      <c r="B46" s="25">
        <v>2100</v>
      </c>
      <c r="C46" s="25" t="s">
        <v>787</v>
      </c>
      <c r="D46" s="25" t="s">
        <v>159</v>
      </c>
      <c r="E46" s="50" t="s">
        <v>101</v>
      </c>
      <c r="F46" s="50" t="s">
        <v>106</v>
      </c>
      <c r="G46" s="50" t="s">
        <v>833</v>
      </c>
      <c r="H46" s="50" t="s">
        <v>631</v>
      </c>
      <c r="I46" s="50" t="s">
        <v>789</v>
      </c>
      <c r="J46" s="50">
        <v>3</v>
      </c>
      <c r="K46" s="25" t="s">
        <v>687</v>
      </c>
      <c r="L46" s="25" t="s">
        <v>687</v>
      </c>
      <c r="M46" s="25" t="s">
        <v>687</v>
      </c>
      <c r="N46" s="57">
        <f>INDEX(C_AllComp[lsv_per_mhz], MATCH(C_Distance[[#This Row],[int_comp1]], C_AllComp[comp_id], 0))</f>
        <v>19026505.463126563</v>
      </c>
      <c r="O46" s="57">
        <f>INDEX(C_AllComp[lsv_per_mhz], MATCH(C_Distance[[#This Row],[int_comp2]], C_AllComp[comp_id], 0))</f>
        <v>11268906.793161867</v>
      </c>
      <c r="P46" s="57">
        <f>INDEX(C_AllComp[lsv_per_mhz], MATCH(C_Distance[[#This Row],[int_comp3]], C_AllComp[comp_id], 0))</f>
        <v>5887826.6622011252</v>
      </c>
      <c r="Q46" s="57">
        <f>C_Distance[[#This Row],[lsv_per_mhz_1]]-C_Distance[[#This Row],[lsv_per_mhz_3]]</f>
        <v>13138678.800925437</v>
      </c>
      <c r="R46" s="57">
        <f>C_Distance[[#This Row],[lsv_per_mhz_2]]-C_Distance[[#This Row],[lsv_per_mhz_3]]</f>
        <v>5381080.130960742</v>
      </c>
      <c r="S46" s="56">
        <f>C_Distance[[#This Row],[dist_y_2_3]]/C_Distance[[#This Row],[dist_x_1_3]]</f>
        <v>0.40956021625109823</v>
      </c>
      <c r="T46" s="57">
        <f>INDEX(C_AllComp[lsv_per_mhz], MATCH(C_Distance[[#This Row],[uk_comp1]], C_AllComp[comp_id], 0))</f>
        <v>14089579.524680082</v>
      </c>
      <c r="U46" s="57">
        <f>INDEX(C_AllComp[lsv_per_mhz], MATCH(C_Distance[[#This Row],[uk_comp3]], C_AllComp[comp_id], 0))</f>
        <v>4226873.8574040243</v>
      </c>
      <c r="V46" s="57">
        <f>C_Distance[[#This Row],[lsv_per_mhz_uk3]]+C_Distance[[#This Row],[ratio_y_x]]*(C_Distance[[#This Row],[lsv_per_mhz_uk1]]-C_Distance[[#This Row],[lsv_per_mhz_uk3]])</f>
        <v>8266245.7233145386</v>
      </c>
    </row>
  </sheetData>
  <phoneticPr fontId="23" type="noConversion"/>
  <pageMargins left="0.7" right="0.7" top="0.75" bottom="0.75" header="0.3" footer="0.3"/>
  <pageSetup orientation="portrait"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7134F-9FC0-46EB-AA32-7BB2298E6451}">
  <dimension ref="A1:E25"/>
  <sheetViews>
    <sheetView defaultGridColor="0" colorId="22" zoomScaleNormal="100" workbookViewId="0">
      <pane ySplit="4" topLeftCell="A5" activePane="bottomLeft" state="frozen"/>
      <selection pane="bottomLeft" activeCell="A5" sqref="A5"/>
    </sheetView>
  </sheetViews>
  <sheetFormatPr defaultColWidth="12.86328125" defaultRowHeight="14.25" x14ac:dyDescent="0.45"/>
  <cols>
    <col min="1" max="1" width="27.59765625" bestFit="1" customWidth="1"/>
    <col min="2" max="2" width="26.3984375" bestFit="1" customWidth="1"/>
    <col min="3" max="3" width="24" bestFit="1" customWidth="1"/>
    <col min="4" max="4" width="24.1328125" style="25" bestFit="1" customWidth="1"/>
    <col min="5" max="5" width="21.265625" style="25" bestFit="1" customWidth="1"/>
    <col min="6" max="7" width="15.86328125" bestFit="1" customWidth="1"/>
    <col min="8" max="8" width="12" bestFit="1" customWidth="1"/>
    <col min="9" max="10" width="24" bestFit="1" customWidth="1"/>
    <col min="11" max="11" width="21.1328125" bestFit="1" customWidth="1"/>
  </cols>
  <sheetData>
    <row r="1" spans="1:5" ht="40.5" customHeight="1" x14ac:dyDescent="0.45">
      <c r="A1" s="48" t="s">
        <v>732</v>
      </c>
    </row>
    <row r="2" spans="1:5" x14ac:dyDescent="0.45">
      <c r="A2" s="29" t="s">
        <v>729</v>
      </c>
    </row>
    <row r="4" spans="1:5" x14ac:dyDescent="0.45">
      <c r="A4" t="s">
        <v>670</v>
      </c>
      <c r="B4" t="s">
        <v>671</v>
      </c>
      <c r="C4" t="s">
        <v>667</v>
      </c>
      <c r="D4" t="s">
        <v>668</v>
      </c>
      <c r="E4" t="s">
        <v>669</v>
      </c>
    </row>
    <row r="5" spans="1:5" x14ac:dyDescent="0.45">
      <c r="A5" t="s">
        <v>651</v>
      </c>
      <c r="B5" t="s">
        <v>656</v>
      </c>
      <c r="C5" s="59">
        <v>27</v>
      </c>
      <c r="D5" s="59">
        <v>8.23</v>
      </c>
      <c r="E5" s="59">
        <v>0.31</v>
      </c>
    </row>
    <row r="6" spans="1:5" x14ac:dyDescent="0.45">
      <c r="A6" t="s">
        <v>92</v>
      </c>
      <c r="B6" t="s">
        <v>145</v>
      </c>
      <c r="C6" s="59">
        <v>35.1</v>
      </c>
      <c r="D6" s="59">
        <v>2.29</v>
      </c>
      <c r="E6" s="59">
        <v>7.0000000000000007E-2</v>
      </c>
    </row>
    <row r="7" spans="1:5" x14ac:dyDescent="0.45">
      <c r="A7" t="s">
        <v>631</v>
      </c>
      <c r="B7" t="s">
        <v>88</v>
      </c>
      <c r="C7" s="59">
        <v>14.1</v>
      </c>
      <c r="D7" s="59">
        <v>5.38</v>
      </c>
      <c r="E7" s="59">
        <v>0.38</v>
      </c>
    </row>
    <row r="8" spans="1:5" x14ac:dyDescent="0.45">
      <c r="A8" t="s">
        <v>701</v>
      </c>
      <c r="B8" t="s">
        <v>634</v>
      </c>
      <c r="C8" s="59">
        <v>21.7</v>
      </c>
      <c r="D8" s="59">
        <v>2.33</v>
      </c>
      <c r="E8" s="59">
        <v>0.11</v>
      </c>
    </row>
    <row r="9" spans="1:5" x14ac:dyDescent="0.45">
      <c r="A9" s="25" t="s">
        <v>132</v>
      </c>
      <c r="B9" s="25" t="s">
        <v>180</v>
      </c>
      <c r="C9" s="59">
        <v>16.399999999999999</v>
      </c>
      <c r="D9" s="59">
        <v>1.95</v>
      </c>
      <c r="E9" s="59">
        <v>0.12</v>
      </c>
    </row>
    <row r="10" spans="1:5" x14ac:dyDescent="0.45">
      <c r="A10" s="25" t="s">
        <v>631</v>
      </c>
      <c r="B10" s="25" t="s">
        <v>828</v>
      </c>
      <c r="C10" s="59">
        <v>14.1</v>
      </c>
      <c r="D10" s="59">
        <v>6.17</v>
      </c>
      <c r="E10" s="59">
        <v>0.44</v>
      </c>
    </row>
    <row r="11" spans="1:5" x14ac:dyDescent="0.45">
      <c r="A11" s="25" t="s">
        <v>701</v>
      </c>
      <c r="B11" s="25" t="s">
        <v>800</v>
      </c>
      <c r="C11" s="59">
        <v>21.7</v>
      </c>
      <c r="D11" s="59">
        <v>4.3600000000000003</v>
      </c>
      <c r="E11" s="59">
        <v>0.2</v>
      </c>
    </row>
    <row r="12" spans="1:5" x14ac:dyDescent="0.45">
      <c r="A12" s="25" t="s">
        <v>132</v>
      </c>
      <c r="B12" s="25" t="s">
        <v>785</v>
      </c>
      <c r="C12" s="59">
        <v>16.399999999999999</v>
      </c>
      <c r="D12" s="59">
        <v>10.94</v>
      </c>
      <c r="E12" s="59">
        <v>0.67</v>
      </c>
    </row>
    <row r="13" spans="1:5" x14ac:dyDescent="0.45">
      <c r="A13" s="25" t="s">
        <v>756</v>
      </c>
      <c r="B13" s="25" t="s">
        <v>795</v>
      </c>
      <c r="C13" s="59">
        <v>80.900000000000006</v>
      </c>
      <c r="D13" s="59">
        <v>10.050000000000001</v>
      </c>
      <c r="E13" s="59">
        <v>0.12</v>
      </c>
    </row>
    <row r="14" spans="1:5" x14ac:dyDescent="0.45">
      <c r="A14" s="25" t="s">
        <v>651</v>
      </c>
      <c r="B14" s="25" t="s">
        <v>786</v>
      </c>
      <c r="C14" s="59">
        <v>27</v>
      </c>
      <c r="D14" s="59">
        <v>6.32</v>
      </c>
      <c r="E14" s="59">
        <v>0.23</v>
      </c>
    </row>
    <row r="15" spans="1:5" x14ac:dyDescent="0.45">
      <c r="A15" s="25" t="s">
        <v>92</v>
      </c>
      <c r="B15" s="25" t="s">
        <v>780</v>
      </c>
      <c r="C15" s="59">
        <v>35.1</v>
      </c>
      <c r="D15" s="59">
        <v>2.74</v>
      </c>
      <c r="E15" s="59">
        <v>0.08</v>
      </c>
    </row>
    <row r="16" spans="1:5" x14ac:dyDescent="0.45">
      <c r="A16" s="25" t="s">
        <v>631</v>
      </c>
      <c r="B16" s="25" t="s">
        <v>790</v>
      </c>
      <c r="C16" s="59">
        <v>14.1</v>
      </c>
      <c r="D16" s="59">
        <v>7.9</v>
      </c>
      <c r="E16" s="59">
        <v>0.56000000000000005</v>
      </c>
    </row>
    <row r="17" spans="1:5" x14ac:dyDescent="0.45">
      <c r="A17" s="25" t="s">
        <v>631</v>
      </c>
      <c r="B17" s="25" t="s">
        <v>789</v>
      </c>
      <c r="C17" s="59">
        <v>14.1</v>
      </c>
      <c r="D17" s="59">
        <v>4.2300000000000004</v>
      </c>
      <c r="E17" s="59">
        <v>0.3</v>
      </c>
    </row>
    <row r="18" spans="1:5" x14ac:dyDescent="0.45">
      <c r="A18" s="25" t="s">
        <v>653</v>
      </c>
      <c r="B18" s="25" t="s">
        <v>656</v>
      </c>
      <c r="C18" s="59">
        <v>30</v>
      </c>
      <c r="D18" s="59">
        <v>8.23</v>
      </c>
      <c r="E18" s="59">
        <v>0.27</v>
      </c>
    </row>
    <row r="19" spans="1:5" x14ac:dyDescent="0.45">
      <c r="A19" s="25" t="s">
        <v>645</v>
      </c>
      <c r="B19" s="25" t="s">
        <v>634</v>
      </c>
      <c r="C19" s="59">
        <v>12</v>
      </c>
      <c r="D19" s="59">
        <v>2.33</v>
      </c>
      <c r="E19" s="59">
        <v>0.19</v>
      </c>
    </row>
    <row r="20" spans="1:5" x14ac:dyDescent="0.45">
      <c r="A20" s="25" t="s">
        <v>125</v>
      </c>
      <c r="B20" s="25" t="s">
        <v>180</v>
      </c>
      <c r="C20" s="59">
        <v>16.5</v>
      </c>
      <c r="D20" s="59">
        <v>1.95</v>
      </c>
      <c r="E20" s="59">
        <v>0.12</v>
      </c>
    </row>
    <row r="21" spans="1:5" x14ac:dyDescent="0.45">
      <c r="A21" s="25" t="s">
        <v>645</v>
      </c>
      <c r="B21" s="25" t="s">
        <v>800</v>
      </c>
      <c r="C21" s="59">
        <v>12</v>
      </c>
      <c r="D21" s="59">
        <v>4.3600000000000003</v>
      </c>
      <c r="E21" s="59">
        <v>0.36</v>
      </c>
    </row>
    <row r="22" spans="1:5" x14ac:dyDescent="0.45">
      <c r="A22" s="25" t="s">
        <v>125</v>
      </c>
      <c r="B22" s="25" t="s">
        <v>785</v>
      </c>
      <c r="C22" s="59">
        <v>16.5</v>
      </c>
      <c r="D22" s="59">
        <v>10.94</v>
      </c>
      <c r="E22" s="59">
        <v>0.66</v>
      </c>
    </row>
    <row r="23" spans="1:5" x14ac:dyDescent="0.45">
      <c r="A23" s="25" t="s">
        <v>757</v>
      </c>
      <c r="B23" s="25" t="s">
        <v>795</v>
      </c>
      <c r="C23" s="59">
        <v>33</v>
      </c>
      <c r="D23" s="59">
        <v>10.050000000000001</v>
      </c>
      <c r="E23" s="59">
        <v>0.3</v>
      </c>
    </row>
    <row r="24" spans="1:5" x14ac:dyDescent="0.45">
      <c r="A24" s="25" t="s">
        <v>653</v>
      </c>
      <c r="B24" s="25" t="s">
        <v>786</v>
      </c>
      <c r="C24" s="59">
        <v>30</v>
      </c>
      <c r="D24" s="59">
        <v>6.32</v>
      </c>
      <c r="E24" s="59">
        <v>0.21</v>
      </c>
    </row>
    <row r="25" spans="1:5" x14ac:dyDescent="0.45">
      <c r="A25" s="25" t="s">
        <v>860</v>
      </c>
      <c r="B25" s="25" t="s">
        <v>861</v>
      </c>
      <c r="C25" s="59">
        <v>0</v>
      </c>
      <c r="D25" s="59">
        <v>0</v>
      </c>
      <c r="E25" s="59">
        <v>0.11</v>
      </c>
    </row>
  </sheetData>
  <phoneticPr fontId="23" type="noConversion"/>
  <pageMargins left="0.7" right="0.7" top="0.75" bottom="0.75" header="0.3" footer="0.3"/>
  <pageSetup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EDBB8D-C0A8-4022-A942-EE27FFD8AE03}">
  <dimension ref="A1:J21"/>
  <sheetViews>
    <sheetView defaultGridColor="0" colorId="22" zoomScaleNormal="100" workbookViewId="0">
      <pane ySplit="4" topLeftCell="A5" activePane="bottomLeft" state="frozen"/>
      <selection pane="bottomLeft" activeCell="A5" sqref="A5"/>
    </sheetView>
  </sheetViews>
  <sheetFormatPr defaultColWidth="12.86328125" defaultRowHeight="14.25" x14ac:dyDescent="0.45"/>
  <cols>
    <col min="1" max="1" width="39.86328125" bestFit="1" customWidth="1"/>
    <col min="2" max="2" width="13.59765625" bestFit="1" customWidth="1"/>
    <col min="3" max="3" width="13.265625" bestFit="1" customWidth="1"/>
    <col min="4" max="4" width="10.86328125" bestFit="1" customWidth="1"/>
    <col min="5" max="5" width="6" style="25" bestFit="1" customWidth="1"/>
    <col min="6" max="6" width="10.3984375" style="25" bestFit="1" customWidth="1"/>
    <col min="7" max="7" width="11.73046875" style="25" bestFit="1" customWidth="1"/>
    <col min="8" max="8" width="15" style="25" bestFit="1" customWidth="1"/>
    <col min="9" max="9" width="11.1328125" style="25" bestFit="1" customWidth="1"/>
    <col min="10" max="10" width="18" style="25" bestFit="1" customWidth="1"/>
    <col min="11" max="11" width="18" bestFit="1" customWidth="1"/>
    <col min="12" max="12" width="11.59765625" bestFit="1" customWidth="1"/>
    <col min="13" max="13" width="15" bestFit="1" customWidth="1"/>
    <col min="14" max="14" width="7.59765625" bestFit="1" customWidth="1"/>
    <col min="15" max="15" width="36.86328125" bestFit="1" customWidth="1"/>
    <col min="16" max="16" width="36.86328125" customWidth="1"/>
    <col min="17" max="17" width="7" bestFit="1" customWidth="1"/>
    <col min="18" max="18" width="14.86328125" bestFit="1" customWidth="1"/>
    <col min="19" max="19" width="9.59765625" bestFit="1" customWidth="1"/>
    <col min="20" max="20" width="16" bestFit="1" customWidth="1"/>
  </cols>
  <sheetData>
    <row r="1" spans="1:10" ht="40.5" customHeight="1" x14ac:dyDescent="0.45">
      <c r="A1" s="48" t="s">
        <v>759</v>
      </c>
    </row>
    <row r="2" spans="1:10" x14ac:dyDescent="0.45">
      <c r="A2" s="29" t="s">
        <v>906</v>
      </c>
    </row>
    <row r="4" spans="1:10" x14ac:dyDescent="0.45">
      <c r="A4" t="s">
        <v>591</v>
      </c>
      <c r="B4" t="s">
        <v>803</v>
      </c>
      <c r="C4" t="s">
        <v>761</v>
      </c>
      <c r="D4" t="s">
        <v>142</v>
      </c>
      <c r="E4" t="s">
        <v>577</v>
      </c>
      <c r="F4" t="s">
        <v>680</v>
      </c>
      <c r="G4" t="s">
        <v>681</v>
      </c>
      <c r="H4" t="s">
        <v>682</v>
      </c>
      <c r="I4" t="s">
        <v>621</v>
      </c>
      <c r="J4" t="s">
        <v>622</v>
      </c>
    </row>
    <row r="5" spans="1:10" x14ac:dyDescent="0.45">
      <c r="A5" t="s">
        <v>808</v>
      </c>
      <c r="B5">
        <v>2100</v>
      </c>
      <c r="C5" s="50" t="s">
        <v>765</v>
      </c>
      <c r="D5" t="s">
        <v>203</v>
      </c>
      <c r="E5" s="25">
        <v>1</v>
      </c>
      <c r="F5" t="s">
        <v>685</v>
      </c>
      <c r="G5" t="s">
        <v>687</v>
      </c>
      <c r="H5" t="s">
        <v>692</v>
      </c>
      <c r="I5" s="69">
        <v>0.20012688570005807</v>
      </c>
      <c r="J5" s="57">
        <v>2926713.2980841519</v>
      </c>
    </row>
    <row r="6" spans="1:10" x14ac:dyDescent="0.45">
      <c r="A6" t="s">
        <v>882</v>
      </c>
      <c r="B6">
        <v>2100</v>
      </c>
      <c r="C6" s="50" t="s">
        <v>824</v>
      </c>
      <c r="D6" t="s">
        <v>203</v>
      </c>
      <c r="E6" s="25">
        <v>1</v>
      </c>
      <c r="F6" t="s">
        <v>687</v>
      </c>
      <c r="G6" t="s">
        <v>687</v>
      </c>
      <c r="H6" t="s">
        <v>687</v>
      </c>
      <c r="I6" s="69">
        <v>2.7592385977212883</v>
      </c>
      <c r="J6" s="57">
        <v>21803861.524279173</v>
      </c>
    </row>
    <row r="7" spans="1:10" x14ac:dyDescent="0.45">
      <c r="A7" t="s">
        <v>883</v>
      </c>
      <c r="B7">
        <v>2100</v>
      </c>
      <c r="C7" s="50" t="s">
        <v>791</v>
      </c>
      <c r="D7" t="s">
        <v>203</v>
      </c>
      <c r="E7" s="25">
        <v>1</v>
      </c>
      <c r="F7" t="s">
        <v>687</v>
      </c>
      <c r="G7" t="s">
        <v>687</v>
      </c>
      <c r="H7" t="s">
        <v>687</v>
      </c>
      <c r="I7" s="69">
        <v>2.7592385977212883</v>
      </c>
      <c r="J7" s="57">
        <v>11662953.495048253</v>
      </c>
    </row>
    <row r="8" spans="1:10" x14ac:dyDescent="0.45">
      <c r="A8" t="s">
        <v>804</v>
      </c>
      <c r="B8">
        <v>2100</v>
      </c>
      <c r="C8" s="50" t="s">
        <v>825</v>
      </c>
      <c r="D8" t="s">
        <v>203</v>
      </c>
      <c r="E8" s="25">
        <v>1</v>
      </c>
      <c r="F8" t="s">
        <v>687</v>
      </c>
      <c r="G8" t="s">
        <v>687</v>
      </c>
      <c r="H8" t="s">
        <v>687</v>
      </c>
      <c r="I8" s="69">
        <v>0.55522878263902764</v>
      </c>
      <c r="J8" s="57">
        <v>7822940.0873838915</v>
      </c>
    </row>
    <row r="9" spans="1:10" x14ac:dyDescent="0.45">
      <c r="A9" t="s">
        <v>885</v>
      </c>
      <c r="B9">
        <v>2100</v>
      </c>
      <c r="C9" s="50" t="s">
        <v>765</v>
      </c>
      <c r="D9" t="s">
        <v>158</v>
      </c>
      <c r="E9" s="25">
        <v>1</v>
      </c>
      <c r="F9" t="s">
        <v>685</v>
      </c>
      <c r="G9" t="s">
        <v>687</v>
      </c>
      <c r="H9" t="s">
        <v>691</v>
      </c>
      <c r="I9" s="69">
        <v>0.72313548915933623</v>
      </c>
      <c r="J9" s="57">
        <v>10575341.963853901</v>
      </c>
    </row>
    <row r="10" spans="1:10" x14ac:dyDescent="0.45">
      <c r="A10" t="s">
        <v>809</v>
      </c>
      <c r="B10">
        <v>2100</v>
      </c>
      <c r="C10" s="50" t="s">
        <v>824</v>
      </c>
      <c r="D10" t="s">
        <v>158</v>
      </c>
      <c r="E10" s="25">
        <v>1</v>
      </c>
      <c r="F10" t="s">
        <v>687</v>
      </c>
      <c r="G10" t="s">
        <v>687</v>
      </c>
      <c r="H10" t="s">
        <v>687</v>
      </c>
      <c r="I10" s="69">
        <v>1.5071868064076306</v>
      </c>
      <c r="J10" s="57">
        <v>11909985.763924861</v>
      </c>
    </row>
    <row r="11" spans="1:10" x14ac:dyDescent="0.45">
      <c r="A11" t="s">
        <v>812</v>
      </c>
      <c r="B11">
        <v>2100</v>
      </c>
      <c r="C11" s="50" t="s">
        <v>791</v>
      </c>
      <c r="D11" t="s">
        <v>158</v>
      </c>
      <c r="E11" s="25">
        <v>1</v>
      </c>
      <c r="F11" t="s">
        <v>687</v>
      </c>
      <c r="G11" t="s">
        <v>687</v>
      </c>
      <c r="H11" t="s">
        <v>687</v>
      </c>
      <c r="I11" s="69">
        <v>1.5071868064076306</v>
      </c>
      <c r="J11" s="57">
        <v>6370688.5102286739</v>
      </c>
    </row>
    <row r="12" spans="1:10" x14ac:dyDescent="0.45">
      <c r="A12" t="s">
        <v>881</v>
      </c>
      <c r="B12">
        <v>2100</v>
      </c>
      <c r="C12" s="50" t="s">
        <v>825</v>
      </c>
      <c r="D12" t="s">
        <v>158</v>
      </c>
      <c r="E12" s="25">
        <v>1</v>
      </c>
      <c r="F12" t="s">
        <v>687</v>
      </c>
      <c r="G12" t="s">
        <v>687</v>
      </c>
      <c r="H12" t="s">
        <v>691</v>
      </c>
      <c r="I12" s="69">
        <v>1.005544647014156</v>
      </c>
      <c r="J12" s="57">
        <v>14167701.269722313</v>
      </c>
    </row>
    <row r="13" spans="1:10" x14ac:dyDescent="0.45">
      <c r="A13" t="s">
        <v>884</v>
      </c>
      <c r="B13">
        <v>2100</v>
      </c>
      <c r="C13" s="50" t="s">
        <v>765</v>
      </c>
      <c r="D13" t="s">
        <v>143</v>
      </c>
      <c r="E13" s="25">
        <v>1</v>
      </c>
      <c r="F13" t="s">
        <v>685</v>
      </c>
      <c r="G13" t="s">
        <v>687</v>
      </c>
      <c r="H13" t="s">
        <v>687</v>
      </c>
      <c r="I13" s="69">
        <v>0.79696286622641521</v>
      </c>
      <c r="J13" s="57">
        <v>11655014.819747597</v>
      </c>
    </row>
    <row r="14" spans="1:10" x14ac:dyDescent="0.45">
      <c r="A14" t="s">
        <v>810</v>
      </c>
      <c r="B14">
        <v>2100</v>
      </c>
      <c r="C14" s="50" t="s">
        <v>824</v>
      </c>
      <c r="D14" t="s">
        <v>143</v>
      </c>
      <c r="E14" s="25">
        <v>1</v>
      </c>
      <c r="F14" t="s">
        <v>687</v>
      </c>
      <c r="G14" t="s">
        <v>687</v>
      </c>
      <c r="H14" t="s">
        <v>687</v>
      </c>
      <c r="I14" s="69">
        <v>3.207996480243466</v>
      </c>
      <c r="J14" s="57">
        <v>25350004.556825522</v>
      </c>
    </row>
    <row r="15" spans="1:10" x14ac:dyDescent="0.45">
      <c r="A15" t="s">
        <v>813</v>
      </c>
      <c r="B15">
        <v>2100</v>
      </c>
      <c r="C15" s="50" t="s">
        <v>791</v>
      </c>
      <c r="D15" t="s">
        <v>143</v>
      </c>
      <c r="E15" s="25">
        <v>1</v>
      </c>
      <c r="F15" t="s">
        <v>687</v>
      </c>
      <c r="G15" t="s">
        <v>687</v>
      </c>
      <c r="H15" t="s">
        <v>687</v>
      </c>
      <c r="I15" s="69">
        <v>3.207996480243466</v>
      </c>
      <c r="J15" s="57">
        <v>13559796.456985231</v>
      </c>
    </row>
    <row r="16" spans="1:10" x14ac:dyDescent="0.45">
      <c r="A16" t="s">
        <v>886</v>
      </c>
      <c r="B16">
        <v>2100</v>
      </c>
      <c r="C16" s="50" t="s">
        <v>825</v>
      </c>
      <c r="D16" t="s">
        <v>143</v>
      </c>
      <c r="E16" s="25">
        <v>1</v>
      </c>
      <c r="F16" t="s">
        <v>687</v>
      </c>
      <c r="G16" t="s">
        <v>687</v>
      </c>
      <c r="H16" t="s">
        <v>687</v>
      </c>
      <c r="I16" s="69">
        <v>0.40847739858033516</v>
      </c>
      <c r="J16" s="57">
        <v>5755274.7913320754</v>
      </c>
    </row>
    <row r="17" spans="1:10" x14ac:dyDescent="0.45">
      <c r="A17" t="s">
        <v>805</v>
      </c>
      <c r="B17">
        <v>2100</v>
      </c>
      <c r="C17" s="50" t="s">
        <v>825</v>
      </c>
      <c r="D17" t="s">
        <v>156</v>
      </c>
      <c r="E17" s="25">
        <v>1</v>
      </c>
      <c r="F17" s="25" t="s">
        <v>687</v>
      </c>
      <c r="G17" s="25" t="s">
        <v>687</v>
      </c>
      <c r="H17" s="25" t="s">
        <v>687</v>
      </c>
      <c r="I17" s="69">
        <v>0.52110105294254183</v>
      </c>
      <c r="J17" s="57">
        <v>7342094.7258284688</v>
      </c>
    </row>
    <row r="18" spans="1:10" x14ac:dyDescent="0.45">
      <c r="A18" t="s">
        <v>807</v>
      </c>
      <c r="B18">
        <v>2100</v>
      </c>
      <c r="C18" s="50" t="s">
        <v>766</v>
      </c>
      <c r="D18" t="s">
        <v>169</v>
      </c>
      <c r="E18" s="25">
        <v>1</v>
      </c>
      <c r="F18" s="25" t="s">
        <v>687</v>
      </c>
      <c r="G18" s="25" t="s">
        <v>687</v>
      </c>
      <c r="H18" s="25" t="s">
        <v>687</v>
      </c>
      <c r="I18" s="69">
        <v>3.6388687980172341</v>
      </c>
      <c r="J18" s="57">
        <v>19565953.784873068</v>
      </c>
    </row>
    <row r="19" spans="1:10" x14ac:dyDescent="0.45">
      <c r="A19" s="25" t="s">
        <v>811</v>
      </c>
      <c r="B19">
        <v>2100</v>
      </c>
      <c r="C19" s="50" t="s">
        <v>824</v>
      </c>
      <c r="D19" s="25" t="s">
        <v>169</v>
      </c>
      <c r="E19" s="25">
        <v>1</v>
      </c>
      <c r="F19" s="25" t="s">
        <v>687</v>
      </c>
      <c r="G19" s="25" t="s">
        <v>687</v>
      </c>
      <c r="H19" s="25" t="s">
        <v>687</v>
      </c>
      <c r="I19" s="69">
        <v>4.736765937168455</v>
      </c>
      <c r="J19" s="57">
        <v>37430539.226378202</v>
      </c>
    </row>
    <row r="20" spans="1:10" x14ac:dyDescent="0.45">
      <c r="A20" s="25" t="s">
        <v>814</v>
      </c>
      <c r="B20">
        <v>2100</v>
      </c>
      <c r="C20" s="50" t="s">
        <v>791</v>
      </c>
      <c r="D20" s="25" t="s">
        <v>169</v>
      </c>
      <c r="E20" s="25">
        <v>1</v>
      </c>
      <c r="F20" s="25" t="s">
        <v>687</v>
      </c>
      <c r="G20" s="25" t="s">
        <v>687</v>
      </c>
      <c r="H20" s="25" t="s">
        <v>687</v>
      </c>
      <c r="I20" s="69">
        <v>4.736765937168455</v>
      </c>
      <c r="J20" s="57">
        <v>20021712.108459216</v>
      </c>
    </row>
    <row r="21" spans="1:10" x14ac:dyDescent="0.45">
      <c r="A21" s="25" t="s">
        <v>806</v>
      </c>
      <c r="B21" s="25">
        <v>2100</v>
      </c>
      <c r="C21" s="50" t="s">
        <v>825</v>
      </c>
      <c r="D21" s="25" t="s">
        <v>169</v>
      </c>
      <c r="E21" s="25">
        <v>1</v>
      </c>
      <c r="F21" s="25" t="s">
        <v>687</v>
      </c>
      <c r="G21" s="25" t="s">
        <v>687</v>
      </c>
      <c r="H21" s="25" t="s">
        <v>691</v>
      </c>
      <c r="I21" s="69">
        <v>1.1109042401488143</v>
      </c>
      <c r="J21" s="57">
        <v>15652173.635881018</v>
      </c>
    </row>
  </sheetData>
  <phoneticPr fontId="23" type="noConversion"/>
  <pageMargins left="0.7" right="0.7" top="0.75" bottom="0.75" header="0.3" footer="0.3"/>
  <pageSetup orientation="portrait"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60181-EAAE-49A0-AEEF-B066B7C5665E}">
  <dimension ref="A1:J46"/>
  <sheetViews>
    <sheetView defaultGridColor="0" colorId="22" zoomScaleNormal="100" workbookViewId="0">
      <pane ySplit="4" topLeftCell="A5" activePane="bottomLeft" state="frozen"/>
      <selection pane="bottomLeft" activeCell="A5" sqref="A5"/>
    </sheetView>
  </sheetViews>
  <sheetFormatPr defaultColWidth="12.86328125" defaultRowHeight="14.25" x14ac:dyDescent="0.45"/>
  <cols>
    <col min="1" max="1" width="47.73046875" bestFit="1" customWidth="1"/>
    <col min="2" max="2" width="13.59765625" bestFit="1" customWidth="1"/>
    <col min="3" max="3" width="13.265625" bestFit="1" customWidth="1"/>
    <col min="4" max="4" width="10.86328125" bestFit="1" customWidth="1"/>
    <col min="5" max="5" width="6" style="25" bestFit="1" customWidth="1"/>
    <col min="6" max="6" width="10.3984375" style="25" bestFit="1" customWidth="1"/>
    <col min="7" max="7" width="11.73046875" style="25" bestFit="1" customWidth="1"/>
    <col min="8" max="8" width="15" style="25" bestFit="1" customWidth="1"/>
    <col min="9" max="9" width="11" style="25" bestFit="1" customWidth="1"/>
    <col min="10" max="10" width="18" style="25" bestFit="1" customWidth="1"/>
    <col min="11" max="11" width="18" bestFit="1" customWidth="1"/>
    <col min="12" max="12" width="11.59765625" bestFit="1" customWidth="1"/>
    <col min="13" max="13" width="15" bestFit="1" customWidth="1"/>
    <col min="14" max="14" width="12.86328125" bestFit="1" customWidth="1"/>
    <col min="15" max="15" width="36.86328125" bestFit="1" customWidth="1"/>
    <col min="16" max="16" width="36.86328125" customWidth="1"/>
  </cols>
  <sheetData>
    <row r="1" spans="1:10" ht="40.5" customHeight="1" x14ac:dyDescent="0.45">
      <c r="A1" s="48" t="s">
        <v>731</v>
      </c>
    </row>
    <row r="2" spans="1:10" x14ac:dyDescent="0.45">
      <c r="A2" s="29" t="s">
        <v>730</v>
      </c>
    </row>
    <row r="4" spans="1:10" x14ac:dyDescent="0.45">
      <c r="A4" t="s">
        <v>591</v>
      </c>
      <c r="B4" t="s">
        <v>803</v>
      </c>
      <c r="C4" t="s">
        <v>761</v>
      </c>
      <c r="D4" t="s">
        <v>142</v>
      </c>
      <c r="E4" t="s">
        <v>577</v>
      </c>
      <c r="F4" t="s">
        <v>680</v>
      </c>
      <c r="G4" t="s">
        <v>681</v>
      </c>
      <c r="H4" t="s">
        <v>682</v>
      </c>
      <c r="I4" t="s">
        <v>627</v>
      </c>
      <c r="J4" t="s">
        <v>622</v>
      </c>
    </row>
    <row r="5" spans="1:10" x14ac:dyDescent="0.45">
      <c r="A5" t="s">
        <v>850</v>
      </c>
      <c r="B5">
        <v>2100</v>
      </c>
      <c r="C5" t="s">
        <v>762</v>
      </c>
      <c r="D5" t="s">
        <v>203</v>
      </c>
      <c r="E5" s="25">
        <v>1</v>
      </c>
      <c r="F5" t="s">
        <v>687</v>
      </c>
      <c r="G5" t="s">
        <v>687</v>
      </c>
      <c r="H5" t="s">
        <v>687</v>
      </c>
      <c r="I5" s="59">
        <v>0.50174464294247834</v>
      </c>
      <c r="J5" s="57">
        <v>10144993.18305148</v>
      </c>
    </row>
    <row r="6" spans="1:10" x14ac:dyDescent="0.45">
      <c r="A6" t="s">
        <v>851</v>
      </c>
      <c r="B6">
        <v>2100</v>
      </c>
      <c r="C6" t="s">
        <v>796</v>
      </c>
      <c r="D6" t="s">
        <v>203</v>
      </c>
      <c r="E6" s="25">
        <v>1</v>
      </c>
      <c r="F6" t="s">
        <v>687</v>
      </c>
      <c r="G6" t="s">
        <v>687</v>
      </c>
      <c r="H6" t="s">
        <v>687</v>
      </c>
      <c r="I6" s="59">
        <v>0.44318310122767052</v>
      </c>
      <c r="J6" s="57">
        <v>10644302.952813756</v>
      </c>
    </row>
    <row r="7" spans="1:10" x14ac:dyDescent="0.45">
      <c r="A7" t="s">
        <v>852</v>
      </c>
      <c r="B7">
        <v>2100</v>
      </c>
      <c r="C7" t="s">
        <v>787</v>
      </c>
      <c r="D7" t="s">
        <v>203</v>
      </c>
      <c r="E7" s="25">
        <v>1</v>
      </c>
      <c r="F7" t="s">
        <v>687</v>
      </c>
      <c r="G7" t="s">
        <v>687</v>
      </c>
      <c r="H7" t="s">
        <v>687</v>
      </c>
      <c r="I7" s="59">
        <v>0.44318310122767052</v>
      </c>
      <c r="J7" s="57">
        <v>8597858.3415231481</v>
      </c>
    </row>
    <row r="8" spans="1:10" x14ac:dyDescent="0.45">
      <c r="A8" t="s">
        <v>853</v>
      </c>
      <c r="B8">
        <v>2100</v>
      </c>
      <c r="C8" t="s">
        <v>763</v>
      </c>
      <c r="D8" t="s">
        <v>203</v>
      </c>
      <c r="E8" s="25">
        <v>1</v>
      </c>
      <c r="F8" t="s">
        <v>687</v>
      </c>
      <c r="G8" t="s">
        <v>687</v>
      </c>
      <c r="H8" t="s">
        <v>692</v>
      </c>
      <c r="I8" s="59">
        <v>0.11537962094929237</v>
      </c>
      <c r="J8" s="57">
        <v>9733849.6159961373</v>
      </c>
    </row>
    <row r="9" spans="1:10" x14ac:dyDescent="0.45">
      <c r="A9" t="s">
        <v>854</v>
      </c>
      <c r="B9">
        <v>2100</v>
      </c>
      <c r="C9" t="s">
        <v>797</v>
      </c>
      <c r="D9" t="s">
        <v>203</v>
      </c>
      <c r="E9" s="25">
        <v>1</v>
      </c>
      <c r="F9" t="s">
        <v>687</v>
      </c>
      <c r="G9" t="s">
        <v>687</v>
      </c>
      <c r="H9" t="s">
        <v>692</v>
      </c>
      <c r="I9" s="59">
        <v>9.3454806963056886E-2</v>
      </c>
      <c r="J9" s="57">
        <v>10624895.168864653</v>
      </c>
    </row>
    <row r="10" spans="1:10" x14ac:dyDescent="0.45">
      <c r="A10" t="s">
        <v>855</v>
      </c>
      <c r="B10">
        <v>2100</v>
      </c>
      <c r="C10" t="s">
        <v>788</v>
      </c>
      <c r="D10" t="s">
        <v>203</v>
      </c>
      <c r="E10" s="25">
        <v>1</v>
      </c>
      <c r="F10" t="s">
        <v>687</v>
      </c>
      <c r="G10" t="s">
        <v>687</v>
      </c>
      <c r="H10" t="s">
        <v>692</v>
      </c>
      <c r="I10" s="59">
        <v>9.3454806963056886E-2</v>
      </c>
      <c r="J10" s="57">
        <v>7293109.5688367281</v>
      </c>
    </row>
    <row r="11" spans="1:10" x14ac:dyDescent="0.45">
      <c r="A11" t="s">
        <v>844</v>
      </c>
      <c r="B11">
        <v>2100</v>
      </c>
      <c r="C11" t="s">
        <v>762</v>
      </c>
      <c r="D11" t="s">
        <v>158</v>
      </c>
      <c r="E11" s="25">
        <v>1</v>
      </c>
      <c r="F11" t="s">
        <v>685</v>
      </c>
      <c r="G11" t="s">
        <v>687</v>
      </c>
      <c r="H11" t="s">
        <v>691</v>
      </c>
      <c r="I11" s="59">
        <v>1.0062912217352544</v>
      </c>
      <c r="J11" s="57">
        <v>14139385.847838543</v>
      </c>
    </row>
    <row r="12" spans="1:10" x14ac:dyDescent="0.45">
      <c r="A12" t="s">
        <v>845</v>
      </c>
      <c r="B12">
        <v>2100</v>
      </c>
      <c r="C12" t="s">
        <v>796</v>
      </c>
      <c r="D12" t="s">
        <v>158</v>
      </c>
      <c r="E12" s="25">
        <v>1</v>
      </c>
      <c r="F12" t="s">
        <v>687</v>
      </c>
      <c r="G12" t="s">
        <v>687</v>
      </c>
      <c r="H12" t="s">
        <v>691</v>
      </c>
      <c r="I12" s="59">
        <v>1.0166589244333599</v>
      </c>
      <c r="J12" s="57">
        <v>14192655.78222415</v>
      </c>
    </row>
    <row r="13" spans="1:10" x14ac:dyDescent="0.45">
      <c r="A13" t="s">
        <v>846</v>
      </c>
      <c r="B13">
        <v>2100</v>
      </c>
      <c r="C13" t="s">
        <v>787</v>
      </c>
      <c r="D13" t="s">
        <v>158</v>
      </c>
      <c r="E13" s="25">
        <v>1</v>
      </c>
      <c r="F13" t="s">
        <v>687</v>
      </c>
      <c r="G13" t="s">
        <v>687</v>
      </c>
      <c r="H13" t="s">
        <v>691</v>
      </c>
      <c r="I13" s="59">
        <v>1.0166589244333599</v>
      </c>
      <c r="J13" s="57">
        <v>14253881.593099706</v>
      </c>
    </row>
    <row r="14" spans="1:10" x14ac:dyDescent="0.45">
      <c r="A14" t="s">
        <v>847</v>
      </c>
      <c r="B14">
        <v>2100</v>
      </c>
      <c r="C14" t="s">
        <v>763</v>
      </c>
      <c r="D14" t="s">
        <v>158</v>
      </c>
      <c r="E14" s="25">
        <v>1</v>
      </c>
      <c r="F14" t="s">
        <v>685</v>
      </c>
      <c r="G14" t="s">
        <v>687</v>
      </c>
      <c r="H14" t="s">
        <v>692</v>
      </c>
      <c r="I14" s="59">
        <v>0.23821178059870624</v>
      </c>
      <c r="J14" s="57">
        <v>13524930.873677209</v>
      </c>
    </row>
    <row r="15" spans="1:10" x14ac:dyDescent="0.45">
      <c r="A15" t="s">
        <v>848</v>
      </c>
      <c r="B15">
        <v>2100</v>
      </c>
      <c r="C15" t="s">
        <v>797</v>
      </c>
      <c r="D15" t="s">
        <v>158</v>
      </c>
      <c r="E15" s="25">
        <v>1</v>
      </c>
      <c r="F15" t="s">
        <v>685</v>
      </c>
      <c r="G15" t="s">
        <v>685</v>
      </c>
      <c r="H15" t="s">
        <v>692</v>
      </c>
      <c r="I15" s="59">
        <v>0.1065906484698514</v>
      </c>
      <c r="J15" s="57">
        <v>11007602.229341397</v>
      </c>
    </row>
    <row r="16" spans="1:10" x14ac:dyDescent="0.45">
      <c r="A16" t="s">
        <v>849</v>
      </c>
      <c r="B16">
        <v>2100</v>
      </c>
      <c r="C16" t="s">
        <v>788</v>
      </c>
      <c r="D16" t="s">
        <v>158</v>
      </c>
      <c r="E16" s="25">
        <v>1</v>
      </c>
      <c r="F16" t="s">
        <v>685</v>
      </c>
      <c r="G16" t="s">
        <v>685</v>
      </c>
      <c r="H16" t="s">
        <v>692</v>
      </c>
      <c r="I16" s="59">
        <v>0.1065906484698514</v>
      </c>
      <c r="J16" s="57">
        <v>7724094.2087576604</v>
      </c>
    </row>
    <row r="17" spans="1:10" x14ac:dyDescent="0.45">
      <c r="A17" t="s">
        <v>816</v>
      </c>
      <c r="B17">
        <v>2100</v>
      </c>
      <c r="C17" t="s">
        <v>796</v>
      </c>
      <c r="D17" t="s">
        <v>143</v>
      </c>
      <c r="E17" s="25">
        <v>1</v>
      </c>
      <c r="F17" t="s">
        <v>687</v>
      </c>
      <c r="G17" t="s">
        <v>687</v>
      </c>
      <c r="H17" t="s">
        <v>687</v>
      </c>
      <c r="I17" s="59">
        <v>0.32451302774332175</v>
      </c>
      <c r="J17" s="57">
        <v>9910037.8382694256</v>
      </c>
    </row>
    <row r="18" spans="1:10" x14ac:dyDescent="0.45">
      <c r="A18" t="s">
        <v>815</v>
      </c>
      <c r="B18">
        <v>2100</v>
      </c>
      <c r="C18" t="s">
        <v>787</v>
      </c>
      <c r="D18" t="s">
        <v>143</v>
      </c>
      <c r="E18" s="25">
        <v>1</v>
      </c>
      <c r="F18" t="s">
        <v>687</v>
      </c>
      <c r="G18" t="s">
        <v>687</v>
      </c>
      <c r="H18" t="s">
        <v>687</v>
      </c>
      <c r="I18" s="59">
        <v>0.32451302774332175</v>
      </c>
      <c r="J18" s="57">
        <v>7427450.3352329964</v>
      </c>
    </row>
    <row r="19" spans="1:10" x14ac:dyDescent="0.45">
      <c r="A19" t="s">
        <v>866</v>
      </c>
      <c r="B19">
        <v>2100</v>
      </c>
      <c r="C19" t="s">
        <v>764</v>
      </c>
      <c r="D19" t="s">
        <v>156</v>
      </c>
      <c r="E19" s="25">
        <v>1</v>
      </c>
      <c r="F19" s="25" t="s">
        <v>687</v>
      </c>
      <c r="G19" s="25" t="s">
        <v>687</v>
      </c>
      <c r="H19" s="25" t="s">
        <v>687</v>
      </c>
      <c r="I19" s="59">
        <v>0.44105828966777533</v>
      </c>
      <c r="J19" s="57">
        <v>9219717.9842007775</v>
      </c>
    </row>
    <row r="20" spans="1:10" x14ac:dyDescent="0.45">
      <c r="A20" t="s">
        <v>865</v>
      </c>
      <c r="B20">
        <v>2100</v>
      </c>
      <c r="C20" t="s">
        <v>764</v>
      </c>
      <c r="D20" t="s">
        <v>156</v>
      </c>
      <c r="E20" s="25">
        <v>1</v>
      </c>
      <c r="F20" s="25" t="s">
        <v>687</v>
      </c>
      <c r="G20" s="25" t="s">
        <v>687</v>
      </c>
      <c r="H20" s="25" t="s">
        <v>687</v>
      </c>
      <c r="I20" s="59">
        <v>0.36087053190770985</v>
      </c>
      <c r="J20" s="57">
        <v>8521070.3966000844</v>
      </c>
    </row>
    <row r="21" spans="1:10" x14ac:dyDescent="0.45">
      <c r="A21" t="s">
        <v>868</v>
      </c>
      <c r="B21">
        <v>2100</v>
      </c>
      <c r="C21" t="s">
        <v>762</v>
      </c>
      <c r="D21" t="s">
        <v>156</v>
      </c>
      <c r="E21" s="25">
        <v>1</v>
      </c>
      <c r="F21" s="25" t="s">
        <v>687</v>
      </c>
      <c r="G21" s="25" t="s">
        <v>687</v>
      </c>
      <c r="H21" s="25" t="s">
        <v>687</v>
      </c>
      <c r="I21" s="59">
        <v>0.47882245599390783</v>
      </c>
      <c r="J21" s="57">
        <v>9963522.8902049344</v>
      </c>
    </row>
    <row r="22" spans="1:10" x14ac:dyDescent="0.45">
      <c r="A22" t="s">
        <v>867</v>
      </c>
      <c r="B22">
        <v>2100</v>
      </c>
      <c r="C22" t="s">
        <v>762</v>
      </c>
      <c r="D22" t="s">
        <v>156</v>
      </c>
      <c r="E22" s="25">
        <v>1</v>
      </c>
      <c r="F22" s="25" t="s">
        <v>687</v>
      </c>
      <c r="G22" s="25" t="s">
        <v>687</v>
      </c>
      <c r="H22" s="25" t="s">
        <v>687</v>
      </c>
      <c r="I22" s="59">
        <v>0.38494357048808847</v>
      </c>
      <c r="J22" s="57">
        <v>9220302.8439208772</v>
      </c>
    </row>
    <row r="23" spans="1:10" x14ac:dyDescent="0.45">
      <c r="A23" t="s">
        <v>871</v>
      </c>
      <c r="B23">
        <v>2100</v>
      </c>
      <c r="C23" t="s">
        <v>796</v>
      </c>
      <c r="D23" t="s">
        <v>156</v>
      </c>
      <c r="E23" s="25">
        <v>1</v>
      </c>
      <c r="F23" s="25" t="s">
        <v>687</v>
      </c>
      <c r="G23" s="25" t="s">
        <v>687</v>
      </c>
      <c r="H23" s="25" t="s">
        <v>687</v>
      </c>
      <c r="I23" s="59">
        <v>0.40077953172332964</v>
      </c>
      <c r="J23" s="57">
        <v>10381932.997988543</v>
      </c>
    </row>
    <row r="24" spans="1:10" x14ac:dyDescent="0.45">
      <c r="A24" t="s">
        <v>872</v>
      </c>
      <c r="B24">
        <v>2100</v>
      </c>
      <c r="C24" t="s">
        <v>787</v>
      </c>
      <c r="D24" t="s">
        <v>156</v>
      </c>
      <c r="E24" s="25">
        <v>1</v>
      </c>
      <c r="F24" s="25" t="s">
        <v>687</v>
      </c>
      <c r="G24" s="25" t="s">
        <v>687</v>
      </c>
      <c r="H24" s="25" t="s">
        <v>687</v>
      </c>
      <c r="I24" s="59">
        <v>0.40077953172332964</v>
      </c>
      <c r="J24" s="57">
        <v>8179644.4162599519</v>
      </c>
    </row>
    <row r="25" spans="1:10" x14ac:dyDescent="0.45">
      <c r="A25" t="s">
        <v>869</v>
      </c>
      <c r="B25">
        <v>2100</v>
      </c>
      <c r="C25" t="s">
        <v>796</v>
      </c>
      <c r="D25" t="s">
        <v>156</v>
      </c>
      <c r="E25" s="25">
        <v>1</v>
      </c>
      <c r="F25" s="25" t="s">
        <v>687</v>
      </c>
      <c r="G25" s="25" t="s">
        <v>687</v>
      </c>
      <c r="H25" s="25" t="s">
        <v>687</v>
      </c>
      <c r="I25" s="59">
        <v>0.3064924129332936</v>
      </c>
      <c r="J25" s="57">
        <v>9798536.189967256</v>
      </c>
    </row>
    <row r="26" spans="1:10" x14ac:dyDescent="0.45">
      <c r="A26" t="s">
        <v>870</v>
      </c>
      <c r="B26">
        <v>2100</v>
      </c>
      <c r="C26" t="s">
        <v>787</v>
      </c>
      <c r="D26" t="s">
        <v>156</v>
      </c>
      <c r="E26" s="25">
        <v>1</v>
      </c>
      <c r="F26" s="25" t="s">
        <v>687</v>
      </c>
      <c r="G26" s="25" t="s">
        <v>687</v>
      </c>
      <c r="H26" s="25" t="s">
        <v>687</v>
      </c>
      <c r="I26" s="59">
        <v>0.3064924129332936</v>
      </c>
      <c r="J26" s="57">
        <v>7249718.3154183328</v>
      </c>
    </row>
    <row r="27" spans="1:10" x14ac:dyDescent="0.45">
      <c r="A27" t="s">
        <v>817</v>
      </c>
      <c r="B27">
        <v>2100</v>
      </c>
      <c r="C27" t="s">
        <v>764</v>
      </c>
      <c r="D27" t="s">
        <v>169</v>
      </c>
      <c r="E27" s="25">
        <v>1</v>
      </c>
      <c r="F27" s="25" t="s">
        <v>687</v>
      </c>
      <c r="G27" s="25" t="s">
        <v>687</v>
      </c>
      <c r="H27" s="25" t="s">
        <v>691</v>
      </c>
      <c r="I27" s="59">
        <v>1.1596406792133265</v>
      </c>
      <c r="J27" s="57">
        <v>15480472.330899324</v>
      </c>
    </row>
    <row r="28" spans="1:10" x14ac:dyDescent="0.45">
      <c r="A28" t="s">
        <v>818</v>
      </c>
      <c r="B28">
        <v>2100</v>
      </c>
      <c r="C28" t="s">
        <v>796</v>
      </c>
      <c r="D28" t="s">
        <v>169</v>
      </c>
      <c r="E28" s="25">
        <v>1</v>
      </c>
      <c r="F28" s="25" t="s">
        <v>687</v>
      </c>
      <c r="G28" s="25" t="s">
        <v>687</v>
      </c>
      <c r="H28" s="25" t="s">
        <v>691</v>
      </c>
      <c r="I28" s="59">
        <v>1.144883470722631</v>
      </c>
      <c r="J28" s="57">
        <v>14986038.716978157</v>
      </c>
    </row>
    <row r="29" spans="1:10" x14ac:dyDescent="0.45">
      <c r="A29" t="s">
        <v>819</v>
      </c>
      <c r="B29">
        <v>2100</v>
      </c>
      <c r="C29" t="s">
        <v>787</v>
      </c>
      <c r="D29" t="s">
        <v>169</v>
      </c>
      <c r="E29" s="25">
        <v>1</v>
      </c>
      <c r="F29" s="25" t="s">
        <v>687</v>
      </c>
      <c r="G29" s="25" t="s">
        <v>687</v>
      </c>
      <c r="H29" s="25" t="s">
        <v>691</v>
      </c>
      <c r="I29" s="59">
        <v>1.144883470722631</v>
      </c>
      <c r="J29" s="57">
        <v>15518522.5524708</v>
      </c>
    </row>
    <row r="30" spans="1:10" x14ac:dyDescent="0.45">
      <c r="A30" t="s">
        <v>895</v>
      </c>
      <c r="B30">
        <v>2100</v>
      </c>
      <c r="C30" t="s">
        <v>763</v>
      </c>
      <c r="D30" t="s">
        <v>161</v>
      </c>
      <c r="E30" s="25">
        <v>3</v>
      </c>
      <c r="F30" s="25" t="s">
        <v>687</v>
      </c>
      <c r="G30" s="25" t="s">
        <v>687</v>
      </c>
      <c r="H30" s="25" t="s">
        <v>687</v>
      </c>
      <c r="I30" s="59">
        <v>0.33153364274339286</v>
      </c>
      <c r="J30" s="57">
        <v>15288944.185710162</v>
      </c>
    </row>
    <row r="31" spans="1:10" x14ac:dyDescent="0.45">
      <c r="A31" t="s">
        <v>864</v>
      </c>
      <c r="B31">
        <v>2100</v>
      </c>
      <c r="C31" t="s">
        <v>762</v>
      </c>
      <c r="D31" t="s">
        <v>149</v>
      </c>
      <c r="E31" s="25">
        <v>3</v>
      </c>
      <c r="F31" s="25" t="s">
        <v>687</v>
      </c>
      <c r="G31" s="25" t="s">
        <v>687</v>
      </c>
      <c r="H31" s="25" t="s">
        <v>687</v>
      </c>
      <c r="I31" s="59">
        <v>0.2224406109480353</v>
      </c>
      <c r="J31" s="57">
        <v>7933799.9582089689</v>
      </c>
    </row>
    <row r="32" spans="1:10" x14ac:dyDescent="0.45">
      <c r="A32" t="s">
        <v>822</v>
      </c>
      <c r="B32">
        <v>2100</v>
      </c>
      <c r="C32" t="s">
        <v>796</v>
      </c>
      <c r="D32" t="s">
        <v>149</v>
      </c>
      <c r="E32" s="25">
        <v>3</v>
      </c>
      <c r="F32" s="25" t="s">
        <v>687</v>
      </c>
      <c r="G32" s="25" t="s">
        <v>687</v>
      </c>
      <c r="H32" s="25" t="s">
        <v>687</v>
      </c>
      <c r="I32" s="59">
        <v>0.27751157131044596</v>
      </c>
      <c r="J32" s="57">
        <v>9619218.6891940068</v>
      </c>
    </row>
    <row r="33" spans="1:10" x14ac:dyDescent="0.45">
      <c r="A33" t="s">
        <v>823</v>
      </c>
      <c r="B33">
        <v>2100</v>
      </c>
      <c r="C33" t="s">
        <v>787</v>
      </c>
      <c r="D33" t="s">
        <v>149</v>
      </c>
      <c r="E33" s="25">
        <v>3</v>
      </c>
      <c r="F33" s="25" t="s">
        <v>687</v>
      </c>
      <c r="G33" s="25" t="s">
        <v>687</v>
      </c>
      <c r="H33" s="25" t="s">
        <v>687</v>
      </c>
      <c r="I33" s="59">
        <v>0.27751157131044596</v>
      </c>
      <c r="J33" s="57">
        <v>6963888.8045022432</v>
      </c>
    </row>
    <row r="34" spans="1:10" x14ac:dyDescent="0.45">
      <c r="A34" t="s">
        <v>856</v>
      </c>
      <c r="B34">
        <v>2100</v>
      </c>
      <c r="C34" t="s">
        <v>763</v>
      </c>
      <c r="D34" t="s">
        <v>149</v>
      </c>
      <c r="E34" s="25">
        <v>3</v>
      </c>
      <c r="F34" s="25" t="s">
        <v>687</v>
      </c>
      <c r="G34" s="25" t="s">
        <v>687</v>
      </c>
      <c r="H34" s="25" t="s">
        <v>687</v>
      </c>
      <c r="I34" s="59">
        <v>0.11415884978690284</v>
      </c>
      <c r="J34" s="57">
        <v>9311802.1341251992</v>
      </c>
    </row>
    <row r="35" spans="1:10" x14ac:dyDescent="0.45">
      <c r="A35" t="s">
        <v>857</v>
      </c>
      <c r="B35">
        <v>2100</v>
      </c>
      <c r="C35" t="s">
        <v>797</v>
      </c>
      <c r="D35" t="s">
        <v>149</v>
      </c>
      <c r="E35" s="25">
        <v>3</v>
      </c>
      <c r="F35" s="25" t="s">
        <v>687</v>
      </c>
      <c r="G35" s="25" t="s">
        <v>687</v>
      </c>
      <c r="H35" s="25" t="s">
        <v>687</v>
      </c>
      <c r="I35" s="59">
        <v>0.14750746790461322</v>
      </c>
      <c r="J35" s="57">
        <v>11703042.480669973</v>
      </c>
    </row>
    <row r="36" spans="1:10" x14ac:dyDescent="0.45">
      <c r="A36" t="s">
        <v>858</v>
      </c>
      <c r="B36">
        <v>2100</v>
      </c>
      <c r="C36" t="s">
        <v>788</v>
      </c>
      <c r="D36" t="s">
        <v>149</v>
      </c>
      <c r="E36" s="25">
        <v>3</v>
      </c>
      <c r="F36" s="25" t="s">
        <v>687</v>
      </c>
      <c r="G36" s="25" t="s">
        <v>687</v>
      </c>
      <c r="H36" s="25" t="s">
        <v>687</v>
      </c>
      <c r="I36" s="59">
        <v>0.14750746790461322</v>
      </c>
      <c r="J36" s="57">
        <v>8569914.2435088232</v>
      </c>
    </row>
    <row r="37" spans="1:10" x14ac:dyDescent="0.45">
      <c r="A37" s="25" t="s">
        <v>821</v>
      </c>
      <c r="B37">
        <v>2100</v>
      </c>
      <c r="C37" s="25" t="s">
        <v>762</v>
      </c>
      <c r="D37" s="25" t="s">
        <v>165</v>
      </c>
      <c r="E37" s="25">
        <v>3</v>
      </c>
      <c r="F37" s="25" t="s">
        <v>687</v>
      </c>
      <c r="G37" s="25" t="s">
        <v>687</v>
      </c>
      <c r="H37" s="25" t="s">
        <v>687</v>
      </c>
      <c r="I37" s="59">
        <v>0.80997620685235872</v>
      </c>
      <c r="J37" s="57">
        <v>12585199.795656696</v>
      </c>
    </row>
    <row r="38" spans="1:10" x14ac:dyDescent="0.45">
      <c r="A38" s="25" t="s">
        <v>820</v>
      </c>
      <c r="B38">
        <v>2100</v>
      </c>
      <c r="C38" s="25" t="s">
        <v>763</v>
      </c>
      <c r="D38" s="25" t="s">
        <v>165</v>
      </c>
      <c r="E38" s="25">
        <v>3</v>
      </c>
      <c r="F38" s="25" t="s">
        <v>687</v>
      </c>
      <c r="G38" s="25" t="s">
        <v>687</v>
      </c>
      <c r="H38" s="25" t="s">
        <v>687</v>
      </c>
      <c r="I38" s="59">
        <v>0.80997620685235872</v>
      </c>
      <c r="J38" s="57">
        <v>31171819.167148143</v>
      </c>
    </row>
    <row r="39" spans="1:10" x14ac:dyDescent="0.45">
      <c r="A39" s="25" t="s">
        <v>874</v>
      </c>
      <c r="B39">
        <v>2100</v>
      </c>
      <c r="C39" s="25" t="s">
        <v>764</v>
      </c>
      <c r="D39" s="25" t="s">
        <v>159</v>
      </c>
      <c r="E39" s="25">
        <v>3</v>
      </c>
      <c r="F39" s="25" t="s">
        <v>687</v>
      </c>
      <c r="G39" s="25" t="s">
        <v>687</v>
      </c>
      <c r="H39" s="25" t="s">
        <v>687</v>
      </c>
      <c r="I39" s="59">
        <v>0.51301005303526415</v>
      </c>
      <c r="J39" s="57">
        <v>9846608.2640203536</v>
      </c>
    </row>
    <row r="40" spans="1:10" x14ac:dyDescent="0.45">
      <c r="A40" s="25" t="s">
        <v>873</v>
      </c>
      <c r="B40">
        <v>2100</v>
      </c>
      <c r="C40" s="25" t="s">
        <v>764</v>
      </c>
      <c r="D40" s="25" t="s">
        <v>159</v>
      </c>
      <c r="E40" s="25">
        <v>3</v>
      </c>
      <c r="F40" s="25" t="s">
        <v>687</v>
      </c>
      <c r="G40" s="25" t="s">
        <v>687</v>
      </c>
      <c r="H40" s="25" t="s">
        <v>687</v>
      </c>
      <c r="I40" s="59">
        <v>0.45585676066776087</v>
      </c>
      <c r="J40" s="57">
        <v>9348651.8308766559</v>
      </c>
    </row>
    <row r="41" spans="1:10" x14ac:dyDescent="0.45">
      <c r="A41" s="25" t="s">
        <v>878</v>
      </c>
      <c r="B41">
        <v>2100</v>
      </c>
      <c r="C41" s="25" t="s">
        <v>762</v>
      </c>
      <c r="D41" s="25" t="s">
        <v>159</v>
      </c>
      <c r="E41" s="25">
        <v>3</v>
      </c>
      <c r="F41" s="25" t="s">
        <v>687</v>
      </c>
      <c r="G41" s="25" t="s">
        <v>687</v>
      </c>
      <c r="H41" s="25" t="s">
        <v>687</v>
      </c>
      <c r="I41" s="59">
        <v>0.5508632597218186</v>
      </c>
      <c r="J41" s="57">
        <v>10533855.283825856</v>
      </c>
    </row>
    <row r="42" spans="1:10" x14ac:dyDescent="0.45">
      <c r="A42" s="25" t="s">
        <v>875</v>
      </c>
      <c r="B42">
        <v>2100</v>
      </c>
      <c r="C42" s="25" t="s">
        <v>762</v>
      </c>
      <c r="D42" s="25" t="s">
        <v>159</v>
      </c>
      <c r="E42" s="25">
        <v>3</v>
      </c>
      <c r="F42" s="25" t="s">
        <v>687</v>
      </c>
      <c r="G42" s="25" t="s">
        <v>687</v>
      </c>
      <c r="H42" s="25" t="s">
        <v>687</v>
      </c>
      <c r="I42" s="59">
        <v>0.4763521091811011</v>
      </c>
      <c r="J42" s="57">
        <v>9943965.6568328142</v>
      </c>
    </row>
    <row r="43" spans="1:10" x14ac:dyDescent="0.45">
      <c r="A43" s="25" t="s">
        <v>879</v>
      </c>
      <c r="B43">
        <v>2100</v>
      </c>
      <c r="C43" s="25" t="s">
        <v>796</v>
      </c>
      <c r="D43" s="25" t="s">
        <v>159</v>
      </c>
      <c r="E43" s="25">
        <v>3</v>
      </c>
      <c r="F43" s="25" t="s">
        <v>687</v>
      </c>
      <c r="G43" s="25" t="s">
        <v>687</v>
      </c>
      <c r="H43" s="25" t="s">
        <v>687</v>
      </c>
      <c r="I43" s="59">
        <v>0.4717057600605416</v>
      </c>
      <c r="J43" s="57">
        <v>10820785.47060531</v>
      </c>
    </row>
    <row r="44" spans="1:10" x14ac:dyDescent="0.45">
      <c r="A44" s="25" t="s">
        <v>880</v>
      </c>
      <c r="B44">
        <v>2100</v>
      </c>
      <c r="C44" s="25" t="s">
        <v>787</v>
      </c>
      <c r="D44" s="25" t="s">
        <v>159</v>
      </c>
      <c r="E44" s="25">
        <v>3</v>
      </c>
      <c r="F44" s="25" t="s">
        <v>687</v>
      </c>
      <c r="G44" s="25" t="s">
        <v>687</v>
      </c>
      <c r="H44" s="25" t="s">
        <v>687</v>
      </c>
      <c r="I44" s="59">
        <v>0.4717057600605416</v>
      </c>
      <c r="J44" s="57">
        <v>8879168.9304398894</v>
      </c>
    </row>
    <row r="45" spans="1:10" x14ac:dyDescent="0.45">
      <c r="A45" s="25" t="s">
        <v>876</v>
      </c>
      <c r="B45">
        <v>2100</v>
      </c>
      <c r="C45" s="25" t="s">
        <v>796</v>
      </c>
      <c r="D45" s="25" t="s">
        <v>159</v>
      </c>
      <c r="E45" s="25">
        <v>3</v>
      </c>
      <c r="F45" s="25" t="s">
        <v>687</v>
      </c>
      <c r="G45" s="25" t="s">
        <v>687</v>
      </c>
      <c r="H45" s="25" t="s">
        <v>687</v>
      </c>
      <c r="I45" s="59">
        <v>0.40956021625109823</v>
      </c>
      <c r="J45" s="57">
        <v>10436263.04212903</v>
      </c>
    </row>
    <row r="46" spans="1:10" x14ac:dyDescent="0.45">
      <c r="A46" s="25" t="s">
        <v>877</v>
      </c>
      <c r="B46" s="25">
        <v>2100</v>
      </c>
      <c r="C46" s="25" t="s">
        <v>787</v>
      </c>
      <c r="D46" s="25" t="s">
        <v>159</v>
      </c>
      <c r="E46" s="25">
        <v>3</v>
      </c>
      <c r="F46" s="25" t="s">
        <v>687</v>
      </c>
      <c r="G46" s="25" t="s">
        <v>687</v>
      </c>
      <c r="H46" s="25" t="s">
        <v>687</v>
      </c>
      <c r="I46" s="59">
        <v>0.40956021625109823</v>
      </c>
      <c r="J46" s="57">
        <v>8266245.7233145386</v>
      </c>
    </row>
  </sheetData>
  <phoneticPr fontId="23" type="noConversion"/>
  <pageMargins left="0.7" right="0.7" top="0.75" bottom="0.75" header="0.3" footer="0.3"/>
  <pageSetup orientation="portrait" r:id="rId1"/>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85781-5635-45AF-8CE9-88B016C53E22}">
  <dimension ref="A1:E88"/>
  <sheetViews>
    <sheetView defaultGridColor="0" colorId="22" workbookViewId="0">
      <pane ySplit="2" topLeftCell="A3" activePane="bottomLeft" state="frozen"/>
      <selection pane="bottomLeft" activeCell="A3" sqref="A3"/>
    </sheetView>
  </sheetViews>
  <sheetFormatPr defaultColWidth="12.86328125" defaultRowHeight="14.25" x14ac:dyDescent="0.45"/>
  <cols>
    <col min="1" max="1" width="55.86328125" bestFit="1" customWidth="1"/>
    <col min="2" max="4" width="12" bestFit="1" customWidth="1"/>
    <col min="5" max="5" width="13.1328125" bestFit="1" customWidth="1"/>
    <col min="6" max="6" width="13" bestFit="1" customWidth="1"/>
    <col min="7" max="7" width="15" bestFit="1" customWidth="1"/>
    <col min="8" max="8" width="17.86328125" bestFit="1" customWidth="1"/>
    <col min="9" max="9" width="18" bestFit="1" customWidth="1"/>
    <col min="10" max="10" width="37.86328125" bestFit="1" customWidth="1"/>
    <col min="11" max="11" width="39.3984375" bestFit="1" customWidth="1"/>
    <col min="12" max="13" width="16.86328125" bestFit="1" customWidth="1"/>
    <col min="14" max="15" width="37.3984375" bestFit="1" customWidth="1"/>
    <col min="16" max="17" width="15" bestFit="1" customWidth="1"/>
    <col min="18" max="18" width="38.86328125" bestFit="1" customWidth="1"/>
    <col min="19" max="19" width="18.86328125" bestFit="1" customWidth="1"/>
    <col min="20" max="21" width="15.1328125" bestFit="1" customWidth="1"/>
    <col min="22" max="22" width="22" bestFit="1" customWidth="1"/>
    <col min="23" max="23" width="38.1328125" bestFit="1" customWidth="1"/>
    <col min="24" max="24" width="18.1328125" bestFit="1" customWidth="1"/>
    <col min="25" max="27" width="38.86328125" bestFit="1" customWidth="1"/>
    <col min="28" max="28" width="16.1328125" bestFit="1" customWidth="1"/>
    <col min="29" max="29" width="37.3984375" bestFit="1" customWidth="1"/>
    <col min="30" max="30" width="15" bestFit="1" customWidth="1"/>
    <col min="31" max="31" width="38.1328125" bestFit="1" customWidth="1"/>
    <col min="32" max="32" width="10.86328125" bestFit="1" customWidth="1"/>
    <col min="33" max="33" width="38.1328125" bestFit="1" customWidth="1"/>
    <col min="34" max="34" width="6.59765625" bestFit="1" customWidth="1"/>
    <col min="35" max="35" width="10.86328125" bestFit="1" customWidth="1"/>
    <col min="36" max="36" width="37.3984375" bestFit="1" customWidth="1"/>
    <col min="37" max="37" width="38.1328125" bestFit="1" customWidth="1"/>
    <col min="38" max="38" width="6.59765625" bestFit="1" customWidth="1"/>
    <col min="39" max="39" width="12.1328125" bestFit="1" customWidth="1"/>
    <col min="40" max="40" width="10.86328125" bestFit="1" customWidth="1"/>
  </cols>
  <sheetData>
    <row r="1" spans="1:5" ht="40.5" customHeight="1" x14ac:dyDescent="0.45"/>
    <row r="2" spans="1:5" x14ac:dyDescent="0.45">
      <c r="A2" s="62" t="s">
        <v>803</v>
      </c>
      <c r="B2" s="63">
        <v>2100</v>
      </c>
    </row>
    <row r="4" spans="1:5" x14ac:dyDescent="0.45">
      <c r="A4" s="62" t="s">
        <v>694</v>
      </c>
      <c r="B4" s="25" t="s">
        <v>695</v>
      </c>
      <c r="C4" s="25" t="s">
        <v>696</v>
      </c>
      <c r="D4" s="25" t="s">
        <v>697</v>
      </c>
      <c r="E4" s="25" t="s">
        <v>760</v>
      </c>
    </row>
    <row r="5" spans="1:5" x14ac:dyDescent="0.45">
      <c r="A5" s="63" t="s">
        <v>768</v>
      </c>
      <c r="B5" s="50">
        <v>10.341176470588238</v>
      </c>
      <c r="C5" s="50">
        <v>4</v>
      </c>
      <c r="D5" s="50">
        <v>3.5294117647058822</v>
      </c>
      <c r="E5" s="50">
        <v>14.341176470588236</v>
      </c>
    </row>
    <row r="6" spans="1:5" x14ac:dyDescent="0.45">
      <c r="A6" s="64">
        <v>1</v>
      </c>
      <c r="B6" s="50">
        <v>10.341176470588238</v>
      </c>
      <c r="C6" s="50">
        <v>4</v>
      </c>
      <c r="D6" s="50">
        <v>3.5294117647058822</v>
      </c>
      <c r="E6" s="50">
        <v>14.341176470588236</v>
      </c>
    </row>
    <row r="7" spans="1:5" x14ac:dyDescent="0.45">
      <c r="A7" s="65" t="s">
        <v>765</v>
      </c>
      <c r="B7" s="50">
        <v>4.3999999999999995</v>
      </c>
      <c r="C7" s="50">
        <v>4</v>
      </c>
      <c r="D7" s="50">
        <v>4</v>
      </c>
      <c r="E7" s="50">
        <v>8.4</v>
      </c>
    </row>
    <row r="8" spans="1:5" x14ac:dyDescent="0.45">
      <c r="A8" s="68" t="s">
        <v>808</v>
      </c>
      <c r="B8" s="50">
        <v>2.9</v>
      </c>
      <c r="C8" s="50">
        <v>0</v>
      </c>
      <c r="D8" s="50">
        <v>6</v>
      </c>
      <c r="E8" s="50">
        <v>2.9</v>
      </c>
    </row>
    <row r="9" spans="1:5" x14ac:dyDescent="0.45">
      <c r="A9" s="68" t="s">
        <v>885</v>
      </c>
      <c r="B9" s="50">
        <v>4.5999999999999996</v>
      </c>
      <c r="C9" s="50">
        <v>6</v>
      </c>
      <c r="D9" s="50">
        <v>0</v>
      </c>
      <c r="E9" s="50">
        <v>10.6</v>
      </c>
    </row>
    <row r="10" spans="1:5" x14ac:dyDescent="0.45">
      <c r="A10" s="68" t="s">
        <v>884</v>
      </c>
      <c r="B10" s="50">
        <v>5.6999999999999993</v>
      </c>
      <c r="C10" s="50">
        <v>6</v>
      </c>
      <c r="D10" s="50">
        <v>6</v>
      </c>
      <c r="E10" s="50">
        <v>11.7</v>
      </c>
    </row>
    <row r="11" spans="1:5" x14ac:dyDescent="0.45">
      <c r="A11" s="65" t="s">
        <v>766</v>
      </c>
      <c r="B11" s="50">
        <v>15.600000000000001</v>
      </c>
      <c r="C11" s="50">
        <v>4</v>
      </c>
      <c r="D11" s="50">
        <v>4</v>
      </c>
      <c r="E11" s="50">
        <v>19.600000000000001</v>
      </c>
    </row>
    <row r="12" spans="1:5" x14ac:dyDescent="0.45">
      <c r="A12" s="68" t="s">
        <v>807</v>
      </c>
      <c r="B12" s="50">
        <v>15.600000000000001</v>
      </c>
      <c r="C12" s="50">
        <v>4</v>
      </c>
      <c r="D12" s="50">
        <v>4</v>
      </c>
      <c r="E12" s="50">
        <v>19.600000000000001</v>
      </c>
    </row>
    <row r="13" spans="1:5" x14ac:dyDescent="0.45">
      <c r="A13" s="65" t="s">
        <v>824</v>
      </c>
      <c r="B13" s="50">
        <v>20.125</v>
      </c>
      <c r="C13" s="50">
        <v>4</v>
      </c>
      <c r="D13" s="50">
        <v>4</v>
      </c>
      <c r="E13" s="50">
        <v>24.125</v>
      </c>
    </row>
    <row r="14" spans="1:5" x14ac:dyDescent="0.45">
      <c r="A14" s="68" t="s">
        <v>882</v>
      </c>
      <c r="B14" s="50">
        <v>17.8</v>
      </c>
      <c r="C14" s="50">
        <v>4</v>
      </c>
      <c r="D14" s="50">
        <v>4</v>
      </c>
      <c r="E14" s="50">
        <v>21.8</v>
      </c>
    </row>
    <row r="15" spans="1:5" x14ac:dyDescent="0.45">
      <c r="A15" s="68" t="s">
        <v>809</v>
      </c>
      <c r="B15" s="50">
        <v>7.9</v>
      </c>
      <c r="C15" s="50">
        <v>4</v>
      </c>
      <c r="D15" s="50">
        <v>4</v>
      </c>
      <c r="E15" s="50">
        <v>11.9</v>
      </c>
    </row>
    <row r="16" spans="1:5" x14ac:dyDescent="0.45">
      <c r="A16" s="68" t="s">
        <v>810</v>
      </c>
      <c r="B16" s="50">
        <v>21.4</v>
      </c>
      <c r="C16" s="50">
        <v>4</v>
      </c>
      <c r="D16" s="50">
        <v>4</v>
      </c>
      <c r="E16" s="50">
        <v>25.4</v>
      </c>
    </row>
    <row r="17" spans="1:5" x14ac:dyDescent="0.45">
      <c r="A17" s="68" t="s">
        <v>811</v>
      </c>
      <c r="B17" s="50">
        <v>33.4</v>
      </c>
      <c r="C17" s="50">
        <v>4</v>
      </c>
      <c r="D17" s="50">
        <v>4</v>
      </c>
      <c r="E17" s="50">
        <v>37.4</v>
      </c>
    </row>
    <row r="18" spans="1:5" x14ac:dyDescent="0.45">
      <c r="A18" s="65" t="s">
        <v>791</v>
      </c>
      <c r="B18" s="50">
        <v>8.9250000000000007</v>
      </c>
      <c r="C18" s="50">
        <v>4</v>
      </c>
      <c r="D18" s="50">
        <v>4</v>
      </c>
      <c r="E18" s="50">
        <v>12.925000000000001</v>
      </c>
    </row>
    <row r="19" spans="1:5" x14ac:dyDescent="0.45">
      <c r="A19" s="68" t="s">
        <v>883</v>
      </c>
      <c r="B19" s="50">
        <v>7.6999999999999993</v>
      </c>
      <c r="C19" s="50">
        <v>4</v>
      </c>
      <c r="D19" s="50">
        <v>4</v>
      </c>
      <c r="E19" s="50">
        <v>11.7</v>
      </c>
    </row>
    <row r="20" spans="1:5" x14ac:dyDescent="0.45">
      <c r="A20" s="68" t="s">
        <v>812</v>
      </c>
      <c r="B20" s="50">
        <v>2.4000000000000004</v>
      </c>
      <c r="C20" s="50">
        <v>4</v>
      </c>
      <c r="D20" s="50">
        <v>4</v>
      </c>
      <c r="E20" s="50">
        <v>6.4</v>
      </c>
    </row>
    <row r="21" spans="1:5" x14ac:dyDescent="0.45">
      <c r="A21" s="68" t="s">
        <v>813</v>
      </c>
      <c r="B21" s="50">
        <v>9.6</v>
      </c>
      <c r="C21" s="50">
        <v>4</v>
      </c>
      <c r="D21" s="50">
        <v>4</v>
      </c>
      <c r="E21" s="50">
        <v>13.6</v>
      </c>
    </row>
    <row r="22" spans="1:5" x14ac:dyDescent="0.45">
      <c r="A22" s="68" t="s">
        <v>814</v>
      </c>
      <c r="B22" s="50">
        <v>16</v>
      </c>
      <c r="C22" s="50">
        <v>4</v>
      </c>
      <c r="D22" s="50">
        <v>4</v>
      </c>
      <c r="E22" s="50">
        <v>20</v>
      </c>
    </row>
    <row r="23" spans="1:5" x14ac:dyDescent="0.45">
      <c r="A23" s="65" t="s">
        <v>825</v>
      </c>
      <c r="B23" s="50">
        <v>6.16</v>
      </c>
      <c r="C23" s="50">
        <v>4</v>
      </c>
      <c r="D23" s="50">
        <v>2.4</v>
      </c>
      <c r="E23" s="50">
        <v>10.16</v>
      </c>
    </row>
    <row r="24" spans="1:5" x14ac:dyDescent="0.45">
      <c r="A24" s="68" t="s">
        <v>804</v>
      </c>
      <c r="B24" s="50">
        <v>3.8</v>
      </c>
      <c r="C24" s="50">
        <v>4</v>
      </c>
      <c r="D24" s="50">
        <v>4</v>
      </c>
      <c r="E24" s="50">
        <v>7.8</v>
      </c>
    </row>
    <row r="25" spans="1:5" x14ac:dyDescent="0.45">
      <c r="A25" s="68" t="s">
        <v>881</v>
      </c>
      <c r="B25" s="50">
        <v>10.199999999999999</v>
      </c>
      <c r="C25" s="50">
        <v>4</v>
      </c>
      <c r="D25" s="50">
        <v>0</v>
      </c>
      <c r="E25" s="50">
        <v>14.2</v>
      </c>
    </row>
    <row r="26" spans="1:5" x14ac:dyDescent="0.45">
      <c r="A26" s="68" t="s">
        <v>886</v>
      </c>
      <c r="B26" s="50">
        <v>1.7999999999999998</v>
      </c>
      <c r="C26" s="50">
        <v>4</v>
      </c>
      <c r="D26" s="50">
        <v>4</v>
      </c>
      <c r="E26" s="50">
        <v>5.8</v>
      </c>
    </row>
    <row r="27" spans="1:5" x14ac:dyDescent="0.45">
      <c r="A27" s="68" t="s">
        <v>805</v>
      </c>
      <c r="B27" s="50">
        <v>3.3</v>
      </c>
      <c r="C27" s="50">
        <v>4</v>
      </c>
      <c r="D27" s="50">
        <v>4</v>
      </c>
      <c r="E27" s="50">
        <v>7.3</v>
      </c>
    </row>
    <row r="28" spans="1:5" x14ac:dyDescent="0.45">
      <c r="A28" s="68" t="s">
        <v>806</v>
      </c>
      <c r="B28" s="50">
        <v>11.7</v>
      </c>
      <c r="C28" s="50">
        <v>4</v>
      </c>
      <c r="D28" s="50">
        <v>0</v>
      </c>
      <c r="E28" s="50">
        <v>15.7</v>
      </c>
    </row>
    <row r="29" spans="1:5" x14ac:dyDescent="0.45">
      <c r="A29" s="63" t="s">
        <v>767</v>
      </c>
      <c r="B29" s="50">
        <v>7.4428571428571431</v>
      </c>
      <c r="C29" s="50">
        <v>3.4761904761904763</v>
      </c>
      <c r="D29" s="50">
        <v>3.7142857142857144</v>
      </c>
      <c r="E29" s="50">
        <v>10.919047619047619</v>
      </c>
    </row>
    <row r="30" spans="1:5" x14ac:dyDescent="0.45">
      <c r="A30" s="64">
        <v>1</v>
      </c>
      <c r="B30" s="50">
        <v>7.5799999999999992</v>
      </c>
      <c r="C30" s="50">
        <v>3.12</v>
      </c>
      <c r="D30" s="50">
        <v>3.52</v>
      </c>
      <c r="E30" s="50">
        <v>10.7</v>
      </c>
    </row>
    <row r="31" spans="1:5" x14ac:dyDescent="0.45">
      <c r="A31" s="65" t="s">
        <v>764</v>
      </c>
      <c r="B31" s="50">
        <v>7.0666666666666664</v>
      </c>
      <c r="C31" s="50">
        <v>4</v>
      </c>
      <c r="D31" s="50">
        <v>2.6666666666666665</v>
      </c>
      <c r="E31" s="50">
        <v>11.066666666666668</v>
      </c>
    </row>
    <row r="32" spans="1:5" x14ac:dyDescent="0.45">
      <c r="A32" s="68" t="s">
        <v>866</v>
      </c>
      <c r="B32" s="50">
        <v>5.1999999999999993</v>
      </c>
      <c r="C32" s="50">
        <v>4</v>
      </c>
      <c r="D32" s="50">
        <v>4</v>
      </c>
      <c r="E32" s="50">
        <v>9.1999999999999993</v>
      </c>
    </row>
    <row r="33" spans="1:5" x14ac:dyDescent="0.45">
      <c r="A33" s="68" t="s">
        <v>865</v>
      </c>
      <c r="B33" s="50">
        <v>4.5</v>
      </c>
      <c r="C33" s="50">
        <v>4</v>
      </c>
      <c r="D33" s="50">
        <v>4</v>
      </c>
      <c r="E33" s="50">
        <v>8.5</v>
      </c>
    </row>
    <row r="34" spans="1:5" x14ac:dyDescent="0.45">
      <c r="A34" s="68" t="s">
        <v>817</v>
      </c>
      <c r="B34" s="50">
        <v>11.5</v>
      </c>
      <c r="C34" s="50">
        <v>4</v>
      </c>
      <c r="D34" s="50">
        <v>0</v>
      </c>
      <c r="E34" s="50">
        <v>15.5</v>
      </c>
    </row>
    <row r="35" spans="1:5" x14ac:dyDescent="0.45">
      <c r="A35" s="65" t="s">
        <v>762</v>
      </c>
      <c r="B35" s="50">
        <v>6.35</v>
      </c>
      <c r="C35" s="50">
        <v>4.5</v>
      </c>
      <c r="D35" s="50">
        <v>3</v>
      </c>
      <c r="E35" s="50">
        <v>10.850000000000001</v>
      </c>
    </row>
    <row r="36" spans="1:5" x14ac:dyDescent="0.45">
      <c r="A36" s="68" t="s">
        <v>850</v>
      </c>
      <c r="B36" s="50">
        <v>6.1</v>
      </c>
      <c r="C36" s="50">
        <v>4</v>
      </c>
      <c r="D36" s="50">
        <v>4</v>
      </c>
      <c r="E36" s="50">
        <v>10.1</v>
      </c>
    </row>
    <row r="37" spans="1:5" x14ac:dyDescent="0.45">
      <c r="A37" s="68" t="s">
        <v>844</v>
      </c>
      <c r="B37" s="50">
        <v>8.1</v>
      </c>
      <c r="C37" s="50">
        <v>6</v>
      </c>
      <c r="D37" s="50">
        <v>0</v>
      </c>
      <c r="E37" s="50">
        <v>14.1</v>
      </c>
    </row>
    <row r="38" spans="1:5" x14ac:dyDescent="0.45">
      <c r="A38" s="68" t="s">
        <v>868</v>
      </c>
      <c r="B38" s="50">
        <v>6</v>
      </c>
      <c r="C38" s="50">
        <v>4</v>
      </c>
      <c r="D38" s="50">
        <v>4</v>
      </c>
      <c r="E38" s="50">
        <v>10</v>
      </c>
    </row>
    <row r="39" spans="1:5" x14ac:dyDescent="0.45">
      <c r="A39" s="68" t="s">
        <v>867</v>
      </c>
      <c r="B39" s="50">
        <v>5.1999999999999993</v>
      </c>
      <c r="C39" s="50">
        <v>4</v>
      </c>
      <c r="D39" s="50">
        <v>4</v>
      </c>
      <c r="E39" s="50">
        <v>9.1999999999999993</v>
      </c>
    </row>
    <row r="40" spans="1:5" x14ac:dyDescent="0.45">
      <c r="A40" s="65" t="s">
        <v>796</v>
      </c>
      <c r="B40" s="50">
        <v>7.6499999999999986</v>
      </c>
      <c r="C40" s="50">
        <v>4</v>
      </c>
      <c r="D40" s="50">
        <v>2.6666666666666665</v>
      </c>
      <c r="E40" s="50">
        <v>11.649999999999999</v>
      </c>
    </row>
    <row r="41" spans="1:5" x14ac:dyDescent="0.45">
      <c r="A41" s="68" t="s">
        <v>851</v>
      </c>
      <c r="B41" s="50">
        <v>6.6</v>
      </c>
      <c r="C41" s="50">
        <v>4</v>
      </c>
      <c r="D41" s="50">
        <v>4</v>
      </c>
      <c r="E41" s="50">
        <v>10.6</v>
      </c>
    </row>
    <row r="42" spans="1:5" x14ac:dyDescent="0.45">
      <c r="A42" s="68" t="s">
        <v>845</v>
      </c>
      <c r="B42" s="50">
        <v>10.199999999999999</v>
      </c>
      <c r="C42" s="50">
        <v>4</v>
      </c>
      <c r="D42" s="50">
        <v>0</v>
      </c>
      <c r="E42" s="50">
        <v>14.2</v>
      </c>
    </row>
    <row r="43" spans="1:5" x14ac:dyDescent="0.45">
      <c r="A43" s="68" t="s">
        <v>816</v>
      </c>
      <c r="B43" s="50">
        <v>5.9</v>
      </c>
      <c r="C43" s="50">
        <v>4</v>
      </c>
      <c r="D43" s="50">
        <v>4</v>
      </c>
      <c r="E43" s="50">
        <v>9.9</v>
      </c>
    </row>
    <row r="44" spans="1:5" x14ac:dyDescent="0.45">
      <c r="A44" s="68" t="s">
        <v>871</v>
      </c>
      <c r="B44" s="50">
        <v>6.4</v>
      </c>
      <c r="C44" s="50">
        <v>4</v>
      </c>
      <c r="D44" s="50">
        <v>4</v>
      </c>
      <c r="E44" s="50">
        <v>10.4</v>
      </c>
    </row>
    <row r="45" spans="1:5" x14ac:dyDescent="0.45">
      <c r="A45" s="68" t="s">
        <v>869</v>
      </c>
      <c r="B45" s="50">
        <v>5.8000000000000007</v>
      </c>
      <c r="C45" s="50">
        <v>4</v>
      </c>
      <c r="D45" s="50">
        <v>4</v>
      </c>
      <c r="E45" s="50">
        <v>9.8000000000000007</v>
      </c>
    </row>
    <row r="46" spans="1:5" x14ac:dyDescent="0.45">
      <c r="A46" s="68" t="s">
        <v>818</v>
      </c>
      <c r="B46" s="50">
        <v>11</v>
      </c>
      <c r="C46" s="50">
        <v>4</v>
      </c>
      <c r="D46" s="50">
        <v>0</v>
      </c>
      <c r="E46" s="50">
        <v>15</v>
      </c>
    </row>
    <row r="47" spans="1:5" x14ac:dyDescent="0.45">
      <c r="A47" s="65" t="s">
        <v>787</v>
      </c>
      <c r="B47" s="50">
        <v>6.2</v>
      </c>
      <c r="C47" s="50">
        <v>4</v>
      </c>
      <c r="D47" s="50">
        <v>2.6666666666666665</v>
      </c>
      <c r="E47" s="50">
        <v>10.200000000000001</v>
      </c>
    </row>
    <row r="48" spans="1:5" x14ac:dyDescent="0.45">
      <c r="A48" s="68" t="s">
        <v>852</v>
      </c>
      <c r="B48" s="50">
        <v>4.5999999999999996</v>
      </c>
      <c r="C48" s="50">
        <v>4</v>
      </c>
      <c r="D48" s="50">
        <v>4</v>
      </c>
      <c r="E48" s="50">
        <v>8.6</v>
      </c>
    </row>
    <row r="49" spans="1:5" x14ac:dyDescent="0.45">
      <c r="A49" s="68" t="s">
        <v>846</v>
      </c>
      <c r="B49" s="50">
        <v>10.3</v>
      </c>
      <c r="C49" s="50">
        <v>4</v>
      </c>
      <c r="D49" s="50">
        <v>0</v>
      </c>
      <c r="E49" s="50">
        <v>14.3</v>
      </c>
    </row>
    <row r="50" spans="1:5" x14ac:dyDescent="0.45">
      <c r="A50" s="68" t="s">
        <v>815</v>
      </c>
      <c r="B50" s="50">
        <v>3.4000000000000004</v>
      </c>
      <c r="C50" s="50">
        <v>4</v>
      </c>
      <c r="D50" s="50">
        <v>4</v>
      </c>
      <c r="E50" s="50">
        <v>7.4</v>
      </c>
    </row>
    <row r="51" spans="1:5" x14ac:dyDescent="0.45">
      <c r="A51" s="68" t="s">
        <v>872</v>
      </c>
      <c r="B51" s="50">
        <v>4.1999999999999993</v>
      </c>
      <c r="C51" s="50">
        <v>4</v>
      </c>
      <c r="D51" s="50">
        <v>4</v>
      </c>
      <c r="E51" s="50">
        <v>8.1999999999999993</v>
      </c>
    </row>
    <row r="52" spans="1:5" x14ac:dyDescent="0.45">
      <c r="A52" s="68" t="s">
        <v>870</v>
      </c>
      <c r="B52" s="50">
        <v>3.2</v>
      </c>
      <c r="C52" s="50">
        <v>4</v>
      </c>
      <c r="D52" s="50">
        <v>4</v>
      </c>
      <c r="E52" s="50">
        <v>7.2</v>
      </c>
    </row>
    <row r="53" spans="1:5" x14ac:dyDescent="0.45">
      <c r="A53" s="68" t="s">
        <v>819</v>
      </c>
      <c r="B53" s="50">
        <v>11.5</v>
      </c>
      <c r="C53" s="50">
        <v>4</v>
      </c>
      <c r="D53" s="50">
        <v>0</v>
      </c>
      <c r="E53" s="50">
        <v>15.5</v>
      </c>
    </row>
    <row r="54" spans="1:5" x14ac:dyDescent="0.45">
      <c r="A54" s="65" t="s">
        <v>763</v>
      </c>
      <c r="B54" s="50">
        <v>11.6</v>
      </c>
      <c r="C54" s="50">
        <v>0</v>
      </c>
      <c r="D54" s="50">
        <v>5</v>
      </c>
      <c r="E54" s="50">
        <v>11.6</v>
      </c>
    </row>
    <row r="55" spans="1:5" x14ac:dyDescent="0.45">
      <c r="A55" s="68" t="s">
        <v>853</v>
      </c>
      <c r="B55" s="50">
        <v>9.6999999999999993</v>
      </c>
      <c r="C55" s="50">
        <v>0</v>
      </c>
      <c r="D55" s="50">
        <v>4</v>
      </c>
      <c r="E55" s="50">
        <v>9.6999999999999993</v>
      </c>
    </row>
    <row r="56" spans="1:5" x14ac:dyDescent="0.45">
      <c r="A56" s="68" t="s">
        <v>847</v>
      </c>
      <c r="B56" s="50">
        <v>13.5</v>
      </c>
      <c r="C56" s="50">
        <v>0</v>
      </c>
      <c r="D56" s="50">
        <v>6</v>
      </c>
      <c r="E56" s="50">
        <v>13.5</v>
      </c>
    </row>
    <row r="57" spans="1:5" x14ac:dyDescent="0.45">
      <c r="A57" s="65" t="s">
        <v>797</v>
      </c>
      <c r="B57" s="50">
        <v>10.8</v>
      </c>
      <c r="C57" s="50">
        <v>0</v>
      </c>
      <c r="D57" s="50">
        <v>6.5</v>
      </c>
      <c r="E57" s="50">
        <v>10.8</v>
      </c>
    </row>
    <row r="58" spans="1:5" x14ac:dyDescent="0.45">
      <c r="A58" s="68" t="s">
        <v>854</v>
      </c>
      <c r="B58" s="50">
        <v>10.6</v>
      </c>
      <c r="C58" s="50">
        <v>0</v>
      </c>
      <c r="D58" s="50">
        <v>4</v>
      </c>
      <c r="E58" s="50">
        <v>10.6</v>
      </c>
    </row>
    <row r="59" spans="1:5" x14ac:dyDescent="0.45">
      <c r="A59" s="68" t="s">
        <v>848</v>
      </c>
      <c r="B59" s="50">
        <v>11</v>
      </c>
      <c r="C59" s="50">
        <v>0</v>
      </c>
      <c r="D59" s="50">
        <v>9</v>
      </c>
      <c r="E59" s="50">
        <v>11</v>
      </c>
    </row>
    <row r="60" spans="1:5" x14ac:dyDescent="0.45">
      <c r="A60" s="65" t="s">
        <v>788</v>
      </c>
      <c r="B60" s="50">
        <v>7.5</v>
      </c>
      <c r="C60" s="50">
        <v>0</v>
      </c>
      <c r="D60" s="50">
        <v>6.5</v>
      </c>
      <c r="E60" s="50">
        <v>7.5</v>
      </c>
    </row>
    <row r="61" spans="1:5" x14ac:dyDescent="0.45">
      <c r="A61" s="68" t="s">
        <v>855</v>
      </c>
      <c r="B61" s="50">
        <v>7.3</v>
      </c>
      <c r="C61" s="50">
        <v>0</v>
      </c>
      <c r="D61" s="50">
        <v>4</v>
      </c>
      <c r="E61" s="50">
        <v>7.3</v>
      </c>
    </row>
    <row r="62" spans="1:5" x14ac:dyDescent="0.45">
      <c r="A62" s="68" t="s">
        <v>849</v>
      </c>
      <c r="B62" s="50">
        <v>7.7</v>
      </c>
      <c r="C62" s="50">
        <v>0</v>
      </c>
      <c r="D62" s="50">
        <v>9</v>
      </c>
      <c r="E62" s="50">
        <v>7.7</v>
      </c>
    </row>
    <row r="63" spans="1:5" x14ac:dyDescent="0.45">
      <c r="A63" s="64">
        <v>3</v>
      </c>
      <c r="B63" s="50">
        <v>7.2411764705882353</v>
      </c>
      <c r="C63" s="50">
        <v>4</v>
      </c>
      <c r="D63" s="50">
        <v>4</v>
      </c>
      <c r="E63" s="50">
        <v>11.241176470588234</v>
      </c>
    </row>
    <row r="64" spans="1:5" x14ac:dyDescent="0.45">
      <c r="A64" s="65" t="s">
        <v>764</v>
      </c>
      <c r="B64" s="50">
        <v>5.5500000000000007</v>
      </c>
      <c r="C64" s="50">
        <v>4</v>
      </c>
      <c r="D64" s="50">
        <v>4</v>
      </c>
      <c r="E64" s="50">
        <v>9.5500000000000007</v>
      </c>
    </row>
    <row r="65" spans="1:5" x14ac:dyDescent="0.45">
      <c r="A65" s="68" t="s">
        <v>874</v>
      </c>
      <c r="B65" s="50">
        <v>5.8000000000000007</v>
      </c>
      <c r="C65" s="50">
        <v>4</v>
      </c>
      <c r="D65" s="50">
        <v>4</v>
      </c>
      <c r="E65" s="50">
        <v>9.8000000000000007</v>
      </c>
    </row>
    <row r="66" spans="1:5" x14ac:dyDescent="0.45">
      <c r="A66" s="68" t="s">
        <v>873</v>
      </c>
      <c r="B66" s="50">
        <v>5.3000000000000007</v>
      </c>
      <c r="C66" s="50">
        <v>4</v>
      </c>
      <c r="D66" s="50">
        <v>4</v>
      </c>
      <c r="E66" s="50">
        <v>9.3000000000000007</v>
      </c>
    </row>
    <row r="67" spans="1:5" x14ac:dyDescent="0.45">
      <c r="A67" s="65" t="s">
        <v>762</v>
      </c>
      <c r="B67" s="50">
        <v>6.2249999999999996</v>
      </c>
      <c r="C67" s="50">
        <v>4</v>
      </c>
      <c r="D67" s="50">
        <v>4</v>
      </c>
      <c r="E67" s="50">
        <v>10.225</v>
      </c>
    </row>
    <row r="68" spans="1:5" x14ac:dyDescent="0.45">
      <c r="A68" s="68" t="s">
        <v>864</v>
      </c>
      <c r="B68" s="50">
        <v>3.9000000000000004</v>
      </c>
      <c r="C68" s="50">
        <v>4</v>
      </c>
      <c r="D68" s="50">
        <v>4</v>
      </c>
      <c r="E68" s="50">
        <v>7.9</v>
      </c>
    </row>
    <row r="69" spans="1:5" x14ac:dyDescent="0.45">
      <c r="A69" s="68" t="s">
        <v>821</v>
      </c>
      <c r="B69" s="50">
        <v>8.6</v>
      </c>
      <c r="C69" s="50">
        <v>4</v>
      </c>
      <c r="D69" s="50">
        <v>4</v>
      </c>
      <c r="E69" s="50">
        <v>12.6</v>
      </c>
    </row>
    <row r="70" spans="1:5" x14ac:dyDescent="0.45">
      <c r="A70" s="68" t="s">
        <v>878</v>
      </c>
      <c r="B70" s="50">
        <v>6.5</v>
      </c>
      <c r="C70" s="50">
        <v>4</v>
      </c>
      <c r="D70" s="50">
        <v>4</v>
      </c>
      <c r="E70" s="50">
        <v>10.5</v>
      </c>
    </row>
    <row r="71" spans="1:5" x14ac:dyDescent="0.45">
      <c r="A71" s="68" t="s">
        <v>875</v>
      </c>
      <c r="B71" s="50">
        <v>5.9</v>
      </c>
      <c r="C71" s="50">
        <v>4</v>
      </c>
      <c r="D71" s="50">
        <v>4</v>
      </c>
      <c r="E71" s="50">
        <v>9.9</v>
      </c>
    </row>
    <row r="72" spans="1:5" x14ac:dyDescent="0.45">
      <c r="A72" s="65" t="s">
        <v>796</v>
      </c>
      <c r="B72" s="50">
        <v>6.2666666666666666</v>
      </c>
      <c r="C72" s="50">
        <v>4</v>
      </c>
      <c r="D72" s="50">
        <v>4</v>
      </c>
      <c r="E72" s="50">
        <v>10.266666666666666</v>
      </c>
    </row>
    <row r="73" spans="1:5" x14ac:dyDescent="0.45">
      <c r="A73" s="68" t="s">
        <v>822</v>
      </c>
      <c r="B73" s="50">
        <v>5.6</v>
      </c>
      <c r="C73" s="50">
        <v>4</v>
      </c>
      <c r="D73" s="50">
        <v>4</v>
      </c>
      <c r="E73" s="50">
        <v>9.6</v>
      </c>
    </row>
    <row r="74" spans="1:5" x14ac:dyDescent="0.45">
      <c r="A74" s="68" t="s">
        <v>879</v>
      </c>
      <c r="B74" s="50">
        <v>6.8000000000000007</v>
      </c>
      <c r="C74" s="50">
        <v>4</v>
      </c>
      <c r="D74" s="50">
        <v>4</v>
      </c>
      <c r="E74" s="50">
        <v>10.8</v>
      </c>
    </row>
    <row r="75" spans="1:5" x14ac:dyDescent="0.45">
      <c r="A75" s="68" t="s">
        <v>876</v>
      </c>
      <c r="B75" s="50">
        <v>6.4</v>
      </c>
      <c r="C75" s="50">
        <v>4</v>
      </c>
      <c r="D75" s="50">
        <v>4</v>
      </c>
      <c r="E75" s="50">
        <v>10.4</v>
      </c>
    </row>
    <row r="76" spans="1:5" x14ac:dyDescent="0.45">
      <c r="A76" s="65" t="s">
        <v>787</v>
      </c>
      <c r="B76" s="50">
        <v>4.0666666666666673</v>
      </c>
      <c r="C76" s="50">
        <v>4</v>
      </c>
      <c r="D76" s="50">
        <v>4</v>
      </c>
      <c r="E76" s="50">
        <v>8.0666666666666682</v>
      </c>
    </row>
    <row r="77" spans="1:5" x14ac:dyDescent="0.45">
      <c r="A77" s="68" t="s">
        <v>823</v>
      </c>
      <c r="B77" s="50">
        <v>3</v>
      </c>
      <c r="C77" s="50">
        <v>4</v>
      </c>
      <c r="D77" s="50">
        <v>4</v>
      </c>
      <c r="E77" s="50">
        <v>7</v>
      </c>
    </row>
    <row r="78" spans="1:5" x14ac:dyDescent="0.45">
      <c r="A78" s="68" t="s">
        <v>880</v>
      </c>
      <c r="B78" s="50">
        <v>4.9000000000000004</v>
      </c>
      <c r="C78" s="50">
        <v>4</v>
      </c>
      <c r="D78" s="50">
        <v>4</v>
      </c>
      <c r="E78" s="50">
        <v>8.9</v>
      </c>
    </row>
    <row r="79" spans="1:5" x14ac:dyDescent="0.45">
      <c r="A79" s="68" t="s">
        <v>877</v>
      </c>
      <c r="B79" s="50">
        <v>4.3000000000000007</v>
      </c>
      <c r="C79" s="50">
        <v>4</v>
      </c>
      <c r="D79" s="50">
        <v>4</v>
      </c>
      <c r="E79" s="50">
        <v>8.3000000000000007</v>
      </c>
    </row>
    <row r="80" spans="1:5" x14ac:dyDescent="0.45">
      <c r="A80" s="65" t="s">
        <v>763</v>
      </c>
      <c r="B80" s="50">
        <v>14.6</v>
      </c>
      <c r="C80" s="50">
        <v>4</v>
      </c>
      <c r="D80" s="50">
        <v>4</v>
      </c>
      <c r="E80" s="50">
        <v>18.599999999999998</v>
      </c>
    </row>
    <row r="81" spans="1:5" x14ac:dyDescent="0.45">
      <c r="A81" s="68" t="s">
        <v>895</v>
      </c>
      <c r="B81" s="50">
        <v>11.3</v>
      </c>
      <c r="C81" s="50">
        <v>4</v>
      </c>
      <c r="D81" s="50">
        <v>4</v>
      </c>
      <c r="E81" s="50">
        <v>15.3</v>
      </c>
    </row>
    <row r="82" spans="1:5" x14ac:dyDescent="0.45">
      <c r="A82" s="68" t="s">
        <v>856</v>
      </c>
      <c r="B82" s="50">
        <v>5.3000000000000007</v>
      </c>
      <c r="C82" s="50">
        <v>4</v>
      </c>
      <c r="D82" s="50">
        <v>4</v>
      </c>
      <c r="E82" s="50">
        <v>9.3000000000000007</v>
      </c>
    </row>
    <row r="83" spans="1:5" x14ac:dyDescent="0.45">
      <c r="A83" s="68" t="s">
        <v>820</v>
      </c>
      <c r="B83" s="50">
        <v>27.2</v>
      </c>
      <c r="C83" s="50">
        <v>4</v>
      </c>
      <c r="D83" s="50">
        <v>4</v>
      </c>
      <c r="E83" s="50">
        <v>31.2</v>
      </c>
    </row>
    <row r="84" spans="1:5" x14ac:dyDescent="0.45">
      <c r="A84" s="65" t="s">
        <v>797</v>
      </c>
      <c r="B84" s="50">
        <v>7.6999999999999993</v>
      </c>
      <c r="C84" s="50">
        <v>4</v>
      </c>
      <c r="D84" s="50">
        <v>4</v>
      </c>
      <c r="E84" s="50">
        <v>11.7</v>
      </c>
    </row>
    <row r="85" spans="1:5" x14ac:dyDescent="0.45">
      <c r="A85" s="68" t="s">
        <v>857</v>
      </c>
      <c r="B85" s="50">
        <v>7.6999999999999993</v>
      </c>
      <c r="C85" s="50">
        <v>4</v>
      </c>
      <c r="D85" s="50">
        <v>4</v>
      </c>
      <c r="E85" s="50">
        <v>11.7</v>
      </c>
    </row>
    <row r="86" spans="1:5" x14ac:dyDescent="0.45">
      <c r="A86" s="65" t="s">
        <v>788</v>
      </c>
      <c r="B86" s="50">
        <v>4.5999999999999996</v>
      </c>
      <c r="C86" s="50">
        <v>4</v>
      </c>
      <c r="D86" s="50">
        <v>4</v>
      </c>
      <c r="E86" s="50">
        <v>8.6</v>
      </c>
    </row>
    <row r="87" spans="1:5" x14ac:dyDescent="0.45">
      <c r="A87" s="68" t="s">
        <v>858</v>
      </c>
      <c r="B87" s="50">
        <v>4.5999999999999996</v>
      </c>
      <c r="C87" s="50">
        <v>4</v>
      </c>
      <c r="D87" s="50">
        <v>4</v>
      </c>
      <c r="E87" s="50">
        <v>8.6</v>
      </c>
    </row>
    <row r="88" spans="1:5" x14ac:dyDescent="0.45">
      <c r="A88" s="63" t="s">
        <v>693</v>
      </c>
      <c r="B88" s="50">
        <v>8.2779661016949166</v>
      </c>
      <c r="C88" s="50">
        <v>3.6271186440677967</v>
      </c>
      <c r="D88" s="50">
        <v>3.6610169491525424</v>
      </c>
      <c r="E88" s="50">
        <v>11.905084745762709</v>
      </c>
    </row>
  </sheetData>
  <pageMargins left="0.7" right="0.7" top="0.75" bottom="0.75" header="0.3" footer="0.3"/>
  <pageSetup orientation="portrait"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2CA5C-A6C7-432F-9AA3-4A864E892AE9}">
  <dimension ref="A1:T63"/>
  <sheetViews>
    <sheetView defaultGridColor="0" colorId="22" workbookViewId="0">
      <pane ySplit="4" topLeftCell="A5" activePane="bottomLeft" state="frozen"/>
      <selection pane="bottomLeft" activeCell="A5" sqref="A5"/>
    </sheetView>
  </sheetViews>
  <sheetFormatPr defaultColWidth="12.86328125" defaultRowHeight="14.25" x14ac:dyDescent="0.45"/>
  <cols>
    <col min="1" max="1" width="47.73046875" bestFit="1" customWidth="1"/>
    <col min="2" max="2" width="13.1328125" bestFit="1" customWidth="1"/>
    <col min="3" max="3" width="12.73046875" bestFit="1" customWidth="1"/>
    <col min="4" max="4" width="10.86328125" bestFit="1" customWidth="1"/>
    <col min="5" max="5" width="6" bestFit="1" customWidth="1"/>
    <col min="6" max="6" width="10.265625" bestFit="1" customWidth="1"/>
    <col min="7" max="7" width="11.59765625" bestFit="1" customWidth="1"/>
    <col min="8" max="8" width="14.73046875" bestFit="1" customWidth="1"/>
    <col min="9" max="9" width="12" bestFit="1" customWidth="1"/>
    <col min="10" max="10" width="17.265625" bestFit="1" customWidth="1"/>
    <col min="11" max="11" width="9.59765625" bestFit="1" customWidth="1"/>
    <col min="12" max="12" width="12" bestFit="1" customWidth="1"/>
    <col min="13" max="13" width="17" bestFit="1" customWidth="1"/>
    <col min="14" max="14" width="13.59765625" bestFit="1" customWidth="1"/>
    <col min="15" max="15" width="14.86328125" bestFit="1" customWidth="1"/>
    <col min="16" max="16" width="11.1328125" bestFit="1" customWidth="1"/>
    <col min="17" max="17" width="12.1328125" bestFit="1" customWidth="1"/>
    <col min="18" max="18" width="14.3984375" bestFit="1" customWidth="1"/>
    <col min="19" max="19" width="15.59765625" bestFit="1" customWidth="1"/>
    <col min="20" max="20" width="7" style="25" bestFit="1" customWidth="1"/>
  </cols>
  <sheetData>
    <row r="1" spans="1:20" ht="40.5" customHeight="1" x14ac:dyDescent="0.45">
      <c r="A1" s="48" t="s">
        <v>769</v>
      </c>
    </row>
    <row r="4" spans="1:20" x14ac:dyDescent="0.45">
      <c r="A4" t="s">
        <v>591</v>
      </c>
      <c r="B4" t="s">
        <v>803</v>
      </c>
      <c r="C4" t="s">
        <v>761</v>
      </c>
      <c r="D4" t="s">
        <v>142</v>
      </c>
      <c r="E4" t="s">
        <v>577</v>
      </c>
      <c r="F4" t="s">
        <v>680</v>
      </c>
      <c r="G4" t="s">
        <v>681</v>
      </c>
      <c r="H4" t="s">
        <v>682</v>
      </c>
      <c r="I4" t="s">
        <v>621</v>
      </c>
      <c r="J4" t="s">
        <v>622</v>
      </c>
      <c r="K4" t="s">
        <v>770</v>
      </c>
      <c r="L4" t="s">
        <v>627</v>
      </c>
      <c r="M4" t="s">
        <v>771</v>
      </c>
      <c r="N4" t="s">
        <v>684</v>
      </c>
      <c r="O4" t="s">
        <v>688</v>
      </c>
      <c r="P4" t="s">
        <v>689</v>
      </c>
      <c r="Q4" t="s">
        <v>690</v>
      </c>
      <c r="R4" t="s">
        <v>772</v>
      </c>
      <c r="S4" t="s">
        <v>773</v>
      </c>
      <c r="T4" t="s">
        <v>774</v>
      </c>
    </row>
    <row r="5" spans="1:20" x14ac:dyDescent="0.45">
      <c r="A5" s="25" t="s">
        <v>808</v>
      </c>
      <c r="B5">
        <v>2100</v>
      </c>
      <c r="C5" s="25" t="s">
        <v>765</v>
      </c>
      <c r="D5" s="25" t="s">
        <v>203</v>
      </c>
      <c r="E5" s="50">
        <v>1</v>
      </c>
      <c r="F5" s="25" t="s">
        <v>685</v>
      </c>
      <c r="G5" s="25" t="s">
        <v>687</v>
      </c>
      <c r="H5" s="25" t="s">
        <v>692</v>
      </c>
      <c r="I5" s="25">
        <v>0.20012688570005807</v>
      </c>
      <c r="J5" s="25">
        <v>2926713.2980841519</v>
      </c>
      <c r="K5" s="25" t="s">
        <v>768</v>
      </c>
      <c r="L5" s="25"/>
      <c r="M5" s="25">
        <v>2.9</v>
      </c>
      <c r="N5" s="25">
        <v>3</v>
      </c>
      <c r="O5" s="25">
        <v>2</v>
      </c>
      <c r="P5" s="25">
        <v>0</v>
      </c>
      <c r="Q5" s="25">
        <v>1</v>
      </c>
      <c r="R5" s="25">
        <v>0</v>
      </c>
      <c r="S5" s="25">
        <v>6</v>
      </c>
      <c r="T5" s="25">
        <v>2.9</v>
      </c>
    </row>
    <row r="6" spans="1:20" x14ac:dyDescent="0.45">
      <c r="A6" s="25" t="s">
        <v>882</v>
      </c>
      <c r="B6">
        <v>2100</v>
      </c>
      <c r="C6" s="25" t="s">
        <v>824</v>
      </c>
      <c r="D6" s="25" t="s">
        <v>203</v>
      </c>
      <c r="E6" s="50">
        <v>1</v>
      </c>
      <c r="F6" s="25" t="s">
        <v>687</v>
      </c>
      <c r="G6" s="25" t="s">
        <v>687</v>
      </c>
      <c r="H6" s="25" t="s">
        <v>687</v>
      </c>
      <c r="I6" s="25">
        <v>2.7592385977212883</v>
      </c>
      <c r="J6" s="25">
        <v>21803861.524279173</v>
      </c>
      <c r="K6" s="25" t="s">
        <v>768</v>
      </c>
      <c r="L6" s="25"/>
      <c r="M6" s="25">
        <v>21.8</v>
      </c>
      <c r="N6" s="25">
        <v>2</v>
      </c>
      <c r="O6" s="25">
        <v>2</v>
      </c>
      <c r="P6" s="25">
        <v>1</v>
      </c>
      <c r="Q6" s="25">
        <v>1</v>
      </c>
      <c r="R6" s="25">
        <v>4</v>
      </c>
      <c r="S6" s="25">
        <v>4</v>
      </c>
      <c r="T6" s="25">
        <v>17.8</v>
      </c>
    </row>
    <row r="7" spans="1:20" x14ac:dyDescent="0.45">
      <c r="A7" s="25" t="s">
        <v>883</v>
      </c>
      <c r="B7">
        <v>2100</v>
      </c>
      <c r="C7" s="25" t="s">
        <v>791</v>
      </c>
      <c r="D7" s="25" t="s">
        <v>203</v>
      </c>
      <c r="E7" s="50">
        <v>1</v>
      </c>
      <c r="F7" s="25" t="s">
        <v>687</v>
      </c>
      <c r="G7" s="25" t="s">
        <v>687</v>
      </c>
      <c r="H7" s="25" t="s">
        <v>687</v>
      </c>
      <c r="I7" s="25">
        <v>2.7592385977212883</v>
      </c>
      <c r="J7" s="25">
        <v>11662953.495048253</v>
      </c>
      <c r="K7" s="25" t="s">
        <v>768</v>
      </c>
      <c r="L7" s="25"/>
      <c r="M7" s="25">
        <v>11.7</v>
      </c>
      <c r="N7" s="25">
        <v>2</v>
      </c>
      <c r="O7" s="25">
        <v>2</v>
      </c>
      <c r="P7" s="25">
        <v>1</v>
      </c>
      <c r="Q7" s="25">
        <v>1</v>
      </c>
      <c r="R7" s="25">
        <v>4</v>
      </c>
      <c r="S7" s="25">
        <v>4</v>
      </c>
      <c r="T7" s="25">
        <v>7.6999999999999993</v>
      </c>
    </row>
    <row r="8" spans="1:20" x14ac:dyDescent="0.45">
      <c r="A8" s="25" t="s">
        <v>804</v>
      </c>
      <c r="B8">
        <v>2100</v>
      </c>
      <c r="C8" s="25" t="s">
        <v>825</v>
      </c>
      <c r="D8" s="25" t="s">
        <v>203</v>
      </c>
      <c r="E8" s="50">
        <v>1</v>
      </c>
      <c r="F8" s="25" t="s">
        <v>687</v>
      </c>
      <c r="G8" s="25" t="s">
        <v>687</v>
      </c>
      <c r="H8" s="25" t="s">
        <v>687</v>
      </c>
      <c r="I8" s="25">
        <v>0.55522878263902764</v>
      </c>
      <c r="J8" s="25">
        <v>7822940.0873838915</v>
      </c>
      <c r="K8" s="25" t="s">
        <v>768</v>
      </c>
      <c r="L8" s="25"/>
      <c r="M8" s="25">
        <v>7.8</v>
      </c>
      <c r="N8" s="25">
        <v>2</v>
      </c>
      <c r="O8" s="25">
        <v>2</v>
      </c>
      <c r="P8" s="25">
        <v>1</v>
      </c>
      <c r="Q8" s="25">
        <v>1</v>
      </c>
      <c r="R8" s="25">
        <v>4</v>
      </c>
      <c r="S8" s="25">
        <v>4</v>
      </c>
      <c r="T8" s="25">
        <v>3.8</v>
      </c>
    </row>
    <row r="9" spans="1:20" x14ac:dyDescent="0.45">
      <c r="A9" s="25" t="s">
        <v>885</v>
      </c>
      <c r="B9">
        <v>2100</v>
      </c>
      <c r="C9" s="25" t="s">
        <v>765</v>
      </c>
      <c r="D9" s="25" t="s">
        <v>158</v>
      </c>
      <c r="E9" s="50">
        <v>1</v>
      </c>
      <c r="F9" s="25" t="s">
        <v>685</v>
      </c>
      <c r="G9" s="25" t="s">
        <v>687</v>
      </c>
      <c r="H9" s="25" t="s">
        <v>691</v>
      </c>
      <c r="I9" s="25">
        <v>0.72313548915933623</v>
      </c>
      <c r="J9" s="25">
        <v>10575341.963853901</v>
      </c>
      <c r="K9" s="25" t="s">
        <v>768</v>
      </c>
      <c r="L9" s="25"/>
      <c r="M9" s="25">
        <v>10.6</v>
      </c>
      <c r="N9" s="25">
        <v>3</v>
      </c>
      <c r="O9" s="25">
        <v>2</v>
      </c>
      <c r="P9" s="25">
        <v>1</v>
      </c>
      <c r="Q9" s="25">
        <v>0</v>
      </c>
      <c r="R9" s="25">
        <v>6</v>
      </c>
      <c r="S9" s="25">
        <v>0</v>
      </c>
      <c r="T9" s="25">
        <v>4.5999999999999996</v>
      </c>
    </row>
    <row r="10" spans="1:20" x14ac:dyDescent="0.45">
      <c r="A10" s="25" t="s">
        <v>809</v>
      </c>
      <c r="B10">
        <v>2100</v>
      </c>
      <c r="C10" s="25" t="s">
        <v>824</v>
      </c>
      <c r="D10" s="25" t="s">
        <v>158</v>
      </c>
      <c r="E10" s="50">
        <v>1</v>
      </c>
      <c r="F10" s="25" t="s">
        <v>687</v>
      </c>
      <c r="G10" s="25" t="s">
        <v>687</v>
      </c>
      <c r="H10" s="25" t="s">
        <v>687</v>
      </c>
      <c r="I10" s="25">
        <v>1.5071868064076306</v>
      </c>
      <c r="J10" s="25">
        <v>11909985.763924861</v>
      </c>
      <c r="K10" s="25" t="s">
        <v>768</v>
      </c>
      <c r="L10" s="25"/>
      <c r="M10" s="25">
        <v>11.9</v>
      </c>
      <c r="N10" s="25">
        <v>2</v>
      </c>
      <c r="O10" s="25">
        <v>2</v>
      </c>
      <c r="P10" s="25">
        <v>1</v>
      </c>
      <c r="Q10" s="25">
        <v>1</v>
      </c>
      <c r="R10" s="25">
        <v>4</v>
      </c>
      <c r="S10" s="25">
        <v>4</v>
      </c>
      <c r="T10" s="25">
        <v>7.9</v>
      </c>
    </row>
    <row r="11" spans="1:20" x14ac:dyDescent="0.45">
      <c r="A11" s="25" t="s">
        <v>812</v>
      </c>
      <c r="B11">
        <v>2100</v>
      </c>
      <c r="C11" s="25" t="s">
        <v>791</v>
      </c>
      <c r="D11" s="25" t="s">
        <v>158</v>
      </c>
      <c r="E11" s="50">
        <v>1</v>
      </c>
      <c r="F11" s="25" t="s">
        <v>687</v>
      </c>
      <c r="G11" s="25" t="s">
        <v>687</v>
      </c>
      <c r="H11" s="25" t="s">
        <v>687</v>
      </c>
      <c r="I11" s="25">
        <v>1.5071868064076306</v>
      </c>
      <c r="J11" s="25">
        <v>6370688.5102286739</v>
      </c>
      <c r="K11" s="25" t="s">
        <v>768</v>
      </c>
      <c r="L11" s="25"/>
      <c r="M11" s="25">
        <v>6.4</v>
      </c>
      <c r="N11" s="25">
        <v>2</v>
      </c>
      <c r="O11" s="25">
        <v>2</v>
      </c>
      <c r="P11" s="25">
        <v>1</v>
      </c>
      <c r="Q11" s="25">
        <v>1</v>
      </c>
      <c r="R11" s="25">
        <v>4</v>
      </c>
      <c r="S11" s="25">
        <v>4</v>
      </c>
      <c r="T11" s="25">
        <v>2.4000000000000004</v>
      </c>
    </row>
    <row r="12" spans="1:20" x14ac:dyDescent="0.45">
      <c r="A12" s="25" t="s">
        <v>881</v>
      </c>
      <c r="B12">
        <v>2100</v>
      </c>
      <c r="C12" s="25" t="s">
        <v>825</v>
      </c>
      <c r="D12" s="25" t="s">
        <v>158</v>
      </c>
      <c r="E12" s="50">
        <v>1</v>
      </c>
      <c r="F12" s="25" t="s">
        <v>687</v>
      </c>
      <c r="G12" s="25" t="s">
        <v>687</v>
      </c>
      <c r="H12" s="25" t="s">
        <v>691</v>
      </c>
      <c r="I12" s="25">
        <v>1.005544647014156</v>
      </c>
      <c r="J12" s="25">
        <v>14167701.269722313</v>
      </c>
      <c r="K12" s="25" t="s">
        <v>768</v>
      </c>
      <c r="L12" s="25"/>
      <c r="M12" s="25">
        <v>14.2</v>
      </c>
      <c r="N12" s="25">
        <v>2</v>
      </c>
      <c r="O12" s="25">
        <v>2</v>
      </c>
      <c r="P12" s="25">
        <v>1</v>
      </c>
      <c r="Q12" s="25">
        <v>0</v>
      </c>
      <c r="R12" s="25">
        <v>4</v>
      </c>
      <c r="S12" s="25">
        <v>0</v>
      </c>
      <c r="T12" s="25">
        <v>10.199999999999999</v>
      </c>
    </row>
    <row r="13" spans="1:20" x14ac:dyDescent="0.45">
      <c r="A13" s="25" t="s">
        <v>884</v>
      </c>
      <c r="B13">
        <v>2100</v>
      </c>
      <c r="C13" s="25" t="s">
        <v>765</v>
      </c>
      <c r="D13" s="25" t="s">
        <v>143</v>
      </c>
      <c r="E13" s="50">
        <v>1</v>
      </c>
      <c r="F13" s="25" t="s">
        <v>685</v>
      </c>
      <c r="G13" s="25" t="s">
        <v>687</v>
      </c>
      <c r="H13" s="25" t="s">
        <v>687</v>
      </c>
      <c r="I13" s="25">
        <v>0.79696286622641521</v>
      </c>
      <c r="J13" s="25">
        <v>11655014.819747597</v>
      </c>
      <c r="K13" s="25" t="s">
        <v>768</v>
      </c>
      <c r="L13" s="25"/>
      <c r="M13" s="25">
        <v>11.7</v>
      </c>
      <c r="N13" s="25">
        <v>3</v>
      </c>
      <c r="O13" s="25">
        <v>2</v>
      </c>
      <c r="P13" s="25">
        <v>1</v>
      </c>
      <c r="Q13" s="25">
        <v>1</v>
      </c>
      <c r="R13" s="25">
        <v>6</v>
      </c>
      <c r="S13" s="25">
        <v>6</v>
      </c>
      <c r="T13" s="25">
        <v>5.6999999999999993</v>
      </c>
    </row>
    <row r="14" spans="1:20" x14ac:dyDescent="0.45">
      <c r="A14" s="25" t="s">
        <v>810</v>
      </c>
      <c r="B14">
        <v>2100</v>
      </c>
      <c r="C14" s="25" t="s">
        <v>824</v>
      </c>
      <c r="D14" s="25" t="s">
        <v>143</v>
      </c>
      <c r="E14" s="50">
        <v>1</v>
      </c>
      <c r="F14" s="25" t="s">
        <v>687</v>
      </c>
      <c r="G14" s="25" t="s">
        <v>687</v>
      </c>
      <c r="H14" s="25" t="s">
        <v>687</v>
      </c>
      <c r="I14" s="25">
        <v>3.207996480243466</v>
      </c>
      <c r="J14" s="25">
        <v>25350004.556825522</v>
      </c>
      <c r="K14" s="25" t="s">
        <v>768</v>
      </c>
      <c r="L14" s="25"/>
      <c r="M14" s="25">
        <v>25.4</v>
      </c>
      <c r="N14" s="25">
        <v>2</v>
      </c>
      <c r="O14" s="25">
        <v>2</v>
      </c>
      <c r="P14" s="25">
        <v>1</v>
      </c>
      <c r="Q14" s="25">
        <v>1</v>
      </c>
      <c r="R14" s="25">
        <v>4</v>
      </c>
      <c r="S14" s="25">
        <v>4</v>
      </c>
      <c r="T14" s="25">
        <v>21.4</v>
      </c>
    </row>
    <row r="15" spans="1:20" x14ac:dyDescent="0.45">
      <c r="A15" s="25" t="s">
        <v>813</v>
      </c>
      <c r="B15">
        <v>2100</v>
      </c>
      <c r="C15" s="25" t="s">
        <v>791</v>
      </c>
      <c r="D15" s="25" t="s">
        <v>143</v>
      </c>
      <c r="E15" s="50">
        <v>1</v>
      </c>
      <c r="F15" s="25" t="s">
        <v>687</v>
      </c>
      <c r="G15" s="25" t="s">
        <v>687</v>
      </c>
      <c r="H15" s="25" t="s">
        <v>687</v>
      </c>
      <c r="I15" s="25">
        <v>3.207996480243466</v>
      </c>
      <c r="J15" s="25">
        <v>13559796.456985231</v>
      </c>
      <c r="K15" s="25" t="s">
        <v>768</v>
      </c>
      <c r="L15" s="25"/>
      <c r="M15" s="25">
        <v>13.6</v>
      </c>
      <c r="N15" s="25">
        <v>2</v>
      </c>
      <c r="O15" s="25">
        <v>2</v>
      </c>
      <c r="P15" s="25">
        <v>1</v>
      </c>
      <c r="Q15" s="25">
        <v>1</v>
      </c>
      <c r="R15" s="25">
        <v>4</v>
      </c>
      <c r="S15" s="25">
        <v>4</v>
      </c>
      <c r="T15" s="25">
        <v>9.6</v>
      </c>
    </row>
    <row r="16" spans="1:20" x14ac:dyDescent="0.45">
      <c r="A16" s="25" t="s">
        <v>886</v>
      </c>
      <c r="B16">
        <v>2100</v>
      </c>
      <c r="C16" s="25" t="s">
        <v>825</v>
      </c>
      <c r="D16" s="25" t="s">
        <v>143</v>
      </c>
      <c r="E16" s="50">
        <v>1</v>
      </c>
      <c r="F16" s="25" t="s">
        <v>687</v>
      </c>
      <c r="G16" s="25" t="s">
        <v>687</v>
      </c>
      <c r="H16" s="25" t="s">
        <v>687</v>
      </c>
      <c r="I16" s="25">
        <v>0.40847739858033516</v>
      </c>
      <c r="J16" s="25">
        <v>5755274.7913320754</v>
      </c>
      <c r="K16" s="25" t="s">
        <v>768</v>
      </c>
      <c r="L16" s="25"/>
      <c r="M16" s="25">
        <v>5.8</v>
      </c>
      <c r="N16" s="25">
        <v>2</v>
      </c>
      <c r="O16" s="25">
        <v>2</v>
      </c>
      <c r="P16" s="25">
        <v>1</v>
      </c>
      <c r="Q16" s="25">
        <v>1</v>
      </c>
      <c r="R16" s="25">
        <v>4</v>
      </c>
      <c r="S16" s="25">
        <v>4</v>
      </c>
      <c r="T16" s="25">
        <v>1.7999999999999998</v>
      </c>
    </row>
    <row r="17" spans="1:20" x14ac:dyDescent="0.45">
      <c r="A17" s="25" t="s">
        <v>805</v>
      </c>
      <c r="B17">
        <v>2100</v>
      </c>
      <c r="C17" s="25" t="s">
        <v>825</v>
      </c>
      <c r="D17" s="25" t="s">
        <v>156</v>
      </c>
      <c r="E17" s="50">
        <v>1</v>
      </c>
      <c r="F17" s="25" t="s">
        <v>687</v>
      </c>
      <c r="G17" s="25" t="s">
        <v>687</v>
      </c>
      <c r="H17" s="25" t="s">
        <v>687</v>
      </c>
      <c r="I17" s="25">
        <v>0.52110105294254183</v>
      </c>
      <c r="J17" s="25">
        <v>7342094.7258284688</v>
      </c>
      <c r="K17" s="25" t="s">
        <v>768</v>
      </c>
      <c r="L17" s="25"/>
      <c r="M17" s="25">
        <v>7.3</v>
      </c>
      <c r="N17" s="25">
        <v>2</v>
      </c>
      <c r="O17" s="25">
        <v>2</v>
      </c>
      <c r="P17" s="25">
        <v>1</v>
      </c>
      <c r="Q17" s="25">
        <v>1</v>
      </c>
      <c r="R17" s="25">
        <v>4</v>
      </c>
      <c r="S17" s="25">
        <v>4</v>
      </c>
      <c r="T17" s="25">
        <v>3.3</v>
      </c>
    </row>
    <row r="18" spans="1:20" x14ac:dyDescent="0.45">
      <c r="A18" s="25" t="s">
        <v>807</v>
      </c>
      <c r="B18">
        <v>2100</v>
      </c>
      <c r="C18" s="25" t="s">
        <v>766</v>
      </c>
      <c r="D18" s="25" t="s">
        <v>169</v>
      </c>
      <c r="E18" s="50">
        <v>1</v>
      </c>
      <c r="F18" s="25" t="s">
        <v>687</v>
      </c>
      <c r="G18" s="25" t="s">
        <v>687</v>
      </c>
      <c r="H18" s="25" t="s">
        <v>687</v>
      </c>
      <c r="I18" s="25">
        <v>3.6388687980172341</v>
      </c>
      <c r="J18" s="25">
        <v>19565953.784873068</v>
      </c>
      <c r="K18" s="25" t="s">
        <v>768</v>
      </c>
      <c r="L18" s="25"/>
      <c r="M18" s="25">
        <v>19.600000000000001</v>
      </c>
      <c r="N18" s="25">
        <v>2</v>
      </c>
      <c r="O18" s="25">
        <v>2</v>
      </c>
      <c r="P18" s="25">
        <v>1</v>
      </c>
      <c r="Q18" s="25">
        <v>1</v>
      </c>
      <c r="R18" s="25">
        <v>4</v>
      </c>
      <c r="S18" s="25">
        <v>4</v>
      </c>
      <c r="T18" s="25">
        <v>15.600000000000001</v>
      </c>
    </row>
    <row r="19" spans="1:20" x14ac:dyDescent="0.45">
      <c r="A19" s="25" t="s">
        <v>811</v>
      </c>
      <c r="B19">
        <v>2100</v>
      </c>
      <c r="C19" s="25" t="s">
        <v>824</v>
      </c>
      <c r="D19" s="25" t="s">
        <v>169</v>
      </c>
      <c r="E19" s="50">
        <v>1</v>
      </c>
      <c r="F19" s="25" t="s">
        <v>687</v>
      </c>
      <c r="G19" s="25" t="s">
        <v>687</v>
      </c>
      <c r="H19" s="25" t="s">
        <v>687</v>
      </c>
      <c r="I19" s="25">
        <v>4.736765937168455</v>
      </c>
      <c r="J19" s="25">
        <v>37430539.226378202</v>
      </c>
      <c r="K19" s="25" t="s">
        <v>768</v>
      </c>
      <c r="L19" s="25"/>
      <c r="M19" s="25">
        <v>37.4</v>
      </c>
      <c r="N19" s="25">
        <v>2</v>
      </c>
      <c r="O19" s="25">
        <v>2</v>
      </c>
      <c r="P19" s="25">
        <v>1</v>
      </c>
      <c r="Q19" s="25">
        <v>1</v>
      </c>
      <c r="R19" s="25">
        <v>4</v>
      </c>
      <c r="S19" s="25">
        <v>4</v>
      </c>
      <c r="T19" s="25">
        <v>33.4</v>
      </c>
    </row>
    <row r="20" spans="1:20" x14ac:dyDescent="0.45">
      <c r="A20" s="25" t="s">
        <v>814</v>
      </c>
      <c r="B20">
        <v>2100</v>
      </c>
      <c r="C20" s="25" t="s">
        <v>791</v>
      </c>
      <c r="D20" s="25" t="s">
        <v>169</v>
      </c>
      <c r="E20" s="50">
        <v>1</v>
      </c>
      <c r="F20" s="25" t="s">
        <v>687</v>
      </c>
      <c r="G20" s="25" t="s">
        <v>687</v>
      </c>
      <c r="H20" s="25" t="s">
        <v>687</v>
      </c>
      <c r="I20" s="25">
        <v>4.736765937168455</v>
      </c>
      <c r="J20" s="25">
        <v>20021712.108459216</v>
      </c>
      <c r="K20" s="25" t="s">
        <v>768</v>
      </c>
      <c r="L20" s="25"/>
      <c r="M20" s="25">
        <v>20</v>
      </c>
      <c r="N20" s="25">
        <v>2</v>
      </c>
      <c r="O20" s="25">
        <v>2</v>
      </c>
      <c r="P20" s="25">
        <v>1</v>
      </c>
      <c r="Q20" s="25">
        <v>1</v>
      </c>
      <c r="R20" s="25">
        <v>4</v>
      </c>
      <c r="S20" s="25">
        <v>4</v>
      </c>
      <c r="T20" s="25">
        <v>16</v>
      </c>
    </row>
    <row r="21" spans="1:20" x14ac:dyDescent="0.45">
      <c r="A21" s="25" t="s">
        <v>806</v>
      </c>
      <c r="B21">
        <v>2100</v>
      </c>
      <c r="C21" s="25" t="s">
        <v>825</v>
      </c>
      <c r="D21" s="25" t="s">
        <v>169</v>
      </c>
      <c r="E21" s="50">
        <v>1</v>
      </c>
      <c r="F21" s="25" t="s">
        <v>687</v>
      </c>
      <c r="G21" s="25" t="s">
        <v>687</v>
      </c>
      <c r="H21" s="25" t="s">
        <v>691</v>
      </c>
      <c r="I21" s="25">
        <v>1.1109042401488143</v>
      </c>
      <c r="J21" s="25">
        <v>15652173.635881018</v>
      </c>
      <c r="K21" s="25" t="s">
        <v>768</v>
      </c>
      <c r="L21" s="25"/>
      <c r="M21" s="25">
        <v>15.7</v>
      </c>
      <c r="N21" s="25">
        <v>2</v>
      </c>
      <c r="O21" s="25">
        <v>2</v>
      </c>
      <c r="P21" s="25">
        <v>1</v>
      </c>
      <c r="Q21" s="25">
        <v>0</v>
      </c>
      <c r="R21" s="25">
        <v>4</v>
      </c>
      <c r="S21" s="25">
        <v>0</v>
      </c>
      <c r="T21" s="25">
        <v>11.7</v>
      </c>
    </row>
    <row r="22" spans="1:20" x14ac:dyDescent="0.45">
      <c r="A22" s="25" t="s">
        <v>850</v>
      </c>
      <c r="B22">
        <v>2100</v>
      </c>
      <c r="C22" s="25" t="s">
        <v>762</v>
      </c>
      <c r="D22" s="25" t="s">
        <v>203</v>
      </c>
      <c r="E22" s="50">
        <v>1</v>
      </c>
      <c r="F22" s="25" t="s">
        <v>687</v>
      </c>
      <c r="G22" s="25" t="s">
        <v>687</v>
      </c>
      <c r="H22" s="25" t="s">
        <v>687</v>
      </c>
      <c r="I22" s="25"/>
      <c r="J22" s="25">
        <v>10144993.18305148</v>
      </c>
      <c r="K22" s="25" t="s">
        <v>767</v>
      </c>
      <c r="L22" s="25">
        <v>0.50174464294247834</v>
      </c>
      <c r="M22" s="25">
        <v>10.1</v>
      </c>
      <c r="N22" s="25">
        <v>2</v>
      </c>
      <c r="O22" s="25">
        <v>2</v>
      </c>
      <c r="P22" s="25">
        <v>1</v>
      </c>
      <c r="Q22" s="25">
        <v>1</v>
      </c>
      <c r="R22" s="25">
        <v>4</v>
      </c>
      <c r="S22" s="25">
        <v>4</v>
      </c>
      <c r="T22" s="25">
        <v>6.1</v>
      </c>
    </row>
    <row r="23" spans="1:20" x14ac:dyDescent="0.45">
      <c r="A23" s="25" t="s">
        <v>851</v>
      </c>
      <c r="B23">
        <v>2100</v>
      </c>
      <c r="C23" s="25" t="s">
        <v>796</v>
      </c>
      <c r="D23" s="25" t="s">
        <v>203</v>
      </c>
      <c r="E23" s="50">
        <v>1</v>
      </c>
      <c r="F23" s="25" t="s">
        <v>687</v>
      </c>
      <c r="G23" s="25" t="s">
        <v>687</v>
      </c>
      <c r="H23" s="25" t="s">
        <v>687</v>
      </c>
      <c r="I23" s="25"/>
      <c r="J23" s="25">
        <v>10644302.952813756</v>
      </c>
      <c r="K23" s="25" t="s">
        <v>767</v>
      </c>
      <c r="L23" s="25">
        <v>0.44318310122767052</v>
      </c>
      <c r="M23" s="25">
        <v>10.6</v>
      </c>
      <c r="N23" s="25">
        <v>2</v>
      </c>
      <c r="O23" s="25">
        <v>2</v>
      </c>
      <c r="P23" s="25">
        <v>1</v>
      </c>
      <c r="Q23" s="25">
        <v>1</v>
      </c>
      <c r="R23" s="25">
        <v>4</v>
      </c>
      <c r="S23" s="25">
        <v>4</v>
      </c>
      <c r="T23" s="25">
        <v>6.6</v>
      </c>
    </row>
    <row r="24" spans="1:20" x14ac:dyDescent="0.45">
      <c r="A24" s="25" t="s">
        <v>852</v>
      </c>
      <c r="B24">
        <v>2100</v>
      </c>
      <c r="C24" s="25" t="s">
        <v>787</v>
      </c>
      <c r="D24" s="25" t="s">
        <v>203</v>
      </c>
      <c r="E24" s="50">
        <v>1</v>
      </c>
      <c r="F24" s="25" t="s">
        <v>687</v>
      </c>
      <c r="G24" s="25" t="s">
        <v>687</v>
      </c>
      <c r="H24" s="25" t="s">
        <v>687</v>
      </c>
      <c r="I24" s="25"/>
      <c r="J24" s="25">
        <v>8597858.3415231481</v>
      </c>
      <c r="K24" s="25" t="s">
        <v>767</v>
      </c>
      <c r="L24" s="25">
        <v>0.44318310122767052</v>
      </c>
      <c r="M24" s="25">
        <v>8.6</v>
      </c>
      <c r="N24" s="25">
        <v>2</v>
      </c>
      <c r="O24" s="25">
        <v>2</v>
      </c>
      <c r="P24" s="25">
        <v>1</v>
      </c>
      <c r="Q24" s="25">
        <v>1</v>
      </c>
      <c r="R24" s="25">
        <v>4</v>
      </c>
      <c r="S24" s="25">
        <v>4</v>
      </c>
      <c r="T24" s="25">
        <v>4.5999999999999996</v>
      </c>
    </row>
    <row r="25" spans="1:20" x14ac:dyDescent="0.45">
      <c r="A25" s="25" t="s">
        <v>853</v>
      </c>
      <c r="B25">
        <v>2100</v>
      </c>
      <c r="C25" s="25" t="s">
        <v>763</v>
      </c>
      <c r="D25" s="25" t="s">
        <v>203</v>
      </c>
      <c r="E25" s="50">
        <v>1</v>
      </c>
      <c r="F25" s="25" t="s">
        <v>687</v>
      </c>
      <c r="G25" s="25" t="s">
        <v>687</v>
      </c>
      <c r="H25" s="25" t="s">
        <v>692</v>
      </c>
      <c r="I25" s="25"/>
      <c r="J25" s="25">
        <v>9733849.6159961373</v>
      </c>
      <c r="K25" s="25" t="s">
        <v>767</v>
      </c>
      <c r="L25" s="25">
        <v>0.11537962094929237</v>
      </c>
      <c r="M25" s="25">
        <v>9.6999999999999993</v>
      </c>
      <c r="N25" s="25">
        <v>2</v>
      </c>
      <c r="O25" s="25">
        <v>2</v>
      </c>
      <c r="P25" s="25">
        <v>0</v>
      </c>
      <c r="Q25" s="25">
        <v>1</v>
      </c>
      <c r="R25" s="25">
        <v>0</v>
      </c>
      <c r="S25" s="25">
        <v>4</v>
      </c>
      <c r="T25" s="25">
        <v>9.6999999999999993</v>
      </c>
    </row>
    <row r="26" spans="1:20" x14ac:dyDescent="0.45">
      <c r="A26" s="25" t="s">
        <v>854</v>
      </c>
      <c r="B26">
        <v>2100</v>
      </c>
      <c r="C26" s="25" t="s">
        <v>797</v>
      </c>
      <c r="D26" s="25" t="s">
        <v>203</v>
      </c>
      <c r="E26" s="50">
        <v>1</v>
      </c>
      <c r="F26" s="25" t="s">
        <v>687</v>
      </c>
      <c r="G26" s="25" t="s">
        <v>687</v>
      </c>
      <c r="H26" s="25" t="s">
        <v>692</v>
      </c>
      <c r="I26" s="25"/>
      <c r="J26" s="25">
        <v>10624895.168864653</v>
      </c>
      <c r="K26" s="25" t="s">
        <v>767</v>
      </c>
      <c r="L26" s="25">
        <v>9.3454806963056886E-2</v>
      </c>
      <c r="M26" s="25">
        <v>10.6</v>
      </c>
      <c r="N26" s="25">
        <v>2</v>
      </c>
      <c r="O26" s="25">
        <v>2</v>
      </c>
      <c r="P26" s="25">
        <v>0</v>
      </c>
      <c r="Q26" s="25">
        <v>1</v>
      </c>
      <c r="R26" s="25">
        <v>0</v>
      </c>
      <c r="S26" s="25">
        <v>4</v>
      </c>
      <c r="T26" s="25">
        <v>10.6</v>
      </c>
    </row>
    <row r="27" spans="1:20" x14ac:dyDescent="0.45">
      <c r="A27" s="25" t="s">
        <v>855</v>
      </c>
      <c r="B27">
        <v>2100</v>
      </c>
      <c r="C27" s="25" t="s">
        <v>788</v>
      </c>
      <c r="D27" s="25" t="s">
        <v>203</v>
      </c>
      <c r="E27" s="50">
        <v>1</v>
      </c>
      <c r="F27" s="25" t="s">
        <v>687</v>
      </c>
      <c r="G27" s="25" t="s">
        <v>687</v>
      </c>
      <c r="H27" s="25" t="s">
        <v>692</v>
      </c>
      <c r="I27" s="25"/>
      <c r="J27" s="25">
        <v>7293109.5688367281</v>
      </c>
      <c r="K27" s="25" t="s">
        <v>767</v>
      </c>
      <c r="L27" s="25">
        <v>9.3454806963056886E-2</v>
      </c>
      <c r="M27" s="25">
        <v>7.3</v>
      </c>
      <c r="N27" s="25">
        <v>2</v>
      </c>
      <c r="O27" s="25">
        <v>2</v>
      </c>
      <c r="P27" s="25">
        <v>0</v>
      </c>
      <c r="Q27" s="25">
        <v>1</v>
      </c>
      <c r="R27" s="25">
        <v>0</v>
      </c>
      <c r="S27" s="25">
        <v>4</v>
      </c>
      <c r="T27" s="25">
        <v>7.3</v>
      </c>
    </row>
    <row r="28" spans="1:20" x14ac:dyDescent="0.45">
      <c r="A28" s="25" t="s">
        <v>844</v>
      </c>
      <c r="B28">
        <v>2100</v>
      </c>
      <c r="C28" s="25" t="s">
        <v>762</v>
      </c>
      <c r="D28" s="25" t="s">
        <v>158</v>
      </c>
      <c r="E28" s="50">
        <v>1</v>
      </c>
      <c r="F28" s="25" t="s">
        <v>685</v>
      </c>
      <c r="G28" s="25" t="s">
        <v>687</v>
      </c>
      <c r="H28" s="25" t="s">
        <v>691</v>
      </c>
      <c r="I28" s="25"/>
      <c r="J28" s="25">
        <v>14139385.847838543</v>
      </c>
      <c r="K28" s="25" t="s">
        <v>767</v>
      </c>
      <c r="L28" s="25">
        <v>1.0062912217352544</v>
      </c>
      <c r="M28" s="25">
        <v>14.1</v>
      </c>
      <c r="N28" s="25">
        <v>3</v>
      </c>
      <c r="O28" s="25">
        <v>2</v>
      </c>
      <c r="P28" s="25">
        <v>1</v>
      </c>
      <c r="Q28" s="25">
        <v>0</v>
      </c>
      <c r="R28" s="25">
        <v>6</v>
      </c>
      <c r="S28" s="25">
        <v>0</v>
      </c>
      <c r="T28" s="25">
        <v>8.1</v>
      </c>
    </row>
    <row r="29" spans="1:20" x14ac:dyDescent="0.45">
      <c r="A29" s="25" t="s">
        <v>845</v>
      </c>
      <c r="B29">
        <v>2100</v>
      </c>
      <c r="C29" s="25" t="s">
        <v>796</v>
      </c>
      <c r="D29" s="25" t="s">
        <v>158</v>
      </c>
      <c r="E29" s="50">
        <v>1</v>
      </c>
      <c r="F29" s="25" t="s">
        <v>687</v>
      </c>
      <c r="G29" s="25" t="s">
        <v>687</v>
      </c>
      <c r="H29" s="25" t="s">
        <v>691</v>
      </c>
      <c r="I29" s="25"/>
      <c r="J29" s="25">
        <v>14192655.78222415</v>
      </c>
      <c r="K29" s="25" t="s">
        <v>767</v>
      </c>
      <c r="L29" s="25">
        <v>1.0166589244333599</v>
      </c>
      <c r="M29" s="25">
        <v>14.2</v>
      </c>
      <c r="N29" s="25">
        <v>2</v>
      </c>
      <c r="O29" s="25">
        <v>2</v>
      </c>
      <c r="P29" s="25">
        <v>1</v>
      </c>
      <c r="Q29" s="25">
        <v>0</v>
      </c>
      <c r="R29" s="25">
        <v>4</v>
      </c>
      <c r="S29" s="25">
        <v>0</v>
      </c>
      <c r="T29" s="25">
        <v>10.199999999999999</v>
      </c>
    </row>
    <row r="30" spans="1:20" x14ac:dyDescent="0.45">
      <c r="A30" s="25" t="s">
        <v>846</v>
      </c>
      <c r="B30">
        <v>2100</v>
      </c>
      <c r="C30" s="25" t="s">
        <v>787</v>
      </c>
      <c r="D30" s="25" t="s">
        <v>158</v>
      </c>
      <c r="E30" s="50">
        <v>1</v>
      </c>
      <c r="F30" s="25" t="s">
        <v>687</v>
      </c>
      <c r="G30" s="25" t="s">
        <v>687</v>
      </c>
      <c r="H30" s="25" t="s">
        <v>691</v>
      </c>
      <c r="I30" s="25"/>
      <c r="J30" s="25">
        <v>14253881.593099706</v>
      </c>
      <c r="K30" s="25" t="s">
        <v>767</v>
      </c>
      <c r="L30" s="25">
        <v>1.0166589244333599</v>
      </c>
      <c r="M30" s="25">
        <v>14.3</v>
      </c>
      <c r="N30" s="25">
        <v>2</v>
      </c>
      <c r="O30" s="25">
        <v>2</v>
      </c>
      <c r="P30" s="25">
        <v>1</v>
      </c>
      <c r="Q30" s="25">
        <v>0</v>
      </c>
      <c r="R30" s="25">
        <v>4</v>
      </c>
      <c r="S30" s="25">
        <v>0</v>
      </c>
      <c r="T30" s="25">
        <v>10.3</v>
      </c>
    </row>
    <row r="31" spans="1:20" x14ac:dyDescent="0.45">
      <c r="A31" s="25" t="s">
        <v>847</v>
      </c>
      <c r="B31">
        <v>2100</v>
      </c>
      <c r="C31" s="25" t="s">
        <v>763</v>
      </c>
      <c r="D31" s="25" t="s">
        <v>158</v>
      </c>
      <c r="E31" s="50">
        <v>1</v>
      </c>
      <c r="F31" s="25" t="s">
        <v>685</v>
      </c>
      <c r="G31" s="25" t="s">
        <v>687</v>
      </c>
      <c r="H31" s="25" t="s">
        <v>692</v>
      </c>
      <c r="I31" s="25"/>
      <c r="J31" s="25">
        <v>13524930.873677209</v>
      </c>
      <c r="K31" s="25" t="s">
        <v>767</v>
      </c>
      <c r="L31" s="25">
        <v>0.23821178059870624</v>
      </c>
      <c r="M31" s="25">
        <v>13.5</v>
      </c>
      <c r="N31" s="25">
        <v>3</v>
      </c>
      <c r="O31" s="25">
        <v>2</v>
      </c>
      <c r="P31" s="25">
        <v>0</v>
      </c>
      <c r="Q31" s="25">
        <v>1</v>
      </c>
      <c r="R31" s="25">
        <v>0</v>
      </c>
      <c r="S31" s="25">
        <v>6</v>
      </c>
      <c r="T31" s="25">
        <v>13.5</v>
      </c>
    </row>
    <row r="32" spans="1:20" x14ac:dyDescent="0.45">
      <c r="A32" s="25" t="s">
        <v>848</v>
      </c>
      <c r="B32">
        <v>2100</v>
      </c>
      <c r="C32" s="25" t="s">
        <v>797</v>
      </c>
      <c r="D32" s="25" t="s">
        <v>158</v>
      </c>
      <c r="E32" s="50">
        <v>1</v>
      </c>
      <c r="F32" s="25" t="s">
        <v>685</v>
      </c>
      <c r="G32" s="25" t="s">
        <v>685</v>
      </c>
      <c r="H32" s="25" t="s">
        <v>692</v>
      </c>
      <c r="I32" s="25"/>
      <c r="J32" s="25">
        <v>11007602.229341397</v>
      </c>
      <c r="K32" s="25" t="s">
        <v>767</v>
      </c>
      <c r="L32" s="25">
        <v>0.1065906484698514</v>
      </c>
      <c r="M32" s="25">
        <v>11</v>
      </c>
      <c r="N32" s="25">
        <v>3</v>
      </c>
      <c r="O32" s="25">
        <v>3</v>
      </c>
      <c r="P32" s="25">
        <v>0</v>
      </c>
      <c r="Q32" s="25">
        <v>1</v>
      </c>
      <c r="R32" s="25">
        <v>0</v>
      </c>
      <c r="S32" s="25">
        <v>9</v>
      </c>
      <c r="T32" s="25">
        <v>11</v>
      </c>
    </row>
    <row r="33" spans="1:20" x14ac:dyDescent="0.45">
      <c r="A33" s="25" t="s">
        <v>849</v>
      </c>
      <c r="B33">
        <v>2100</v>
      </c>
      <c r="C33" s="25" t="s">
        <v>788</v>
      </c>
      <c r="D33" s="25" t="s">
        <v>158</v>
      </c>
      <c r="E33" s="50">
        <v>1</v>
      </c>
      <c r="F33" s="25" t="s">
        <v>685</v>
      </c>
      <c r="G33" s="25" t="s">
        <v>685</v>
      </c>
      <c r="H33" s="25" t="s">
        <v>692</v>
      </c>
      <c r="I33" s="25"/>
      <c r="J33" s="25">
        <v>7724094.2087576604</v>
      </c>
      <c r="K33" s="25" t="s">
        <v>767</v>
      </c>
      <c r="L33" s="25">
        <v>0.1065906484698514</v>
      </c>
      <c r="M33" s="25">
        <v>7.7</v>
      </c>
      <c r="N33" s="25">
        <v>3</v>
      </c>
      <c r="O33" s="25">
        <v>3</v>
      </c>
      <c r="P33" s="25">
        <v>0</v>
      </c>
      <c r="Q33" s="25">
        <v>1</v>
      </c>
      <c r="R33" s="25">
        <v>0</v>
      </c>
      <c r="S33" s="25">
        <v>9</v>
      </c>
      <c r="T33" s="25">
        <v>7.7</v>
      </c>
    </row>
    <row r="34" spans="1:20" x14ac:dyDescent="0.45">
      <c r="A34" s="25" t="s">
        <v>816</v>
      </c>
      <c r="B34">
        <v>2100</v>
      </c>
      <c r="C34" s="25" t="s">
        <v>796</v>
      </c>
      <c r="D34" s="25" t="s">
        <v>143</v>
      </c>
      <c r="E34" s="50">
        <v>1</v>
      </c>
      <c r="F34" s="25" t="s">
        <v>687</v>
      </c>
      <c r="G34" s="25" t="s">
        <v>687</v>
      </c>
      <c r="H34" s="25" t="s">
        <v>687</v>
      </c>
      <c r="I34" s="25"/>
      <c r="J34" s="25">
        <v>9910037.8382694256</v>
      </c>
      <c r="K34" s="25" t="s">
        <v>767</v>
      </c>
      <c r="L34" s="25">
        <v>0.32451302774332175</v>
      </c>
      <c r="M34" s="25">
        <v>9.9</v>
      </c>
      <c r="N34" s="25">
        <v>2</v>
      </c>
      <c r="O34" s="25">
        <v>2</v>
      </c>
      <c r="P34" s="25">
        <v>1</v>
      </c>
      <c r="Q34" s="25">
        <v>1</v>
      </c>
      <c r="R34" s="25">
        <v>4</v>
      </c>
      <c r="S34" s="25">
        <v>4</v>
      </c>
      <c r="T34" s="25">
        <v>5.9</v>
      </c>
    </row>
    <row r="35" spans="1:20" x14ac:dyDescent="0.45">
      <c r="A35" s="25" t="s">
        <v>815</v>
      </c>
      <c r="B35">
        <v>2100</v>
      </c>
      <c r="C35" s="25" t="s">
        <v>787</v>
      </c>
      <c r="D35" s="25" t="s">
        <v>143</v>
      </c>
      <c r="E35" s="50">
        <v>1</v>
      </c>
      <c r="F35" s="25" t="s">
        <v>687</v>
      </c>
      <c r="G35" s="25" t="s">
        <v>687</v>
      </c>
      <c r="H35" s="25" t="s">
        <v>687</v>
      </c>
      <c r="I35" s="25"/>
      <c r="J35" s="25">
        <v>7427450.3352329964</v>
      </c>
      <c r="K35" s="25" t="s">
        <v>767</v>
      </c>
      <c r="L35" s="25">
        <v>0.32451302774332175</v>
      </c>
      <c r="M35" s="25">
        <v>7.4</v>
      </c>
      <c r="N35" s="25">
        <v>2</v>
      </c>
      <c r="O35" s="25">
        <v>2</v>
      </c>
      <c r="P35" s="25">
        <v>1</v>
      </c>
      <c r="Q35" s="25">
        <v>1</v>
      </c>
      <c r="R35" s="25">
        <v>4</v>
      </c>
      <c r="S35" s="25">
        <v>4</v>
      </c>
      <c r="T35" s="25">
        <v>3.4000000000000004</v>
      </c>
    </row>
    <row r="36" spans="1:20" x14ac:dyDescent="0.45">
      <c r="A36" s="25" t="s">
        <v>866</v>
      </c>
      <c r="B36">
        <v>2100</v>
      </c>
      <c r="C36" s="25" t="s">
        <v>764</v>
      </c>
      <c r="D36" s="25" t="s">
        <v>156</v>
      </c>
      <c r="E36" s="50">
        <v>1</v>
      </c>
      <c r="F36" s="25" t="s">
        <v>687</v>
      </c>
      <c r="G36" s="25" t="s">
        <v>687</v>
      </c>
      <c r="H36" s="25" t="s">
        <v>687</v>
      </c>
      <c r="I36" s="25"/>
      <c r="J36" s="25">
        <v>9219717.9842007775</v>
      </c>
      <c r="K36" s="25" t="s">
        <v>767</v>
      </c>
      <c r="L36" s="25">
        <v>0.44105828966777533</v>
      </c>
      <c r="M36" s="25">
        <v>9.1999999999999993</v>
      </c>
      <c r="N36" s="25">
        <v>2</v>
      </c>
      <c r="O36" s="25">
        <v>2</v>
      </c>
      <c r="P36" s="25">
        <v>1</v>
      </c>
      <c r="Q36" s="25">
        <v>1</v>
      </c>
      <c r="R36" s="25">
        <v>4</v>
      </c>
      <c r="S36" s="25">
        <v>4</v>
      </c>
      <c r="T36" s="25">
        <v>5.1999999999999993</v>
      </c>
    </row>
    <row r="37" spans="1:20" x14ac:dyDescent="0.45">
      <c r="A37" s="25" t="s">
        <v>865</v>
      </c>
      <c r="B37">
        <v>2100</v>
      </c>
      <c r="C37" s="25" t="s">
        <v>764</v>
      </c>
      <c r="D37" s="25" t="s">
        <v>156</v>
      </c>
      <c r="E37" s="50">
        <v>1</v>
      </c>
      <c r="F37" s="25" t="s">
        <v>687</v>
      </c>
      <c r="G37" s="25" t="s">
        <v>687</v>
      </c>
      <c r="H37" s="25" t="s">
        <v>687</v>
      </c>
      <c r="I37" s="25"/>
      <c r="J37" s="25">
        <v>8521070.3966000844</v>
      </c>
      <c r="K37" s="25" t="s">
        <v>767</v>
      </c>
      <c r="L37" s="25">
        <v>0.36087053190770985</v>
      </c>
      <c r="M37" s="25">
        <v>8.5</v>
      </c>
      <c r="N37" s="25">
        <v>2</v>
      </c>
      <c r="O37" s="25">
        <v>2</v>
      </c>
      <c r="P37" s="25">
        <v>1</v>
      </c>
      <c r="Q37" s="25">
        <v>1</v>
      </c>
      <c r="R37" s="25">
        <v>4</v>
      </c>
      <c r="S37" s="25">
        <v>4</v>
      </c>
      <c r="T37" s="25">
        <v>4.5</v>
      </c>
    </row>
    <row r="38" spans="1:20" x14ac:dyDescent="0.45">
      <c r="A38" s="25" t="s">
        <v>868</v>
      </c>
      <c r="B38">
        <v>2100</v>
      </c>
      <c r="C38" s="25" t="s">
        <v>762</v>
      </c>
      <c r="D38" s="25" t="s">
        <v>156</v>
      </c>
      <c r="E38" s="50">
        <v>1</v>
      </c>
      <c r="F38" s="25" t="s">
        <v>687</v>
      </c>
      <c r="G38" s="25" t="s">
        <v>687</v>
      </c>
      <c r="H38" s="25" t="s">
        <v>687</v>
      </c>
      <c r="I38" s="25"/>
      <c r="J38" s="25">
        <v>9963522.8902049344</v>
      </c>
      <c r="K38" s="25" t="s">
        <v>767</v>
      </c>
      <c r="L38" s="25">
        <v>0.47882245599390783</v>
      </c>
      <c r="M38" s="25">
        <v>10</v>
      </c>
      <c r="N38" s="25">
        <v>2</v>
      </c>
      <c r="O38" s="25">
        <v>2</v>
      </c>
      <c r="P38" s="25">
        <v>1</v>
      </c>
      <c r="Q38" s="25">
        <v>1</v>
      </c>
      <c r="R38" s="25">
        <v>4</v>
      </c>
      <c r="S38" s="25">
        <v>4</v>
      </c>
      <c r="T38" s="25">
        <v>6</v>
      </c>
    </row>
    <row r="39" spans="1:20" x14ac:dyDescent="0.45">
      <c r="A39" s="25" t="s">
        <v>867</v>
      </c>
      <c r="B39">
        <v>2100</v>
      </c>
      <c r="C39" s="25" t="s">
        <v>762</v>
      </c>
      <c r="D39" s="25" t="s">
        <v>156</v>
      </c>
      <c r="E39" s="50">
        <v>1</v>
      </c>
      <c r="F39" s="25" t="s">
        <v>687</v>
      </c>
      <c r="G39" s="25" t="s">
        <v>687</v>
      </c>
      <c r="H39" s="25" t="s">
        <v>687</v>
      </c>
      <c r="I39" s="25"/>
      <c r="J39" s="25">
        <v>9220302.8439208772</v>
      </c>
      <c r="K39" s="25" t="s">
        <v>767</v>
      </c>
      <c r="L39" s="25">
        <v>0.38494357048808847</v>
      </c>
      <c r="M39" s="25">
        <v>9.1999999999999993</v>
      </c>
      <c r="N39" s="25">
        <v>2</v>
      </c>
      <c r="O39" s="25">
        <v>2</v>
      </c>
      <c r="P39" s="25">
        <v>1</v>
      </c>
      <c r="Q39" s="25">
        <v>1</v>
      </c>
      <c r="R39" s="25">
        <v>4</v>
      </c>
      <c r="S39" s="25">
        <v>4</v>
      </c>
      <c r="T39" s="25">
        <v>5.1999999999999993</v>
      </c>
    </row>
    <row r="40" spans="1:20" x14ac:dyDescent="0.45">
      <c r="A40" s="25" t="s">
        <v>871</v>
      </c>
      <c r="B40">
        <v>2100</v>
      </c>
      <c r="C40" s="25" t="s">
        <v>796</v>
      </c>
      <c r="D40" s="25" t="s">
        <v>156</v>
      </c>
      <c r="E40" s="50">
        <v>1</v>
      </c>
      <c r="F40" s="25" t="s">
        <v>687</v>
      </c>
      <c r="G40" s="25" t="s">
        <v>687</v>
      </c>
      <c r="H40" s="25" t="s">
        <v>687</v>
      </c>
      <c r="I40" s="25"/>
      <c r="J40" s="25">
        <v>10381932.997988543</v>
      </c>
      <c r="K40" s="25" t="s">
        <v>767</v>
      </c>
      <c r="L40" s="25">
        <v>0.40077953172332964</v>
      </c>
      <c r="M40" s="25">
        <v>10.4</v>
      </c>
      <c r="N40" s="25">
        <v>2</v>
      </c>
      <c r="O40" s="25">
        <v>2</v>
      </c>
      <c r="P40" s="25">
        <v>1</v>
      </c>
      <c r="Q40" s="25">
        <v>1</v>
      </c>
      <c r="R40" s="25">
        <v>4</v>
      </c>
      <c r="S40" s="25">
        <v>4</v>
      </c>
      <c r="T40" s="25">
        <v>6.4</v>
      </c>
    </row>
    <row r="41" spans="1:20" x14ac:dyDescent="0.45">
      <c r="A41" s="25" t="s">
        <v>872</v>
      </c>
      <c r="B41">
        <v>2100</v>
      </c>
      <c r="C41" s="25" t="s">
        <v>787</v>
      </c>
      <c r="D41" s="25" t="s">
        <v>156</v>
      </c>
      <c r="E41" s="50">
        <v>1</v>
      </c>
      <c r="F41" s="25" t="s">
        <v>687</v>
      </c>
      <c r="G41" s="25" t="s">
        <v>687</v>
      </c>
      <c r="H41" s="25" t="s">
        <v>687</v>
      </c>
      <c r="I41" s="25"/>
      <c r="J41" s="25">
        <v>8179644.4162599519</v>
      </c>
      <c r="K41" s="25" t="s">
        <v>767</v>
      </c>
      <c r="L41" s="25">
        <v>0.40077953172332964</v>
      </c>
      <c r="M41" s="25">
        <v>8.1999999999999993</v>
      </c>
      <c r="N41" s="25">
        <v>2</v>
      </c>
      <c r="O41" s="25">
        <v>2</v>
      </c>
      <c r="P41" s="25">
        <v>1</v>
      </c>
      <c r="Q41" s="25">
        <v>1</v>
      </c>
      <c r="R41" s="25">
        <v>4</v>
      </c>
      <c r="S41" s="25">
        <v>4</v>
      </c>
      <c r="T41" s="25">
        <v>4.1999999999999993</v>
      </c>
    </row>
    <row r="42" spans="1:20" x14ac:dyDescent="0.45">
      <c r="A42" s="25" t="s">
        <v>869</v>
      </c>
      <c r="B42">
        <v>2100</v>
      </c>
      <c r="C42" s="25" t="s">
        <v>796</v>
      </c>
      <c r="D42" s="25" t="s">
        <v>156</v>
      </c>
      <c r="E42" s="50">
        <v>1</v>
      </c>
      <c r="F42" s="25" t="s">
        <v>687</v>
      </c>
      <c r="G42" s="25" t="s">
        <v>687</v>
      </c>
      <c r="H42" s="25" t="s">
        <v>687</v>
      </c>
      <c r="I42" s="25"/>
      <c r="J42" s="25">
        <v>9798536.189967256</v>
      </c>
      <c r="K42" s="25" t="s">
        <v>767</v>
      </c>
      <c r="L42" s="25">
        <v>0.3064924129332936</v>
      </c>
      <c r="M42" s="25">
        <v>9.8000000000000007</v>
      </c>
      <c r="N42" s="25">
        <v>2</v>
      </c>
      <c r="O42" s="25">
        <v>2</v>
      </c>
      <c r="P42" s="25">
        <v>1</v>
      </c>
      <c r="Q42" s="25">
        <v>1</v>
      </c>
      <c r="R42" s="25">
        <v>4</v>
      </c>
      <c r="S42" s="25">
        <v>4</v>
      </c>
      <c r="T42" s="25">
        <v>5.8000000000000007</v>
      </c>
    </row>
    <row r="43" spans="1:20" x14ac:dyDescent="0.45">
      <c r="A43" s="25" t="s">
        <v>870</v>
      </c>
      <c r="B43">
        <v>2100</v>
      </c>
      <c r="C43" s="25" t="s">
        <v>787</v>
      </c>
      <c r="D43" s="25" t="s">
        <v>156</v>
      </c>
      <c r="E43" s="50">
        <v>1</v>
      </c>
      <c r="F43" s="25" t="s">
        <v>687</v>
      </c>
      <c r="G43" s="25" t="s">
        <v>687</v>
      </c>
      <c r="H43" s="25" t="s">
        <v>687</v>
      </c>
      <c r="I43" s="25"/>
      <c r="J43" s="25">
        <v>7249718.3154183328</v>
      </c>
      <c r="K43" s="25" t="s">
        <v>767</v>
      </c>
      <c r="L43" s="25">
        <v>0.3064924129332936</v>
      </c>
      <c r="M43" s="25">
        <v>7.2</v>
      </c>
      <c r="N43" s="25">
        <v>2</v>
      </c>
      <c r="O43" s="25">
        <v>2</v>
      </c>
      <c r="P43" s="25">
        <v>1</v>
      </c>
      <c r="Q43" s="25">
        <v>1</v>
      </c>
      <c r="R43" s="25">
        <v>4</v>
      </c>
      <c r="S43" s="25">
        <v>4</v>
      </c>
      <c r="T43" s="25">
        <v>3.2</v>
      </c>
    </row>
    <row r="44" spans="1:20" x14ac:dyDescent="0.45">
      <c r="A44" s="25" t="s">
        <v>817</v>
      </c>
      <c r="B44">
        <v>2100</v>
      </c>
      <c r="C44" s="25" t="s">
        <v>764</v>
      </c>
      <c r="D44" s="25" t="s">
        <v>169</v>
      </c>
      <c r="E44" s="50">
        <v>1</v>
      </c>
      <c r="F44" s="25" t="s">
        <v>687</v>
      </c>
      <c r="G44" s="25" t="s">
        <v>687</v>
      </c>
      <c r="H44" s="25" t="s">
        <v>691</v>
      </c>
      <c r="I44" s="25"/>
      <c r="J44" s="25">
        <v>15480472.330899324</v>
      </c>
      <c r="K44" s="25" t="s">
        <v>767</v>
      </c>
      <c r="L44" s="25">
        <v>1.1596406792133265</v>
      </c>
      <c r="M44" s="25">
        <v>15.5</v>
      </c>
      <c r="N44" s="25">
        <v>2</v>
      </c>
      <c r="O44" s="25">
        <v>2</v>
      </c>
      <c r="P44" s="25">
        <v>1</v>
      </c>
      <c r="Q44" s="25">
        <v>0</v>
      </c>
      <c r="R44" s="25">
        <v>4</v>
      </c>
      <c r="S44" s="25">
        <v>0</v>
      </c>
      <c r="T44" s="25">
        <v>11.5</v>
      </c>
    </row>
    <row r="45" spans="1:20" x14ac:dyDescent="0.45">
      <c r="A45" s="25" t="s">
        <v>818</v>
      </c>
      <c r="B45">
        <v>2100</v>
      </c>
      <c r="C45" s="25" t="s">
        <v>796</v>
      </c>
      <c r="D45" s="25" t="s">
        <v>169</v>
      </c>
      <c r="E45" s="50">
        <v>1</v>
      </c>
      <c r="F45" s="25" t="s">
        <v>687</v>
      </c>
      <c r="G45" s="25" t="s">
        <v>687</v>
      </c>
      <c r="H45" s="25" t="s">
        <v>691</v>
      </c>
      <c r="I45" s="25"/>
      <c r="J45" s="25">
        <v>14986038.716978157</v>
      </c>
      <c r="K45" s="25" t="s">
        <v>767</v>
      </c>
      <c r="L45" s="25">
        <v>1.144883470722631</v>
      </c>
      <c r="M45" s="25">
        <v>15</v>
      </c>
      <c r="N45" s="25">
        <v>2</v>
      </c>
      <c r="O45" s="25">
        <v>2</v>
      </c>
      <c r="P45" s="25">
        <v>1</v>
      </c>
      <c r="Q45" s="25">
        <v>0</v>
      </c>
      <c r="R45" s="25">
        <v>4</v>
      </c>
      <c r="S45" s="25">
        <v>0</v>
      </c>
      <c r="T45" s="25">
        <v>11</v>
      </c>
    </row>
    <row r="46" spans="1:20" x14ac:dyDescent="0.45">
      <c r="A46" s="25" t="s">
        <v>819</v>
      </c>
      <c r="B46">
        <v>2100</v>
      </c>
      <c r="C46" s="25" t="s">
        <v>787</v>
      </c>
      <c r="D46" s="25" t="s">
        <v>169</v>
      </c>
      <c r="E46" s="50">
        <v>1</v>
      </c>
      <c r="F46" s="25" t="s">
        <v>687</v>
      </c>
      <c r="G46" s="25" t="s">
        <v>687</v>
      </c>
      <c r="H46" s="25" t="s">
        <v>691</v>
      </c>
      <c r="I46" s="25"/>
      <c r="J46" s="25">
        <v>15518522.5524708</v>
      </c>
      <c r="K46" s="25" t="s">
        <v>767</v>
      </c>
      <c r="L46" s="25">
        <v>1.144883470722631</v>
      </c>
      <c r="M46" s="25">
        <v>15.5</v>
      </c>
      <c r="N46" s="25">
        <v>2</v>
      </c>
      <c r="O46" s="25">
        <v>2</v>
      </c>
      <c r="P46" s="25">
        <v>1</v>
      </c>
      <c r="Q46" s="25">
        <v>0</v>
      </c>
      <c r="R46" s="25">
        <v>4</v>
      </c>
      <c r="S46" s="25">
        <v>0</v>
      </c>
      <c r="T46" s="25">
        <v>11.5</v>
      </c>
    </row>
    <row r="47" spans="1:20" x14ac:dyDescent="0.45">
      <c r="A47" s="25" t="s">
        <v>895</v>
      </c>
      <c r="B47">
        <v>2100</v>
      </c>
      <c r="C47" s="25" t="s">
        <v>763</v>
      </c>
      <c r="D47" s="25" t="s">
        <v>161</v>
      </c>
      <c r="E47" s="50">
        <v>3</v>
      </c>
      <c r="F47" s="25" t="s">
        <v>687</v>
      </c>
      <c r="G47" s="25" t="s">
        <v>687</v>
      </c>
      <c r="H47" s="25" t="s">
        <v>687</v>
      </c>
      <c r="I47" s="25"/>
      <c r="J47" s="25">
        <v>15288944.185710162</v>
      </c>
      <c r="K47" s="25" t="s">
        <v>767</v>
      </c>
      <c r="L47" s="25">
        <v>0.33153364274339286</v>
      </c>
      <c r="M47" s="25">
        <v>15.3</v>
      </c>
      <c r="N47" s="25">
        <v>2</v>
      </c>
      <c r="O47" s="25">
        <v>2</v>
      </c>
      <c r="P47" s="25">
        <v>1</v>
      </c>
      <c r="Q47" s="25">
        <v>1</v>
      </c>
      <c r="R47" s="25">
        <v>4</v>
      </c>
      <c r="S47" s="25">
        <v>4</v>
      </c>
      <c r="T47" s="25">
        <v>11.3</v>
      </c>
    </row>
    <row r="48" spans="1:20" x14ac:dyDescent="0.45">
      <c r="A48" s="25" t="s">
        <v>864</v>
      </c>
      <c r="B48">
        <v>2100</v>
      </c>
      <c r="C48" s="25" t="s">
        <v>762</v>
      </c>
      <c r="D48" s="25" t="s">
        <v>149</v>
      </c>
      <c r="E48" s="50">
        <v>3</v>
      </c>
      <c r="F48" s="25" t="s">
        <v>687</v>
      </c>
      <c r="G48" s="25" t="s">
        <v>687</v>
      </c>
      <c r="H48" s="25" t="s">
        <v>687</v>
      </c>
      <c r="I48" s="25"/>
      <c r="J48" s="25">
        <v>7933799.9582089689</v>
      </c>
      <c r="K48" s="25" t="s">
        <v>767</v>
      </c>
      <c r="L48" s="25">
        <v>0.2224406109480353</v>
      </c>
      <c r="M48" s="25">
        <v>7.9</v>
      </c>
      <c r="N48" s="25">
        <v>2</v>
      </c>
      <c r="O48" s="25">
        <v>2</v>
      </c>
      <c r="P48" s="25">
        <v>1</v>
      </c>
      <c r="Q48" s="25">
        <v>1</v>
      </c>
      <c r="R48" s="25">
        <v>4</v>
      </c>
      <c r="S48" s="25">
        <v>4</v>
      </c>
      <c r="T48" s="25">
        <v>3.9000000000000004</v>
      </c>
    </row>
    <row r="49" spans="1:20" x14ac:dyDescent="0.45">
      <c r="A49" s="25" t="s">
        <v>822</v>
      </c>
      <c r="B49">
        <v>2100</v>
      </c>
      <c r="C49" s="25" t="s">
        <v>796</v>
      </c>
      <c r="D49" s="25" t="s">
        <v>149</v>
      </c>
      <c r="E49" s="50">
        <v>3</v>
      </c>
      <c r="F49" s="25" t="s">
        <v>687</v>
      </c>
      <c r="G49" s="25" t="s">
        <v>687</v>
      </c>
      <c r="H49" s="25" t="s">
        <v>687</v>
      </c>
      <c r="I49" s="25"/>
      <c r="J49" s="25">
        <v>9619218.6891940068</v>
      </c>
      <c r="K49" s="25" t="s">
        <v>767</v>
      </c>
      <c r="L49" s="25">
        <v>0.27751157131044596</v>
      </c>
      <c r="M49" s="25">
        <v>9.6</v>
      </c>
      <c r="N49" s="25">
        <v>2</v>
      </c>
      <c r="O49" s="25">
        <v>2</v>
      </c>
      <c r="P49" s="25">
        <v>1</v>
      </c>
      <c r="Q49" s="25">
        <v>1</v>
      </c>
      <c r="R49" s="25">
        <v>4</v>
      </c>
      <c r="S49" s="25">
        <v>4</v>
      </c>
      <c r="T49" s="25">
        <v>5.6</v>
      </c>
    </row>
    <row r="50" spans="1:20" x14ac:dyDescent="0.45">
      <c r="A50" s="25" t="s">
        <v>823</v>
      </c>
      <c r="B50">
        <v>2100</v>
      </c>
      <c r="C50" s="25" t="s">
        <v>787</v>
      </c>
      <c r="D50" s="25" t="s">
        <v>149</v>
      </c>
      <c r="E50" s="50">
        <v>3</v>
      </c>
      <c r="F50" s="25" t="s">
        <v>687</v>
      </c>
      <c r="G50" s="25" t="s">
        <v>687</v>
      </c>
      <c r="H50" s="25" t="s">
        <v>687</v>
      </c>
      <c r="I50" s="25"/>
      <c r="J50" s="25">
        <v>6963888.8045022432</v>
      </c>
      <c r="K50" s="25" t="s">
        <v>767</v>
      </c>
      <c r="L50" s="25">
        <v>0.27751157131044596</v>
      </c>
      <c r="M50" s="25">
        <v>7</v>
      </c>
      <c r="N50" s="25">
        <v>2</v>
      </c>
      <c r="O50" s="25">
        <v>2</v>
      </c>
      <c r="P50" s="25">
        <v>1</v>
      </c>
      <c r="Q50" s="25">
        <v>1</v>
      </c>
      <c r="R50" s="25">
        <v>4</v>
      </c>
      <c r="S50" s="25">
        <v>4</v>
      </c>
      <c r="T50" s="25">
        <v>3</v>
      </c>
    </row>
    <row r="51" spans="1:20" x14ac:dyDescent="0.45">
      <c r="A51" s="25" t="s">
        <v>856</v>
      </c>
      <c r="B51">
        <v>2100</v>
      </c>
      <c r="C51" s="25" t="s">
        <v>763</v>
      </c>
      <c r="D51" s="25" t="s">
        <v>149</v>
      </c>
      <c r="E51" s="50">
        <v>3</v>
      </c>
      <c r="F51" s="25" t="s">
        <v>687</v>
      </c>
      <c r="G51" s="25" t="s">
        <v>687</v>
      </c>
      <c r="H51" s="25" t="s">
        <v>687</v>
      </c>
      <c r="I51" s="25"/>
      <c r="J51" s="25">
        <v>9311802.1341251992</v>
      </c>
      <c r="K51" s="25" t="s">
        <v>767</v>
      </c>
      <c r="L51" s="25">
        <v>0.11415884978690284</v>
      </c>
      <c r="M51" s="25">
        <v>9.3000000000000007</v>
      </c>
      <c r="N51" s="25">
        <v>2</v>
      </c>
      <c r="O51" s="25">
        <v>2</v>
      </c>
      <c r="P51" s="25">
        <v>1</v>
      </c>
      <c r="Q51" s="25">
        <v>1</v>
      </c>
      <c r="R51" s="25">
        <v>4</v>
      </c>
      <c r="S51" s="25">
        <v>4</v>
      </c>
      <c r="T51" s="25">
        <v>5.3000000000000007</v>
      </c>
    </row>
    <row r="52" spans="1:20" x14ac:dyDescent="0.45">
      <c r="A52" s="25" t="s">
        <v>857</v>
      </c>
      <c r="B52">
        <v>2100</v>
      </c>
      <c r="C52" s="25" t="s">
        <v>797</v>
      </c>
      <c r="D52" s="25" t="s">
        <v>149</v>
      </c>
      <c r="E52" s="50">
        <v>3</v>
      </c>
      <c r="F52" s="25" t="s">
        <v>687</v>
      </c>
      <c r="G52" s="25" t="s">
        <v>687</v>
      </c>
      <c r="H52" s="25" t="s">
        <v>687</v>
      </c>
      <c r="I52" s="25"/>
      <c r="J52" s="25">
        <v>11703042.480669973</v>
      </c>
      <c r="K52" s="25" t="s">
        <v>767</v>
      </c>
      <c r="L52" s="25">
        <v>0.14750746790461322</v>
      </c>
      <c r="M52" s="25">
        <v>11.7</v>
      </c>
      <c r="N52" s="25">
        <v>2</v>
      </c>
      <c r="O52" s="25">
        <v>2</v>
      </c>
      <c r="P52" s="25">
        <v>1</v>
      </c>
      <c r="Q52" s="25">
        <v>1</v>
      </c>
      <c r="R52" s="25">
        <v>4</v>
      </c>
      <c r="S52" s="25">
        <v>4</v>
      </c>
      <c r="T52" s="25">
        <v>7.6999999999999993</v>
      </c>
    </row>
    <row r="53" spans="1:20" x14ac:dyDescent="0.45">
      <c r="A53" s="25" t="s">
        <v>858</v>
      </c>
      <c r="B53">
        <v>2100</v>
      </c>
      <c r="C53" s="25" t="s">
        <v>788</v>
      </c>
      <c r="D53" s="25" t="s">
        <v>149</v>
      </c>
      <c r="E53" s="50">
        <v>3</v>
      </c>
      <c r="F53" s="25" t="s">
        <v>687</v>
      </c>
      <c r="G53" s="25" t="s">
        <v>687</v>
      </c>
      <c r="H53" s="25" t="s">
        <v>687</v>
      </c>
      <c r="I53" s="25"/>
      <c r="J53" s="25">
        <v>8569914.2435088232</v>
      </c>
      <c r="K53" s="25" t="s">
        <v>767</v>
      </c>
      <c r="L53" s="25">
        <v>0.14750746790461322</v>
      </c>
      <c r="M53" s="25">
        <v>8.6</v>
      </c>
      <c r="N53" s="25">
        <v>2</v>
      </c>
      <c r="O53" s="25">
        <v>2</v>
      </c>
      <c r="P53" s="25">
        <v>1</v>
      </c>
      <c r="Q53" s="25">
        <v>1</v>
      </c>
      <c r="R53" s="25">
        <v>4</v>
      </c>
      <c r="S53" s="25">
        <v>4</v>
      </c>
      <c r="T53" s="25">
        <v>4.5999999999999996</v>
      </c>
    </row>
    <row r="54" spans="1:20" x14ac:dyDescent="0.45">
      <c r="A54" s="25" t="s">
        <v>821</v>
      </c>
      <c r="B54">
        <v>2100</v>
      </c>
      <c r="C54" s="25" t="s">
        <v>762</v>
      </c>
      <c r="D54" s="25" t="s">
        <v>165</v>
      </c>
      <c r="E54" s="50">
        <v>3</v>
      </c>
      <c r="F54" s="25" t="s">
        <v>687</v>
      </c>
      <c r="G54" s="25" t="s">
        <v>687</v>
      </c>
      <c r="H54" s="25" t="s">
        <v>687</v>
      </c>
      <c r="I54" s="25"/>
      <c r="J54" s="25">
        <v>12585199.795656696</v>
      </c>
      <c r="K54" s="25" t="s">
        <v>767</v>
      </c>
      <c r="L54" s="25">
        <v>0.80997620685235872</v>
      </c>
      <c r="M54" s="25">
        <v>12.6</v>
      </c>
      <c r="N54" s="25">
        <v>2</v>
      </c>
      <c r="O54" s="25">
        <v>2</v>
      </c>
      <c r="P54" s="25">
        <v>1</v>
      </c>
      <c r="Q54" s="25">
        <v>1</v>
      </c>
      <c r="R54" s="25">
        <v>4</v>
      </c>
      <c r="S54" s="25">
        <v>4</v>
      </c>
      <c r="T54" s="25">
        <v>8.6</v>
      </c>
    </row>
    <row r="55" spans="1:20" x14ac:dyDescent="0.45">
      <c r="A55" s="25" t="s">
        <v>820</v>
      </c>
      <c r="B55">
        <v>2100</v>
      </c>
      <c r="C55" s="25" t="s">
        <v>763</v>
      </c>
      <c r="D55" s="25" t="s">
        <v>165</v>
      </c>
      <c r="E55" s="50">
        <v>3</v>
      </c>
      <c r="F55" s="25" t="s">
        <v>687</v>
      </c>
      <c r="G55" s="25" t="s">
        <v>687</v>
      </c>
      <c r="H55" s="25" t="s">
        <v>687</v>
      </c>
      <c r="I55" s="25"/>
      <c r="J55" s="25">
        <v>31171819.167148143</v>
      </c>
      <c r="K55" s="25" t="s">
        <v>767</v>
      </c>
      <c r="L55" s="25">
        <v>0.80997620685235872</v>
      </c>
      <c r="M55" s="25">
        <v>31.2</v>
      </c>
      <c r="N55" s="25">
        <v>2</v>
      </c>
      <c r="O55" s="25">
        <v>2</v>
      </c>
      <c r="P55" s="25">
        <v>1</v>
      </c>
      <c r="Q55" s="25">
        <v>1</v>
      </c>
      <c r="R55" s="25">
        <v>4</v>
      </c>
      <c r="S55" s="25">
        <v>4</v>
      </c>
      <c r="T55" s="25">
        <v>27.2</v>
      </c>
    </row>
    <row r="56" spans="1:20" x14ac:dyDescent="0.45">
      <c r="A56" s="25" t="s">
        <v>874</v>
      </c>
      <c r="B56">
        <v>2100</v>
      </c>
      <c r="C56" s="25" t="s">
        <v>764</v>
      </c>
      <c r="D56" s="25" t="s">
        <v>159</v>
      </c>
      <c r="E56" s="50">
        <v>3</v>
      </c>
      <c r="F56" s="25" t="s">
        <v>687</v>
      </c>
      <c r="G56" s="25" t="s">
        <v>687</v>
      </c>
      <c r="H56" s="25" t="s">
        <v>687</v>
      </c>
      <c r="I56" s="25"/>
      <c r="J56" s="25">
        <v>9846608.2640203536</v>
      </c>
      <c r="K56" s="25" t="s">
        <v>767</v>
      </c>
      <c r="L56" s="25">
        <v>0.51301005303526415</v>
      </c>
      <c r="M56" s="25">
        <v>9.8000000000000007</v>
      </c>
      <c r="N56" s="25">
        <v>2</v>
      </c>
      <c r="O56" s="25">
        <v>2</v>
      </c>
      <c r="P56" s="25">
        <v>1</v>
      </c>
      <c r="Q56" s="25">
        <v>1</v>
      </c>
      <c r="R56" s="25">
        <v>4</v>
      </c>
      <c r="S56" s="25">
        <v>4</v>
      </c>
      <c r="T56" s="25">
        <v>5.8000000000000007</v>
      </c>
    </row>
    <row r="57" spans="1:20" x14ac:dyDescent="0.45">
      <c r="A57" s="25" t="s">
        <v>873</v>
      </c>
      <c r="B57">
        <v>2100</v>
      </c>
      <c r="C57" s="25" t="s">
        <v>764</v>
      </c>
      <c r="D57" s="25" t="s">
        <v>159</v>
      </c>
      <c r="E57" s="50">
        <v>3</v>
      </c>
      <c r="F57" s="25" t="s">
        <v>687</v>
      </c>
      <c r="G57" s="25" t="s">
        <v>687</v>
      </c>
      <c r="H57" s="25" t="s">
        <v>687</v>
      </c>
      <c r="I57" s="25"/>
      <c r="J57" s="25">
        <v>9348651.8308766559</v>
      </c>
      <c r="K57" s="25" t="s">
        <v>767</v>
      </c>
      <c r="L57" s="25">
        <v>0.45585676066776087</v>
      </c>
      <c r="M57" s="25">
        <v>9.3000000000000007</v>
      </c>
      <c r="N57" s="25">
        <v>2</v>
      </c>
      <c r="O57" s="25">
        <v>2</v>
      </c>
      <c r="P57" s="25">
        <v>1</v>
      </c>
      <c r="Q57" s="25">
        <v>1</v>
      </c>
      <c r="R57" s="25">
        <v>4</v>
      </c>
      <c r="S57" s="25">
        <v>4</v>
      </c>
      <c r="T57" s="25">
        <v>5.3000000000000007</v>
      </c>
    </row>
    <row r="58" spans="1:20" x14ac:dyDescent="0.45">
      <c r="A58" s="25" t="s">
        <v>878</v>
      </c>
      <c r="B58">
        <v>2100</v>
      </c>
      <c r="C58" s="25" t="s">
        <v>762</v>
      </c>
      <c r="D58" s="25" t="s">
        <v>159</v>
      </c>
      <c r="E58" s="50">
        <v>3</v>
      </c>
      <c r="F58" s="25" t="s">
        <v>687</v>
      </c>
      <c r="G58" s="25" t="s">
        <v>687</v>
      </c>
      <c r="H58" s="25" t="s">
        <v>687</v>
      </c>
      <c r="I58" s="25"/>
      <c r="J58" s="25">
        <v>10533855.283825856</v>
      </c>
      <c r="K58" s="25" t="s">
        <v>767</v>
      </c>
      <c r="L58" s="25">
        <v>0.5508632597218186</v>
      </c>
      <c r="M58" s="25">
        <v>10.5</v>
      </c>
      <c r="N58" s="25">
        <v>2</v>
      </c>
      <c r="O58" s="25">
        <v>2</v>
      </c>
      <c r="P58" s="25">
        <v>1</v>
      </c>
      <c r="Q58" s="25">
        <v>1</v>
      </c>
      <c r="R58" s="25">
        <v>4</v>
      </c>
      <c r="S58" s="25">
        <v>4</v>
      </c>
      <c r="T58" s="25">
        <v>6.5</v>
      </c>
    </row>
    <row r="59" spans="1:20" x14ac:dyDescent="0.45">
      <c r="A59" s="25" t="s">
        <v>875</v>
      </c>
      <c r="B59">
        <v>2100</v>
      </c>
      <c r="C59" s="25" t="s">
        <v>762</v>
      </c>
      <c r="D59" s="25" t="s">
        <v>159</v>
      </c>
      <c r="E59" s="50">
        <v>3</v>
      </c>
      <c r="F59" s="25" t="s">
        <v>687</v>
      </c>
      <c r="G59" s="25" t="s">
        <v>687</v>
      </c>
      <c r="H59" s="25" t="s">
        <v>687</v>
      </c>
      <c r="I59" s="25"/>
      <c r="J59" s="25">
        <v>9943965.6568328142</v>
      </c>
      <c r="K59" s="25" t="s">
        <v>767</v>
      </c>
      <c r="L59" s="25">
        <v>0.4763521091811011</v>
      </c>
      <c r="M59" s="25">
        <v>9.9</v>
      </c>
      <c r="N59" s="25">
        <v>2</v>
      </c>
      <c r="O59" s="25">
        <v>2</v>
      </c>
      <c r="P59" s="25">
        <v>1</v>
      </c>
      <c r="Q59" s="25">
        <v>1</v>
      </c>
      <c r="R59" s="25">
        <v>4</v>
      </c>
      <c r="S59" s="25">
        <v>4</v>
      </c>
      <c r="T59" s="25">
        <v>5.9</v>
      </c>
    </row>
    <row r="60" spans="1:20" x14ac:dyDescent="0.45">
      <c r="A60" s="25" t="s">
        <v>879</v>
      </c>
      <c r="B60">
        <v>2100</v>
      </c>
      <c r="C60" s="25" t="s">
        <v>796</v>
      </c>
      <c r="D60" s="25" t="s">
        <v>159</v>
      </c>
      <c r="E60" s="50">
        <v>3</v>
      </c>
      <c r="F60" s="25" t="s">
        <v>687</v>
      </c>
      <c r="G60" s="25" t="s">
        <v>687</v>
      </c>
      <c r="H60" s="25" t="s">
        <v>687</v>
      </c>
      <c r="I60" s="25"/>
      <c r="J60" s="25">
        <v>10820785.47060531</v>
      </c>
      <c r="K60" s="25" t="s">
        <v>767</v>
      </c>
      <c r="L60" s="25">
        <v>0.4717057600605416</v>
      </c>
      <c r="M60" s="25">
        <v>10.8</v>
      </c>
      <c r="N60" s="25">
        <v>2</v>
      </c>
      <c r="O60" s="25">
        <v>2</v>
      </c>
      <c r="P60" s="25">
        <v>1</v>
      </c>
      <c r="Q60" s="25">
        <v>1</v>
      </c>
      <c r="R60" s="25">
        <v>4</v>
      </c>
      <c r="S60" s="25">
        <v>4</v>
      </c>
      <c r="T60" s="25">
        <v>6.8000000000000007</v>
      </c>
    </row>
    <row r="61" spans="1:20" x14ac:dyDescent="0.45">
      <c r="A61" s="25" t="s">
        <v>880</v>
      </c>
      <c r="B61">
        <v>2100</v>
      </c>
      <c r="C61" s="25" t="s">
        <v>787</v>
      </c>
      <c r="D61" s="25" t="s">
        <v>159</v>
      </c>
      <c r="E61" s="50">
        <v>3</v>
      </c>
      <c r="F61" s="25" t="s">
        <v>687</v>
      </c>
      <c r="G61" s="25" t="s">
        <v>687</v>
      </c>
      <c r="H61" s="25" t="s">
        <v>687</v>
      </c>
      <c r="I61" s="25"/>
      <c r="J61" s="25">
        <v>8879168.9304398894</v>
      </c>
      <c r="K61" s="25" t="s">
        <v>767</v>
      </c>
      <c r="L61" s="25">
        <v>0.4717057600605416</v>
      </c>
      <c r="M61" s="25">
        <v>8.9</v>
      </c>
      <c r="N61" s="25">
        <v>2</v>
      </c>
      <c r="O61" s="25">
        <v>2</v>
      </c>
      <c r="P61" s="25">
        <v>1</v>
      </c>
      <c r="Q61" s="25">
        <v>1</v>
      </c>
      <c r="R61" s="25">
        <v>4</v>
      </c>
      <c r="S61" s="25">
        <v>4</v>
      </c>
      <c r="T61" s="25">
        <v>4.9000000000000004</v>
      </c>
    </row>
    <row r="62" spans="1:20" x14ac:dyDescent="0.45">
      <c r="A62" s="25" t="s">
        <v>876</v>
      </c>
      <c r="B62">
        <v>2100</v>
      </c>
      <c r="C62" s="25" t="s">
        <v>796</v>
      </c>
      <c r="D62" s="25" t="s">
        <v>159</v>
      </c>
      <c r="E62" s="50">
        <v>3</v>
      </c>
      <c r="F62" s="25" t="s">
        <v>687</v>
      </c>
      <c r="G62" s="25" t="s">
        <v>687</v>
      </c>
      <c r="H62" s="25" t="s">
        <v>687</v>
      </c>
      <c r="I62" s="25"/>
      <c r="J62" s="25">
        <v>10436263.04212903</v>
      </c>
      <c r="K62" s="25" t="s">
        <v>767</v>
      </c>
      <c r="L62" s="25">
        <v>0.40956021625109823</v>
      </c>
      <c r="M62" s="25">
        <v>10.4</v>
      </c>
      <c r="N62" s="25">
        <v>2</v>
      </c>
      <c r="O62" s="25">
        <v>2</v>
      </c>
      <c r="P62" s="25">
        <v>1</v>
      </c>
      <c r="Q62" s="25">
        <v>1</v>
      </c>
      <c r="R62" s="25">
        <v>4</v>
      </c>
      <c r="S62" s="25">
        <v>4</v>
      </c>
      <c r="T62" s="25">
        <v>6.4</v>
      </c>
    </row>
    <row r="63" spans="1:20" x14ac:dyDescent="0.45">
      <c r="A63" s="25" t="s">
        <v>877</v>
      </c>
      <c r="B63" s="25">
        <v>2100</v>
      </c>
      <c r="C63" s="25" t="s">
        <v>787</v>
      </c>
      <c r="D63" s="25" t="s">
        <v>159</v>
      </c>
      <c r="E63" s="50">
        <v>3</v>
      </c>
      <c r="F63" s="25" t="s">
        <v>687</v>
      </c>
      <c r="G63" s="25" t="s">
        <v>687</v>
      </c>
      <c r="H63" s="25" t="s">
        <v>687</v>
      </c>
      <c r="I63" s="25"/>
      <c r="J63" s="25">
        <v>8266245.7233145386</v>
      </c>
      <c r="K63" s="25" t="s">
        <v>767</v>
      </c>
      <c r="L63" s="25">
        <v>0.40956021625109823</v>
      </c>
      <c r="M63" s="25">
        <v>8.3000000000000007</v>
      </c>
      <c r="N63" s="25">
        <v>2</v>
      </c>
      <c r="O63" s="25">
        <v>2</v>
      </c>
      <c r="P63" s="25">
        <v>1</v>
      </c>
      <c r="Q63" s="25">
        <v>1</v>
      </c>
      <c r="R63" s="25">
        <v>4</v>
      </c>
      <c r="S63" s="25">
        <v>4</v>
      </c>
      <c r="T63" s="25">
        <v>4.3000000000000007</v>
      </c>
    </row>
  </sheetData>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reamble3">
    <outlinePr summaryBelow="0"/>
    <pageSetUpPr autoPageBreaks="0" fitToPage="1"/>
  </sheetPr>
  <dimension ref="A1:K49"/>
  <sheetViews>
    <sheetView showGridLines="0" defaultGridColor="0" colorId="22" zoomScaleNormal="100" workbookViewId="0">
      <pane ySplit="2" topLeftCell="A3" activePane="bottomLeft" state="frozen"/>
      <selection pane="bottomLeft" activeCell="A3" sqref="A3"/>
    </sheetView>
  </sheetViews>
  <sheetFormatPr defaultColWidth="12.59765625" defaultRowHeight="14.25" x14ac:dyDescent="0.45"/>
  <cols>
    <col min="1" max="1" width="2.59765625" customWidth="1"/>
    <col min="2" max="2" width="42.86328125" customWidth="1"/>
    <col min="4" max="4" width="12.59765625" style="25"/>
    <col min="7" max="7" width="7" customWidth="1"/>
  </cols>
  <sheetData>
    <row r="1" spans="1:8" ht="12" customHeight="1" x14ac:dyDescent="0.75">
      <c r="A1" s="15"/>
      <c r="B1" s="15"/>
      <c r="C1" s="23"/>
      <c r="E1" s="15"/>
    </row>
    <row r="2" spans="1:8" ht="64.5" customHeight="1" x14ac:dyDescent="0.9">
      <c r="H2" s="44" t="s">
        <v>7</v>
      </c>
    </row>
    <row r="3" spans="1:8" x14ac:dyDescent="0.45">
      <c r="A3" s="29" t="s">
        <v>20</v>
      </c>
    </row>
    <row r="5" spans="1:8" ht="18" x14ac:dyDescent="0.45">
      <c r="A5" s="7" t="s">
        <v>38</v>
      </c>
    </row>
    <row r="6" spans="1:8" ht="8.25" customHeight="1" x14ac:dyDescent="0.45"/>
    <row r="7" spans="1:8" ht="6.75" customHeight="1" x14ac:dyDescent="0.45">
      <c r="A7" s="20"/>
    </row>
    <row r="8" spans="1:8" x14ac:dyDescent="0.45">
      <c r="B8" s="11" t="s">
        <v>45</v>
      </c>
      <c r="C8" s="33">
        <v>100</v>
      </c>
      <c r="E8" t="s">
        <v>59</v>
      </c>
    </row>
    <row r="9" spans="1:8" x14ac:dyDescent="0.45">
      <c r="B9" s="11"/>
      <c r="C9" s="21"/>
    </row>
    <row r="10" spans="1:8" ht="15" customHeight="1" x14ac:dyDescent="0.45">
      <c r="B10" s="11" t="s">
        <v>49</v>
      </c>
      <c r="C10" s="34">
        <v>100</v>
      </c>
      <c r="E10" t="s">
        <v>58</v>
      </c>
    </row>
    <row r="11" spans="1:8" x14ac:dyDescent="0.45">
      <c r="B11" s="11"/>
      <c r="C11" s="21"/>
    </row>
    <row r="12" spans="1:8" s="25" customFormat="1" x14ac:dyDescent="0.45">
      <c r="B12" s="11" t="s">
        <v>62</v>
      </c>
      <c r="C12" s="32">
        <v>100</v>
      </c>
      <c r="E12" s="25" t="s">
        <v>60</v>
      </c>
    </row>
    <row r="13" spans="1:8" s="25" customFormat="1" x14ac:dyDescent="0.45">
      <c r="B13" s="11"/>
      <c r="C13" s="21"/>
    </row>
    <row r="14" spans="1:8" s="25" customFormat="1" x14ac:dyDescent="0.45">
      <c r="B14" s="11" t="s">
        <v>63</v>
      </c>
      <c r="C14" s="31">
        <v>100</v>
      </c>
      <c r="E14" s="25" t="s">
        <v>61</v>
      </c>
    </row>
    <row r="15" spans="1:8" s="25" customFormat="1" ht="14.65" thickBot="1" x14ac:dyDescent="0.5">
      <c r="B15" s="11"/>
      <c r="C15" s="21"/>
    </row>
    <row r="16" spans="1:8" s="25" customFormat="1" ht="14.65" thickBot="1" x14ac:dyDescent="0.5">
      <c r="B16" s="11" t="s">
        <v>67</v>
      </c>
      <c r="C16" s="42">
        <v>100</v>
      </c>
      <c r="E16" s="25" t="s">
        <v>69</v>
      </c>
    </row>
    <row r="17" spans="2:11" s="25" customFormat="1" ht="14.65" thickBot="1" x14ac:dyDescent="0.5">
      <c r="B17" s="11"/>
      <c r="C17" s="21"/>
    </row>
    <row r="18" spans="2:11" s="25" customFormat="1" ht="14.65" thickBot="1" x14ac:dyDescent="0.5">
      <c r="B18" s="11" t="s">
        <v>66</v>
      </c>
      <c r="C18" s="30">
        <v>100</v>
      </c>
      <c r="E18" s="25" t="s">
        <v>68</v>
      </c>
    </row>
    <row r="19" spans="2:11" s="25" customFormat="1" ht="14.65" thickBot="1" x14ac:dyDescent="0.5">
      <c r="B19" s="11"/>
      <c r="C19" s="21"/>
    </row>
    <row r="20" spans="2:11" s="25" customFormat="1" ht="14.65" thickBot="1" x14ac:dyDescent="0.5">
      <c r="B20" s="11" t="s">
        <v>43</v>
      </c>
      <c r="C20" s="27">
        <v>100</v>
      </c>
      <c r="E20" s="25" t="s">
        <v>44</v>
      </c>
    </row>
    <row r="21" spans="2:11" s="25" customFormat="1" x14ac:dyDescent="0.45">
      <c r="B21" s="11"/>
      <c r="C21" s="21"/>
    </row>
    <row r="22" spans="2:11" s="25" customFormat="1" x14ac:dyDescent="0.45">
      <c r="B22" s="25" t="s">
        <v>53</v>
      </c>
      <c r="C22" s="39">
        <v>100</v>
      </c>
      <c r="E22" s="25" t="s">
        <v>52</v>
      </c>
    </row>
    <row r="23" spans="2:11" s="25" customFormat="1" x14ac:dyDescent="0.45"/>
    <row r="24" spans="2:11" s="25" customFormat="1" x14ac:dyDescent="0.45">
      <c r="B24" s="25" t="s">
        <v>54</v>
      </c>
      <c r="C24" s="36"/>
      <c r="E24" s="25" t="s">
        <v>46</v>
      </c>
    </row>
    <row r="25" spans="2:11" s="25" customFormat="1" x14ac:dyDescent="0.45"/>
    <row r="26" spans="2:11" x14ac:dyDescent="0.45">
      <c r="B26" s="4" t="s">
        <v>4</v>
      </c>
      <c r="C26" s="35">
        <v>100</v>
      </c>
      <c r="E26" t="s">
        <v>6</v>
      </c>
    </row>
    <row r="27" spans="2:11" x14ac:dyDescent="0.45">
      <c r="B27" s="11"/>
      <c r="C27" s="21"/>
    </row>
    <row r="28" spans="2:11" x14ac:dyDescent="0.45">
      <c r="B28" s="4" t="s">
        <v>5</v>
      </c>
      <c r="C28" s="43">
        <v>100</v>
      </c>
      <c r="E28" t="s">
        <v>33</v>
      </c>
    </row>
    <row r="30" spans="2:11" s="25" customFormat="1" x14ac:dyDescent="0.45">
      <c r="B30" s="25" t="s">
        <v>64</v>
      </c>
      <c r="C30" s="28">
        <v>100</v>
      </c>
      <c r="E30" s="25" t="s">
        <v>65</v>
      </c>
    </row>
    <row r="31" spans="2:11" s="25" customFormat="1" x14ac:dyDescent="0.45"/>
    <row r="32" spans="2:11" x14ac:dyDescent="0.45">
      <c r="B32" s="4" t="s">
        <v>56</v>
      </c>
      <c r="C32" s="38" t="b">
        <v>1</v>
      </c>
      <c r="E32" t="s">
        <v>18</v>
      </c>
      <c r="F32" s="10"/>
      <c r="G32" s="10"/>
      <c r="H32" s="10"/>
      <c r="I32" s="10"/>
      <c r="J32" s="10"/>
      <c r="K32" s="10"/>
    </row>
    <row r="33" spans="2:11" s="25" customFormat="1" x14ac:dyDescent="0.45">
      <c r="B33" s="25" t="s">
        <v>57</v>
      </c>
      <c r="C33" s="37" t="b">
        <v>0</v>
      </c>
      <c r="F33" s="10"/>
      <c r="G33" s="10"/>
      <c r="H33" s="10"/>
      <c r="I33" s="10"/>
      <c r="J33" s="10"/>
      <c r="K33" s="10"/>
    </row>
    <row r="35" spans="2:11" x14ac:dyDescent="0.45">
      <c r="B35" s="25" t="s">
        <v>50</v>
      </c>
      <c r="C35" s="29" t="s">
        <v>51</v>
      </c>
      <c r="E35" t="s">
        <v>47</v>
      </c>
    </row>
    <row r="37" spans="2:11" s="25" customFormat="1" x14ac:dyDescent="0.45">
      <c r="B37" s="25" t="s">
        <v>37</v>
      </c>
      <c r="C37" s="40"/>
      <c r="E37" s="25" t="s">
        <v>48</v>
      </c>
    </row>
    <row r="38" spans="2:11" s="25" customFormat="1" x14ac:dyDescent="0.45">
      <c r="C38" s="41"/>
    </row>
    <row r="39" spans="2:11" x14ac:dyDescent="0.45">
      <c r="B39" s="25" t="s">
        <v>8</v>
      </c>
      <c r="C39" s="8" t="s">
        <v>55</v>
      </c>
      <c r="E39" t="s">
        <v>19</v>
      </c>
    </row>
    <row r="41" spans="2:11" x14ac:dyDescent="0.45">
      <c r="B41" s="22" t="s">
        <v>39</v>
      </c>
      <c r="C41" s="21"/>
      <c r="E41" t="s">
        <v>40</v>
      </c>
    </row>
    <row r="42" spans="2:11" x14ac:dyDescent="0.45">
      <c r="B42" s="11"/>
      <c r="C42" s="21"/>
    </row>
    <row r="43" spans="2:11" ht="30.75" x14ac:dyDescent="0.45">
      <c r="B43" s="9" t="s">
        <v>9</v>
      </c>
      <c r="C43" s="9" t="s">
        <v>17</v>
      </c>
      <c r="E43" t="s">
        <v>13</v>
      </c>
    </row>
    <row r="45" spans="2:11" ht="21" x14ac:dyDescent="0.45">
      <c r="B45" s="5" t="s">
        <v>10</v>
      </c>
      <c r="C45" s="5" t="s">
        <v>17</v>
      </c>
      <c r="E45" t="s">
        <v>14</v>
      </c>
    </row>
    <row r="47" spans="2:11" ht="18" x14ac:dyDescent="0.45">
      <c r="B47" s="7" t="s">
        <v>11</v>
      </c>
      <c r="C47" s="7" t="s">
        <v>17</v>
      </c>
      <c r="E47" t="s">
        <v>15</v>
      </c>
    </row>
    <row r="49" spans="2:5" x14ac:dyDescent="0.45">
      <c r="B49" s="6" t="s">
        <v>12</v>
      </c>
      <c r="C49" s="6" t="s">
        <v>17</v>
      </c>
      <c r="E49" t="s">
        <v>16</v>
      </c>
    </row>
  </sheetData>
  <phoneticPr fontId="0" type="noConversion"/>
  <pageMargins left="0.74803149606299213" right="0.74803149606299213" top="0.51181102362204722" bottom="0.51181102362204722" header="0.51181102362204722" footer="0.35433070866141736"/>
  <pageSetup paperSize="9" fitToHeight="0" orientation="landscape" horizontalDpi="4294967292" verticalDpi="4294967292" r:id="rId1"/>
  <headerFooter alignWithMargins="0">
    <oddFooter>&amp;L&amp;A :page&amp;P&amp;COfcom Confidential&amp;R&amp;D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D8741-9A27-42A7-90E3-0D3E9EB14B45}">
  <dimension ref="A1:P149"/>
  <sheetViews>
    <sheetView defaultGridColor="0" colorId="22" zoomScaleNormal="100" workbookViewId="0">
      <pane ySplit="2" topLeftCell="A3" activePane="bottomLeft" state="frozen"/>
      <selection pane="bottomLeft" activeCell="A3" sqref="A3"/>
    </sheetView>
  </sheetViews>
  <sheetFormatPr defaultColWidth="12.86328125" defaultRowHeight="14.25" x14ac:dyDescent="0.45"/>
  <cols>
    <col min="1" max="3" width="2.86328125" customWidth="1"/>
    <col min="4" max="4" width="56.3984375" bestFit="1" customWidth="1"/>
    <col min="5" max="5" width="29.265625" bestFit="1" customWidth="1"/>
    <col min="6" max="6" width="27.59765625" bestFit="1" customWidth="1"/>
    <col min="7" max="7" width="12" bestFit="1" customWidth="1"/>
    <col min="8" max="9" width="25.59765625" bestFit="1" customWidth="1"/>
    <col min="10" max="10" width="26.86328125" bestFit="1" customWidth="1"/>
    <col min="11" max="11" width="19.1328125" customWidth="1"/>
    <col min="12" max="12" width="16.86328125" bestFit="1" customWidth="1"/>
    <col min="13" max="13" width="12.265625" bestFit="1" customWidth="1"/>
    <col min="14" max="14" width="16" bestFit="1" customWidth="1"/>
    <col min="15" max="15" width="12.265625" bestFit="1" customWidth="1"/>
    <col min="16" max="16" width="16" bestFit="1" customWidth="1"/>
  </cols>
  <sheetData>
    <row r="1" spans="1:7" ht="40.5" customHeight="1" x14ac:dyDescent="0.45">
      <c r="A1" s="48" t="s">
        <v>72</v>
      </c>
    </row>
    <row r="2" spans="1:7" x14ac:dyDescent="0.45">
      <c r="A2" s="29" t="s">
        <v>579</v>
      </c>
    </row>
    <row r="4" spans="1:7" ht="30.75" x14ac:dyDescent="0.45">
      <c r="A4" s="9" t="s">
        <v>565</v>
      </c>
    </row>
    <row r="6" spans="1:7" x14ac:dyDescent="0.45">
      <c r="D6" t="s">
        <v>566</v>
      </c>
      <c r="E6" s="54" t="s">
        <v>567</v>
      </c>
      <c r="F6" s="52">
        <v>44316</v>
      </c>
    </row>
    <row r="7" spans="1:7" x14ac:dyDescent="0.45">
      <c r="D7" t="s">
        <v>570</v>
      </c>
      <c r="E7" s="54" t="s">
        <v>571</v>
      </c>
      <c r="F7" s="51">
        <v>20</v>
      </c>
      <c r="G7" t="s">
        <v>572</v>
      </c>
    </row>
    <row r="9" spans="1:7" x14ac:dyDescent="0.45">
      <c r="D9" t="s">
        <v>568</v>
      </c>
      <c r="E9" s="54" t="s">
        <v>584</v>
      </c>
      <c r="F9" s="32">
        <f>INDEX(I_CPI_UK[index],MATCH(TEXT(effective_date,"YYYY MMM"),I_CPI_UK[month],0))</f>
        <v>110.1</v>
      </c>
    </row>
    <row r="10" spans="1:7" x14ac:dyDescent="0.45">
      <c r="D10" t="s">
        <v>569</v>
      </c>
      <c r="E10" s="54" t="s">
        <v>585</v>
      </c>
      <c r="F10" s="53">
        <f>INDEX(I_Population[],MATCH("United Kingdom",I_Population[country],0),MATCH(TEXT(effective_date,"YYYY"),I_Population[#Headers],1))</f>
        <v>66836327</v>
      </c>
    </row>
    <row r="12" spans="1:7" s="25" customFormat="1" x14ac:dyDescent="0.45">
      <c r="D12" s="25" t="s">
        <v>644</v>
      </c>
      <c r="E12" s="54" t="s">
        <v>676</v>
      </c>
      <c r="F12" s="61">
        <v>5.0000000000000001E-3</v>
      </c>
    </row>
    <row r="13" spans="1:7" s="25" customFormat="1" x14ac:dyDescent="0.45"/>
    <row r="14" spans="1:7" s="25" customFormat="1" x14ac:dyDescent="0.45">
      <c r="D14" s="25" t="s">
        <v>672</v>
      </c>
      <c r="E14" s="54" t="s">
        <v>673</v>
      </c>
      <c r="F14" s="51" t="b">
        <v>1</v>
      </c>
    </row>
    <row r="15" spans="1:7" s="25" customFormat="1" x14ac:dyDescent="0.45">
      <c r="D15" s="25" t="s">
        <v>674</v>
      </c>
      <c r="E15" s="54" t="s">
        <v>675</v>
      </c>
      <c r="F15" s="51">
        <v>365</v>
      </c>
      <c r="G15" s="25" t="s">
        <v>679</v>
      </c>
    </row>
    <row r="16" spans="1:7" s="25" customFormat="1" x14ac:dyDescent="0.45"/>
    <row r="17" spans="1:14" ht="30.75" x14ac:dyDescent="0.45">
      <c r="A17" s="9" t="s">
        <v>578</v>
      </c>
    </row>
    <row r="19" spans="1:14" ht="21" x14ac:dyDescent="0.45">
      <c r="B19" s="5" t="s">
        <v>758</v>
      </c>
    </row>
    <row r="21" spans="1:14" x14ac:dyDescent="0.45">
      <c r="D21" t="s">
        <v>591</v>
      </c>
      <c r="E21" s="25" t="s">
        <v>803</v>
      </c>
      <c r="F21" s="25" t="s">
        <v>761</v>
      </c>
      <c r="G21" s="25" t="s">
        <v>142</v>
      </c>
      <c r="H21" t="s">
        <v>574</v>
      </c>
      <c r="I21" t="s">
        <v>575</v>
      </c>
      <c r="J21" s="25" t="s">
        <v>576</v>
      </c>
      <c r="K21" t="s">
        <v>577</v>
      </c>
      <c r="L21" t="s">
        <v>680</v>
      </c>
      <c r="M21" t="s">
        <v>681</v>
      </c>
      <c r="N21" t="s">
        <v>682</v>
      </c>
    </row>
    <row r="22" spans="1:14" s="25" customFormat="1" x14ac:dyDescent="0.45">
      <c r="D22" s="25" t="s">
        <v>804</v>
      </c>
      <c r="E22" s="25">
        <v>2100</v>
      </c>
      <c r="F22" s="25">
        <v>700</v>
      </c>
      <c r="G22" s="25" t="s">
        <v>203</v>
      </c>
      <c r="H22" s="25" t="s">
        <v>701</v>
      </c>
      <c r="I22" s="25" t="s">
        <v>645</v>
      </c>
      <c r="J22" s="25" t="s">
        <v>631</v>
      </c>
      <c r="K22" s="25">
        <v>1</v>
      </c>
      <c r="L22" s="25" t="s">
        <v>687</v>
      </c>
      <c r="M22" s="25" t="s">
        <v>687</v>
      </c>
      <c r="N22" s="25" t="s">
        <v>687</v>
      </c>
    </row>
    <row r="23" spans="1:14" s="25" customFormat="1" x14ac:dyDescent="0.45">
      <c r="D23" s="25" t="s">
        <v>881</v>
      </c>
      <c r="E23" s="25">
        <v>2100</v>
      </c>
      <c r="F23" s="25">
        <v>700</v>
      </c>
      <c r="G23" s="25" t="s">
        <v>158</v>
      </c>
      <c r="H23" s="25" t="s">
        <v>132</v>
      </c>
      <c r="I23" s="25" t="s">
        <v>125</v>
      </c>
      <c r="J23" s="25" t="s">
        <v>631</v>
      </c>
      <c r="K23" s="25">
        <v>1</v>
      </c>
      <c r="L23" s="25" t="s">
        <v>687</v>
      </c>
      <c r="M23" s="25" t="s">
        <v>687</v>
      </c>
      <c r="N23" s="25" t="s">
        <v>691</v>
      </c>
    </row>
    <row r="24" spans="1:14" s="25" customFormat="1" x14ac:dyDescent="0.45">
      <c r="D24" s="25" t="s">
        <v>886</v>
      </c>
      <c r="E24" s="25">
        <v>2100</v>
      </c>
      <c r="F24" s="25">
        <v>700</v>
      </c>
      <c r="G24" s="25" t="s">
        <v>143</v>
      </c>
      <c r="H24" s="25" t="s">
        <v>756</v>
      </c>
      <c r="I24" s="25" t="s">
        <v>757</v>
      </c>
      <c r="J24" s="25" t="s">
        <v>631</v>
      </c>
      <c r="K24" s="25">
        <v>1</v>
      </c>
      <c r="L24" s="25" t="s">
        <v>687</v>
      </c>
      <c r="M24" s="25" t="s">
        <v>687</v>
      </c>
      <c r="N24" s="25" t="s">
        <v>687</v>
      </c>
    </row>
    <row r="25" spans="1:14" s="25" customFormat="1" x14ac:dyDescent="0.45">
      <c r="D25" s="25" t="s">
        <v>805</v>
      </c>
      <c r="E25" s="25">
        <v>2100</v>
      </c>
      <c r="F25" s="25">
        <v>700</v>
      </c>
      <c r="G25" s="25" t="s">
        <v>156</v>
      </c>
      <c r="H25" s="25" t="s">
        <v>107</v>
      </c>
      <c r="I25" s="25" t="s">
        <v>109</v>
      </c>
      <c r="J25" s="25" t="s">
        <v>631</v>
      </c>
      <c r="K25" s="25">
        <v>1</v>
      </c>
      <c r="L25" s="25" t="s">
        <v>687</v>
      </c>
      <c r="M25" s="25" t="s">
        <v>687</v>
      </c>
      <c r="N25" s="25" t="s">
        <v>687</v>
      </c>
    </row>
    <row r="26" spans="1:14" s="25" customFormat="1" x14ac:dyDescent="0.45">
      <c r="D26" s="25" t="s">
        <v>806</v>
      </c>
      <c r="E26" s="25">
        <v>2100</v>
      </c>
      <c r="F26" s="25">
        <v>700</v>
      </c>
      <c r="G26" s="25" t="s">
        <v>169</v>
      </c>
      <c r="H26" s="25" t="s">
        <v>651</v>
      </c>
      <c r="I26" s="25" t="s">
        <v>653</v>
      </c>
      <c r="J26" s="25" t="s">
        <v>631</v>
      </c>
      <c r="K26" s="25">
        <v>1</v>
      </c>
      <c r="L26" s="25" t="s">
        <v>687</v>
      </c>
      <c r="M26" s="25" t="s">
        <v>687</v>
      </c>
      <c r="N26" s="25" t="s">
        <v>691</v>
      </c>
    </row>
    <row r="27" spans="1:14" s="25" customFormat="1" x14ac:dyDescent="0.45">
      <c r="D27" s="25" t="s">
        <v>808</v>
      </c>
      <c r="E27" s="25">
        <v>2100</v>
      </c>
      <c r="F27" s="25">
        <v>1800</v>
      </c>
      <c r="G27" s="25" t="s">
        <v>203</v>
      </c>
      <c r="H27" s="25" t="s">
        <v>799</v>
      </c>
      <c r="I27" s="25" t="s">
        <v>645</v>
      </c>
      <c r="J27" s="25" t="s">
        <v>632</v>
      </c>
      <c r="K27" s="25">
        <v>1</v>
      </c>
      <c r="L27" s="25" t="s">
        <v>685</v>
      </c>
      <c r="M27" s="25" t="s">
        <v>687</v>
      </c>
      <c r="N27" s="25" t="s">
        <v>692</v>
      </c>
    </row>
    <row r="28" spans="1:14" x14ac:dyDescent="0.45">
      <c r="D28" t="s">
        <v>885</v>
      </c>
      <c r="E28" s="25">
        <v>2100</v>
      </c>
      <c r="F28" s="25">
        <v>1800</v>
      </c>
      <c r="G28" s="25" t="s">
        <v>158</v>
      </c>
      <c r="H28" t="s">
        <v>129</v>
      </c>
      <c r="I28" t="s">
        <v>125</v>
      </c>
      <c r="J28" s="25" t="s">
        <v>632</v>
      </c>
      <c r="K28">
        <v>1</v>
      </c>
      <c r="L28" t="s">
        <v>685</v>
      </c>
      <c r="M28" t="s">
        <v>687</v>
      </c>
      <c r="N28" t="s">
        <v>691</v>
      </c>
    </row>
    <row r="29" spans="1:14" s="25" customFormat="1" x14ac:dyDescent="0.45">
      <c r="D29" s="25" t="s">
        <v>884</v>
      </c>
      <c r="E29" s="25">
        <v>2100</v>
      </c>
      <c r="F29" s="25">
        <v>1800</v>
      </c>
      <c r="G29" s="25" t="s">
        <v>143</v>
      </c>
      <c r="H29" s="25" t="s">
        <v>755</v>
      </c>
      <c r="I29" s="25" t="s">
        <v>757</v>
      </c>
      <c r="J29" s="25" t="s">
        <v>632</v>
      </c>
      <c r="K29" s="25">
        <v>1</v>
      </c>
      <c r="L29" s="25" t="s">
        <v>685</v>
      </c>
      <c r="M29" s="25" t="s">
        <v>687</v>
      </c>
      <c r="N29" s="25" t="s">
        <v>687</v>
      </c>
    </row>
    <row r="30" spans="1:14" s="25" customFormat="1" x14ac:dyDescent="0.45">
      <c r="D30" s="25" t="s">
        <v>807</v>
      </c>
      <c r="E30" s="25">
        <v>2100</v>
      </c>
      <c r="F30" s="25">
        <v>2300</v>
      </c>
      <c r="G30" s="25" t="s">
        <v>169</v>
      </c>
      <c r="H30" s="25" t="s">
        <v>656</v>
      </c>
      <c r="I30" s="25" t="s">
        <v>653</v>
      </c>
      <c r="J30" s="25" t="s">
        <v>88</v>
      </c>
      <c r="K30" s="25">
        <v>1</v>
      </c>
      <c r="L30" s="25" t="s">
        <v>687</v>
      </c>
      <c r="M30" s="25" t="s">
        <v>687</v>
      </c>
      <c r="N30" s="25" t="s">
        <v>687</v>
      </c>
    </row>
    <row r="31" spans="1:14" s="25" customFormat="1" x14ac:dyDescent="0.45">
      <c r="D31" s="25" t="s">
        <v>882</v>
      </c>
      <c r="E31" s="25">
        <v>2100</v>
      </c>
      <c r="F31" s="25">
        <v>3400</v>
      </c>
      <c r="G31" s="25" t="s">
        <v>203</v>
      </c>
      <c r="H31" s="25" t="s">
        <v>800</v>
      </c>
      <c r="I31" s="25" t="s">
        <v>645</v>
      </c>
      <c r="J31" s="25" t="s">
        <v>790</v>
      </c>
      <c r="K31" s="25">
        <v>1</v>
      </c>
      <c r="L31" s="25" t="s">
        <v>687</v>
      </c>
      <c r="M31" s="25" t="s">
        <v>687</v>
      </c>
      <c r="N31" s="25" t="s">
        <v>687</v>
      </c>
    </row>
    <row r="32" spans="1:14" s="25" customFormat="1" x14ac:dyDescent="0.45">
      <c r="D32" s="25" t="s">
        <v>883</v>
      </c>
      <c r="E32" s="25">
        <v>2100</v>
      </c>
      <c r="F32" s="25">
        <v>3600</v>
      </c>
      <c r="G32" s="25" t="s">
        <v>203</v>
      </c>
      <c r="H32" s="25" t="s">
        <v>800</v>
      </c>
      <c r="I32" s="25" t="s">
        <v>645</v>
      </c>
      <c r="J32" s="25" t="s">
        <v>789</v>
      </c>
      <c r="K32" s="25">
        <v>1</v>
      </c>
      <c r="L32" s="25" t="s">
        <v>687</v>
      </c>
      <c r="M32" s="25" t="s">
        <v>687</v>
      </c>
      <c r="N32" s="25" t="s">
        <v>687</v>
      </c>
    </row>
    <row r="33" spans="2:16" s="25" customFormat="1" x14ac:dyDescent="0.45">
      <c r="D33" s="25" t="s">
        <v>809</v>
      </c>
      <c r="E33" s="25">
        <v>2100</v>
      </c>
      <c r="F33" s="25">
        <v>3400</v>
      </c>
      <c r="G33" s="25" t="s">
        <v>158</v>
      </c>
      <c r="H33" s="25" t="s">
        <v>785</v>
      </c>
      <c r="I33" s="25" t="s">
        <v>125</v>
      </c>
      <c r="J33" s="25" t="s">
        <v>790</v>
      </c>
      <c r="K33" s="25">
        <v>1</v>
      </c>
      <c r="L33" s="25" t="s">
        <v>687</v>
      </c>
      <c r="M33" s="25" t="s">
        <v>687</v>
      </c>
      <c r="N33" s="25" t="s">
        <v>687</v>
      </c>
    </row>
    <row r="34" spans="2:16" s="25" customFormat="1" x14ac:dyDescent="0.45">
      <c r="D34" s="25" t="s">
        <v>812</v>
      </c>
      <c r="E34" s="25">
        <v>2100</v>
      </c>
      <c r="F34" s="25">
        <v>3600</v>
      </c>
      <c r="G34" s="25" t="s">
        <v>158</v>
      </c>
      <c r="H34" s="25" t="s">
        <v>785</v>
      </c>
      <c r="I34" s="25" t="s">
        <v>125</v>
      </c>
      <c r="J34" s="25" t="s">
        <v>789</v>
      </c>
      <c r="K34" s="25">
        <v>1</v>
      </c>
      <c r="L34" s="25" t="s">
        <v>687</v>
      </c>
      <c r="M34" s="25" t="s">
        <v>687</v>
      </c>
      <c r="N34" s="25" t="s">
        <v>687</v>
      </c>
    </row>
    <row r="35" spans="2:16" s="25" customFormat="1" x14ac:dyDescent="0.45">
      <c r="D35" s="25" t="s">
        <v>810</v>
      </c>
      <c r="E35" s="25">
        <v>2100</v>
      </c>
      <c r="F35" s="25">
        <v>3400</v>
      </c>
      <c r="G35" s="25" t="s">
        <v>143</v>
      </c>
      <c r="H35" s="25" t="s">
        <v>784</v>
      </c>
      <c r="I35" s="25" t="s">
        <v>121</v>
      </c>
      <c r="J35" s="25" t="s">
        <v>790</v>
      </c>
      <c r="K35" s="25">
        <v>1</v>
      </c>
      <c r="L35" s="25" t="s">
        <v>687</v>
      </c>
      <c r="M35" s="25" t="s">
        <v>687</v>
      </c>
      <c r="N35" s="25" t="s">
        <v>687</v>
      </c>
    </row>
    <row r="36" spans="2:16" s="25" customFormat="1" x14ac:dyDescent="0.45">
      <c r="D36" s="25" t="s">
        <v>813</v>
      </c>
      <c r="E36" s="25">
        <v>2100</v>
      </c>
      <c r="F36" s="25">
        <v>3600</v>
      </c>
      <c r="G36" s="25" t="s">
        <v>143</v>
      </c>
      <c r="H36" s="25" t="s">
        <v>784</v>
      </c>
      <c r="I36" s="25" t="s">
        <v>121</v>
      </c>
      <c r="J36" s="25" t="s">
        <v>789</v>
      </c>
      <c r="K36" s="25">
        <v>1</v>
      </c>
      <c r="L36" s="25" t="s">
        <v>687</v>
      </c>
      <c r="M36" s="25" t="s">
        <v>687</v>
      </c>
      <c r="N36" s="25" t="s">
        <v>687</v>
      </c>
    </row>
    <row r="37" spans="2:16" s="25" customFormat="1" x14ac:dyDescent="0.45">
      <c r="D37" s="25" t="s">
        <v>811</v>
      </c>
      <c r="E37" s="25">
        <v>2100</v>
      </c>
      <c r="F37" s="25">
        <v>3400</v>
      </c>
      <c r="G37" s="25" t="s">
        <v>169</v>
      </c>
      <c r="H37" s="25" t="s">
        <v>786</v>
      </c>
      <c r="I37" s="25" t="s">
        <v>653</v>
      </c>
      <c r="J37" s="25" t="s">
        <v>790</v>
      </c>
      <c r="K37" s="25">
        <v>1</v>
      </c>
      <c r="L37" s="25" t="s">
        <v>687</v>
      </c>
      <c r="M37" s="25" t="s">
        <v>687</v>
      </c>
      <c r="N37" s="25" t="s">
        <v>687</v>
      </c>
    </row>
    <row r="38" spans="2:16" s="25" customFormat="1" x14ac:dyDescent="0.45">
      <c r="D38" s="25" t="s">
        <v>814</v>
      </c>
      <c r="E38" s="25">
        <v>2100</v>
      </c>
      <c r="F38" s="25">
        <v>3600</v>
      </c>
      <c r="G38" s="25" t="s">
        <v>169</v>
      </c>
      <c r="H38" s="25" t="s">
        <v>786</v>
      </c>
      <c r="I38" s="25" t="s">
        <v>653</v>
      </c>
      <c r="J38" s="25" t="s">
        <v>789</v>
      </c>
      <c r="K38" s="25">
        <v>1</v>
      </c>
      <c r="L38" s="25" t="s">
        <v>687</v>
      </c>
      <c r="M38" s="25" t="s">
        <v>687</v>
      </c>
      <c r="N38" s="25" t="s">
        <v>687</v>
      </c>
    </row>
    <row r="39" spans="2:16" s="25" customFormat="1" x14ac:dyDescent="0.45"/>
    <row r="41" spans="2:16" ht="21" x14ac:dyDescent="0.45">
      <c r="B41" s="5" t="s">
        <v>573</v>
      </c>
    </row>
    <row r="43" spans="2:16" x14ac:dyDescent="0.45">
      <c r="D43" t="s">
        <v>591</v>
      </c>
      <c r="E43" s="25" t="s">
        <v>803</v>
      </c>
      <c r="F43" s="25" t="s">
        <v>761</v>
      </c>
      <c r="G43" s="25" t="s">
        <v>142</v>
      </c>
      <c r="H43" t="s">
        <v>574</v>
      </c>
      <c r="I43" t="s">
        <v>575</v>
      </c>
      <c r="J43" t="s">
        <v>589</v>
      </c>
      <c r="K43" s="25" t="s">
        <v>576</v>
      </c>
      <c r="L43" s="25" t="s">
        <v>590</v>
      </c>
      <c r="M43" t="s">
        <v>577</v>
      </c>
      <c r="N43" t="s">
        <v>680</v>
      </c>
      <c r="O43" t="s">
        <v>681</v>
      </c>
      <c r="P43" t="s">
        <v>682</v>
      </c>
    </row>
    <row r="44" spans="2:16" s="25" customFormat="1" x14ac:dyDescent="0.45">
      <c r="D44" s="25" t="s">
        <v>850</v>
      </c>
      <c r="E44" s="25">
        <v>2100</v>
      </c>
      <c r="F44" s="25" t="s">
        <v>762</v>
      </c>
      <c r="G44" s="25" t="s">
        <v>203</v>
      </c>
      <c r="H44" s="25" t="s">
        <v>701</v>
      </c>
      <c r="I44" s="25" t="s">
        <v>645</v>
      </c>
      <c r="J44" s="25" t="s">
        <v>634</v>
      </c>
      <c r="K44" s="25" t="s">
        <v>631</v>
      </c>
      <c r="L44" s="25" t="s">
        <v>828</v>
      </c>
      <c r="M44" s="25">
        <v>1</v>
      </c>
      <c r="N44" s="25" t="s">
        <v>687</v>
      </c>
      <c r="O44" s="25" t="s">
        <v>687</v>
      </c>
      <c r="P44" s="25" t="s">
        <v>687</v>
      </c>
    </row>
    <row r="45" spans="2:16" s="25" customFormat="1" x14ac:dyDescent="0.45">
      <c r="D45" s="25" t="s">
        <v>851</v>
      </c>
      <c r="E45" s="25">
        <v>2100</v>
      </c>
      <c r="F45" s="25" t="s">
        <v>796</v>
      </c>
      <c r="G45" s="25" t="s">
        <v>203</v>
      </c>
      <c r="H45" s="25" t="s">
        <v>701</v>
      </c>
      <c r="I45" s="25" t="s">
        <v>645</v>
      </c>
      <c r="J45" s="25" t="s">
        <v>800</v>
      </c>
      <c r="K45" s="25" t="s">
        <v>631</v>
      </c>
      <c r="L45" s="25" t="s">
        <v>790</v>
      </c>
      <c r="M45" s="25">
        <v>1</v>
      </c>
      <c r="N45" s="25" t="s">
        <v>687</v>
      </c>
      <c r="O45" s="25" t="s">
        <v>687</v>
      </c>
      <c r="P45" s="25" t="s">
        <v>687</v>
      </c>
    </row>
    <row r="46" spans="2:16" s="25" customFormat="1" x14ac:dyDescent="0.45">
      <c r="D46" s="25" t="s">
        <v>852</v>
      </c>
      <c r="E46" s="25">
        <v>2100</v>
      </c>
      <c r="F46" s="25" t="s">
        <v>787</v>
      </c>
      <c r="G46" s="25" t="s">
        <v>203</v>
      </c>
      <c r="H46" s="25" t="s">
        <v>701</v>
      </c>
      <c r="I46" s="25" t="s">
        <v>645</v>
      </c>
      <c r="J46" s="25" t="s">
        <v>800</v>
      </c>
      <c r="K46" s="25" t="s">
        <v>631</v>
      </c>
      <c r="L46" s="25" t="s">
        <v>789</v>
      </c>
      <c r="M46" s="25">
        <v>1</v>
      </c>
      <c r="N46" s="25" t="s">
        <v>687</v>
      </c>
      <c r="O46" s="25" t="s">
        <v>687</v>
      </c>
      <c r="P46" s="25" t="s">
        <v>687</v>
      </c>
    </row>
    <row r="47" spans="2:16" x14ac:dyDescent="0.45">
      <c r="D47" t="s">
        <v>853</v>
      </c>
      <c r="E47" s="25">
        <v>2100</v>
      </c>
      <c r="F47" s="25" t="s">
        <v>763</v>
      </c>
      <c r="G47" s="25" t="s">
        <v>203</v>
      </c>
      <c r="H47" s="25" t="s">
        <v>649</v>
      </c>
      <c r="I47" s="25" t="s">
        <v>645</v>
      </c>
      <c r="J47" s="25" t="s">
        <v>634</v>
      </c>
      <c r="K47" s="25" t="s">
        <v>827</v>
      </c>
      <c r="L47" s="25" t="s">
        <v>828</v>
      </c>
      <c r="M47">
        <v>1</v>
      </c>
      <c r="N47" t="s">
        <v>687</v>
      </c>
      <c r="O47" t="s">
        <v>687</v>
      </c>
      <c r="P47" t="s">
        <v>692</v>
      </c>
    </row>
    <row r="48" spans="2:16" s="25" customFormat="1" x14ac:dyDescent="0.45">
      <c r="D48" s="25" t="s">
        <v>854</v>
      </c>
      <c r="E48" s="25">
        <v>2100</v>
      </c>
      <c r="F48" s="25" t="s">
        <v>797</v>
      </c>
      <c r="G48" s="25" t="s">
        <v>203</v>
      </c>
      <c r="H48" s="25" t="s">
        <v>649</v>
      </c>
      <c r="I48" s="25" t="s">
        <v>645</v>
      </c>
      <c r="J48" s="25" t="s">
        <v>800</v>
      </c>
      <c r="K48" s="25" t="s">
        <v>827</v>
      </c>
      <c r="L48" s="25" t="s">
        <v>790</v>
      </c>
      <c r="M48" s="25">
        <v>1</v>
      </c>
      <c r="N48" s="25" t="s">
        <v>687</v>
      </c>
      <c r="O48" s="25" t="s">
        <v>687</v>
      </c>
      <c r="P48" s="25" t="s">
        <v>692</v>
      </c>
    </row>
    <row r="49" spans="4:16" s="25" customFormat="1" x14ac:dyDescent="0.45">
      <c r="D49" s="25" t="s">
        <v>855</v>
      </c>
      <c r="E49" s="25">
        <v>2100</v>
      </c>
      <c r="F49" s="25" t="s">
        <v>788</v>
      </c>
      <c r="G49" s="25" t="s">
        <v>203</v>
      </c>
      <c r="H49" s="25" t="s">
        <v>649</v>
      </c>
      <c r="I49" s="25" t="s">
        <v>645</v>
      </c>
      <c r="J49" s="25" t="s">
        <v>800</v>
      </c>
      <c r="K49" s="25" t="s">
        <v>827</v>
      </c>
      <c r="L49" s="25" t="s">
        <v>789</v>
      </c>
      <c r="M49" s="25">
        <v>1</v>
      </c>
      <c r="N49" s="25" t="s">
        <v>687</v>
      </c>
      <c r="O49" s="25" t="s">
        <v>687</v>
      </c>
      <c r="P49" s="25" t="s">
        <v>692</v>
      </c>
    </row>
    <row r="50" spans="4:16" x14ac:dyDescent="0.45">
      <c r="D50" t="s">
        <v>844</v>
      </c>
      <c r="E50" s="25">
        <v>2100</v>
      </c>
      <c r="F50" s="25" t="s">
        <v>762</v>
      </c>
      <c r="G50" s="25" t="s">
        <v>158</v>
      </c>
      <c r="H50" t="s">
        <v>132</v>
      </c>
      <c r="I50" t="s">
        <v>125</v>
      </c>
      <c r="J50" t="s">
        <v>180</v>
      </c>
      <c r="K50" s="25" t="s">
        <v>631</v>
      </c>
      <c r="L50" s="25" t="s">
        <v>828</v>
      </c>
      <c r="M50">
        <v>1</v>
      </c>
      <c r="N50" t="s">
        <v>685</v>
      </c>
      <c r="O50" t="s">
        <v>687</v>
      </c>
      <c r="P50" t="s">
        <v>691</v>
      </c>
    </row>
    <row r="51" spans="4:16" s="25" customFormat="1" x14ac:dyDescent="0.45">
      <c r="D51" s="25" t="s">
        <v>845</v>
      </c>
      <c r="E51" s="25">
        <v>2100</v>
      </c>
      <c r="F51" s="25" t="s">
        <v>796</v>
      </c>
      <c r="G51" s="25" t="s">
        <v>158</v>
      </c>
      <c r="H51" s="25" t="s">
        <v>132</v>
      </c>
      <c r="I51" s="25" t="s">
        <v>125</v>
      </c>
      <c r="J51" s="25" t="s">
        <v>785</v>
      </c>
      <c r="K51" s="25" t="s">
        <v>631</v>
      </c>
      <c r="L51" s="25" t="s">
        <v>790</v>
      </c>
      <c r="M51" s="25">
        <v>1</v>
      </c>
      <c r="N51" s="25" t="s">
        <v>687</v>
      </c>
      <c r="O51" s="25" t="s">
        <v>687</v>
      </c>
      <c r="P51" s="25" t="s">
        <v>691</v>
      </c>
    </row>
    <row r="52" spans="4:16" s="25" customFormat="1" x14ac:dyDescent="0.45">
      <c r="D52" s="1" t="s">
        <v>846</v>
      </c>
      <c r="E52" s="1">
        <v>2100</v>
      </c>
      <c r="F52" s="25" t="s">
        <v>787</v>
      </c>
      <c r="G52" s="25" t="s">
        <v>158</v>
      </c>
      <c r="H52" s="25" t="s">
        <v>132</v>
      </c>
      <c r="I52" s="25" t="s">
        <v>125</v>
      </c>
      <c r="J52" s="25" t="s">
        <v>785</v>
      </c>
      <c r="K52" s="25" t="s">
        <v>631</v>
      </c>
      <c r="L52" s="25" t="s">
        <v>789</v>
      </c>
      <c r="M52" s="25">
        <v>1</v>
      </c>
      <c r="N52" s="25" t="s">
        <v>687</v>
      </c>
      <c r="O52" s="25" t="s">
        <v>687</v>
      </c>
      <c r="P52" s="25" t="s">
        <v>691</v>
      </c>
    </row>
    <row r="53" spans="4:16" x14ac:dyDescent="0.45">
      <c r="D53" t="s">
        <v>847</v>
      </c>
      <c r="E53" s="25">
        <v>2100</v>
      </c>
      <c r="F53" s="25" t="s">
        <v>763</v>
      </c>
      <c r="G53" s="25" t="s">
        <v>158</v>
      </c>
      <c r="H53" t="s">
        <v>135</v>
      </c>
      <c r="I53" s="25" t="s">
        <v>125</v>
      </c>
      <c r="J53" t="s">
        <v>180</v>
      </c>
      <c r="K53" s="25" t="s">
        <v>827</v>
      </c>
      <c r="L53" s="25" t="s">
        <v>828</v>
      </c>
      <c r="M53">
        <v>1</v>
      </c>
      <c r="N53" t="s">
        <v>685</v>
      </c>
      <c r="O53" t="s">
        <v>687</v>
      </c>
      <c r="P53" t="s">
        <v>692</v>
      </c>
    </row>
    <row r="54" spans="4:16" s="25" customFormat="1" x14ac:dyDescent="0.45">
      <c r="D54" s="25" t="s">
        <v>848</v>
      </c>
      <c r="E54" s="25">
        <v>2100</v>
      </c>
      <c r="F54" s="25" t="s">
        <v>797</v>
      </c>
      <c r="G54" s="25" t="s">
        <v>158</v>
      </c>
      <c r="H54" s="25" t="s">
        <v>135</v>
      </c>
      <c r="I54" s="25" t="s">
        <v>125</v>
      </c>
      <c r="J54" s="25" t="s">
        <v>785</v>
      </c>
      <c r="K54" s="25" t="s">
        <v>827</v>
      </c>
      <c r="L54" s="25" t="s">
        <v>790</v>
      </c>
      <c r="M54" s="25">
        <v>1</v>
      </c>
      <c r="N54" s="25" t="s">
        <v>685</v>
      </c>
      <c r="O54" s="25" t="s">
        <v>685</v>
      </c>
      <c r="P54" s="25" t="s">
        <v>692</v>
      </c>
    </row>
    <row r="55" spans="4:16" s="25" customFormat="1" x14ac:dyDescent="0.45">
      <c r="D55" s="1" t="s">
        <v>849</v>
      </c>
      <c r="E55" s="1">
        <v>2100</v>
      </c>
      <c r="F55" s="25" t="s">
        <v>788</v>
      </c>
      <c r="G55" s="25" t="s">
        <v>158</v>
      </c>
      <c r="H55" s="25" t="s">
        <v>135</v>
      </c>
      <c r="I55" s="25" t="s">
        <v>125</v>
      </c>
      <c r="J55" s="25" t="s">
        <v>785</v>
      </c>
      <c r="K55" s="25" t="s">
        <v>827</v>
      </c>
      <c r="L55" s="25" t="s">
        <v>789</v>
      </c>
      <c r="M55" s="25">
        <v>1</v>
      </c>
      <c r="N55" s="25" t="s">
        <v>685</v>
      </c>
      <c r="O55" s="25" t="s">
        <v>685</v>
      </c>
      <c r="P55" s="25" t="s">
        <v>692</v>
      </c>
    </row>
    <row r="56" spans="4:16" s="25" customFormat="1" x14ac:dyDescent="0.45">
      <c r="D56" s="1" t="s">
        <v>816</v>
      </c>
      <c r="E56" s="1">
        <v>2100</v>
      </c>
      <c r="F56" s="25" t="s">
        <v>796</v>
      </c>
      <c r="G56" s="25" t="s">
        <v>143</v>
      </c>
      <c r="H56" s="25" t="s">
        <v>756</v>
      </c>
      <c r="I56" s="25" t="s">
        <v>757</v>
      </c>
      <c r="J56" s="25" t="s">
        <v>795</v>
      </c>
      <c r="K56" s="25" t="s">
        <v>631</v>
      </c>
      <c r="L56" s="25" t="s">
        <v>790</v>
      </c>
      <c r="M56" s="25">
        <v>1</v>
      </c>
      <c r="N56" s="25" t="s">
        <v>687</v>
      </c>
      <c r="O56" s="25" t="s">
        <v>687</v>
      </c>
      <c r="P56" s="25" t="s">
        <v>687</v>
      </c>
    </row>
    <row r="57" spans="4:16" s="25" customFormat="1" x14ac:dyDescent="0.45">
      <c r="D57" s="1" t="s">
        <v>815</v>
      </c>
      <c r="E57" s="1">
        <v>2100</v>
      </c>
      <c r="F57" s="25" t="s">
        <v>787</v>
      </c>
      <c r="G57" s="25" t="s">
        <v>143</v>
      </c>
      <c r="H57" s="25" t="s">
        <v>756</v>
      </c>
      <c r="I57" s="25" t="s">
        <v>757</v>
      </c>
      <c r="J57" s="25" t="s">
        <v>795</v>
      </c>
      <c r="K57" s="25" t="s">
        <v>631</v>
      </c>
      <c r="L57" s="25" t="s">
        <v>789</v>
      </c>
      <c r="M57" s="25">
        <v>1</v>
      </c>
      <c r="N57" s="25" t="s">
        <v>687</v>
      </c>
      <c r="O57" s="25" t="s">
        <v>687</v>
      </c>
      <c r="P57" s="25" t="s">
        <v>687</v>
      </c>
    </row>
    <row r="58" spans="4:16" s="25" customFormat="1" x14ac:dyDescent="0.45">
      <c r="D58" s="25" t="s">
        <v>865</v>
      </c>
      <c r="E58" s="25">
        <v>2100</v>
      </c>
      <c r="F58" s="25" t="s">
        <v>764</v>
      </c>
      <c r="G58" s="25" t="s">
        <v>156</v>
      </c>
      <c r="H58" s="25" t="s">
        <v>107</v>
      </c>
      <c r="I58" s="25" t="s">
        <v>109</v>
      </c>
      <c r="J58" s="25" t="s">
        <v>838</v>
      </c>
      <c r="K58" s="25" t="s">
        <v>631</v>
      </c>
      <c r="L58" s="25" t="s">
        <v>88</v>
      </c>
      <c r="M58" s="25">
        <v>1</v>
      </c>
      <c r="N58" s="25" t="s">
        <v>687</v>
      </c>
      <c r="O58" s="25" t="s">
        <v>687</v>
      </c>
      <c r="P58" s="25" t="s">
        <v>687</v>
      </c>
    </row>
    <row r="59" spans="4:16" s="25" customFormat="1" x14ac:dyDescent="0.45">
      <c r="D59" s="25" t="s">
        <v>866</v>
      </c>
      <c r="E59" s="25">
        <v>2100</v>
      </c>
      <c r="F59" s="25" t="s">
        <v>764</v>
      </c>
      <c r="G59" s="25" t="s">
        <v>156</v>
      </c>
      <c r="H59" s="25" t="s">
        <v>107</v>
      </c>
      <c r="I59" s="25" t="s">
        <v>109</v>
      </c>
      <c r="J59" s="25" t="s">
        <v>836</v>
      </c>
      <c r="K59" s="25" t="s">
        <v>631</v>
      </c>
      <c r="L59" s="25" t="s">
        <v>88</v>
      </c>
      <c r="M59" s="25">
        <v>1</v>
      </c>
      <c r="N59" s="25" t="s">
        <v>687</v>
      </c>
      <c r="O59" s="25" t="s">
        <v>687</v>
      </c>
      <c r="P59" s="25" t="s">
        <v>687</v>
      </c>
    </row>
    <row r="60" spans="4:16" x14ac:dyDescent="0.45">
      <c r="D60" t="s">
        <v>867</v>
      </c>
      <c r="E60" s="25">
        <v>2100</v>
      </c>
      <c r="F60" s="25" t="s">
        <v>762</v>
      </c>
      <c r="G60" s="25" t="s">
        <v>156</v>
      </c>
      <c r="H60" s="25" t="s">
        <v>107</v>
      </c>
      <c r="I60" s="25" t="s">
        <v>109</v>
      </c>
      <c r="J60" s="25" t="s">
        <v>839</v>
      </c>
      <c r="K60" s="25" t="s">
        <v>631</v>
      </c>
      <c r="L60" s="25" t="s">
        <v>828</v>
      </c>
      <c r="M60">
        <v>1</v>
      </c>
      <c r="N60" t="s">
        <v>687</v>
      </c>
      <c r="O60" t="s">
        <v>687</v>
      </c>
      <c r="P60" t="s">
        <v>687</v>
      </c>
    </row>
    <row r="61" spans="4:16" s="25" customFormat="1" x14ac:dyDescent="0.45">
      <c r="D61" s="25" t="s">
        <v>868</v>
      </c>
      <c r="E61" s="25">
        <v>2100</v>
      </c>
      <c r="F61" s="25" t="s">
        <v>762</v>
      </c>
      <c r="G61" s="25" t="s">
        <v>156</v>
      </c>
      <c r="H61" s="25" t="s">
        <v>107</v>
      </c>
      <c r="I61" s="25" t="s">
        <v>109</v>
      </c>
      <c r="J61" s="25" t="s">
        <v>837</v>
      </c>
      <c r="K61" s="25" t="s">
        <v>631</v>
      </c>
      <c r="L61" s="25" t="s">
        <v>828</v>
      </c>
      <c r="M61" s="25">
        <v>1</v>
      </c>
      <c r="N61" s="25" t="s">
        <v>687</v>
      </c>
      <c r="O61" s="25" t="s">
        <v>687</v>
      </c>
      <c r="P61" s="25" t="s">
        <v>687</v>
      </c>
    </row>
    <row r="62" spans="4:16" s="25" customFormat="1" x14ac:dyDescent="0.45">
      <c r="D62" s="25" t="s">
        <v>869</v>
      </c>
      <c r="E62" s="25">
        <v>2100</v>
      </c>
      <c r="F62" s="25" t="s">
        <v>796</v>
      </c>
      <c r="G62" s="25" t="s">
        <v>156</v>
      </c>
      <c r="H62" s="25" t="s">
        <v>107</v>
      </c>
      <c r="I62" s="25" t="s">
        <v>109</v>
      </c>
      <c r="J62" s="25" t="s">
        <v>830</v>
      </c>
      <c r="K62" s="25" t="s">
        <v>631</v>
      </c>
      <c r="L62" s="25" t="s">
        <v>790</v>
      </c>
      <c r="M62" s="25">
        <v>1</v>
      </c>
      <c r="N62" s="25" t="s">
        <v>687</v>
      </c>
      <c r="O62" s="25" t="s">
        <v>687</v>
      </c>
      <c r="P62" s="25" t="s">
        <v>687</v>
      </c>
    </row>
    <row r="63" spans="4:16" s="25" customFormat="1" x14ac:dyDescent="0.45">
      <c r="D63" s="25" t="s">
        <v>870</v>
      </c>
      <c r="E63" s="25">
        <v>2100</v>
      </c>
      <c r="F63" s="25" t="s">
        <v>787</v>
      </c>
      <c r="G63" s="25" t="s">
        <v>156</v>
      </c>
      <c r="H63" s="25" t="s">
        <v>107</v>
      </c>
      <c r="I63" s="25" t="s">
        <v>109</v>
      </c>
      <c r="J63" s="25" t="s">
        <v>830</v>
      </c>
      <c r="K63" s="25" t="s">
        <v>631</v>
      </c>
      <c r="L63" s="25" t="s">
        <v>789</v>
      </c>
      <c r="M63" s="25">
        <v>1</v>
      </c>
      <c r="N63" s="25" t="s">
        <v>687</v>
      </c>
      <c r="O63" s="25" t="s">
        <v>687</v>
      </c>
      <c r="P63" s="25" t="s">
        <v>687</v>
      </c>
    </row>
    <row r="64" spans="4:16" s="25" customFormat="1" x14ac:dyDescent="0.45">
      <c r="D64" s="25" t="s">
        <v>871</v>
      </c>
      <c r="E64" s="25">
        <v>2100</v>
      </c>
      <c r="F64" s="25" t="s">
        <v>796</v>
      </c>
      <c r="G64" s="25" t="s">
        <v>156</v>
      </c>
      <c r="H64" s="25" t="s">
        <v>107</v>
      </c>
      <c r="I64" s="25" t="s">
        <v>109</v>
      </c>
      <c r="J64" s="25" t="s">
        <v>831</v>
      </c>
      <c r="K64" s="25" t="s">
        <v>631</v>
      </c>
      <c r="L64" s="25" t="s">
        <v>790</v>
      </c>
      <c r="M64" s="25">
        <v>1</v>
      </c>
      <c r="N64" s="25" t="s">
        <v>687</v>
      </c>
      <c r="O64" s="25" t="s">
        <v>687</v>
      </c>
      <c r="P64" s="25" t="s">
        <v>687</v>
      </c>
    </row>
    <row r="65" spans="4:16" s="25" customFormat="1" x14ac:dyDescent="0.45">
      <c r="D65" s="25" t="s">
        <v>872</v>
      </c>
      <c r="E65" s="25">
        <v>2100</v>
      </c>
      <c r="F65" s="25" t="s">
        <v>787</v>
      </c>
      <c r="G65" s="25" t="s">
        <v>156</v>
      </c>
      <c r="H65" s="25" t="s">
        <v>107</v>
      </c>
      <c r="I65" s="25" t="s">
        <v>109</v>
      </c>
      <c r="J65" s="25" t="s">
        <v>831</v>
      </c>
      <c r="K65" s="25" t="s">
        <v>631</v>
      </c>
      <c r="L65" s="25" t="s">
        <v>789</v>
      </c>
      <c r="M65" s="25">
        <v>1</v>
      </c>
      <c r="N65" s="25" t="s">
        <v>687</v>
      </c>
      <c r="O65" s="25" t="s">
        <v>687</v>
      </c>
      <c r="P65" s="25" t="s">
        <v>687</v>
      </c>
    </row>
    <row r="66" spans="4:16" s="25" customFormat="1" x14ac:dyDescent="0.45">
      <c r="D66" s="25" t="s">
        <v>817</v>
      </c>
      <c r="E66" s="25">
        <v>2100</v>
      </c>
      <c r="F66" s="25" t="s">
        <v>764</v>
      </c>
      <c r="G66" s="25" t="s">
        <v>169</v>
      </c>
      <c r="H66" s="25" t="s">
        <v>651</v>
      </c>
      <c r="I66" s="25" t="s">
        <v>653</v>
      </c>
      <c r="J66" s="25" t="s">
        <v>656</v>
      </c>
      <c r="K66" s="25" t="s">
        <v>631</v>
      </c>
      <c r="L66" s="25" t="s">
        <v>88</v>
      </c>
      <c r="M66" s="25">
        <v>1</v>
      </c>
      <c r="N66" s="25" t="s">
        <v>687</v>
      </c>
      <c r="O66" s="25" t="s">
        <v>687</v>
      </c>
      <c r="P66" s="25" t="s">
        <v>691</v>
      </c>
    </row>
    <row r="67" spans="4:16" s="25" customFormat="1" x14ac:dyDescent="0.45">
      <c r="D67" s="1" t="s">
        <v>818</v>
      </c>
      <c r="E67" s="1">
        <v>2100</v>
      </c>
      <c r="F67" s="25" t="s">
        <v>796</v>
      </c>
      <c r="G67" s="25" t="s">
        <v>169</v>
      </c>
      <c r="H67" s="25" t="s">
        <v>651</v>
      </c>
      <c r="I67" s="25" t="s">
        <v>653</v>
      </c>
      <c r="J67" s="25" t="s">
        <v>786</v>
      </c>
      <c r="K67" s="25" t="s">
        <v>631</v>
      </c>
      <c r="L67" s="25" t="s">
        <v>790</v>
      </c>
      <c r="M67" s="25">
        <v>1</v>
      </c>
      <c r="N67" s="25" t="s">
        <v>687</v>
      </c>
      <c r="O67" s="25" t="s">
        <v>687</v>
      </c>
      <c r="P67" s="25" t="s">
        <v>691</v>
      </c>
    </row>
    <row r="68" spans="4:16" s="25" customFormat="1" x14ac:dyDescent="0.45">
      <c r="D68" s="25" t="s">
        <v>819</v>
      </c>
      <c r="E68" s="25">
        <v>2100</v>
      </c>
      <c r="F68" s="25" t="s">
        <v>787</v>
      </c>
      <c r="G68" s="25" t="s">
        <v>169</v>
      </c>
      <c r="H68" s="25" t="s">
        <v>651</v>
      </c>
      <c r="I68" s="25" t="s">
        <v>653</v>
      </c>
      <c r="J68" s="25" t="s">
        <v>786</v>
      </c>
      <c r="K68" s="25" t="s">
        <v>631</v>
      </c>
      <c r="L68" s="25" t="s">
        <v>789</v>
      </c>
      <c r="M68" s="25">
        <v>1</v>
      </c>
      <c r="N68" s="25" t="s">
        <v>687</v>
      </c>
      <c r="O68" s="25" t="s">
        <v>687</v>
      </c>
      <c r="P68" s="25" t="s">
        <v>691</v>
      </c>
    </row>
    <row r="69" spans="4:16" s="25" customFormat="1" x14ac:dyDescent="0.45">
      <c r="D69" s="25" t="s">
        <v>895</v>
      </c>
      <c r="E69" s="25">
        <v>2100</v>
      </c>
      <c r="F69" s="25" t="s">
        <v>763</v>
      </c>
      <c r="G69" s="25" t="s">
        <v>161</v>
      </c>
      <c r="H69" s="25" t="s">
        <v>137</v>
      </c>
      <c r="I69" s="25" t="s">
        <v>160</v>
      </c>
      <c r="J69" s="25" t="s">
        <v>859</v>
      </c>
      <c r="K69" s="25" t="s">
        <v>887</v>
      </c>
      <c r="L69" s="25" t="s">
        <v>828</v>
      </c>
      <c r="M69" s="25">
        <v>3</v>
      </c>
      <c r="N69" s="25" t="s">
        <v>687</v>
      </c>
      <c r="O69" s="25" t="s">
        <v>687</v>
      </c>
      <c r="P69" s="25" t="s">
        <v>687</v>
      </c>
    </row>
    <row r="70" spans="4:16" s="25" customFormat="1" x14ac:dyDescent="0.45">
      <c r="D70" s="25" t="s">
        <v>864</v>
      </c>
      <c r="E70" s="25">
        <v>2100</v>
      </c>
      <c r="F70" s="25" t="s">
        <v>762</v>
      </c>
      <c r="G70" s="25" t="s">
        <v>149</v>
      </c>
      <c r="H70" s="25" t="s">
        <v>148</v>
      </c>
      <c r="I70" s="25" t="s">
        <v>151</v>
      </c>
      <c r="J70" s="25" t="s">
        <v>174</v>
      </c>
      <c r="K70" s="25" t="s">
        <v>631</v>
      </c>
      <c r="L70" s="25" t="s">
        <v>828</v>
      </c>
      <c r="M70" s="25">
        <v>3</v>
      </c>
      <c r="N70" s="25" t="s">
        <v>687</v>
      </c>
      <c r="O70" s="25" t="s">
        <v>687</v>
      </c>
      <c r="P70" s="25" t="s">
        <v>687</v>
      </c>
    </row>
    <row r="71" spans="4:16" s="25" customFormat="1" x14ac:dyDescent="0.45">
      <c r="D71" s="25" t="s">
        <v>822</v>
      </c>
      <c r="E71" s="25">
        <v>2100</v>
      </c>
      <c r="F71" s="25" t="s">
        <v>796</v>
      </c>
      <c r="G71" s="25" t="s">
        <v>149</v>
      </c>
      <c r="H71" s="25" t="s">
        <v>148</v>
      </c>
      <c r="I71" s="25" t="s">
        <v>151</v>
      </c>
      <c r="J71" s="25" t="s">
        <v>783</v>
      </c>
      <c r="K71" s="25" t="s">
        <v>631</v>
      </c>
      <c r="L71" s="25" t="s">
        <v>790</v>
      </c>
      <c r="M71" s="25">
        <v>3</v>
      </c>
      <c r="N71" s="25" t="s">
        <v>687</v>
      </c>
      <c r="O71" s="25" t="s">
        <v>687</v>
      </c>
      <c r="P71" s="25" t="s">
        <v>687</v>
      </c>
    </row>
    <row r="72" spans="4:16" s="25" customFormat="1" x14ac:dyDescent="0.45">
      <c r="D72" s="25" t="s">
        <v>823</v>
      </c>
      <c r="E72" s="25">
        <v>2100</v>
      </c>
      <c r="F72" s="25" t="s">
        <v>787</v>
      </c>
      <c r="G72" s="25" t="s">
        <v>149</v>
      </c>
      <c r="H72" s="25" t="s">
        <v>148</v>
      </c>
      <c r="I72" s="25" t="s">
        <v>151</v>
      </c>
      <c r="J72" s="25" t="s">
        <v>783</v>
      </c>
      <c r="K72" s="25" t="s">
        <v>631</v>
      </c>
      <c r="L72" s="25" t="s">
        <v>789</v>
      </c>
      <c r="M72" s="25">
        <v>3</v>
      </c>
      <c r="N72" s="25" t="s">
        <v>687</v>
      </c>
      <c r="O72" s="25" t="s">
        <v>687</v>
      </c>
      <c r="P72" s="25" t="s">
        <v>687</v>
      </c>
    </row>
    <row r="73" spans="4:16" s="25" customFormat="1" x14ac:dyDescent="0.45">
      <c r="D73" s="25" t="s">
        <v>856</v>
      </c>
      <c r="E73" s="25">
        <v>2100</v>
      </c>
      <c r="F73" s="25" t="s">
        <v>763</v>
      </c>
      <c r="G73" s="25" t="s">
        <v>149</v>
      </c>
      <c r="H73" s="25" t="s">
        <v>124</v>
      </c>
      <c r="I73" s="25" t="s">
        <v>151</v>
      </c>
      <c r="J73" s="25" t="s">
        <v>174</v>
      </c>
      <c r="K73" s="25" t="s">
        <v>887</v>
      </c>
      <c r="L73" s="25" t="s">
        <v>828</v>
      </c>
      <c r="M73" s="25">
        <v>3</v>
      </c>
      <c r="N73" s="25" t="s">
        <v>687</v>
      </c>
      <c r="O73" s="25" t="s">
        <v>687</v>
      </c>
      <c r="P73" s="25" t="s">
        <v>687</v>
      </c>
    </row>
    <row r="74" spans="4:16" s="25" customFormat="1" x14ac:dyDescent="0.45">
      <c r="D74" s="25" t="s">
        <v>857</v>
      </c>
      <c r="E74" s="25">
        <v>2100</v>
      </c>
      <c r="F74" s="25" t="s">
        <v>797</v>
      </c>
      <c r="G74" s="25" t="s">
        <v>149</v>
      </c>
      <c r="H74" s="25" t="s">
        <v>124</v>
      </c>
      <c r="I74" s="25" t="s">
        <v>151</v>
      </c>
      <c r="J74" s="25" t="s">
        <v>783</v>
      </c>
      <c r="K74" s="25" t="s">
        <v>887</v>
      </c>
      <c r="L74" s="25" t="s">
        <v>790</v>
      </c>
      <c r="M74" s="25">
        <v>3</v>
      </c>
      <c r="N74" s="25" t="s">
        <v>687</v>
      </c>
      <c r="O74" s="25" t="s">
        <v>687</v>
      </c>
      <c r="P74" s="25" t="s">
        <v>687</v>
      </c>
    </row>
    <row r="75" spans="4:16" s="25" customFormat="1" x14ac:dyDescent="0.45">
      <c r="D75" s="25" t="s">
        <v>858</v>
      </c>
      <c r="E75" s="25">
        <v>2100</v>
      </c>
      <c r="F75" s="25" t="s">
        <v>788</v>
      </c>
      <c r="G75" s="25" t="s">
        <v>149</v>
      </c>
      <c r="H75" s="25" t="s">
        <v>124</v>
      </c>
      <c r="I75" s="25" t="s">
        <v>151</v>
      </c>
      <c r="J75" s="25" t="s">
        <v>783</v>
      </c>
      <c r="K75" s="25" t="s">
        <v>887</v>
      </c>
      <c r="L75" s="25" t="s">
        <v>789</v>
      </c>
      <c r="M75" s="25">
        <v>3</v>
      </c>
      <c r="N75" s="25" t="s">
        <v>687</v>
      </c>
      <c r="O75" s="25" t="s">
        <v>687</v>
      </c>
      <c r="P75" s="25" t="s">
        <v>687</v>
      </c>
    </row>
    <row r="76" spans="4:16" x14ac:dyDescent="0.45">
      <c r="D76" s="25" t="s">
        <v>821</v>
      </c>
      <c r="E76" s="25">
        <v>2100</v>
      </c>
      <c r="F76" s="25" t="s">
        <v>762</v>
      </c>
      <c r="G76" s="25" t="s">
        <v>165</v>
      </c>
      <c r="H76" s="25" t="s">
        <v>111</v>
      </c>
      <c r="I76" s="25" t="s">
        <v>117</v>
      </c>
      <c r="J76" s="25" t="s">
        <v>166</v>
      </c>
      <c r="K76" s="25" t="s">
        <v>631</v>
      </c>
      <c r="L76" s="25" t="s">
        <v>828</v>
      </c>
      <c r="M76" s="25">
        <v>3</v>
      </c>
      <c r="N76" t="s">
        <v>687</v>
      </c>
      <c r="O76" t="s">
        <v>687</v>
      </c>
      <c r="P76" t="s">
        <v>687</v>
      </c>
    </row>
    <row r="77" spans="4:16" x14ac:dyDescent="0.45">
      <c r="D77" s="25" t="s">
        <v>820</v>
      </c>
      <c r="E77" s="25">
        <v>2100</v>
      </c>
      <c r="F77" s="25" t="s">
        <v>763</v>
      </c>
      <c r="G77" s="25" t="s">
        <v>165</v>
      </c>
      <c r="H77" s="25" t="s">
        <v>114</v>
      </c>
      <c r="I77" s="25" t="s">
        <v>117</v>
      </c>
      <c r="J77" s="25" t="s">
        <v>166</v>
      </c>
      <c r="K77" s="25" t="s">
        <v>827</v>
      </c>
      <c r="L77" s="25" t="s">
        <v>828</v>
      </c>
      <c r="M77" s="25">
        <v>3</v>
      </c>
      <c r="N77" t="s">
        <v>687</v>
      </c>
      <c r="O77" t="s">
        <v>687</v>
      </c>
      <c r="P77" t="s">
        <v>687</v>
      </c>
    </row>
    <row r="78" spans="4:16" s="25" customFormat="1" x14ac:dyDescent="0.45">
      <c r="D78" s="25" t="s">
        <v>873</v>
      </c>
      <c r="E78" s="25">
        <v>2100</v>
      </c>
      <c r="F78" s="25" t="s">
        <v>764</v>
      </c>
      <c r="G78" s="25" t="s">
        <v>159</v>
      </c>
      <c r="H78" s="25" t="s">
        <v>101</v>
      </c>
      <c r="I78" s="25" t="s">
        <v>106</v>
      </c>
      <c r="J78" s="25" t="s">
        <v>843</v>
      </c>
      <c r="K78" s="25" t="s">
        <v>631</v>
      </c>
      <c r="L78" s="25" t="s">
        <v>88</v>
      </c>
      <c r="M78" s="25">
        <v>3</v>
      </c>
      <c r="N78" s="25" t="s">
        <v>687</v>
      </c>
      <c r="O78" s="25" t="s">
        <v>687</v>
      </c>
      <c r="P78" s="25" t="s">
        <v>687</v>
      </c>
    </row>
    <row r="79" spans="4:16" s="25" customFormat="1" x14ac:dyDescent="0.45">
      <c r="D79" s="25" t="s">
        <v>874</v>
      </c>
      <c r="E79" s="25">
        <v>2100</v>
      </c>
      <c r="F79" s="25" t="s">
        <v>764</v>
      </c>
      <c r="G79" s="25" t="s">
        <v>159</v>
      </c>
      <c r="H79" s="25" t="s">
        <v>101</v>
      </c>
      <c r="I79" s="25" t="s">
        <v>106</v>
      </c>
      <c r="J79" s="25" t="s">
        <v>841</v>
      </c>
      <c r="K79" s="25" t="s">
        <v>631</v>
      </c>
      <c r="L79" s="25" t="s">
        <v>88</v>
      </c>
      <c r="M79" s="25">
        <v>3</v>
      </c>
      <c r="N79" s="25" t="s">
        <v>687</v>
      </c>
      <c r="O79" s="25" t="s">
        <v>687</v>
      </c>
      <c r="P79" s="25" t="s">
        <v>687</v>
      </c>
    </row>
    <row r="80" spans="4:16" x14ac:dyDescent="0.45">
      <c r="D80" t="s">
        <v>875</v>
      </c>
      <c r="E80" s="25">
        <v>2100</v>
      </c>
      <c r="F80" s="25" t="s">
        <v>762</v>
      </c>
      <c r="G80" s="25" t="s">
        <v>159</v>
      </c>
      <c r="H80" s="25" t="s">
        <v>101</v>
      </c>
      <c r="I80" s="25" t="s">
        <v>106</v>
      </c>
      <c r="J80" s="25" t="s">
        <v>842</v>
      </c>
      <c r="K80" s="25" t="s">
        <v>631</v>
      </c>
      <c r="L80" s="25" t="s">
        <v>828</v>
      </c>
      <c r="M80">
        <v>3</v>
      </c>
      <c r="N80" t="s">
        <v>687</v>
      </c>
      <c r="O80" t="s">
        <v>687</v>
      </c>
      <c r="P80" t="s">
        <v>687</v>
      </c>
    </row>
    <row r="81" spans="2:16" s="25" customFormat="1" x14ac:dyDescent="0.45">
      <c r="D81" s="25" t="s">
        <v>878</v>
      </c>
      <c r="E81" s="25">
        <v>2100</v>
      </c>
      <c r="F81" s="25" t="s">
        <v>762</v>
      </c>
      <c r="G81" s="25" t="s">
        <v>159</v>
      </c>
      <c r="H81" s="25" t="s">
        <v>101</v>
      </c>
      <c r="I81" s="25" t="s">
        <v>106</v>
      </c>
      <c r="J81" s="25" t="s">
        <v>840</v>
      </c>
      <c r="K81" s="25" t="s">
        <v>631</v>
      </c>
      <c r="L81" s="25" t="s">
        <v>828</v>
      </c>
      <c r="M81" s="25">
        <v>3</v>
      </c>
      <c r="N81" s="25" t="s">
        <v>687</v>
      </c>
      <c r="O81" s="25" t="s">
        <v>687</v>
      </c>
      <c r="P81" s="25" t="s">
        <v>687</v>
      </c>
    </row>
    <row r="82" spans="2:16" s="25" customFormat="1" x14ac:dyDescent="0.45">
      <c r="D82" s="25" t="s">
        <v>876</v>
      </c>
      <c r="E82" s="25">
        <v>2100</v>
      </c>
      <c r="F82" s="25" t="s">
        <v>796</v>
      </c>
      <c r="G82" s="25" t="s">
        <v>159</v>
      </c>
      <c r="H82" s="25" t="s">
        <v>101</v>
      </c>
      <c r="I82" s="25" t="s">
        <v>106</v>
      </c>
      <c r="J82" s="25" t="s">
        <v>833</v>
      </c>
      <c r="K82" s="25" t="s">
        <v>631</v>
      </c>
      <c r="L82" s="25" t="s">
        <v>790</v>
      </c>
      <c r="M82" s="25">
        <v>3</v>
      </c>
      <c r="N82" s="25" t="s">
        <v>687</v>
      </c>
      <c r="O82" s="25" t="s">
        <v>687</v>
      </c>
      <c r="P82" s="25" t="s">
        <v>687</v>
      </c>
    </row>
    <row r="83" spans="2:16" s="25" customFormat="1" x14ac:dyDescent="0.45">
      <c r="D83" s="25" t="s">
        <v>877</v>
      </c>
      <c r="E83" s="25">
        <v>2100</v>
      </c>
      <c r="F83" s="25" t="s">
        <v>787</v>
      </c>
      <c r="G83" s="25" t="s">
        <v>159</v>
      </c>
      <c r="H83" s="25" t="s">
        <v>101</v>
      </c>
      <c r="I83" s="25" t="s">
        <v>106</v>
      </c>
      <c r="J83" s="25" t="s">
        <v>833</v>
      </c>
      <c r="K83" s="25" t="s">
        <v>631</v>
      </c>
      <c r="L83" s="25" t="s">
        <v>789</v>
      </c>
      <c r="M83" s="25">
        <v>3</v>
      </c>
      <c r="N83" s="25" t="s">
        <v>687</v>
      </c>
      <c r="O83" s="25" t="s">
        <v>687</v>
      </c>
      <c r="P83" s="25" t="s">
        <v>687</v>
      </c>
    </row>
    <row r="84" spans="2:16" s="25" customFormat="1" x14ac:dyDescent="0.45">
      <c r="D84" s="25" t="s">
        <v>879</v>
      </c>
      <c r="E84" s="25">
        <v>2100</v>
      </c>
      <c r="F84" s="25" t="s">
        <v>796</v>
      </c>
      <c r="G84" s="25" t="s">
        <v>159</v>
      </c>
      <c r="H84" s="25" t="s">
        <v>101</v>
      </c>
      <c r="I84" s="25" t="s">
        <v>106</v>
      </c>
      <c r="J84" s="25" t="s">
        <v>832</v>
      </c>
      <c r="K84" s="25" t="s">
        <v>631</v>
      </c>
      <c r="L84" s="25" t="s">
        <v>790</v>
      </c>
      <c r="M84" s="25">
        <v>3</v>
      </c>
      <c r="N84" s="25" t="s">
        <v>687</v>
      </c>
      <c r="O84" s="25" t="s">
        <v>687</v>
      </c>
      <c r="P84" s="25" t="s">
        <v>687</v>
      </c>
    </row>
    <row r="85" spans="2:16" s="25" customFormat="1" x14ac:dyDescent="0.45">
      <c r="D85" s="25" t="s">
        <v>880</v>
      </c>
      <c r="E85" s="25">
        <v>2100</v>
      </c>
      <c r="F85" s="25" t="s">
        <v>787</v>
      </c>
      <c r="G85" s="25" t="s">
        <v>159</v>
      </c>
      <c r="H85" s="25" t="s">
        <v>101</v>
      </c>
      <c r="I85" s="25" t="s">
        <v>106</v>
      </c>
      <c r="J85" s="25" t="s">
        <v>832</v>
      </c>
      <c r="K85" s="25" t="s">
        <v>631</v>
      </c>
      <c r="L85" s="25" t="s">
        <v>789</v>
      </c>
      <c r="M85" s="25">
        <v>3</v>
      </c>
      <c r="N85" s="25" t="s">
        <v>687</v>
      </c>
      <c r="O85" s="25" t="s">
        <v>687</v>
      </c>
      <c r="P85" s="25" t="s">
        <v>687</v>
      </c>
    </row>
    <row r="86" spans="2:16" s="25" customFormat="1" x14ac:dyDescent="0.45"/>
    <row r="87" spans="2:16" s="25" customFormat="1" x14ac:dyDescent="0.45"/>
    <row r="88" spans="2:16" ht="21" x14ac:dyDescent="0.45">
      <c r="B88" s="5" t="s">
        <v>650</v>
      </c>
      <c r="D88" s="25"/>
      <c r="E88" s="25"/>
      <c r="F88" s="25"/>
      <c r="G88" s="25"/>
      <c r="H88" s="25"/>
      <c r="I88" s="25"/>
      <c r="J88" s="25"/>
    </row>
    <row r="90" spans="2:16" x14ac:dyDescent="0.45">
      <c r="D90" t="s">
        <v>586</v>
      </c>
      <c r="E90" t="s">
        <v>587</v>
      </c>
      <c r="F90" t="s">
        <v>588</v>
      </c>
    </row>
    <row r="91" spans="2:16" s="25" customFormat="1" x14ac:dyDescent="0.45">
      <c r="D91" s="25" t="s">
        <v>702</v>
      </c>
      <c r="E91" s="25" t="s">
        <v>651</v>
      </c>
      <c r="F91" s="25" t="s">
        <v>656</v>
      </c>
    </row>
    <row r="92" spans="2:16" s="25" customFormat="1" x14ac:dyDescent="0.45">
      <c r="D92" s="25" t="s">
        <v>702</v>
      </c>
      <c r="E92" s="25" t="s">
        <v>92</v>
      </c>
      <c r="F92" s="25" t="s">
        <v>145</v>
      </c>
    </row>
    <row r="93" spans="2:16" s="25" customFormat="1" x14ac:dyDescent="0.45">
      <c r="D93" s="25" t="s">
        <v>702</v>
      </c>
      <c r="E93" s="25" t="s">
        <v>631</v>
      </c>
      <c r="F93" s="25" t="s">
        <v>88</v>
      </c>
    </row>
    <row r="94" spans="2:16" s="25" customFormat="1" x14ac:dyDescent="0.45">
      <c r="D94" s="25" t="s">
        <v>677</v>
      </c>
      <c r="E94" s="25" t="s">
        <v>701</v>
      </c>
      <c r="F94" s="25" t="s">
        <v>634</v>
      </c>
    </row>
    <row r="95" spans="2:16" x14ac:dyDescent="0.45">
      <c r="D95" t="s">
        <v>677</v>
      </c>
      <c r="E95" s="25" t="s">
        <v>132</v>
      </c>
      <c r="F95" s="25" t="s">
        <v>180</v>
      </c>
    </row>
    <row r="96" spans="2:16" x14ac:dyDescent="0.45">
      <c r="D96" s="25" t="s">
        <v>677</v>
      </c>
      <c r="E96" s="25" t="s">
        <v>631</v>
      </c>
      <c r="F96" s="25" t="s">
        <v>828</v>
      </c>
    </row>
    <row r="97" spans="4:6" s="25" customFormat="1" x14ac:dyDescent="0.45">
      <c r="D97" s="25" t="s">
        <v>798</v>
      </c>
      <c r="E97" s="25" t="s">
        <v>701</v>
      </c>
      <c r="F97" s="25" t="s">
        <v>800</v>
      </c>
    </row>
    <row r="98" spans="4:6" s="25" customFormat="1" x14ac:dyDescent="0.45">
      <c r="D98" s="25" t="s">
        <v>798</v>
      </c>
      <c r="E98" s="25" t="s">
        <v>132</v>
      </c>
      <c r="F98" s="25" t="s">
        <v>785</v>
      </c>
    </row>
    <row r="99" spans="4:6" s="25" customFormat="1" x14ac:dyDescent="0.45">
      <c r="D99" s="25" t="s">
        <v>798</v>
      </c>
      <c r="E99" s="25" t="s">
        <v>756</v>
      </c>
      <c r="F99" s="25" t="s">
        <v>795</v>
      </c>
    </row>
    <row r="100" spans="4:6" s="25" customFormat="1" x14ac:dyDescent="0.45">
      <c r="D100" s="25" t="s">
        <v>798</v>
      </c>
      <c r="E100" s="25" t="s">
        <v>651</v>
      </c>
      <c r="F100" s="25" t="s">
        <v>786</v>
      </c>
    </row>
    <row r="101" spans="4:6" s="25" customFormat="1" x14ac:dyDescent="0.45">
      <c r="D101" s="25" t="s">
        <v>798</v>
      </c>
      <c r="E101" s="25" t="s">
        <v>92</v>
      </c>
      <c r="F101" s="25" t="s">
        <v>780</v>
      </c>
    </row>
    <row r="102" spans="4:6" s="25" customFormat="1" x14ac:dyDescent="0.45">
      <c r="D102" s="25" t="s">
        <v>798</v>
      </c>
      <c r="E102" s="25" t="s">
        <v>631</v>
      </c>
      <c r="F102" s="25" t="s">
        <v>790</v>
      </c>
    </row>
    <row r="103" spans="4:6" s="25" customFormat="1" x14ac:dyDescent="0.45">
      <c r="D103" s="25" t="s">
        <v>798</v>
      </c>
      <c r="E103" s="25" t="s">
        <v>631</v>
      </c>
      <c r="F103" s="25" t="s">
        <v>789</v>
      </c>
    </row>
    <row r="104" spans="4:6" s="25" customFormat="1" x14ac:dyDescent="0.45">
      <c r="D104" s="25" t="s">
        <v>834</v>
      </c>
      <c r="E104" s="25" t="s">
        <v>653</v>
      </c>
      <c r="F104" s="25" t="s">
        <v>656</v>
      </c>
    </row>
    <row r="105" spans="4:6" s="25" customFormat="1" x14ac:dyDescent="0.45">
      <c r="D105" s="25" t="s">
        <v>835</v>
      </c>
      <c r="E105" s="25" t="s">
        <v>645</v>
      </c>
      <c r="F105" s="25" t="s">
        <v>634</v>
      </c>
    </row>
    <row r="106" spans="4:6" s="25" customFormat="1" x14ac:dyDescent="0.45">
      <c r="D106" s="25" t="s">
        <v>835</v>
      </c>
      <c r="E106" s="25" t="s">
        <v>125</v>
      </c>
      <c r="F106" s="25" t="s">
        <v>180</v>
      </c>
    </row>
    <row r="107" spans="4:6" s="25" customFormat="1" x14ac:dyDescent="0.45">
      <c r="D107" s="25" t="s">
        <v>829</v>
      </c>
      <c r="E107" s="25" t="s">
        <v>645</v>
      </c>
      <c r="F107" s="25" t="s">
        <v>800</v>
      </c>
    </row>
    <row r="108" spans="4:6" s="25" customFormat="1" x14ac:dyDescent="0.45">
      <c r="D108" s="25" t="s">
        <v>829</v>
      </c>
      <c r="E108" s="25" t="s">
        <v>125</v>
      </c>
      <c r="F108" s="25" t="s">
        <v>785</v>
      </c>
    </row>
    <row r="109" spans="4:6" s="25" customFormat="1" x14ac:dyDescent="0.45">
      <c r="D109" s="25" t="s">
        <v>829</v>
      </c>
      <c r="E109" s="25" t="s">
        <v>757</v>
      </c>
      <c r="F109" s="25" t="s">
        <v>795</v>
      </c>
    </row>
    <row r="110" spans="4:6" s="25" customFormat="1" x14ac:dyDescent="0.45">
      <c r="D110" s="25" t="s">
        <v>829</v>
      </c>
      <c r="E110" s="25" t="s">
        <v>653</v>
      </c>
      <c r="F110" s="25" t="s">
        <v>786</v>
      </c>
    </row>
    <row r="111" spans="4:6" s="25" customFormat="1" x14ac:dyDescent="0.45">
      <c r="D111" s="25" t="s">
        <v>826</v>
      </c>
      <c r="E111" s="25" t="s">
        <v>860</v>
      </c>
      <c r="F111" s="25" t="s">
        <v>861</v>
      </c>
    </row>
    <row r="113" spans="2:6" s="25" customFormat="1" x14ac:dyDescent="0.45"/>
    <row r="114" spans="2:6" ht="21" x14ac:dyDescent="0.45">
      <c r="B114" s="5" t="s">
        <v>641</v>
      </c>
    </row>
    <row r="116" spans="2:6" x14ac:dyDescent="0.45">
      <c r="D116" t="s">
        <v>629</v>
      </c>
      <c r="E116" t="s">
        <v>586</v>
      </c>
      <c r="F116" t="s">
        <v>640</v>
      </c>
    </row>
    <row r="117" spans="2:6" s="25" customFormat="1" x14ac:dyDescent="0.45">
      <c r="D117" s="25" t="s">
        <v>838</v>
      </c>
      <c r="E117" s="25" t="s">
        <v>702</v>
      </c>
      <c r="F117" s="25" t="s">
        <v>107</v>
      </c>
    </row>
    <row r="118" spans="2:6" x14ac:dyDescent="0.45">
      <c r="D118" t="s">
        <v>839</v>
      </c>
      <c r="E118" t="s">
        <v>677</v>
      </c>
      <c r="F118" t="s">
        <v>107</v>
      </c>
    </row>
    <row r="119" spans="2:6" s="25" customFormat="1" x14ac:dyDescent="0.45">
      <c r="D119" s="25" t="s">
        <v>830</v>
      </c>
      <c r="E119" s="25" t="s">
        <v>798</v>
      </c>
      <c r="F119" s="25" t="s">
        <v>107</v>
      </c>
    </row>
    <row r="120" spans="2:6" s="25" customFormat="1" x14ac:dyDescent="0.45">
      <c r="D120" s="25" t="s">
        <v>836</v>
      </c>
      <c r="E120" s="25" t="s">
        <v>834</v>
      </c>
      <c r="F120" s="25" t="s">
        <v>109</v>
      </c>
    </row>
    <row r="121" spans="2:6" s="25" customFormat="1" x14ac:dyDescent="0.45">
      <c r="D121" s="25" t="s">
        <v>837</v>
      </c>
      <c r="E121" s="25" t="s">
        <v>835</v>
      </c>
      <c r="F121" s="25" t="s">
        <v>109</v>
      </c>
    </row>
    <row r="122" spans="2:6" s="25" customFormat="1" x14ac:dyDescent="0.45">
      <c r="D122" s="25" t="s">
        <v>831</v>
      </c>
      <c r="E122" s="25" t="s">
        <v>829</v>
      </c>
      <c r="F122" s="25" t="s">
        <v>109</v>
      </c>
    </row>
    <row r="123" spans="2:6" s="25" customFormat="1" x14ac:dyDescent="0.45">
      <c r="D123" s="25" t="s">
        <v>843</v>
      </c>
      <c r="E123" s="25" t="s">
        <v>702</v>
      </c>
      <c r="F123" s="25" t="s">
        <v>101</v>
      </c>
    </row>
    <row r="124" spans="2:6" x14ac:dyDescent="0.45">
      <c r="D124" t="s">
        <v>842</v>
      </c>
      <c r="E124" t="s">
        <v>677</v>
      </c>
      <c r="F124" s="25" t="s">
        <v>101</v>
      </c>
    </row>
    <row r="125" spans="2:6" s="25" customFormat="1" x14ac:dyDescent="0.45">
      <c r="D125" s="25" t="s">
        <v>833</v>
      </c>
      <c r="E125" s="25" t="s">
        <v>798</v>
      </c>
      <c r="F125" s="25" t="s">
        <v>101</v>
      </c>
    </row>
    <row r="126" spans="2:6" s="25" customFormat="1" x14ac:dyDescent="0.45">
      <c r="D126" s="25" t="s">
        <v>841</v>
      </c>
      <c r="E126" s="25" t="s">
        <v>834</v>
      </c>
      <c r="F126" s="25" t="s">
        <v>106</v>
      </c>
    </row>
    <row r="127" spans="2:6" s="25" customFormat="1" x14ac:dyDescent="0.45">
      <c r="D127" s="25" t="s">
        <v>840</v>
      </c>
      <c r="E127" s="25" t="s">
        <v>835</v>
      </c>
      <c r="F127" s="25" t="s">
        <v>106</v>
      </c>
    </row>
    <row r="128" spans="2:6" s="25" customFormat="1" x14ac:dyDescent="0.45">
      <c r="D128" s="25" t="s">
        <v>832</v>
      </c>
      <c r="E128" s="25" t="s">
        <v>829</v>
      </c>
      <c r="F128" s="25" t="s">
        <v>106</v>
      </c>
    </row>
    <row r="129" spans="2:6" s="25" customFormat="1" x14ac:dyDescent="0.45">
      <c r="D129" s="25" t="s">
        <v>859</v>
      </c>
      <c r="E129" s="25" t="s">
        <v>826</v>
      </c>
      <c r="F129" s="25" t="s">
        <v>137</v>
      </c>
    </row>
    <row r="130" spans="2:6" s="25" customFormat="1" x14ac:dyDescent="0.45"/>
    <row r="132" spans="2:6" ht="21" x14ac:dyDescent="0.45">
      <c r="B132" s="5" t="s">
        <v>683</v>
      </c>
    </row>
    <row r="134" spans="2:6" x14ac:dyDescent="0.45">
      <c r="D134" t="s">
        <v>680</v>
      </c>
      <c r="E134" t="s">
        <v>684</v>
      </c>
    </row>
    <row r="135" spans="2:6" x14ac:dyDescent="0.45">
      <c r="D135" t="s">
        <v>685</v>
      </c>
      <c r="E135">
        <v>3</v>
      </c>
    </row>
    <row r="136" spans="2:6" x14ac:dyDescent="0.45">
      <c r="D136" t="s">
        <v>686</v>
      </c>
      <c r="E136">
        <v>1</v>
      </c>
    </row>
    <row r="137" spans="2:6" x14ac:dyDescent="0.45">
      <c r="D137" t="s">
        <v>687</v>
      </c>
      <c r="E137">
        <v>2</v>
      </c>
    </row>
    <row r="140" spans="2:6" x14ac:dyDescent="0.45">
      <c r="D140" t="s">
        <v>681</v>
      </c>
      <c r="E140" t="s">
        <v>688</v>
      </c>
    </row>
    <row r="141" spans="2:6" x14ac:dyDescent="0.45">
      <c r="D141" t="s">
        <v>685</v>
      </c>
      <c r="E141">
        <v>3</v>
      </c>
    </row>
    <row r="142" spans="2:6" x14ac:dyDescent="0.45">
      <c r="D142" t="s">
        <v>686</v>
      </c>
      <c r="E142">
        <v>1</v>
      </c>
    </row>
    <row r="143" spans="2:6" x14ac:dyDescent="0.45">
      <c r="D143" t="s">
        <v>687</v>
      </c>
      <c r="E143">
        <v>2</v>
      </c>
    </row>
    <row r="146" spans="4:6" x14ac:dyDescent="0.45">
      <c r="D146" t="s">
        <v>682</v>
      </c>
      <c r="E146" t="s">
        <v>689</v>
      </c>
      <c r="F146" t="s">
        <v>690</v>
      </c>
    </row>
    <row r="147" spans="4:6" x14ac:dyDescent="0.45">
      <c r="D147" t="s">
        <v>691</v>
      </c>
      <c r="E147">
        <v>1</v>
      </c>
      <c r="F147">
        <v>0</v>
      </c>
    </row>
    <row r="148" spans="4:6" x14ac:dyDescent="0.45">
      <c r="D148" t="s">
        <v>692</v>
      </c>
      <c r="E148">
        <v>0</v>
      </c>
      <c r="F148">
        <v>1</v>
      </c>
    </row>
    <row r="149" spans="4:6" x14ac:dyDescent="0.45">
      <c r="D149" t="s">
        <v>687</v>
      </c>
      <c r="E149">
        <v>1</v>
      </c>
      <c r="F149">
        <v>1</v>
      </c>
    </row>
  </sheetData>
  <dataValidations count="1">
    <dataValidation type="list" allowBlank="1" showInputMessage="1" showErrorMessage="1" sqref="F14" xr:uid="{29D706AB-9FE0-460C-9E0E-3B24A596ED9C}">
      <formula1>"TRUE, FALSE"</formula1>
    </dataValidation>
  </dataValidations>
  <pageMargins left="0.7" right="0.7" top="0.75" bottom="0.75" header="0.3" footer="0.3"/>
  <pageSetup orientation="portrait" r:id="rId1"/>
  <tableParts count="7">
    <tablePart r:id="rId2"/>
    <tablePart r:id="rId3"/>
    <tablePart r:id="rId4"/>
    <tablePart r:id="rId5"/>
    <tablePart r:id="rId6"/>
    <tablePart r:id="rId7"/>
    <tablePart r:id="rId8"/>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412FF-C5AB-44F9-B4D4-EACF48ADB42E}">
  <dimension ref="A1:C140"/>
  <sheetViews>
    <sheetView defaultGridColor="0" colorId="22" workbookViewId="0">
      <pane ySplit="4" topLeftCell="A5" activePane="bottomLeft" state="frozen"/>
      <selection pane="bottomLeft" activeCell="A5" sqref="A5"/>
    </sheetView>
  </sheetViews>
  <sheetFormatPr defaultColWidth="12.86328125" defaultRowHeight="14.25" x14ac:dyDescent="0.45"/>
  <cols>
    <col min="1" max="1" width="17.59765625" bestFit="1" customWidth="1"/>
    <col min="2" max="2" width="12.86328125" style="25"/>
    <col min="3" max="3" width="9.1328125" bestFit="1" customWidth="1"/>
  </cols>
  <sheetData>
    <row r="1" spans="1:3" ht="40.5" customHeight="1" x14ac:dyDescent="0.45">
      <c r="A1" s="48" t="s">
        <v>661</v>
      </c>
    </row>
    <row r="2" spans="1:3" x14ac:dyDescent="0.45">
      <c r="A2" s="29" t="s">
        <v>579</v>
      </c>
    </row>
    <row r="4" spans="1:3" x14ac:dyDescent="0.45">
      <c r="A4" t="s">
        <v>582</v>
      </c>
      <c r="C4" t="s">
        <v>428</v>
      </c>
    </row>
    <row r="5" spans="1:3" x14ac:dyDescent="0.45">
      <c r="A5">
        <v>2010</v>
      </c>
      <c r="C5" t="s">
        <v>430</v>
      </c>
    </row>
    <row r="6" spans="1:3" x14ac:dyDescent="0.45">
      <c r="A6">
        <v>2011</v>
      </c>
      <c r="C6" s="25" t="s">
        <v>431</v>
      </c>
    </row>
    <row r="7" spans="1:3" x14ac:dyDescent="0.45">
      <c r="A7">
        <v>2012</v>
      </c>
      <c r="C7" s="25" t="s">
        <v>432</v>
      </c>
    </row>
    <row r="8" spans="1:3" x14ac:dyDescent="0.45">
      <c r="A8">
        <v>2013</v>
      </c>
      <c r="C8" s="25" t="s">
        <v>433</v>
      </c>
    </row>
    <row r="9" spans="1:3" x14ac:dyDescent="0.45">
      <c r="A9">
        <v>2014</v>
      </c>
      <c r="C9" s="25" t="s">
        <v>434</v>
      </c>
    </row>
    <row r="10" spans="1:3" x14ac:dyDescent="0.45">
      <c r="A10">
        <v>2015</v>
      </c>
      <c r="C10" s="25" t="s">
        <v>435</v>
      </c>
    </row>
    <row r="11" spans="1:3" x14ac:dyDescent="0.45">
      <c r="A11">
        <v>2016</v>
      </c>
      <c r="C11" s="25" t="s">
        <v>436</v>
      </c>
    </row>
    <row r="12" spans="1:3" x14ac:dyDescent="0.45">
      <c r="A12">
        <v>2017</v>
      </c>
      <c r="C12" s="25" t="s">
        <v>437</v>
      </c>
    </row>
    <row r="13" spans="1:3" x14ac:dyDescent="0.45">
      <c r="A13">
        <v>2018</v>
      </c>
      <c r="C13" s="25" t="s">
        <v>438</v>
      </c>
    </row>
    <row r="14" spans="1:3" x14ac:dyDescent="0.45">
      <c r="A14">
        <v>2019</v>
      </c>
      <c r="C14" s="25" t="s">
        <v>439</v>
      </c>
    </row>
    <row r="15" spans="1:3" x14ac:dyDescent="0.45">
      <c r="A15">
        <v>2020</v>
      </c>
      <c r="C15" s="25" t="s">
        <v>440</v>
      </c>
    </row>
    <row r="16" spans="1:3" x14ac:dyDescent="0.45">
      <c r="A16">
        <v>2021</v>
      </c>
      <c r="C16" s="25" t="s">
        <v>441</v>
      </c>
    </row>
    <row r="17" spans="3:3" x14ac:dyDescent="0.45">
      <c r="C17" s="25" t="s">
        <v>442</v>
      </c>
    </row>
    <row r="18" spans="3:3" x14ac:dyDescent="0.45">
      <c r="C18" s="25" t="s">
        <v>443</v>
      </c>
    </row>
    <row r="19" spans="3:3" x14ac:dyDescent="0.45">
      <c r="C19" s="25" t="s">
        <v>444</v>
      </c>
    </row>
    <row r="20" spans="3:3" x14ac:dyDescent="0.45">
      <c r="C20" s="25" t="s">
        <v>445</v>
      </c>
    </row>
    <row r="21" spans="3:3" x14ac:dyDescent="0.45">
      <c r="C21" s="25" t="s">
        <v>446</v>
      </c>
    </row>
    <row r="22" spans="3:3" x14ac:dyDescent="0.45">
      <c r="C22" s="25" t="s">
        <v>447</v>
      </c>
    </row>
    <row r="23" spans="3:3" x14ac:dyDescent="0.45">
      <c r="C23" s="25" t="s">
        <v>448</v>
      </c>
    </row>
    <row r="24" spans="3:3" x14ac:dyDescent="0.45">
      <c r="C24" s="25" t="s">
        <v>449</v>
      </c>
    </row>
    <row r="25" spans="3:3" x14ac:dyDescent="0.45">
      <c r="C25" s="25" t="s">
        <v>450</v>
      </c>
    </row>
    <row r="26" spans="3:3" x14ac:dyDescent="0.45">
      <c r="C26" s="25" t="s">
        <v>451</v>
      </c>
    </row>
    <row r="27" spans="3:3" x14ac:dyDescent="0.45">
      <c r="C27" s="25" t="s">
        <v>452</v>
      </c>
    </row>
    <row r="28" spans="3:3" x14ac:dyDescent="0.45">
      <c r="C28" s="25" t="s">
        <v>453</v>
      </c>
    </row>
    <row r="29" spans="3:3" x14ac:dyDescent="0.45">
      <c r="C29" s="25" t="s">
        <v>454</v>
      </c>
    </row>
    <row r="30" spans="3:3" x14ac:dyDescent="0.45">
      <c r="C30" s="25" t="s">
        <v>455</v>
      </c>
    </row>
    <row r="31" spans="3:3" x14ac:dyDescent="0.45">
      <c r="C31" s="25" t="s">
        <v>456</v>
      </c>
    </row>
    <row r="32" spans="3:3" x14ac:dyDescent="0.45">
      <c r="C32" s="25" t="s">
        <v>457</v>
      </c>
    </row>
    <row r="33" spans="3:3" x14ac:dyDescent="0.45">
      <c r="C33" s="25" t="s">
        <v>458</v>
      </c>
    </row>
    <row r="34" spans="3:3" x14ac:dyDescent="0.45">
      <c r="C34" s="25" t="s">
        <v>459</v>
      </c>
    </row>
    <row r="35" spans="3:3" x14ac:dyDescent="0.45">
      <c r="C35" s="25" t="s">
        <v>460</v>
      </c>
    </row>
    <row r="36" spans="3:3" x14ac:dyDescent="0.45">
      <c r="C36" s="25" t="s">
        <v>461</v>
      </c>
    </row>
    <row r="37" spans="3:3" x14ac:dyDescent="0.45">
      <c r="C37" s="25" t="s">
        <v>462</v>
      </c>
    </row>
    <row r="38" spans="3:3" x14ac:dyDescent="0.45">
      <c r="C38" s="25" t="s">
        <v>463</v>
      </c>
    </row>
    <row r="39" spans="3:3" x14ac:dyDescent="0.45">
      <c r="C39" s="25" t="s">
        <v>464</v>
      </c>
    </row>
    <row r="40" spans="3:3" x14ac:dyDescent="0.45">
      <c r="C40" s="25" t="s">
        <v>465</v>
      </c>
    </row>
    <row r="41" spans="3:3" x14ac:dyDescent="0.45">
      <c r="C41" s="25" t="s">
        <v>466</v>
      </c>
    </row>
    <row r="42" spans="3:3" x14ac:dyDescent="0.45">
      <c r="C42" s="25" t="s">
        <v>467</v>
      </c>
    </row>
    <row r="43" spans="3:3" x14ac:dyDescent="0.45">
      <c r="C43" s="25" t="s">
        <v>468</v>
      </c>
    </row>
    <row r="44" spans="3:3" x14ac:dyDescent="0.45">
      <c r="C44" s="25" t="s">
        <v>469</v>
      </c>
    </row>
    <row r="45" spans="3:3" x14ac:dyDescent="0.45">
      <c r="C45" s="25" t="s">
        <v>470</v>
      </c>
    </row>
    <row r="46" spans="3:3" x14ac:dyDescent="0.45">
      <c r="C46" s="25" t="s">
        <v>471</v>
      </c>
    </row>
    <row r="47" spans="3:3" x14ac:dyDescent="0.45">
      <c r="C47" s="25" t="s">
        <v>472</v>
      </c>
    </row>
    <row r="48" spans="3:3" x14ac:dyDescent="0.45">
      <c r="C48" s="25" t="s">
        <v>473</v>
      </c>
    </row>
    <row r="49" spans="3:3" x14ac:dyDescent="0.45">
      <c r="C49" s="25" t="s">
        <v>474</v>
      </c>
    </row>
    <row r="50" spans="3:3" x14ac:dyDescent="0.45">
      <c r="C50" s="25" t="s">
        <v>475</v>
      </c>
    </row>
    <row r="51" spans="3:3" x14ac:dyDescent="0.45">
      <c r="C51" s="25" t="s">
        <v>476</v>
      </c>
    </row>
    <row r="52" spans="3:3" x14ac:dyDescent="0.45">
      <c r="C52" s="25" t="s">
        <v>477</v>
      </c>
    </row>
    <row r="53" spans="3:3" x14ac:dyDescent="0.45">
      <c r="C53" s="25" t="s">
        <v>478</v>
      </c>
    </row>
    <row r="54" spans="3:3" x14ac:dyDescent="0.45">
      <c r="C54" s="25" t="s">
        <v>479</v>
      </c>
    </row>
    <row r="55" spans="3:3" x14ac:dyDescent="0.45">
      <c r="C55" s="25" t="s">
        <v>480</v>
      </c>
    </row>
    <row r="56" spans="3:3" x14ac:dyDescent="0.45">
      <c r="C56" s="25" t="s">
        <v>481</v>
      </c>
    </row>
    <row r="57" spans="3:3" x14ac:dyDescent="0.45">
      <c r="C57" s="25" t="s">
        <v>482</v>
      </c>
    </row>
    <row r="58" spans="3:3" x14ac:dyDescent="0.45">
      <c r="C58" s="25" t="s">
        <v>483</v>
      </c>
    </row>
    <row r="59" spans="3:3" x14ac:dyDescent="0.45">
      <c r="C59" s="25" t="s">
        <v>484</v>
      </c>
    </row>
    <row r="60" spans="3:3" x14ac:dyDescent="0.45">
      <c r="C60" s="25" t="s">
        <v>485</v>
      </c>
    </row>
    <row r="61" spans="3:3" x14ac:dyDescent="0.45">
      <c r="C61" s="25" t="s">
        <v>486</v>
      </c>
    </row>
    <row r="62" spans="3:3" x14ac:dyDescent="0.45">
      <c r="C62" s="25" t="s">
        <v>487</v>
      </c>
    </row>
    <row r="63" spans="3:3" x14ac:dyDescent="0.45">
      <c r="C63" s="25" t="s">
        <v>488</v>
      </c>
    </row>
    <row r="64" spans="3:3" x14ac:dyDescent="0.45">
      <c r="C64" s="25" t="s">
        <v>489</v>
      </c>
    </row>
    <row r="65" spans="3:3" x14ac:dyDescent="0.45">
      <c r="C65" s="25" t="s">
        <v>490</v>
      </c>
    </row>
    <row r="66" spans="3:3" x14ac:dyDescent="0.45">
      <c r="C66" s="25" t="s">
        <v>491</v>
      </c>
    </row>
    <row r="67" spans="3:3" x14ac:dyDescent="0.45">
      <c r="C67" s="25" t="s">
        <v>492</v>
      </c>
    </row>
    <row r="68" spans="3:3" x14ac:dyDescent="0.45">
      <c r="C68" s="25" t="s">
        <v>493</v>
      </c>
    </row>
    <row r="69" spans="3:3" x14ac:dyDescent="0.45">
      <c r="C69" s="25" t="s">
        <v>494</v>
      </c>
    </row>
    <row r="70" spans="3:3" x14ac:dyDescent="0.45">
      <c r="C70" s="25" t="s">
        <v>495</v>
      </c>
    </row>
    <row r="71" spans="3:3" x14ac:dyDescent="0.45">
      <c r="C71" s="25" t="s">
        <v>496</v>
      </c>
    </row>
    <row r="72" spans="3:3" x14ac:dyDescent="0.45">
      <c r="C72" s="25" t="s">
        <v>497</v>
      </c>
    </row>
    <row r="73" spans="3:3" x14ac:dyDescent="0.45">
      <c r="C73" s="25" t="s">
        <v>498</v>
      </c>
    </row>
    <row r="74" spans="3:3" x14ac:dyDescent="0.45">
      <c r="C74" s="25" t="s">
        <v>499</v>
      </c>
    </row>
    <row r="75" spans="3:3" x14ac:dyDescent="0.45">
      <c r="C75" s="25" t="s">
        <v>500</v>
      </c>
    </row>
    <row r="76" spans="3:3" x14ac:dyDescent="0.45">
      <c r="C76" s="25" t="s">
        <v>501</v>
      </c>
    </row>
    <row r="77" spans="3:3" x14ac:dyDescent="0.45">
      <c r="C77" s="25" t="s">
        <v>502</v>
      </c>
    </row>
    <row r="78" spans="3:3" x14ac:dyDescent="0.45">
      <c r="C78" s="25" t="s">
        <v>503</v>
      </c>
    </row>
    <row r="79" spans="3:3" x14ac:dyDescent="0.45">
      <c r="C79" s="25" t="s">
        <v>504</v>
      </c>
    </row>
    <row r="80" spans="3:3" x14ac:dyDescent="0.45">
      <c r="C80" s="25" t="s">
        <v>505</v>
      </c>
    </row>
    <row r="81" spans="3:3" x14ac:dyDescent="0.45">
      <c r="C81" s="25" t="s">
        <v>506</v>
      </c>
    </row>
    <row r="82" spans="3:3" x14ac:dyDescent="0.45">
      <c r="C82" s="25" t="s">
        <v>507</v>
      </c>
    </row>
    <row r="83" spans="3:3" x14ac:dyDescent="0.45">
      <c r="C83" s="25" t="s">
        <v>508</v>
      </c>
    </row>
    <row r="84" spans="3:3" x14ac:dyDescent="0.45">
      <c r="C84" s="25" t="s">
        <v>509</v>
      </c>
    </row>
    <row r="85" spans="3:3" x14ac:dyDescent="0.45">
      <c r="C85" s="25" t="s">
        <v>510</v>
      </c>
    </row>
    <row r="86" spans="3:3" x14ac:dyDescent="0.45">
      <c r="C86" s="25" t="s">
        <v>511</v>
      </c>
    </row>
    <row r="87" spans="3:3" x14ac:dyDescent="0.45">
      <c r="C87" s="25" t="s">
        <v>512</v>
      </c>
    </row>
    <row r="88" spans="3:3" x14ac:dyDescent="0.45">
      <c r="C88" s="25" t="s">
        <v>513</v>
      </c>
    </row>
    <row r="89" spans="3:3" x14ac:dyDescent="0.45">
      <c r="C89" s="25" t="s">
        <v>514</v>
      </c>
    </row>
    <row r="90" spans="3:3" x14ac:dyDescent="0.45">
      <c r="C90" s="25" t="s">
        <v>515</v>
      </c>
    </row>
    <row r="91" spans="3:3" x14ac:dyDescent="0.45">
      <c r="C91" s="25" t="s">
        <v>516</v>
      </c>
    </row>
    <row r="92" spans="3:3" x14ac:dyDescent="0.45">
      <c r="C92" s="25" t="s">
        <v>517</v>
      </c>
    </row>
    <row r="93" spans="3:3" x14ac:dyDescent="0.45">
      <c r="C93" s="25" t="s">
        <v>518</v>
      </c>
    </row>
    <row r="94" spans="3:3" x14ac:dyDescent="0.45">
      <c r="C94" s="25" t="s">
        <v>519</v>
      </c>
    </row>
    <row r="95" spans="3:3" x14ac:dyDescent="0.45">
      <c r="C95" s="25" t="s">
        <v>520</v>
      </c>
    </row>
    <row r="96" spans="3:3" x14ac:dyDescent="0.45">
      <c r="C96" s="25" t="s">
        <v>521</v>
      </c>
    </row>
    <row r="97" spans="3:3" x14ac:dyDescent="0.45">
      <c r="C97" s="25" t="s">
        <v>522</v>
      </c>
    </row>
    <row r="98" spans="3:3" x14ac:dyDescent="0.45">
      <c r="C98" s="25" t="s">
        <v>523</v>
      </c>
    </row>
    <row r="99" spans="3:3" x14ac:dyDescent="0.45">
      <c r="C99" s="25" t="s">
        <v>524</v>
      </c>
    </row>
    <row r="100" spans="3:3" x14ac:dyDescent="0.45">
      <c r="C100" s="25" t="s">
        <v>525</v>
      </c>
    </row>
    <row r="101" spans="3:3" x14ac:dyDescent="0.45">
      <c r="C101" s="25" t="s">
        <v>526</v>
      </c>
    </row>
    <row r="102" spans="3:3" x14ac:dyDescent="0.45">
      <c r="C102" s="25" t="s">
        <v>527</v>
      </c>
    </row>
    <row r="103" spans="3:3" x14ac:dyDescent="0.45">
      <c r="C103" s="25" t="s">
        <v>528</v>
      </c>
    </row>
    <row r="104" spans="3:3" x14ac:dyDescent="0.45">
      <c r="C104" s="25" t="s">
        <v>529</v>
      </c>
    </row>
    <row r="105" spans="3:3" x14ac:dyDescent="0.45">
      <c r="C105" s="25" t="s">
        <v>530</v>
      </c>
    </row>
    <row r="106" spans="3:3" x14ac:dyDescent="0.45">
      <c r="C106" s="25" t="s">
        <v>531</v>
      </c>
    </row>
    <row r="107" spans="3:3" x14ac:dyDescent="0.45">
      <c r="C107" s="25" t="s">
        <v>532</v>
      </c>
    </row>
    <row r="108" spans="3:3" x14ac:dyDescent="0.45">
      <c r="C108" s="25" t="s">
        <v>533</v>
      </c>
    </row>
    <row r="109" spans="3:3" x14ac:dyDescent="0.45">
      <c r="C109" s="25" t="s">
        <v>534</v>
      </c>
    </row>
    <row r="110" spans="3:3" x14ac:dyDescent="0.45">
      <c r="C110" s="25" t="s">
        <v>535</v>
      </c>
    </row>
    <row r="111" spans="3:3" x14ac:dyDescent="0.45">
      <c r="C111" s="25" t="s">
        <v>536</v>
      </c>
    </row>
    <row r="112" spans="3:3" x14ac:dyDescent="0.45">
      <c r="C112" s="25" t="s">
        <v>537</v>
      </c>
    </row>
    <row r="113" spans="3:3" x14ac:dyDescent="0.45">
      <c r="C113" s="25" t="s">
        <v>538</v>
      </c>
    </row>
    <row r="114" spans="3:3" x14ac:dyDescent="0.45">
      <c r="C114" s="25" t="s">
        <v>539</v>
      </c>
    </row>
    <row r="115" spans="3:3" x14ac:dyDescent="0.45">
      <c r="C115" s="25" t="s">
        <v>540</v>
      </c>
    </row>
    <row r="116" spans="3:3" x14ac:dyDescent="0.45">
      <c r="C116" s="25" t="s">
        <v>541</v>
      </c>
    </row>
    <row r="117" spans="3:3" x14ac:dyDescent="0.45">
      <c r="C117" s="25" t="s">
        <v>542</v>
      </c>
    </row>
    <row r="118" spans="3:3" x14ac:dyDescent="0.45">
      <c r="C118" s="25" t="s">
        <v>543</v>
      </c>
    </row>
    <row r="119" spans="3:3" x14ac:dyDescent="0.45">
      <c r="C119" s="25" t="s">
        <v>544</v>
      </c>
    </row>
    <row r="120" spans="3:3" x14ac:dyDescent="0.45">
      <c r="C120" s="25" t="s">
        <v>545</v>
      </c>
    </row>
    <row r="121" spans="3:3" x14ac:dyDescent="0.45">
      <c r="C121" s="25" t="s">
        <v>546</v>
      </c>
    </row>
    <row r="122" spans="3:3" x14ac:dyDescent="0.45">
      <c r="C122" s="25" t="s">
        <v>547</v>
      </c>
    </row>
    <row r="123" spans="3:3" x14ac:dyDescent="0.45">
      <c r="C123" s="25" t="s">
        <v>548</v>
      </c>
    </row>
    <row r="124" spans="3:3" x14ac:dyDescent="0.45">
      <c r="C124" s="25" t="s">
        <v>549</v>
      </c>
    </row>
    <row r="125" spans="3:3" x14ac:dyDescent="0.45">
      <c r="C125" s="25" t="s">
        <v>550</v>
      </c>
    </row>
    <row r="126" spans="3:3" x14ac:dyDescent="0.45">
      <c r="C126" s="25" t="s">
        <v>551</v>
      </c>
    </row>
    <row r="127" spans="3:3" x14ac:dyDescent="0.45">
      <c r="C127" s="25" t="s">
        <v>552</v>
      </c>
    </row>
    <row r="128" spans="3:3" x14ac:dyDescent="0.45">
      <c r="C128" s="25" t="s">
        <v>553</v>
      </c>
    </row>
    <row r="129" spans="3:3" x14ac:dyDescent="0.45">
      <c r="C129" s="25" t="s">
        <v>554</v>
      </c>
    </row>
    <row r="130" spans="3:3" x14ac:dyDescent="0.45">
      <c r="C130" s="25" t="s">
        <v>555</v>
      </c>
    </row>
    <row r="131" spans="3:3" x14ac:dyDescent="0.45">
      <c r="C131" s="25" t="s">
        <v>556</v>
      </c>
    </row>
    <row r="132" spans="3:3" x14ac:dyDescent="0.45">
      <c r="C132" s="25" t="s">
        <v>557</v>
      </c>
    </row>
    <row r="133" spans="3:3" x14ac:dyDescent="0.45">
      <c r="C133" s="25" t="s">
        <v>558</v>
      </c>
    </row>
    <row r="134" spans="3:3" x14ac:dyDescent="0.45">
      <c r="C134" s="25" t="s">
        <v>559</v>
      </c>
    </row>
    <row r="135" spans="3:3" x14ac:dyDescent="0.45">
      <c r="C135" s="25" t="s">
        <v>560</v>
      </c>
    </row>
    <row r="136" spans="3:3" x14ac:dyDescent="0.45">
      <c r="C136" s="25" t="s">
        <v>561</v>
      </c>
    </row>
    <row r="137" spans="3:3" x14ac:dyDescent="0.45">
      <c r="C137" s="25" t="s">
        <v>562</v>
      </c>
    </row>
    <row r="138" spans="3:3" x14ac:dyDescent="0.45">
      <c r="C138" s="25" t="s">
        <v>563</v>
      </c>
    </row>
    <row r="139" spans="3:3" x14ac:dyDescent="0.45">
      <c r="C139" s="25" t="s">
        <v>659</v>
      </c>
    </row>
    <row r="140" spans="3:3" x14ac:dyDescent="0.45">
      <c r="C140" s="25" t="s">
        <v>660</v>
      </c>
    </row>
  </sheetData>
  <pageMargins left="0.7" right="0.7" top="0.75" bottom="0.75" header="0.3" footer="0.3"/>
  <pageSetup orientation="portrait" r:id="rId1"/>
  <tableParts count="2">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5AE26-CE5E-49CF-83A8-48744C02038A}">
  <dimension ref="A1:M133"/>
  <sheetViews>
    <sheetView defaultGridColor="0" colorId="22" workbookViewId="0">
      <pane ySplit="4" topLeftCell="A5" activePane="bottomLeft" state="frozen"/>
      <selection pane="bottomLeft" activeCell="A5" sqref="A5"/>
    </sheetView>
  </sheetViews>
  <sheetFormatPr defaultColWidth="12.86328125" defaultRowHeight="14.25" x14ac:dyDescent="0.45"/>
  <cols>
    <col min="1" max="1" width="30.1328125" bestFit="1" customWidth="1"/>
    <col min="2" max="2" width="14" bestFit="1" customWidth="1"/>
    <col min="3" max="3" width="18.265625" bestFit="1" customWidth="1"/>
    <col min="4" max="4" width="13" bestFit="1" customWidth="1"/>
    <col min="5" max="5" width="30.73046875" bestFit="1" customWidth="1"/>
    <col min="6" max="6" width="13.86328125" bestFit="1" customWidth="1"/>
    <col min="7" max="7" width="15.59765625" bestFit="1" customWidth="1"/>
    <col min="8" max="8" width="5.59765625" bestFit="1" customWidth="1"/>
    <col min="9" max="9" width="15.1328125" bestFit="1" customWidth="1"/>
    <col min="10" max="10" width="12.73046875" bestFit="1" customWidth="1"/>
    <col min="11" max="11" width="14.265625" bestFit="1" customWidth="1"/>
    <col min="12" max="12" width="11.73046875" bestFit="1" customWidth="1"/>
    <col min="13" max="13" width="10.86328125" bestFit="1" customWidth="1"/>
  </cols>
  <sheetData>
    <row r="1" spans="1:13" ht="40.5" customHeight="1" x14ac:dyDescent="0.45">
      <c r="A1" s="48" t="s">
        <v>71</v>
      </c>
    </row>
    <row r="2" spans="1:13" x14ac:dyDescent="0.45">
      <c r="A2" s="29" t="s">
        <v>707</v>
      </c>
    </row>
    <row r="4" spans="1:13" x14ac:dyDescent="0.45">
      <c r="A4" t="s">
        <v>73</v>
      </c>
      <c r="B4" t="s">
        <v>142</v>
      </c>
      <c r="C4" t="s">
        <v>74</v>
      </c>
      <c r="D4" t="s">
        <v>75</v>
      </c>
      <c r="E4" t="s">
        <v>76</v>
      </c>
      <c r="F4" t="s">
        <v>77</v>
      </c>
      <c r="G4" t="s">
        <v>78</v>
      </c>
      <c r="H4" t="s">
        <v>141</v>
      </c>
      <c r="I4" t="s">
        <v>79</v>
      </c>
      <c r="J4" t="s">
        <v>80</v>
      </c>
      <c r="K4" t="s">
        <v>81</v>
      </c>
      <c r="L4" t="s">
        <v>82</v>
      </c>
      <c r="M4" t="s">
        <v>83</v>
      </c>
    </row>
    <row r="5" spans="1:13" x14ac:dyDescent="0.45">
      <c r="A5" s="50" t="s">
        <v>780</v>
      </c>
      <c r="B5" s="50" t="s">
        <v>146</v>
      </c>
      <c r="C5" s="50" t="s">
        <v>781</v>
      </c>
      <c r="D5" s="49">
        <v>44215</v>
      </c>
      <c r="E5" s="50" t="s">
        <v>782</v>
      </c>
      <c r="F5" s="50">
        <v>100</v>
      </c>
      <c r="G5" s="50">
        <v>25</v>
      </c>
      <c r="H5" s="50" t="s">
        <v>95</v>
      </c>
      <c r="I5" s="57">
        <v>491250000</v>
      </c>
      <c r="J5" s="57">
        <v>0</v>
      </c>
      <c r="K5" s="57">
        <v>500000000</v>
      </c>
      <c r="L5" s="49">
        <v>44216</v>
      </c>
      <c r="M5" s="49">
        <v>53327</v>
      </c>
    </row>
    <row r="6" spans="1:13" x14ac:dyDescent="0.45">
      <c r="A6" s="50" t="s">
        <v>780</v>
      </c>
      <c r="B6" s="50" t="s">
        <v>146</v>
      </c>
      <c r="C6" s="50" t="s">
        <v>781</v>
      </c>
      <c r="D6" s="49">
        <v>44215</v>
      </c>
      <c r="E6" s="50" t="s">
        <v>96</v>
      </c>
      <c r="F6" s="50">
        <v>100</v>
      </c>
      <c r="G6" s="50">
        <v>25</v>
      </c>
      <c r="H6" s="50" t="s">
        <v>95</v>
      </c>
      <c r="I6" s="57">
        <v>665500000</v>
      </c>
      <c r="J6" s="57">
        <v>0</v>
      </c>
      <c r="K6" s="57">
        <v>500000000</v>
      </c>
      <c r="L6" s="49">
        <v>44216</v>
      </c>
      <c r="M6" s="49">
        <v>53327</v>
      </c>
    </row>
    <row r="7" spans="1:13" x14ac:dyDescent="0.45">
      <c r="A7" s="50" t="s">
        <v>780</v>
      </c>
      <c r="B7" s="50" t="s">
        <v>146</v>
      </c>
      <c r="C7" s="50" t="s">
        <v>781</v>
      </c>
      <c r="D7" s="49">
        <v>44215</v>
      </c>
      <c r="E7" s="50" t="s">
        <v>104</v>
      </c>
      <c r="F7" s="50">
        <v>120</v>
      </c>
      <c r="G7" s="50">
        <v>25</v>
      </c>
      <c r="H7" s="50" t="s">
        <v>95</v>
      </c>
      <c r="I7" s="57">
        <v>760250006</v>
      </c>
      <c r="J7" s="57">
        <v>0</v>
      </c>
      <c r="K7" s="57">
        <v>600000000</v>
      </c>
      <c r="L7" s="49">
        <v>44216</v>
      </c>
      <c r="M7" s="49">
        <v>53327</v>
      </c>
    </row>
    <row r="8" spans="1:13" x14ac:dyDescent="0.45">
      <c r="A8" s="50" t="s">
        <v>145</v>
      </c>
      <c r="B8" s="50" t="s">
        <v>146</v>
      </c>
      <c r="C8" s="50" t="s">
        <v>89</v>
      </c>
      <c r="D8" s="49">
        <v>44215</v>
      </c>
      <c r="E8" s="50" t="s">
        <v>147</v>
      </c>
      <c r="F8" s="50">
        <v>80</v>
      </c>
      <c r="G8" s="50">
        <v>25</v>
      </c>
      <c r="H8" s="50" t="s">
        <v>95</v>
      </c>
      <c r="I8" s="57">
        <v>400000000</v>
      </c>
      <c r="J8" s="57">
        <v>0</v>
      </c>
      <c r="K8" s="57">
        <v>160000000</v>
      </c>
      <c r="L8" s="49">
        <v>44216</v>
      </c>
      <c r="M8" s="49">
        <v>53327</v>
      </c>
    </row>
    <row r="9" spans="1:13" x14ac:dyDescent="0.45">
      <c r="A9" s="50" t="s">
        <v>148</v>
      </c>
      <c r="B9" s="50" t="s">
        <v>149</v>
      </c>
      <c r="C9" s="50" t="s">
        <v>93</v>
      </c>
      <c r="D9" s="49">
        <v>44181</v>
      </c>
      <c r="E9" s="50" t="s">
        <v>150</v>
      </c>
      <c r="F9" s="50">
        <v>20</v>
      </c>
      <c r="G9" s="50">
        <v>15</v>
      </c>
      <c r="H9" s="50" t="s">
        <v>97</v>
      </c>
      <c r="I9" s="57">
        <v>50578000</v>
      </c>
      <c r="J9" s="57">
        <v>0</v>
      </c>
      <c r="K9" s="57">
        <v>50060000</v>
      </c>
      <c r="L9" s="49"/>
      <c r="M9" s="49"/>
    </row>
    <row r="10" spans="1:13" x14ac:dyDescent="0.45">
      <c r="A10" s="50" t="s">
        <v>148</v>
      </c>
      <c r="B10" s="50" t="s">
        <v>149</v>
      </c>
      <c r="C10" s="50" t="s">
        <v>93</v>
      </c>
      <c r="D10" s="49">
        <v>44181</v>
      </c>
      <c r="E10" s="50" t="s">
        <v>85</v>
      </c>
      <c r="F10" s="50">
        <v>20</v>
      </c>
      <c r="G10" s="50">
        <v>15</v>
      </c>
      <c r="H10" s="50" t="s">
        <v>97</v>
      </c>
      <c r="I10" s="57">
        <v>51060000</v>
      </c>
      <c r="J10" s="57">
        <v>0</v>
      </c>
      <c r="K10" s="57">
        <v>50060000</v>
      </c>
      <c r="L10" s="49"/>
      <c r="M10" s="49"/>
    </row>
    <row r="11" spans="1:13" x14ac:dyDescent="0.45">
      <c r="A11" s="50" t="s">
        <v>148</v>
      </c>
      <c r="B11" s="50" t="s">
        <v>149</v>
      </c>
      <c r="C11" s="50" t="s">
        <v>93</v>
      </c>
      <c r="D11" s="49">
        <v>44181</v>
      </c>
      <c r="E11" s="50" t="s">
        <v>123</v>
      </c>
      <c r="F11" s="50">
        <v>20</v>
      </c>
      <c r="G11" s="50">
        <v>15</v>
      </c>
      <c r="H11" s="50" t="s">
        <v>97</v>
      </c>
      <c r="I11" s="57">
        <v>50080051</v>
      </c>
      <c r="J11" s="57">
        <v>0</v>
      </c>
      <c r="K11" s="57">
        <v>50060000</v>
      </c>
      <c r="L11" s="49"/>
      <c r="M11" s="49"/>
    </row>
    <row r="12" spans="1:13" x14ac:dyDescent="0.45">
      <c r="A12" s="50" t="s">
        <v>125</v>
      </c>
      <c r="B12" s="50" t="s">
        <v>158</v>
      </c>
      <c r="C12" s="50" t="s">
        <v>87</v>
      </c>
      <c r="D12" s="49">
        <v>43629</v>
      </c>
      <c r="E12" s="50" t="s">
        <v>126</v>
      </c>
      <c r="F12" s="50">
        <v>40</v>
      </c>
      <c r="G12" s="50">
        <v>20</v>
      </c>
      <c r="H12" s="50" t="s">
        <v>97</v>
      </c>
      <c r="I12" s="57">
        <v>851520000</v>
      </c>
      <c r="J12" s="57">
        <v>0</v>
      </c>
      <c r="K12" s="57">
        <v>20000000</v>
      </c>
      <c r="L12" s="49">
        <v>44197</v>
      </c>
      <c r="M12" s="49">
        <v>51501</v>
      </c>
    </row>
    <row r="13" spans="1:13" x14ac:dyDescent="0.45">
      <c r="A13" s="50" t="s">
        <v>125</v>
      </c>
      <c r="B13" s="50" t="s">
        <v>158</v>
      </c>
      <c r="C13" s="50" t="s">
        <v>87</v>
      </c>
      <c r="D13" s="49">
        <v>43629</v>
      </c>
      <c r="E13" s="50" t="s">
        <v>127</v>
      </c>
      <c r="F13" s="50">
        <v>20</v>
      </c>
      <c r="G13" s="50">
        <v>20</v>
      </c>
      <c r="H13" s="50" t="s">
        <v>97</v>
      </c>
      <c r="I13" s="57">
        <v>381104000</v>
      </c>
      <c r="J13" s="57">
        <v>0</v>
      </c>
      <c r="K13" s="57">
        <v>10000000</v>
      </c>
      <c r="L13" s="49">
        <v>44197</v>
      </c>
      <c r="M13" s="49">
        <v>51501</v>
      </c>
    </row>
    <row r="14" spans="1:13" x14ac:dyDescent="0.45">
      <c r="A14" s="50" t="s">
        <v>125</v>
      </c>
      <c r="B14" s="50" t="s">
        <v>158</v>
      </c>
      <c r="C14" s="50" t="s">
        <v>87</v>
      </c>
      <c r="D14" s="49">
        <v>43629</v>
      </c>
      <c r="E14" s="50" t="s">
        <v>85</v>
      </c>
      <c r="F14" s="50">
        <v>40</v>
      </c>
      <c r="G14" s="50">
        <v>20</v>
      </c>
      <c r="H14" s="50" t="s">
        <v>97</v>
      </c>
      <c r="I14" s="57">
        <v>806501000</v>
      </c>
      <c r="J14" s="57">
        <v>0</v>
      </c>
      <c r="K14" s="57">
        <v>20000000</v>
      </c>
      <c r="L14" s="49">
        <v>44197</v>
      </c>
      <c r="M14" s="49">
        <v>51501</v>
      </c>
    </row>
    <row r="15" spans="1:13" x14ac:dyDescent="0.45">
      <c r="A15" s="50" t="s">
        <v>125</v>
      </c>
      <c r="B15" s="50" t="s">
        <v>158</v>
      </c>
      <c r="C15" s="50" t="s">
        <v>87</v>
      </c>
      <c r="D15" s="49">
        <v>43629</v>
      </c>
      <c r="E15" s="50" t="s">
        <v>128</v>
      </c>
      <c r="F15" s="50">
        <v>20</v>
      </c>
      <c r="G15" s="50">
        <v>15</v>
      </c>
      <c r="H15" s="50" t="s">
        <v>97</v>
      </c>
      <c r="I15" s="57">
        <v>334997000</v>
      </c>
      <c r="J15" s="57">
        <v>0</v>
      </c>
      <c r="K15" s="57">
        <v>7500000</v>
      </c>
      <c r="L15" s="49">
        <v>46023</v>
      </c>
      <c r="M15" s="49">
        <v>51501</v>
      </c>
    </row>
    <row r="16" spans="1:13" x14ac:dyDescent="0.45">
      <c r="A16" s="50" t="s">
        <v>151</v>
      </c>
      <c r="B16" s="50" t="s">
        <v>149</v>
      </c>
      <c r="C16" s="50" t="s">
        <v>87</v>
      </c>
      <c r="D16" s="49">
        <v>44181</v>
      </c>
      <c r="E16" s="50" t="s">
        <v>150</v>
      </c>
      <c r="F16" s="50">
        <v>40</v>
      </c>
      <c r="G16" s="50">
        <v>15</v>
      </c>
      <c r="H16" s="50" t="s">
        <v>97</v>
      </c>
      <c r="I16" s="57">
        <v>35270000</v>
      </c>
      <c r="J16" s="57">
        <v>0</v>
      </c>
      <c r="K16" s="57">
        <v>35270000</v>
      </c>
      <c r="L16" s="49"/>
      <c r="M16" s="49"/>
    </row>
    <row r="17" spans="1:13" x14ac:dyDescent="0.45">
      <c r="A17" s="50" t="s">
        <v>151</v>
      </c>
      <c r="B17" s="50" t="s">
        <v>149</v>
      </c>
      <c r="C17" s="50" t="s">
        <v>87</v>
      </c>
      <c r="D17" s="49">
        <v>44181</v>
      </c>
      <c r="E17" s="50" t="s">
        <v>85</v>
      </c>
      <c r="F17" s="50">
        <v>40</v>
      </c>
      <c r="G17" s="50">
        <v>15</v>
      </c>
      <c r="H17" s="50" t="s">
        <v>97</v>
      </c>
      <c r="I17" s="57">
        <v>35420000</v>
      </c>
      <c r="J17" s="57">
        <v>0</v>
      </c>
      <c r="K17" s="57">
        <v>35270000</v>
      </c>
      <c r="L17" s="49"/>
      <c r="M17" s="49"/>
    </row>
    <row r="18" spans="1:13" x14ac:dyDescent="0.45">
      <c r="A18" s="50" t="s">
        <v>151</v>
      </c>
      <c r="B18" s="50" t="s">
        <v>149</v>
      </c>
      <c r="C18" s="50" t="s">
        <v>87</v>
      </c>
      <c r="D18" s="49">
        <v>44181</v>
      </c>
      <c r="E18" s="50" t="s">
        <v>123</v>
      </c>
      <c r="F18" s="50">
        <v>40</v>
      </c>
      <c r="G18" s="50">
        <v>15</v>
      </c>
      <c r="H18" s="50" t="s">
        <v>97</v>
      </c>
      <c r="I18" s="57">
        <v>35420000</v>
      </c>
      <c r="J18" s="57">
        <v>0</v>
      </c>
      <c r="K18" s="57">
        <v>35270000</v>
      </c>
      <c r="L18" s="49"/>
      <c r="M18" s="49"/>
    </row>
    <row r="19" spans="1:13" x14ac:dyDescent="0.45">
      <c r="A19" s="50" t="s">
        <v>785</v>
      </c>
      <c r="B19" s="50" t="s">
        <v>158</v>
      </c>
      <c r="C19" s="50" t="s">
        <v>781</v>
      </c>
      <c r="D19" s="49">
        <v>43629</v>
      </c>
      <c r="E19" s="50" t="s">
        <v>126</v>
      </c>
      <c r="F19" s="50">
        <v>90</v>
      </c>
      <c r="G19" s="50">
        <v>20</v>
      </c>
      <c r="H19" s="50" t="s">
        <v>97</v>
      </c>
      <c r="I19" s="57">
        <v>1323423000</v>
      </c>
      <c r="J19" s="57">
        <v>0</v>
      </c>
      <c r="K19" s="57">
        <v>15299999.999999998</v>
      </c>
      <c r="L19" s="49">
        <v>44197</v>
      </c>
      <c r="M19" s="49">
        <v>51501</v>
      </c>
    </row>
    <row r="20" spans="1:13" x14ac:dyDescent="0.45">
      <c r="A20" s="50" t="s">
        <v>785</v>
      </c>
      <c r="B20" s="50" t="s">
        <v>158</v>
      </c>
      <c r="C20" s="50" t="s">
        <v>781</v>
      </c>
      <c r="D20" s="49">
        <v>43629</v>
      </c>
      <c r="E20" s="50" t="s">
        <v>127</v>
      </c>
      <c r="F20" s="50">
        <v>70</v>
      </c>
      <c r="G20" s="50">
        <v>20</v>
      </c>
      <c r="H20" s="50" t="s">
        <v>97</v>
      </c>
      <c r="I20" s="57">
        <v>1043728000</v>
      </c>
      <c r="J20" s="57">
        <v>0</v>
      </c>
      <c r="K20" s="57">
        <v>11900000</v>
      </c>
      <c r="L20" s="49">
        <v>44197</v>
      </c>
      <c r="M20" s="49">
        <v>51501</v>
      </c>
    </row>
    <row r="21" spans="1:13" x14ac:dyDescent="0.45">
      <c r="A21" s="50" t="s">
        <v>785</v>
      </c>
      <c r="B21" s="50" t="s">
        <v>158</v>
      </c>
      <c r="C21" s="50" t="s">
        <v>781</v>
      </c>
      <c r="D21" s="49">
        <v>43629</v>
      </c>
      <c r="E21" s="50" t="s">
        <v>85</v>
      </c>
      <c r="F21" s="50">
        <v>90</v>
      </c>
      <c r="G21" s="50">
        <v>20</v>
      </c>
      <c r="H21" s="50" t="s">
        <v>97</v>
      </c>
      <c r="I21" s="57">
        <v>1073188000</v>
      </c>
      <c r="J21" s="57">
        <v>0</v>
      </c>
      <c r="K21" s="57">
        <v>13900000</v>
      </c>
      <c r="L21" s="49">
        <v>44197</v>
      </c>
      <c r="M21" s="49">
        <v>51501</v>
      </c>
    </row>
    <row r="22" spans="1:13" x14ac:dyDescent="0.45">
      <c r="A22" s="50" t="s">
        <v>785</v>
      </c>
      <c r="B22" s="50" t="s">
        <v>158</v>
      </c>
      <c r="C22" s="50" t="s">
        <v>781</v>
      </c>
      <c r="D22" s="49">
        <v>43629</v>
      </c>
      <c r="E22" s="50" t="s">
        <v>128</v>
      </c>
      <c r="F22" s="50">
        <v>50</v>
      </c>
      <c r="G22" s="50">
        <v>20</v>
      </c>
      <c r="H22" s="50" t="s">
        <v>97</v>
      </c>
      <c r="I22" s="57">
        <v>735190000</v>
      </c>
      <c r="J22" s="57">
        <v>0</v>
      </c>
      <c r="K22" s="57">
        <v>8500000</v>
      </c>
      <c r="L22" s="49">
        <v>44197</v>
      </c>
      <c r="M22" s="49">
        <v>51501</v>
      </c>
    </row>
    <row r="23" spans="1:13" x14ac:dyDescent="0.45">
      <c r="A23" s="50" t="s">
        <v>783</v>
      </c>
      <c r="B23" s="50" t="s">
        <v>149</v>
      </c>
      <c r="C23" s="50" t="s">
        <v>781</v>
      </c>
      <c r="D23" s="49">
        <v>44181</v>
      </c>
      <c r="E23" s="50" t="s">
        <v>150</v>
      </c>
      <c r="F23" s="50">
        <v>150</v>
      </c>
      <c r="G23" s="50">
        <v>15</v>
      </c>
      <c r="H23" s="50" t="s">
        <v>97</v>
      </c>
      <c r="I23" s="57">
        <v>30705000</v>
      </c>
      <c r="J23" s="57">
        <v>0</v>
      </c>
      <c r="K23" s="57">
        <v>37750000</v>
      </c>
      <c r="L23" s="49"/>
      <c r="M23" s="49"/>
    </row>
    <row r="24" spans="1:13" x14ac:dyDescent="0.45">
      <c r="A24" s="50" t="s">
        <v>783</v>
      </c>
      <c r="B24" s="50" t="s">
        <v>149</v>
      </c>
      <c r="C24" s="50" t="s">
        <v>781</v>
      </c>
      <c r="D24" s="49">
        <v>44181</v>
      </c>
      <c r="E24" s="50" t="s">
        <v>85</v>
      </c>
      <c r="F24" s="50">
        <v>140</v>
      </c>
      <c r="G24" s="50">
        <v>15</v>
      </c>
      <c r="H24" s="50" t="s">
        <v>97</v>
      </c>
      <c r="I24" s="57">
        <v>37516000</v>
      </c>
      <c r="J24" s="57">
        <v>0</v>
      </c>
      <c r="K24" s="57">
        <v>35233333.333333299</v>
      </c>
      <c r="L24" s="49"/>
      <c r="M24" s="49"/>
    </row>
    <row r="25" spans="1:13" x14ac:dyDescent="0.45">
      <c r="A25" s="50" t="s">
        <v>783</v>
      </c>
      <c r="B25" s="50" t="s">
        <v>149</v>
      </c>
      <c r="C25" s="50" t="s">
        <v>781</v>
      </c>
      <c r="D25" s="49">
        <v>44181</v>
      </c>
      <c r="E25" s="50" t="s">
        <v>123</v>
      </c>
      <c r="F25" s="50">
        <v>100</v>
      </c>
      <c r="G25" s="50">
        <v>15</v>
      </c>
      <c r="H25" s="50" t="s">
        <v>97</v>
      </c>
      <c r="I25" s="57">
        <v>30306051</v>
      </c>
      <c r="J25" s="57">
        <v>0</v>
      </c>
      <c r="K25" s="57">
        <v>25166666.666666664</v>
      </c>
      <c r="L25" s="49"/>
      <c r="M25" s="49"/>
    </row>
    <row r="26" spans="1:13" x14ac:dyDescent="0.45">
      <c r="A26" s="50" t="s">
        <v>107</v>
      </c>
      <c r="B26" s="50" t="s">
        <v>156</v>
      </c>
      <c r="C26" s="50" t="s">
        <v>93</v>
      </c>
      <c r="D26" s="49">
        <v>44033</v>
      </c>
      <c r="E26" s="50" t="s">
        <v>108</v>
      </c>
      <c r="F26" s="50">
        <v>20</v>
      </c>
      <c r="G26" s="50">
        <v>20</v>
      </c>
      <c r="H26" s="50" t="s">
        <v>97</v>
      </c>
      <c r="I26" s="57">
        <v>157970000</v>
      </c>
      <c r="J26" s="57">
        <v>0</v>
      </c>
      <c r="K26" s="57">
        <v>150360000</v>
      </c>
      <c r="L26" s="49">
        <v>44197</v>
      </c>
      <c r="M26" s="49">
        <v>51501</v>
      </c>
    </row>
    <row r="27" spans="1:13" x14ac:dyDescent="0.45">
      <c r="A27" s="50" t="s">
        <v>107</v>
      </c>
      <c r="B27" s="50" t="s">
        <v>156</v>
      </c>
      <c r="C27" s="50" t="s">
        <v>93</v>
      </c>
      <c r="D27" s="49">
        <v>44033</v>
      </c>
      <c r="E27" s="50" t="s">
        <v>100</v>
      </c>
      <c r="F27" s="50">
        <v>20</v>
      </c>
      <c r="G27" s="50">
        <v>20</v>
      </c>
      <c r="H27" s="50" t="s">
        <v>97</v>
      </c>
      <c r="I27" s="57">
        <v>157970000</v>
      </c>
      <c r="J27" s="57">
        <v>0</v>
      </c>
      <c r="K27" s="57">
        <v>150360000</v>
      </c>
      <c r="L27" s="49">
        <v>44197</v>
      </c>
      <c r="M27" s="49">
        <v>51501</v>
      </c>
    </row>
    <row r="28" spans="1:13" x14ac:dyDescent="0.45">
      <c r="A28" s="50" t="s">
        <v>107</v>
      </c>
      <c r="B28" s="50" t="s">
        <v>156</v>
      </c>
      <c r="C28" s="50" t="s">
        <v>93</v>
      </c>
      <c r="D28" s="49">
        <v>44033</v>
      </c>
      <c r="E28" s="50" t="s">
        <v>85</v>
      </c>
      <c r="F28" s="50">
        <v>20</v>
      </c>
      <c r="G28" s="50">
        <v>20</v>
      </c>
      <c r="H28" s="50" t="s">
        <v>97</v>
      </c>
      <c r="I28" s="57">
        <v>157970000</v>
      </c>
      <c r="J28" s="57">
        <v>0</v>
      </c>
      <c r="K28" s="57">
        <v>150360000</v>
      </c>
      <c r="L28" s="49">
        <v>44197</v>
      </c>
      <c r="M28" s="49">
        <v>51501</v>
      </c>
    </row>
    <row r="29" spans="1:13" x14ac:dyDescent="0.45">
      <c r="A29" s="50" t="s">
        <v>109</v>
      </c>
      <c r="B29" s="50" t="s">
        <v>156</v>
      </c>
      <c r="C29" s="50" t="s">
        <v>87</v>
      </c>
      <c r="D29" s="49">
        <v>44033</v>
      </c>
      <c r="E29" s="50" t="s">
        <v>108</v>
      </c>
      <c r="F29" s="50">
        <v>40</v>
      </c>
      <c r="G29" s="50">
        <v>20</v>
      </c>
      <c r="H29" s="50" t="s">
        <v>97</v>
      </c>
      <c r="I29" s="57">
        <v>163330000</v>
      </c>
      <c r="J29" s="57">
        <v>0</v>
      </c>
      <c r="K29" s="57">
        <v>141116000</v>
      </c>
      <c r="L29" s="49">
        <v>44197</v>
      </c>
      <c r="M29" s="49">
        <v>51501</v>
      </c>
    </row>
    <row r="30" spans="1:13" x14ac:dyDescent="0.45">
      <c r="A30" s="50" t="s">
        <v>109</v>
      </c>
      <c r="B30" s="50" t="s">
        <v>156</v>
      </c>
      <c r="C30" s="50" t="s">
        <v>87</v>
      </c>
      <c r="D30" s="49">
        <v>44033</v>
      </c>
      <c r="E30" s="50" t="s">
        <v>100</v>
      </c>
      <c r="F30" s="50">
        <v>40</v>
      </c>
      <c r="G30" s="50">
        <v>20</v>
      </c>
      <c r="H30" s="50" t="s">
        <v>97</v>
      </c>
      <c r="I30" s="57">
        <v>167250000</v>
      </c>
      <c r="J30" s="57">
        <v>0</v>
      </c>
      <c r="K30" s="57">
        <v>141116000</v>
      </c>
      <c r="L30" s="49">
        <v>44197</v>
      </c>
      <c r="M30" s="49">
        <v>51501</v>
      </c>
    </row>
    <row r="31" spans="1:13" x14ac:dyDescent="0.45">
      <c r="A31" s="50" t="s">
        <v>109</v>
      </c>
      <c r="B31" s="50" t="s">
        <v>156</v>
      </c>
      <c r="C31" s="50" t="s">
        <v>87</v>
      </c>
      <c r="D31" s="49">
        <v>44033</v>
      </c>
      <c r="E31" s="50" t="s">
        <v>85</v>
      </c>
      <c r="F31" s="50">
        <v>40</v>
      </c>
      <c r="G31" s="50">
        <v>20</v>
      </c>
      <c r="H31" s="50" t="s">
        <v>97</v>
      </c>
      <c r="I31" s="57">
        <v>163330000</v>
      </c>
      <c r="J31" s="57">
        <v>0</v>
      </c>
      <c r="K31" s="57">
        <v>141116000</v>
      </c>
      <c r="L31" s="49">
        <v>44197</v>
      </c>
      <c r="M31" s="49">
        <v>51501</v>
      </c>
    </row>
    <row r="32" spans="1:13" x14ac:dyDescent="0.45">
      <c r="A32" s="50" t="s">
        <v>101</v>
      </c>
      <c r="B32" s="50" t="s">
        <v>159</v>
      </c>
      <c r="C32" s="50" t="s">
        <v>93</v>
      </c>
      <c r="D32" s="49">
        <v>43621</v>
      </c>
      <c r="E32" s="50" t="s">
        <v>102</v>
      </c>
      <c r="F32" s="50">
        <v>20</v>
      </c>
      <c r="G32" s="50">
        <v>20</v>
      </c>
      <c r="H32" s="50" t="s">
        <v>103</v>
      </c>
      <c r="I32" s="57">
        <v>262176000</v>
      </c>
      <c r="J32" s="57">
        <v>15830000</v>
      </c>
      <c r="K32" s="57">
        <v>250000000</v>
      </c>
      <c r="L32" s="49">
        <v>43770</v>
      </c>
      <c r="M32" s="49">
        <v>51135</v>
      </c>
    </row>
    <row r="33" spans="1:13" x14ac:dyDescent="0.45">
      <c r="A33" s="50" t="s">
        <v>101</v>
      </c>
      <c r="B33" s="50" t="s">
        <v>159</v>
      </c>
      <c r="C33" s="50" t="s">
        <v>93</v>
      </c>
      <c r="D33" s="49">
        <v>43621</v>
      </c>
      <c r="E33" s="50" t="s">
        <v>104</v>
      </c>
      <c r="F33" s="50">
        <v>20</v>
      </c>
      <c r="G33" s="50">
        <v>20</v>
      </c>
      <c r="H33" s="50" t="s">
        <v>103</v>
      </c>
      <c r="I33" s="57">
        <v>217881000</v>
      </c>
      <c r="J33" s="57">
        <v>15830000</v>
      </c>
      <c r="K33" s="57">
        <v>155000000</v>
      </c>
      <c r="L33" s="49">
        <v>43770</v>
      </c>
      <c r="M33" s="49">
        <v>51135</v>
      </c>
    </row>
    <row r="34" spans="1:13" x14ac:dyDescent="0.45">
      <c r="A34" s="50" t="s">
        <v>121</v>
      </c>
      <c r="B34" s="50" t="s">
        <v>143</v>
      </c>
      <c r="C34" s="50" t="s">
        <v>87</v>
      </c>
      <c r="D34" s="49">
        <v>43916</v>
      </c>
      <c r="E34" s="50" t="s">
        <v>119</v>
      </c>
      <c r="F34" s="50">
        <v>20</v>
      </c>
      <c r="G34" s="50">
        <v>15</v>
      </c>
      <c r="H34" s="50" t="s">
        <v>120</v>
      </c>
      <c r="I34" s="57">
        <v>8440000000</v>
      </c>
      <c r="J34" s="57">
        <v>780000000</v>
      </c>
      <c r="K34" s="57">
        <v>8000000000</v>
      </c>
      <c r="L34" s="49">
        <v>43922</v>
      </c>
      <c r="M34" s="49">
        <v>49400</v>
      </c>
    </row>
    <row r="35" spans="1:13" x14ac:dyDescent="0.45">
      <c r="A35" s="50" t="s">
        <v>121</v>
      </c>
      <c r="B35" s="50" t="s">
        <v>143</v>
      </c>
      <c r="C35" s="50" t="s">
        <v>87</v>
      </c>
      <c r="D35" s="49">
        <v>43916</v>
      </c>
      <c r="E35" s="50" t="s">
        <v>85</v>
      </c>
      <c r="F35" s="50">
        <v>10</v>
      </c>
      <c r="G35" s="50">
        <v>15</v>
      </c>
      <c r="H35" s="50" t="s">
        <v>120</v>
      </c>
      <c r="I35" s="57">
        <v>4400000000</v>
      </c>
      <c r="J35" s="57">
        <v>390000000</v>
      </c>
      <c r="K35" s="57">
        <v>4000000000</v>
      </c>
      <c r="L35" s="49">
        <v>43922</v>
      </c>
      <c r="M35" s="49">
        <v>49400</v>
      </c>
    </row>
    <row r="36" spans="1:13" x14ac:dyDescent="0.45">
      <c r="A36" s="50" t="s">
        <v>784</v>
      </c>
      <c r="B36" s="50" t="s">
        <v>143</v>
      </c>
      <c r="C36" s="50" t="s">
        <v>781</v>
      </c>
      <c r="D36" s="49">
        <v>43916</v>
      </c>
      <c r="E36" s="50" t="s">
        <v>119</v>
      </c>
      <c r="F36" s="50">
        <v>120</v>
      </c>
      <c r="G36" s="50">
        <v>15</v>
      </c>
      <c r="H36" s="50" t="s">
        <v>120</v>
      </c>
      <c r="I36" s="57">
        <v>19800000000</v>
      </c>
      <c r="J36" s="57">
        <v>1123200000</v>
      </c>
      <c r="K36" s="57">
        <v>18000000000</v>
      </c>
      <c r="L36" s="49">
        <v>43922</v>
      </c>
      <c r="M36" s="49">
        <v>49400</v>
      </c>
    </row>
    <row r="37" spans="1:13" x14ac:dyDescent="0.45">
      <c r="A37" s="50" t="s">
        <v>784</v>
      </c>
      <c r="B37" s="50" t="s">
        <v>143</v>
      </c>
      <c r="C37" s="50" t="s">
        <v>781</v>
      </c>
      <c r="D37" s="49">
        <v>43916</v>
      </c>
      <c r="E37" s="50" t="s">
        <v>85</v>
      </c>
      <c r="F37" s="50">
        <v>50</v>
      </c>
      <c r="G37" s="50">
        <v>15</v>
      </c>
      <c r="H37" s="50" t="s">
        <v>120</v>
      </c>
      <c r="I37" s="57">
        <v>8250000000</v>
      </c>
      <c r="J37" s="57">
        <v>468000000</v>
      </c>
      <c r="K37" s="57">
        <v>7500000000</v>
      </c>
      <c r="L37" s="49">
        <v>43922</v>
      </c>
      <c r="M37" s="49">
        <v>49400</v>
      </c>
    </row>
    <row r="38" spans="1:13" x14ac:dyDescent="0.45">
      <c r="A38" s="50" t="s">
        <v>784</v>
      </c>
      <c r="B38" s="50" t="s">
        <v>143</v>
      </c>
      <c r="C38" s="50" t="s">
        <v>781</v>
      </c>
      <c r="D38" s="49">
        <v>43916</v>
      </c>
      <c r="E38" s="50" t="s">
        <v>105</v>
      </c>
      <c r="F38" s="50">
        <v>140</v>
      </c>
      <c r="G38" s="50">
        <v>15</v>
      </c>
      <c r="H38" s="50" t="s">
        <v>120</v>
      </c>
      <c r="I38" s="57">
        <v>23100000000</v>
      </c>
      <c r="J38" s="57">
        <v>1310400000</v>
      </c>
      <c r="K38" s="57">
        <v>21000000000</v>
      </c>
      <c r="L38" s="49">
        <v>43922</v>
      </c>
      <c r="M38" s="49">
        <v>49400</v>
      </c>
    </row>
    <row r="39" spans="1:13" x14ac:dyDescent="0.45">
      <c r="A39" s="50" t="s">
        <v>101</v>
      </c>
      <c r="B39" s="50" t="s">
        <v>159</v>
      </c>
      <c r="C39" s="50" t="s">
        <v>93</v>
      </c>
      <c r="D39" s="49">
        <v>43621</v>
      </c>
      <c r="E39" s="50" t="s">
        <v>105</v>
      </c>
      <c r="F39" s="50">
        <v>20</v>
      </c>
      <c r="G39" s="50">
        <v>20</v>
      </c>
      <c r="H39" s="50" t="s">
        <v>103</v>
      </c>
      <c r="I39" s="57">
        <v>180000000</v>
      </c>
      <c r="J39" s="57">
        <v>15830000</v>
      </c>
      <c r="K39" s="57">
        <v>180000000</v>
      </c>
      <c r="L39" s="49">
        <v>43770</v>
      </c>
      <c r="M39" s="49">
        <v>51135</v>
      </c>
    </row>
    <row r="40" spans="1:13" x14ac:dyDescent="0.45">
      <c r="A40" s="50" t="s">
        <v>106</v>
      </c>
      <c r="B40" s="50" t="s">
        <v>159</v>
      </c>
      <c r="C40" s="50" t="s">
        <v>87</v>
      </c>
      <c r="D40" s="49">
        <v>43621</v>
      </c>
      <c r="E40" s="50" t="s">
        <v>102</v>
      </c>
      <c r="F40" s="50">
        <v>30</v>
      </c>
      <c r="G40" s="50">
        <v>13</v>
      </c>
      <c r="H40" s="50" t="s">
        <v>103</v>
      </c>
      <c r="I40" s="57">
        <v>75000000</v>
      </c>
      <c r="J40" s="57">
        <v>22086000</v>
      </c>
      <c r="K40" s="57">
        <v>75000000</v>
      </c>
      <c r="L40" s="49">
        <v>43770</v>
      </c>
      <c r="M40" s="49">
        <v>48579</v>
      </c>
    </row>
    <row r="41" spans="1:13" x14ac:dyDescent="0.45">
      <c r="A41" s="50" t="s">
        <v>160</v>
      </c>
      <c r="B41" s="50" t="s">
        <v>161</v>
      </c>
      <c r="C41" s="50" t="s">
        <v>87</v>
      </c>
      <c r="D41" s="49">
        <v>43486</v>
      </c>
      <c r="E41" s="50" t="s">
        <v>162</v>
      </c>
      <c r="F41" s="50">
        <v>10</v>
      </c>
      <c r="G41" s="50">
        <v>5</v>
      </c>
      <c r="H41" s="50" t="s">
        <v>136</v>
      </c>
      <c r="I41" s="57">
        <v>57900000</v>
      </c>
      <c r="J41" s="57">
        <v>0</v>
      </c>
      <c r="K41" s="57">
        <v>24000000</v>
      </c>
      <c r="L41" s="49">
        <v>43537</v>
      </c>
      <c r="M41" s="49">
        <v>45648</v>
      </c>
    </row>
    <row r="42" spans="1:13" x14ac:dyDescent="0.45">
      <c r="A42" s="50" t="s">
        <v>160</v>
      </c>
      <c r="B42" s="50" t="s">
        <v>161</v>
      </c>
      <c r="C42" s="50" t="s">
        <v>87</v>
      </c>
      <c r="D42" s="49">
        <v>43486</v>
      </c>
      <c r="E42" s="50" t="s">
        <v>110</v>
      </c>
      <c r="F42" s="50">
        <v>20</v>
      </c>
      <c r="G42" s="50">
        <v>5</v>
      </c>
      <c r="H42" s="50" t="s">
        <v>136</v>
      </c>
      <c r="I42" s="57">
        <v>48500000</v>
      </c>
      <c r="J42" s="57">
        <v>0</v>
      </c>
      <c r="K42" s="57">
        <v>48000000</v>
      </c>
      <c r="L42" s="49">
        <v>43537</v>
      </c>
      <c r="M42" s="49">
        <v>45648</v>
      </c>
    </row>
    <row r="43" spans="1:13" x14ac:dyDescent="0.45">
      <c r="A43" s="50" t="s">
        <v>92</v>
      </c>
      <c r="B43" s="50" t="s">
        <v>146</v>
      </c>
      <c r="C43" s="50" t="s">
        <v>93</v>
      </c>
      <c r="D43" s="49">
        <v>43446</v>
      </c>
      <c r="E43" s="50" t="s">
        <v>94</v>
      </c>
      <c r="F43" s="50">
        <v>20</v>
      </c>
      <c r="G43" s="50">
        <v>22</v>
      </c>
      <c r="H43" s="50" t="s">
        <v>95</v>
      </c>
      <c r="I43" s="57">
        <v>1382657650</v>
      </c>
      <c r="J43" s="57">
        <v>1218804</v>
      </c>
      <c r="K43" s="57">
        <v>200000000</v>
      </c>
      <c r="L43" s="49">
        <v>43466</v>
      </c>
      <c r="M43" s="49">
        <v>51501</v>
      </c>
    </row>
    <row r="44" spans="1:13" x14ac:dyDescent="0.45">
      <c r="A44" s="50" t="s">
        <v>92</v>
      </c>
      <c r="B44" s="50" t="s">
        <v>146</v>
      </c>
      <c r="C44" s="50" t="s">
        <v>93</v>
      </c>
      <c r="D44" s="49">
        <v>43446</v>
      </c>
      <c r="E44" s="50" t="s">
        <v>96</v>
      </c>
      <c r="F44" s="50">
        <v>20</v>
      </c>
      <c r="G44" s="50">
        <v>22</v>
      </c>
      <c r="H44" s="50" t="s">
        <v>95</v>
      </c>
      <c r="I44" s="57">
        <v>1441936796</v>
      </c>
      <c r="J44" s="57">
        <v>1218804</v>
      </c>
      <c r="K44" s="57">
        <v>200000000</v>
      </c>
      <c r="L44" s="49">
        <v>43466</v>
      </c>
      <c r="M44" s="49">
        <v>51501</v>
      </c>
    </row>
    <row r="45" spans="1:13" x14ac:dyDescent="0.45">
      <c r="A45" s="50" t="s">
        <v>111</v>
      </c>
      <c r="B45" s="50" t="s">
        <v>165</v>
      </c>
      <c r="C45" s="50" t="s">
        <v>93</v>
      </c>
      <c r="D45" s="49">
        <v>42877</v>
      </c>
      <c r="E45" s="50" t="s">
        <v>112</v>
      </c>
      <c r="F45" s="50">
        <v>20</v>
      </c>
      <c r="G45" s="50">
        <v>15</v>
      </c>
      <c r="H45" s="50" t="s">
        <v>113</v>
      </c>
      <c r="I45" s="57">
        <v>35000000</v>
      </c>
      <c r="J45" s="57">
        <v>5130000</v>
      </c>
      <c r="K45" s="57">
        <v>35000000</v>
      </c>
      <c r="L45" s="49">
        <v>42923</v>
      </c>
      <c r="M45" s="49">
        <v>11778</v>
      </c>
    </row>
    <row r="46" spans="1:13" x14ac:dyDescent="0.45">
      <c r="A46" s="50" t="s">
        <v>111</v>
      </c>
      <c r="B46" s="50" t="s">
        <v>165</v>
      </c>
      <c r="C46" s="50" t="s">
        <v>93</v>
      </c>
      <c r="D46" s="49">
        <v>42877</v>
      </c>
      <c r="E46" s="50" t="s">
        <v>112</v>
      </c>
      <c r="F46" s="50">
        <v>20</v>
      </c>
      <c r="G46" s="50">
        <v>15</v>
      </c>
      <c r="H46" s="50" t="s">
        <v>113</v>
      </c>
      <c r="I46" s="57">
        <v>35000000</v>
      </c>
      <c r="J46" s="57">
        <v>5130000</v>
      </c>
      <c r="K46" s="57">
        <v>35000000</v>
      </c>
      <c r="L46" s="49">
        <v>42923</v>
      </c>
      <c r="M46" s="49">
        <v>11778</v>
      </c>
    </row>
    <row r="47" spans="1:13" x14ac:dyDescent="0.45">
      <c r="A47" s="50" t="s">
        <v>114</v>
      </c>
      <c r="B47" s="50" t="s">
        <v>165</v>
      </c>
      <c r="C47" s="50" t="s">
        <v>91</v>
      </c>
      <c r="D47" s="49">
        <v>42877</v>
      </c>
      <c r="E47" s="50" t="s">
        <v>115</v>
      </c>
      <c r="F47" s="50">
        <v>10</v>
      </c>
      <c r="G47" s="50">
        <v>15</v>
      </c>
      <c r="H47" s="50" t="s">
        <v>113</v>
      </c>
      <c r="I47" s="57">
        <v>17500000</v>
      </c>
      <c r="J47" s="57">
        <v>2565000</v>
      </c>
      <c r="K47" s="57">
        <v>17500000</v>
      </c>
      <c r="L47" s="49">
        <v>42923</v>
      </c>
      <c r="M47" s="49">
        <v>11778</v>
      </c>
    </row>
    <row r="48" spans="1:13" x14ac:dyDescent="0.45">
      <c r="A48" s="50" t="s">
        <v>114</v>
      </c>
      <c r="B48" s="50" t="s">
        <v>165</v>
      </c>
      <c r="C48" s="50" t="s">
        <v>91</v>
      </c>
      <c r="D48" s="49">
        <v>42877</v>
      </c>
      <c r="E48" s="50" t="s">
        <v>116</v>
      </c>
      <c r="F48" s="50">
        <v>10</v>
      </c>
      <c r="G48" s="50">
        <v>15</v>
      </c>
      <c r="H48" s="50" t="s">
        <v>113</v>
      </c>
      <c r="I48" s="57">
        <v>17500000</v>
      </c>
      <c r="J48" s="57">
        <v>2565000</v>
      </c>
      <c r="K48" s="57">
        <v>17500000</v>
      </c>
      <c r="L48" s="49">
        <v>42923</v>
      </c>
      <c r="M48" s="49">
        <v>11778</v>
      </c>
    </row>
    <row r="49" spans="1:13" x14ac:dyDescent="0.45">
      <c r="A49" s="50" t="s">
        <v>117</v>
      </c>
      <c r="B49" s="50" t="s">
        <v>165</v>
      </c>
      <c r="C49" s="50" t="s">
        <v>87</v>
      </c>
      <c r="D49" s="49">
        <v>42877</v>
      </c>
      <c r="E49" s="50" t="s">
        <v>112</v>
      </c>
      <c r="F49" s="50">
        <v>10</v>
      </c>
      <c r="G49" s="50">
        <v>5</v>
      </c>
      <c r="H49" s="50" t="s">
        <v>113</v>
      </c>
      <c r="I49" s="57">
        <v>5500000</v>
      </c>
      <c r="J49" s="57">
        <v>2565000</v>
      </c>
      <c r="K49" s="57">
        <v>5500000</v>
      </c>
      <c r="L49" s="49">
        <v>42923</v>
      </c>
      <c r="M49" s="49">
        <v>44650</v>
      </c>
    </row>
    <row r="50" spans="1:13" x14ac:dyDescent="0.45">
      <c r="A50" s="50" t="s">
        <v>117</v>
      </c>
      <c r="B50" s="50" t="s">
        <v>165</v>
      </c>
      <c r="C50" s="50" t="s">
        <v>87</v>
      </c>
      <c r="D50" s="49">
        <v>42877</v>
      </c>
      <c r="E50" s="50" t="s">
        <v>116</v>
      </c>
      <c r="F50" s="50">
        <v>10</v>
      </c>
      <c r="G50" s="50">
        <v>5</v>
      </c>
      <c r="H50" s="50" t="s">
        <v>113</v>
      </c>
      <c r="I50" s="57">
        <v>5500000</v>
      </c>
      <c r="J50" s="57">
        <v>2565000</v>
      </c>
      <c r="K50" s="57">
        <v>5500000</v>
      </c>
      <c r="L50" s="49">
        <v>42923</v>
      </c>
      <c r="M50" s="49">
        <v>44650</v>
      </c>
    </row>
    <row r="51" spans="1:13" x14ac:dyDescent="0.45">
      <c r="A51" s="50" t="s">
        <v>117</v>
      </c>
      <c r="B51" s="50" t="s">
        <v>165</v>
      </c>
      <c r="C51" s="50" t="s">
        <v>87</v>
      </c>
      <c r="D51" s="49">
        <v>42877</v>
      </c>
      <c r="E51" s="50" t="s">
        <v>115</v>
      </c>
      <c r="F51" s="50">
        <v>10</v>
      </c>
      <c r="G51" s="50">
        <v>5</v>
      </c>
      <c r="H51" s="50" t="s">
        <v>113</v>
      </c>
      <c r="I51" s="57">
        <v>5500000</v>
      </c>
      <c r="J51" s="57">
        <v>2565000</v>
      </c>
      <c r="K51" s="57">
        <v>5500000</v>
      </c>
      <c r="L51" s="49">
        <v>42923</v>
      </c>
      <c r="M51" s="49">
        <v>44650</v>
      </c>
    </row>
    <row r="52" spans="1:13" x14ac:dyDescent="0.45">
      <c r="A52" s="50" t="s">
        <v>166</v>
      </c>
      <c r="B52" s="50" t="s">
        <v>165</v>
      </c>
      <c r="C52" s="50" t="s">
        <v>86</v>
      </c>
      <c r="D52" s="49">
        <v>42877</v>
      </c>
      <c r="E52" s="50" t="s">
        <v>112</v>
      </c>
      <c r="F52" s="50">
        <v>40</v>
      </c>
      <c r="G52" s="50">
        <v>15</v>
      </c>
      <c r="H52" s="50" t="s">
        <v>113</v>
      </c>
      <c r="I52" s="57">
        <v>10000000</v>
      </c>
      <c r="J52" s="57">
        <v>10260000</v>
      </c>
      <c r="K52" s="57">
        <v>10000000</v>
      </c>
      <c r="L52" s="49">
        <v>42923</v>
      </c>
      <c r="M52" s="49">
        <v>11778</v>
      </c>
    </row>
    <row r="53" spans="1:13" x14ac:dyDescent="0.45">
      <c r="A53" s="50" t="s">
        <v>166</v>
      </c>
      <c r="B53" s="50" t="s">
        <v>165</v>
      </c>
      <c r="C53" s="50" t="s">
        <v>86</v>
      </c>
      <c r="D53" s="49">
        <v>42877</v>
      </c>
      <c r="E53" s="50" t="s">
        <v>116</v>
      </c>
      <c r="F53" s="50">
        <v>40</v>
      </c>
      <c r="G53" s="50">
        <v>15</v>
      </c>
      <c r="H53" s="50" t="s">
        <v>113</v>
      </c>
      <c r="I53" s="57">
        <v>10000000</v>
      </c>
      <c r="J53" s="57">
        <v>10260000</v>
      </c>
      <c r="K53" s="57">
        <v>10000000</v>
      </c>
      <c r="L53" s="49">
        <v>42923</v>
      </c>
      <c r="M53" s="49">
        <v>11778</v>
      </c>
    </row>
    <row r="54" spans="1:13" x14ac:dyDescent="0.45">
      <c r="A54" s="50" t="s">
        <v>166</v>
      </c>
      <c r="B54" s="50" t="s">
        <v>165</v>
      </c>
      <c r="C54" s="50" t="s">
        <v>86</v>
      </c>
      <c r="D54" s="49">
        <v>42877</v>
      </c>
      <c r="E54" s="50" t="s">
        <v>115</v>
      </c>
      <c r="F54" s="50">
        <v>20</v>
      </c>
      <c r="G54" s="50">
        <v>15</v>
      </c>
      <c r="H54" s="50" t="s">
        <v>113</v>
      </c>
      <c r="I54" s="57">
        <v>6000000</v>
      </c>
      <c r="J54" s="57">
        <v>5130000</v>
      </c>
      <c r="K54" s="57">
        <v>5000000</v>
      </c>
      <c r="L54" s="49">
        <v>42923</v>
      </c>
      <c r="M54" s="49">
        <v>11778</v>
      </c>
    </row>
    <row r="55" spans="1:13" x14ac:dyDescent="0.45">
      <c r="A55" s="50" t="s">
        <v>166</v>
      </c>
      <c r="B55" s="50" t="s">
        <v>165</v>
      </c>
      <c r="C55" s="50" t="s">
        <v>86</v>
      </c>
      <c r="D55" s="49">
        <v>42877</v>
      </c>
      <c r="E55" s="50" t="s">
        <v>115</v>
      </c>
      <c r="F55" s="50">
        <v>20</v>
      </c>
      <c r="G55" s="50">
        <v>15</v>
      </c>
      <c r="H55" s="50" t="s">
        <v>113</v>
      </c>
      <c r="I55" s="57">
        <v>6000000</v>
      </c>
      <c r="J55" s="57">
        <v>5130000</v>
      </c>
      <c r="K55" s="57">
        <v>5000000</v>
      </c>
      <c r="L55" s="49">
        <v>42923</v>
      </c>
      <c r="M55" s="49">
        <v>11778</v>
      </c>
    </row>
    <row r="56" spans="1:13" x14ac:dyDescent="0.45">
      <c r="A56" s="50" t="s">
        <v>166</v>
      </c>
      <c r="B56" s="50" t="s">
        <v>165</v>
      </c>
      <c r="C56" s="50" t="s">
        <v>86</v>
      </c>
      <c r="D56" s="49">
        <v>42877</v>
      </c>
      <c r="E56" s="50" t="s">
        <v>118</v>
      </c>
      <c r="F56" s="50">
        <v>20</v>
      </c>
      <c r="G56" s="50">
        <v>15</v>
      </c>
      <c r="H56" s="50" t="s">
        <v>113</v>
      </c>
      <c r="I56" s="57">
        <v>6300000</v>
      </c>
      <c r="J56" s="57">
        <v>5130000</v>
      </c>
      <c r="K56" s="57">
        <v>5000000</v>
      </c>
      <c r="L56" s="49">
        <v>42923</v>
      </c>
      <c r="M56" s="49">
        <v>11778</v>
      </c>
    </row>
    <row r="57" spans="1:13" x14ac:dyDescent="0.45">
      <c r="A57" s="50" t="s">
        <v>129</v>
      </c>
      <c r="B57" s="50" t="s">
        <v>158</v>
      </c>
      <c r="C57" s="50" t="s">
        <v>84</v>
      </c>
      <c r="D57" s="49">
        <v>42174</v>
      </c>
      <c r="E57" s="50" t="s">
        <v>85</v>
      </c>
      <c r="F57" s="50">
        <v>10</v>
      </c>
      <c r="G57" s="50">
        <v>17</v>
      </c>
      <c r="H57" s="50" t="s">
        <v>97</v>
      </c>
      <c r="I57" s="57">
        <v>237494000</v>
      </c>
      <c r="J57" s="57">
        <v>0</v>
      </c>
      <c r="K57" s="57">
        <v>37500000</v>
      </c>
      <c r="L57" s="49">
        <v>42736</v>
      </c>
      <c r="M57" s="49">
        <v>48944</v>
      </c>
    </row>
    <row r="58" spans="1:13" x14ac:dyDescent="0.45">
      <c r="A58" s="50" t="s">
        <v>129</v>
      </c>
      <c r="B58" s="50" t="s">
        <v>158</v>
      </c>
      <c r="C58" s="50" t="s">
        <v>84</v>
      </c>
      <c r="D58" s="49">
        <v>42174</v>
      </c>
      <c r="E58" s="50" t="s">
        <v>130</v>
      </c>
      <c r="F58" s="50">
        <v>10</v>
      </c>
      <c r="G58" s="50">
        <v>17</v>
      </c>
      <c r="H58" s="50" t="s">
        <v>97</v>
      </c>
      <c r="I58" s="57">
        <v>248054000</v>
      </c>
      <c r="J58" s="57">
        <v>0</v>
      </c>
      <c r="K58" s="57">
        <v>37500000</v>
      </c>
      <c r="L58" s="49">
        <v>42736</v>
      </c>
      <c r="M58" s="49">
        <v>48944</v>
      </c>
    </row>
    <row r="59" spans="1:13" x14ac:dyDescent="0.45">
      <c r="A59" s="50" t="s">
        <v>129</v>
      </c>
      <c r="B59" s="50" t="s">
        <v>158</v>
      </c>
      <c r="C59" s="50" t="s">
        <v>84</v>
      </c>
      <c r="D59" s="49">
        <v>42174</v>
      </c>
      <c r="E59" s="50" t="s">
        <v>85</v>
      </c>
      <c r="F59" s="50">
        <v>10</v>
      </c>
      <c r="G59" s="50">
        <v>17</v>
      </c>
      <c r="H59" s="50" t="s">
        <v>97</v>
      </c>
      <c r="I59" s="57">
        <v>258247000</v>
      </c>
      <c r="J59" s="57">
        <v>0</v>
      </c>
      <c r="K59" s="57">
        <v>37500000</v>
      </c>
      <c r="L59" s="49">
        <v>42736</v>
      </c>
      <c r="M59" s="49">
        <v>48944</v>
      </c>
    </row>
    <row r="60" spans="1:13" x14ac:dyDescent="0.45">
      <c r="A60" s="50" t="s">
        <v>129</v>
      </c>
      <c r="B60" s="50" t="s">
        <v>158</v>
      </c>
      <c r="C60" s="50" t="s">
        <v>84</v>
      </c>
      <c r="D60" s="49">
        <v>42174</v>
      </c>
      <c r="E60" s="50" t="s">
        <v>85</v>
      </c>
      <c r="F60" s="50">
        <v>10</v>
      </c>
      <c r="G60" s="50">
        <v>17</v>
      </c>
      <c r="H60" s="50" t="s">
        <v>97</v>
      </c>
      <c r="I60" s="57">
        <v>249133000</v>
      </c>
      <c r="J60" s="57">
        <v>0</v>
      </c>
      <c r="K60" s="57">
        <v>37500000</v>
      </c>
      <c r="L60" s="49">
        <v>42736</v>
      </c>
      <c r="M60" s="49">
        <v>48944</v>
      </c>
    </row>
    <row r="61" spans="1:13" x14ac:dyDescent="0.45">
      <c r="A61" s="50" t="s">
        <v>129</v>
      </c>
      <c r="B61" s="50" t="s">
        <v>158</v>
      </c>
      <c r="C61" s="50" t="s">
        <v>84</v>
      </c>
      <c r="D61" s="49">
        <v>42174</v>
      </c>
      <c r="E61" s="50" t="s">
        <v>130</v>
      </c>
      <c r="F61" s="50">
        <v>10</v>
      </c>
      <c r="G61" s="50">
        <v>17</v>
      </c>
      <c r="H61" s="50" t="s">
        <v>97</v>
      </c>
      <c r="I61" s="57">
        <v>248101000</v>
      </c>
      <c r="J61" s="57">
        <v>0</v>
      </c>
      <c r="K61" s="57">
        <v>37500000</v>
      </c>
      <c r="L61" s="49">
        <v>42736</v>
      </c>
      <c r="M61" s="49">
        <v>48944</v>
      </c>
    </row>
    <row r="62" spans="1:13" x14ac:dyDescent="0.45">
      <c r="A62" s="50" t="s">
        <v>129</v>
      </c>
      <c r="B62" s="50" t="s">
        <v>158</v>
      </c>
      <c r="C62" s="50" t="s">
        <v>84</v>
      </c>
      <c r="D62" s="49">
        <v>42174</v>
      </c>
      <c r="E62" s="50" t="s">
        <v>85</v>
      </c>
      <c r="F62" s="50">
        <v>10</v>
      </c>
      <c r="G62" s="50">
        <v>17</v>
      </c>
      <c r="H62" s="50" t="s">
        <v>97</v>
      </c>
      <c r="I62" s="57">
        <v>255967000</v>
      </c>
      <c r="J62" s="57">
        <v>0</v>
      </c>
      <c r="K62" s="57">
        <v>37500000</v>
      </c>
      <c r="L62" s="49">
        <v>42736</v>
      </c>
      <c r="M62" s="49">
        <v>48944</v>
      </c>
    </row>
    <row r="63" spans="1:13" x14ac:dyDescent="0.45">
      <c r="A63" s="50" t="s">
        <v>129</v>
      </c>
      <c r="B63" s="50" t="s">
        <v>158</v>
      </c>
      <c r="C63" s="50" t="s">
        <v>84</v>
      </c>
      <c r="D63" s="49">
        <v>42174</v>
      </c>
      <c r="E63" s="50" t="s">
        <v>131</v>
      </c>
      <c r="F63" s="50">
        <v>10</v>
      </c>
      <c r="G63" s="50">
        <v>17</v>
      </c>
      <c r="H63" s="50" t="s">
        <v>97</v>
      </c>
      <c r="I63" s="57">
        <v>239228000</v>
      </c>
      <c r="J63" s="57">
        <v>0</v>
      </c>
      <c r="K63" s="57">
        <v>37500000</v>
      </c>
      <c r="L63" s="49">
        <v>42736</v>
      </c>
      <c r="M63" s="49">
        <v>48944</v>
      </c>
    </row>
    <row r="64" spans="1:13" x14ac:dyDescent="0.45">
      <c r="A64" s="50" t="s">
        <v>129</v>
      </c>
      <c r="B64" s="50" t="s">
        <v>158</v>
      </c>
      <c r="C64" s="50" t="s">
        <v>84</v>
      </c>
      <c r="D64" s="49">
        <v>42174</v>
      </c>
      <c r="E64" s="50" t="s">
        <v>130</v>
      </c>
      <c r="F64" s="50">
        <v>10</v>
      </c>
      <c r="G64" s="50">
        <v>17</v>
      </c>
      <c r="H64" s="50" t="s">
        <v>97</v>
      </c>
      <c r="I64" s="57">
        <v>248784000</v>
      </c>
      <c r="J64" s="57">
        <v>0</v>
      </c>
      <c r="K64" s="57">
        <v>37500000</v>
      </c>
      <c r="L64" s="49">
        <v>42736</v>
      </c>
      <c r="M64" s="49">
        <v>48944</v>
      </c>
    </row>
    <row r="65" spans="1:13" x14ac:dyDescent="0.45">
      <c r="A65" s="50" t="s">
        <v>129</v>
      </c>
      <c r="B65" s="50" t="s">
        <v>158</v>
      </c>
      <c r="C65" s="50" t="s">
        <v>84</v>
      </c>
      <c r="D65" s="49">
        <v>42174</v>
      </c>
      <c r="E65" s="50" t="s">
        <v>131</v>
      </c>
      <c r="F65" s="50">
        <v>10</v>
      </c>
      <c r="G65" s="50">
        <v>17</v>
      </c>
      <c r="H65" s="50" t="s">
        <v>97</v>
      </c>
      <c r="I65" s="57">
        <v>240288000</v>
      </c>
      <c r="J65" s="57">
        <v>0</v>
      </c>
      <c r="K65" s="57">
        <v>37500000</v>
      </c>
      <c r="L65" s="49">
        <v>42736</v>
      </c>
      <c r="M65" s="49">
        <v>48944</v>
      </c>
    </row>
    <row r="66" spans="1:13" x14ac:dyDescent="0.45">
      <c r="A66" s="50" t="s">
        <v>129</v>
      </c>
      <c r="B66" s="50" t="s">
        <v>158</v>
      </c>
      <c r="C66" s="50" t="s">
        <v>84</v>
      </c>
      <c r="D66" s="49">
        <v>42174</v>
      </c>
      <c r="E66" s="50" t="s">
        <v>85</v>
      </c>
      <c r="F66" s="50">
        <v>10</v>
      </c>
      <c r="G66" s="50">
        <v>17</v>
      </c>
      <c r="H66" s="50" t="s">
        <v>97</v>
      </c>
      <c r="I66" s="57">
        <v>180153000</v>
      </c>
      <c r="J66" s="57">
        <v>0</v>
      </c>
      <c r="K66" s="57">
        <v>37500000</v>
      </c>
      <c r="L66" s="49">
        <v>42736</v>
      </c>
      <c r="M66" s="49">
        <v>48944</v>
      </c>
    </row>
    <row r="67" spans="1:13" x14ac:dyDescent="0.45">
      <c r="A67" s="50" t="s">
        <v>132</v>
      </c>
      <c r="B67" s="50" t="s">
        <v>158</v>
      </c>
      <c r="C67" s="50" t="s">
        <v>93</v>
      </c>
      <c r="D67" s="49">
        <v>42174</v>
      </c>
      <c r="E67" s="50" t="s">
        <v>131</v>
      </c>
      <c r="F67" s="50">
        <v>10</v>
      </c>
      <c r="G67" s="50">
        <v>15</v>
      </c>
      <c r="H67" s="50" t="s">
        <v>97</v>
      </c>
      <c r="I67" s="57">
        <v>166397000</v>
      </c>
      <c r="J67" s="57">
        <v>0</v>
      </c>
      <c r="K67" s="57">
        <v>75000000</v>
      </c>
      <c r="L67" s="49"/>
      <c r="M67" s="49">
        <v>48944</v>
      </c>
    </row>
    <row r="68" spans="1:13" x14ac:dyDescent="0.45">
      <c r="A68" s="50" t="s">
        <v>132</v>
      </c>
      <c r="B68" s="50" t="s">
        <v>158</v>
      </c>
      <c r="C68" s="50" t="s">
        <v>93</v>
      </c>
      <c r="D68" s="49">
        <v>42174</v>
      </c>
      <c r="E68" s="50" t="s">
        <v>85</v>
      </c>
      <c r="F68" s="50">
        <v>10</v>
      </c>
      <c r="G68" s="50">
        <v>15</v>
      </c>
      <c r="H68" s="50" t="s">
        <v>97</v>
      </c>
      <c r="I68" s="57">
        <v>165509000</v>
      </c>
      <c r="J68" s="57">
        <v>0</v>
      </c>
      <c r="K68" s="57">
        <v>75000000</v>
      </c>
      <c r="L68" s="49"/>
      <c r="M68" s="49">
        <v>48944</v>
      </c>
    </row>
    <row r="69" spans="1:13" x14ac:dyDescent="0.45">
      <c r="A69" s="50" t="s">
        <v>132</v>
      </c>
      <c r="B69" s="50" t="s">
        <v>158</v>
      </c>
      <c r="C69" s="50" t="s">
        <v>93</v>
      </c>
      <c r="D69" s="49">
        <v>42174</v>
      </c>
      <c r="E69" s="50" t="s">
        <v>131</v>
      </c>
      <c r="F69" s="50">
        <v>10</v>
      </c>
      <c r="G69" s="50">
        <v>15</v>
      </c>
      <c r="H69" s="50" t="s">
        <v>97</v>
      </c>
      <c r="I69" s="57">
        <v>166847000</v>
      </c>
      <c r="J69" s="57">
        <v>0</v>
      </c>
      <c r="K69" s="57">
        <v>75000000</v>
      </c>
      <c r="L69" s="49"/>
      <c r="M69" s="49">
        <v>48944</v>
      </c>
    </row>
    <row r="70" spans="1:13" x14ac:dyDescent="0.45">
      <c r="A70" s="50" t="s">
        <v>132</v>
      </c>
      <c r="B70" s="50" t="s">
        <v>158</v>
      </c>
      <c r="C70" s="50" t="s">
        <v>93</v>
      </c>
      <c r="D70" s="49">
        <v>42174</v>
      </c>
      <c r="E70" s="50" t="s">
        <v>130</v>
      </c>
      <c r="F70" s="50">
        <v>10</v>
      </c>
      <c r="G70" s="50">
        <v>15</v>
      </c>
      <c r="H70" s="50" t="s">
        <v>97</v>
      </c>
      <c r="I70" s="57">
        <v>166567000</v>
      </c>
      <c r="J70" s="57">
        <v>0</v>
      </c>
      <c r="K70" s="57">
        <v>75000000</v>
      </c>
      <c r="L70" s="49"/>
      <c r="M70" s="49">
        <v>48944</v>
      </c>
    </row>
    <row r="71" spans="1:13" x14ac:dyDescent="0.45">
      <c r="A71" s="50" t="s">
        <v>132</v>
      </c>
      <c r="B71" s="50" t="s">
        <v>158</v>
      </c>
      <c r="C71" s="50" t="s">
        <v>93</v>
      </c>
      <c r="D71" s="49">
        <v>42174</v>
      </c>
      <c r="E71" s="50" t="s">
        <v>130</v>
      </c>
      <c r="F71" s="50">
        <v>10</v>
      </c>
      <c r="G71" s="50">
        <v>15</v>
      </c>
      <c r="H71" s="50" t="s">
        <v>97</v>
      </c>
      <c r="I71" s="57">
        <v>171649000</v>
      </c>
      <c r="J71" s="57">
        <v>0</v>
      </c>
      <c r="K71" s="57">
        <v>75000000</v>
      </c>
      <c r="L71" s="49"/>
      <c r="M71" s="49">
        <v>48944</v>
      </c>
    </row>
    <row r="72" spans="1:13" x14ac:dyDescent="0.45">
      <c r="A72" s="50" t="s">
        <v>132</v>
      </c>
      <c r="B72" s="50" t="s">
        <v>158</v>
      </c>
      <c r="C72" s="50" t="s">
        <v>93</v>
      </c>
      <c r="D72" s="49">
        <v>42174</v>
      </c>
      <c r="E72" s="50" t="s">
        <v>85</v>
      </c>
      <c r="F72" s="50">
        <v>10</v>
      </c>
      <c r="G72" s="50">
        <v>15</v>
      </c>
      <c r="H72" s="50" t="s">
        <v>97</v>
      </c>
      <c r="I72" s="57">
        <v>163476000</v>
      </c>
      <c r="J72" s="57">
        <v>0</v>
      </c>
      <c r="K72" s="57">
        <v>75000000</v>
      </c>
      <c r="L72" s="49"/>
      <c r="M72" s="49">
        <v>48944</v>
      </c>
    </row>
    <row r="73" spans="1:13" x14ac:dyDescent="0.45">
      <c r="A73" s="50" t="s">
        <v>174</v>
      </c>
      <c r="B73" s="50" t="s">
        <v>149</v>
      </c>
      <c r="C73" s="50" t="s">
        <v>86</v>
      </c>
      <c r="D73" s="49">
        <v>41925</v>
      </c>
      <c r="E73" s="50" t="s">
        <v>122</v>
      </c>
      <c r="F73" s="50">
        <v>60</v>
      </c>
      <c r="G73" s="50">
        <v>15</v>
      </c>
      <c r="H73" s="50" t="s">
        <v>97</v>
      </c>
      <c r="I73" s="57">
        <v>28212000</v>
      </c>
      <c r="J73" s="57">
        <v>0</v>
      </c>
      <c r="K73" s="57"/>
      <c r="L73" s="49"/>
      <c r="M73" s="49"/>
    </row>
    <row r="74" spans="1:13" x14ac:dyDescent="0.45">
      <c r="A74" s="50" t="s">
        <v>174</v>
      </c>
      <c r="B74" s="50" t="s">
        <v>149</v>
      </c>
      <c r="C74" s="50" t="s">
        <v>86</v>
      </c>
      <c r="D74" s="49">
        <v>41925</v>
      </c>
      <c r="E74" s="50" t="s">
        <v>85</v>
      </c>
      <c r="F74" s="50">
        <v>40</v>
      </c>
      <c r="G74" s="50">
        <v>15</v>
      </c>
      <c r="H74" s="50" t="s">
        <v>97</v>
      </c>
      <c r="I74" s="57">
        <v>18800000</v>
      </c>
      <c r="J74" s="57">
        <v>0</v>
      </c>
      <c r="K74" s="57"/>
      <c r="L74" s="49"/>
      <c r="M74" s="49"/>
    </row>
    <row r="75" spans="1:13" x14ac:dyDescent="0.45">
      <c r="A75" s="50" t="s">
        <v>174</v>
      </c>
      <c r="B75" s="50" t="s">
        <v>149</v>
      </c>
      <c r="C75" s="50" t="s">
        <v>86</v>
      </c>
      <c r="D75" s="49">
        <v>41925</v>
      </c>
      <c r="E75" s="50" t="s">
        <v>123</v>
      </c>
      <c r="F75" s="50">
        <v>40</v>
      </c>
      <c r="G75" s="50">
        <v>15</v>
      </c>
      <c r="H75" s="50" t="s">
        <v>97</v>
      </c>
      <c r="I75" s="57">
        <v>18812000</v>
      </c>
      <c r="J75" s="57">
        <v>0</v>
      </c>
      <c r="K75" s="57"/>
      <c r="L75" s="49"/>
      <c r="M75" s="49"/>
    </row>
    <row r="76" spans="1:13" x14ac:dyDescent="0.45">
      <c r="A76" s="50" t="s">
        <v>124</v>
      </c>
      <c r="B76" s="50" t="s">
        <v>149</v>
      </c>
      <c r="C76" s="50" t="s">
        <v>91</v>
      </c>
      <c r="D76" s="49">
        <v>41925</v>
      </c>
      <c r="E76" s="50" t="s">
        <v>122</v>
      </c>
      <c r="F76" s="50">
        <v>20</v>
      </c>
      <c r="G76" s="50">
        <v>15</v>
      </c>
      <c r="H76" s="50" t="s">
        <v>97</v>
      </c>
      <c r="I76" s="57">
        <v>103000000</v>
      </c>
      <c r="J76" s="57">
        <v>0</v>
      </c>
      <c r="K76" s="57"/>
      <c r="L76" s="49"/>
      <c r="M76" s="49"/>
    </row>
    <row r="77" spans="1:13" x14ac:dyDescent="0.45">
      <c r="A77" s="50" t="s">
        <v>124</v>
      </c>
      <c r="B77" s="50" t="s">
        <v>149</v>
      </c>
      <c r="C77" s="50" t="s">
        <v>91</v>
      </c>
      <c r="D77" s="49">
        <v>41925</v>
      </c>
      <c r="E77" s="50" t="s">
        <v>85</v>
      </c>
      <c r="F77" s="50">
        <v>20</v>
      </c>
      <c r="G77" s="50">
        <v>15</v>
      </c>
      <c r="H77" s="50" t="s">
        <v>97</v>
      </c>
      <c r="I77" s="57">
        <v>103101000</v>
      </c>
      <c r="J77" s="57">
        <v>0</v>
      </c>
      <c r="K77" s="57"/>
      <c r="L77" s="49"/>
      <c r="M77" s="49"/>
    </row>
    <row r="78" spans="1:13" x14ac:dyDescent="0.45">
      <c r="A78" s="50" t="s">
        <v>124</v>
      </c>
      <c r="B78" s="50" t="s">
        <v>149</v>
      </c>
      <c r="C78" s="50" t="s">
        <v>91</v>
      </c>
      <c r="D78" s="49">
        <v>41925</v>
      </c>
      <c r="E78" s="50" t="s">
        <v>123</v>
      </c>
      <c r="F78" s="50">
        <v>20</v>
      </c>
      <c r="G78" s="50">
        <v>15</v>
      </c>
      <c r="H78" s="50" t="s">
        <v>97</v>
      </c>
      <c r="I78" s="57">
        <v>103013000</v>
      </c>
      <c r="J78" s="57">
        <v>0</v>
      </c>
      <c r="K78" s="57"/>
      <c r="L78" s="49"/>
      <c r="M78" s="49"/>
    </row>
    <row r="79" spans="1:13" x14ac:dyDescent="0.45">
      <c r="A79" s="50" t="s">
        <v>180</v>
      </c>
      <c r="B79" s="50" t="s">
        <v>158</v>
      </c>
      <c r="C79" s="50" t="s">
        <v>86</v>
      </c>
      <c r="D79" s="49">
        <v>40318</v>
      </c>
      <c r="E79" s="50" t="s">
        <v>133</v>
      </c>
      <c r="F79" s="50">
        <v>10</v>
      </c>
      <c r="G79" s="50">
        <v>15</v>
      </c>
      <c r="H79" s="50" t="s">
        <v>97</v>
      </c>
      <c r="I79" s="57">
        <v>19096000</v>
      </c>
      <c r="J79" s="57">
        <v>0</v>
      </c>
      <c r="K79" s="57">
        <v>2500000</v>
      </c>
      <c r="L79" s="49">
        <v>40420</v>
      </c>
      <c r="M79" s="49">
        <v>46022</v>
      </c>
    </row>
    <row r="80" spans="1:13" x14ac:dyDescent="0.45">
      <c r="A80" s="50" t="s">
        <v>180</v>
      </c>
      <c r="B80" s="50" t="s">
        <v>158</v>
      </c>
      <c r="C80" s="50" t="s">
        <v>86</v>
      </c>
      <c r="D80" s="49">
        <v>40318</v>
      </c>
      <c r="E80" s="50" t="s">
        <v>133</v>
      </c>
      <c r="F80" s="50">
        <v>10</v>
      </c>
      <c r="G80" s="50">
        <v>15</v>
      </c>
      <c r="H80" s="50" t="s">
        <v>97</v>
      </c>
      <c r="I80" s="57">
        <v>19025000</v>
      </c>
      <c r="J80" s="57">
        <v>0</v>
      </c>
      <c r="K80" s="57">
        <v>2500000</v>
      </c>
      <c r="L80" s="49">
        <v>40420</v>
      </c>
      <c r="M80" s="49">
        <v>46022</v>
      </c>
    </row>
    <row r="81" spans="1:13" x14ac:dyDescent="0.45">
      <c r="A81" s="50" t="s">
        <v>180</v>
      </c>
      <c r="B81" s="50" t="s">
        <v>158</v>
      </c>
      <c r="C81" s="50" t="s">
        <v>86</v>
      </c>
      <c r="D81" s="49">
        <v>40318</v>
      </c>
      <c r="E81" s="50" t="s">
        <v>90</v>
      </c>
      <c r="F81" s="50">
        <v>10</v>
      </c>
      <c r="G81" s="50">
        <v>15</v>
      </c>
      <c r="H81" s="50" t="s">
        <v>97</v>
      </c>
      <c r="I81" s="57">
        <v>17364000</v>
      </c>
      <c r="J81" s="57">
        <v>0</v>
      </c>
      <c r="K81" s="57">
        <v>2500000</v>
      </c>
      <c r="L81" s="49">
        <v>40420</v>
      </c>
      <c r="M81" s="49">
        <v>46022</v>
      </c>
    </row>
    <row r="82" spans="1:13" x14ac:dyDescent="0.45">
      <c r="A82" s="50" t="s">
        <v>180</v>
      </c>
      <c r="B82" s="50" t="s">
        <v>158</v>
      </c>
      <c r="C82" s="50" t="s">
        <v>86</v>
      </c>
      <c r="D82" s="49">
        <v>40318</v>
      </c>
      <c r="E82" s="50" t="s">
        <v>90</v>
      </c>
      <c r="F82" s="50">
        <v>10</v>
      </c>
      <c r="G82" s="50">
        <v>15</v>
      </c>
      <c r="H82" s="50" t="s">
        <v>97</v>
      </c>
      <c r="I82" s="57">
        <v>17364000</v>
      </c>
      <c r="J82" s="57">
        <v>0</v>
      </c>
      <c r="K82" s="57">
        <v>2500000</v>
      </c>
      <c r="L82" s="49">
        <v>40420</v>
      </c>
      <c r="M82" s="49">
        <v>46022</v>
      </c>
    </row>
    <row r="83" spans="1:13" x14ac:dyDescent="0.45">
      <c r="A83" s="50" t="s">
        <v>180</v>
      </c>
      <c r="B83" s="50" t="s">
        <v>158</v>
      </c>
      <c r="C83" s="50" t="s">
        <v>86</v>
      </c>
      <c r="D83" s="49">
        <v>40318</v>
      </c>
      <c r="E83" s="50" t="s">
        <v>85</v>
      </c>
      <c r="F83" s="50">
        <v>10</v>
      </c>
      <c r="G83" s="50">
        <v>15</v>
      </c>
      <c r="H83" s="50" t="s">
        <v>97</v>
      </c>
      <c r="I83" s="57">
        <v>18948000</v>
      </c>
      <c r="J83" s="57">
        <v>0</v>
      </c>
      <c r="K83" s="57">
        <v>2500000</v>
      </c>
      <c r="L83" s="49">
        <v>40420</v>
      </c>
      <c r="M83" s="49">
        <v>46022</v>
      </c>
    </row>
    <row r="84" spans="1:13" x14ac:dyDescent="0.45">
      <c r="A84" s="50" t="s">
        <v>180</v>
      </c>
      <c r="B84" s="50" t="s">
        <v>158</v>
      </c>
      <c r="C84" s="50" t="s">
        <v>86</v>
      </c>
      <c r="D84" s="49">
        <v>40318</v>
      </c>
      <c r="E84" s="50" t="s">
        <v>85</v>
      </c>
      <c r="F84" s="50">
        <v>10</v>
      </c>
      <c r="G84" s="50">
        <v>15</v>
      </c>
      <c r="H84" s="50" t="s">
        <v>97</v>
      </c>
      <c r="I84" s="57">
        <v>19025000</v>
      </c>
      <c r="J84" s="57">
        <v>0</v>
      </c>
      <c r="K84" s="57">
        <v>2500000</v>
      </c>
      <c r="L84" s="49">
        <v>40420</v>
      </c>
      <c r="M84" s="49">
        <v>46022</v>
      </c>
    </row>
    <row r="85" spans="1:13" x14ac:dyDescent="0.45">
      <c r="A85" s="50" t="s">
        <v>180</v>
      </c>
      <c r="B85" s="50" t="s">
        <v>158</v>
      </c>
      <c r="C85" s="50" t="s">
        <v>86</v>
      </c>
      <c r="D85" s="49">
        <v>40318</v>
      </c>
      <c r="E85" s="50" t="s">
        <v>133</v>
      </c>
      <c r="F85" s="50">
        <v>10</v>
      </c>
      <c r="G85" s="50">
        <v>15</v>
      </c>
      <c r="H85" s="50" t="s">
        <v>97</v>
      </c>
      <c r="I85" s="57">
        <v>19069000</v>
      </c>
      <c r="J85" s="57">
        <v>0</v>
      </c>
      <c r="K85" s="57">
        <v>2500000</v>
      </c>
      <c r="L85" s="49">
        <v>40420</v>
      </c>
      <c r="M85" s="49">
        <v>46022</v>
      </c>
    </row>
    <row r="86" spans="1:13" x14ac:dyDescent="0.45">
      <c r="A86" s="50" t="s">
        <v>180</v>
      </c>
      <c r="B86" s="50" t="s">
        <v>158</v>
      </c>
      <c r="C86" s="50" t="s">
        <v>86</v>
      </c>
      <c r="D86" s="49">
        <v>40318</v>
      </c>
      <c r="E86" s="50" t="s">
        <v>133</v>
      </c>
      <c r="F86" s="50">
        <v>10</v>
      </c>
      <c r="G86" s="50">
        <v>15</v>
      </c>
      <c r="H86" s="50" t="s">
        <v>97</v>
      </c>
      <c r="I86" s="57">
        <v>19038000</v>
      </c>
      <c r="J86" s="57">
        <v>0</v>
      </c>
      <c r="K86" s="57">
        <v>2500000</v>
      </c>
      <c r="L86" s="49">
        <v>40420</v>
      </c>
      <c r="M86" s="49">
        <v>46022</v>
      </c>
    </row>
    <row r="87" spans="1:13" x14ac:dyDescent="0.45">
      <c r="A87" s="50" t="s">
        <v>180</v>
      </c>
      <c r="B87" s="50" t="s">
        <v>158</v>
      </c>
      <c r="C87" s="50" t="s">
        <v>86</v>
      </c>
      <c r="D87" s="49">
        <v>40318</v>
      </c>
      <c r="E87" s="50" t="s">
        <v>90</v>
      </c>
      <c r="F87" s="50">
        <v>10</v>
      </c>
      <c r="G87" s="50">
        <v>15</v>
      </c>
      <c r="H87" s="50" t="s">
        <v>97</v>
      </c>
      <c r="I87" s="57">
        <v>18948000</v>
      </c>
      <c r="J87" s="57">
        <v>0</v>
      </c>
      <c r="K87" s="57">
        <v>2500000</v>
      </c>
      <c r="L87" s="49">
        <v>40420</v>
      </c>
      <c r="M87" s="49">
        <v>46022</v>
      </c>
    </row>
    <row r="88" spans="1:13" x14ac:dyDescent="0.45">
      <c r="A88" s="50" t="s">
        <v>180</v>
      </c>
      <c r="B88" s="50" t="s">
        <v>158</v>
      </c>
      <c r="C88" s="50" t="s">
        <v>86</v>
      </c>
      <c r="D88" s="49">
        <v>40318</v>
      </c>
      <c r="E88" s="50" t="s">
        <v>134</v>
      </c>
      <c r="F88" s="50">
        <v>10</v>
      </c>
      <c r="G88" s="50">
        <v>15</v>
      </c>
      <c r="H88" s="50" t="s">
        <v>97</v>
      </c>
      <c r="I88" s="57">
        <v>18931000</v>
      </c>
      <c r="J88" s="57">
        <v>0</v>
      </c>
      <c r="K88" s="57">
        <v>2500000</v>
      </c>
      <c r="L88" s="49">
        <v>40420</v>
      </c>
      <c r="M88" s="49">
        <v>46022</v>
      </c>
    </row>
    <row r="89" spans="1:13" x14ac:dyDescent="0.45">
      <c r="A89" s="50" t="s">
        <v>180</v>
      </c>
      <c r="B89" s="50" t="s">
        <v>158</v>
      </c>
      <c r="C89" s="50" t="s">
        <v>86</v>
      </c>
      <c r="D89" s="49">
        <v>40318</v>
      </c>
      <c r="E89" s="50" t="s">
        <v>134</v>
      </c>
      <c r="F89" s="50">
        <v>10</v>
      </c>
      <c r="G89" s="50">
        <v>15</v>
      </c>
      <c r="H89" s="50" t="s">
        <v>97</v>
      </c>
      <c r="I89" s="57">
        <v>17739000</v>
      </c>
      <c r="J89" s="57">
        <v>0</v>
      </c>
      <c r="K89" s="57">
        <v>2500000</v>
      </c>
      <c r="L89" s="49">
        <v>40420</v>
      </c>
      <c r="M89" s="49">
        <v>46022</v>
      </c>
    </row>
    <row r="90" spans="1:13" x14ac:dyDescent="0.45">
      <c r="A90" s="50" t="s">
        <v>180</v>
      </c>
      <c r="B90" s="50" t="s">
        <v>158</v>
      </c>
      <c r="C90" s="50" t="s">
        <v>86</v>
      </c>
      <c r="D90" s="49">
        <v>40318</v>
      </c>
      <c r="E90" s="50" t="s">
        <v>90</v>
      </c>
      <c r="F90" s="50">
        <v>10</v>
      </c>
      <c r="G90" s="50">
        <v>15</v>
      </c>
      <c r="H90" s="50" t="s">
        <v>97</v>
      </c>
      <c r="I90" s="57">
        <v>17739000</v>
      </c>
      <c r="J90" s="57">
        <v>0</v>
      </c>
      <c r="K90" s="57">
        <v>2500000</v>
      </c>
      <c r="L90" s="49">
        <v>40420</v>
      </c>
      <c r="M90" s="49">
        <v>46022</v>
      </c>
    </row>
    <row r="91" spans="1:13" x14ac:dyDescent="0.45">
      <c r="A91" s="50" t="s">
        <v>180</v>
      </c>
      <c r="B91" s="50" t="s">
        <v>158</v>
      </c>
      <c r="C91" s="50" t="s">
        <v>86</v>
      </c>
      <c r="D91" s="49">
        <v>40318</v>
      </c>
      <c r="E91" s="50" t="s">
        <v>85</v>
      </c>
      <c r="F91" s="50">
        <v>10</v>
      </c>
      <c r="G91" s="50">
        <v>15</v>
      </c>
      <c r="H91" s="50" t="s">
        <v>97</v>
      </c>
      <c r="I91" s="57">
        <v>17739000</v>
      </c>
      <c r="J91" s="57">
        <v>0</v>
      </c>
      <c r="K91" s="57">
        <v>2500000</v>
      </c>
      <c r="L91" s="49">
        <v>40420</v>
      </c>
      <c r="M91" s="49">
        <v>46022</v>
      </c>
    </row>
    <row r="92" spans="1:13" x14ac:dyDescent="0.45">
      <c r="A92" s="50" t="s">
        <v>180</v>
      </c>
      <c r="B92" s="50" t="s">
        <v>158</v>
      </c>
      <c r="C92" s="50" t="s">
        <v>86</v>
      </c>
      <c r="D92" s="49">
        <v>40318</v>
      </c>
      <c r="E92" s="50" t="s">
        <v>85</v>
      </c>
      <c r="F92" s="50">
        <v>10</v>
      </c>
      <c r="G92" s="50">
        <v>15</v>
      </c>
      <c r="H92" s="50" t="s">
        <v>97</v>
      </c>
      <c r="I92" s="57">
        <v>17752000</v>
      </c>
      <c r="J92" s="57">
        <v>0</v>
      </c>
      <c r="K92" s="57">
        <v>2500000</v>
      </c>
      <c r="L92" s="49">
        <v>40420</v>
      </c>
      <c r="M92" s="49">
        <v>46022</v>
      </c>
    </row>
    <row r="93" spans="1:13" x14ac:dyDescent="0.45">
      <c r="A93" s="50" t="s">
        <v>135</v>
      </c>
      <c r="B93" s="50" t="s">
        <v>158</v>
      </c>
      <c r="C93" s="50" t="s">
        <v>91</v>
      </c>
      <c r="D93" s="49">
        <v>40318</v>
      </c>
      <c r="E93" s="50" t="s">
        <v>90</v>
      </c>
      <c r="F93" s="50">
        <v>10</v>
      </c>
      <c r="G93" s="50">
        <v>15</v>
      </c>
      <c r="H93" s="50" t="s">
        <v>97</v>
      </c>
      <c r="I93" s="57">
        <v>616595000</v>
      </c>
      <c r="J93" s="57">
        <v>0</v>
      </c>
      <c r="K93" s="57">
        <v>2500000</v>
      </c>
      <c r="L93" s="49">
        <v>40420</v>
      </c>
      <c r="M93" s="49">
        <v>46022</v>
      </c>
    </row>
    <row r="94" spans="1:13" x14ac:dyDescent="0.45">
      <c r="A94" s="50" t="s">
        <v>135</v>
      </c>
      <c r="B94" s="50" t="s">
        <v>158</v>
      </c>
      <c r="C94" s="50" t="s">
        <v>91</v>
      </c>
      <c r="D94" s="49">
        <v>40318</v>
      </c>
      <c r="E94" s="50" t="s">
        <v>90</v>
      </c>
      <c r="F94" s="50">
        <v>10</v>
      </c>
      <c r="G94" s="50">
        <v>15</v>
      </c>
      <c r="H94" s="50" t="s">
        <v>97</v>
      </c>
      <c r="I94" s="57">
        <v>595760000</v>
      </c>
      <c r="J94" s="57">
        <v>0</v>
      </c>
      <c r="K94" s="57">
        <v>2500000</v>
      </c>
      <c r="L94" s="49">
        <v>40420</v>
      </c>
      <c r="M94" s="49">
        <v>46022</v>
      </c>
    </row>
    <row r="95" spans="1:13" x14ac:dyDescent="0.45">
      <c r="A95" s="50" t="s">
        <v>135</v>
      </c>
      <c r="B95" s="50" t="s">
        <v>158</v>
      </c>
      <c r="C95" s="50" t="s">
        <v>91</v>
      </c>
      <c r="D95" s="49">
        <v>40318</v>
      </c>
      <c r="E95" s="50" t="s">
        <v>133</v>
      </c>
      <c r="F95" s="50">
        <v>10</v>
      </c>
      <c r="G95" s="50">
        <v>15</v>
      </c>
      <c r="H95" s="50" t="s">
        <v>97</v>
      </c>
      <c r="I95" s="57">
        <v>570849000</v>
      </c>
      <c r="J95" s="57">
        <v>0</v>
      </c>
      <c r="K95" s="57">
        <v>2500000</v>
      </c>
      <c r="L95" s="49">
        <v>40420</v>
      </c>
      <c r="M95" s="49">
        <v>46022</v>
      </c>
    </row>
    <row r="96" spans="1:13" x14ac:dyDescent="0.45">
      <c r="A96" s="50" t="s">
        <v>135</v>
      </c>
      <c r="B96" s="50" t="s">
        <v>158</v>
      </c>
      <c r="C96" s="50" t="s">
        <v>91</v>
      </c>
      <c r="D96" s="49">
        <v>40318</v>
      </c>
      <c r="E96" s="50" t="s">
        <v>133</v>
      </c>
      <c r="F96" s="50">
        <v>10</v>
      </c>
      <c r="G96" s="50">
        <v>15</v>
      </c>
      <c r="H96" s="50" t="s">
        <v>97</v>
      </c>
      <c r="I96" s="57">
        <v>582949000</v>
      </c>
      <c r="J96" s="57">
        <v>0</v>
      </c>
      <c r="K96" s="57">
        <v>2500000</v>
      </c>
      <c r="L96" s="49">
        <v>40420</v>
      </c>
      <c r="M96" s="49">
        <v>46022</v>
      </c>
    </row>
    <row r="97" spans="1:13" x14ac:dyDescent="0.45">
      <c r="A97" s="50" t="s">
        <v>135</v>
      </c>
      <c r="B97" s="50" t="s">
        <v>158</v>
      </c>
      <c r="C97" s="50" t="s">
        <v>91</v>
      </c>
      <c r="D97" s="49">
        <v>40318</v>
      </c>
      <c r="E97" s="50" t="s">
        <v>85</v>
      </c>
      <c r="F97" s="50">
        <v>10</v>
      </c>
      <c r="G97" s="50">
        <v>15</v>
      </c>
      <c r="H97" s="50" t="s">
        <v>97</v>
      </c>
      <c r="I97" s="57">
        <v>583005000</v>
      </c>
      <c r="J97" s="57">
        <v>0</v>
      </c>
      <c r="K97" s="57">
        <v>2500000</v>
      </c>
      <c r="L97" s="49">
        <v>40420</v>
      </c>
      <c r="M97" s="49">
        <v>46022</v>
      </c>
    </row>
    <row r="98" spans="1:13" x14ac:dyDescent="0.45">
      <c r="A98" s="50" t="s">
        <v>135</v>
      </c>
      <c r="B98" s="50" t="s">
        <v>158</v>
      </c>
      <c r="C98" s="50" t="s">
        <v>91</v>
      </c>
      <c r="D98" s="49">
        <v>40318</v>
      </c>
      <c r="E98" s="50" t="s">
        <v>85</v>
      </c>
      <c r="F98" s="50">
        <v>10</v>
      </c>
      <c r="G98" s="50">
        <v>15</v>
      </c>
      <c r="H98" s="50" t="s">
        <v>97</v>
      </c>
      <c r="I98" s="57">
        <v>627317000</v>
      </c>
      <c r="J98" s="57">
        <v>0</v>
      </c>
      <c r="K98" s="57">
        <v>2500000</v>
      </c>
      <c r="L98" s="49">
        <v>40420</v>
      </c>
      <c r="M98" s="49">
        <v>46022</v>
      </c>
    </row>
    <row r="99" spans="1:13" x14ac:dyDescent="0.45">
      <c r="A99" s="50" t="s">
        <v>701</v>
      </c>
      <c r="B99" s="50" t="s">
        <v>203</v>
      </c>
      <c r="C99" s="50" t="s">
        <v>93</v>
      </c>
      <c r="D99" s="49">
        <v>44123</v>
      </c>
      <c r="E99" s="50" t="s">
        <v>647</v>
      </c>
      <c r="F99" s="50">
        <v>60</v>
      </c>
      <c r="G99" s="50">
        <v>24</v>
      </c>
      <c r="H99" s="50" t="s">
        <v>97</v>
      </c>
      <c r="I99" s="57">
        <v>162669056</v>
      </c>
      <c r="J99" s="57">
        <v>2092968</v>
      </c>
      <c r="K99" s="57"/>
      <c r="L99" s="49">
        <v>44123</v>
      </c>
      <c r="M99" s="49">
        <v>52962</v>
      </c>
    </row>
    <row r="100" spans="1:13" x14ac:dyDescent="0.45">
      <c r="A100" s="50" t="s">
        <v>649</v>
      </c>
      <c r="B100" s="50" t="s">
        <v>203</v>
      </c>
      <c r="C100" s="50" t="s">
        <v>91</v>
      </c>
      <c r="D100" s="49">
        <v>41548</v>
      </c>
      <c r="E100" s="50" t="s">
        <v>648</v>
      </c>
      <c r="F100" s="50">
        <v>10</v>
      </c>
      <c r="G100" s="50">
        <v>16</v>
      </c>
      <c r="H100" s="50" t="s">
        <v>97</v>
      </c>
      <c r="I100" s="57">
        <v>97679840</v>
      </c>
      <c r="J100" s="57">
        <v>348828</v>
      </c>
      <c r="K100" s="57"/>
      <c r="L100" s="49">
        <v>41568</v>
      </c>
      <c r="M100" s="49">
        <v>47483</v>
      </c>
    </row>
    <row r="101" spans="1:13" x14ac:dyDescent="0.45">
      <c r="A101" s="50" t="s">
        <v>799</v>
      </c>
      <c r="B101" s="50" t="s">
        <v>203</v>
      </c>
      <c r="C101" s="50" t="s">
        <v>84</v>
      </c>
      <c r="D101" s="49">
        <v>41548</v>
      </c>
      <c r="E101" s="50" t="s">
        <v>648</v>
      </c>
      <c r="F101" s="50">
        <v>10</v>
      </c>
      <c r="G101" s="50">
        <v>19</v>
      </c>
      <c r="H101" s="50" t="s">
        <v>97</v>
      </c>
      <c r="I101" s="57">
        <v>64256605</v>
      </c>
      <c r="J101" s="57">
        <v>174414</v>
      </c>
      <c r="K101" s="57"/>
      <c r="L101" s="49">
        <v>42370</v>
      </c>
      <c r="M101" s="49">
        <v>49309</v>
      </c>
    </row>
    <row r="102" spans="1:13" x14ac:dyDescent="0.45">
      <c r="A102" s="50" t="s">
        <v>645</v>
      </c>
      <c r="B102" s="50" t="s">
        <v>203</v>
      </c>
      <c r="C102" s="50" t="s">
        <v>646</v>
      </c>
      <c r="D102" s="49">
        <v>44123</v>
      </c>
      <c r="E102" s="50" t="s">
        <v>647</v>
      </c>
      <c r="F102" s="50">
        <v>120</v>
      </c>
      <c r="G102" s="50">
        <v>24</v>
      </c>
      <c r="H102" s="50" t="s">
        <v>97</v>
      </c>
      <c r="I102" s="57">
        <v>184994860</v>
      </c>
      <c r="J102" s="57">
        <v>2092968</v>
      </c>
      <c r="K102" s="57">
        <v>166800000</v>
      </c>
      <c r="L102" s="49">
        <v>44197</v>
      </c>
      <c r="M102" s="49">
        <v>52962</v>
      </c>
    </row>
    <row r="103" spans="1:13" x14ac:dyDescent="0.45">
      <c r="A103" s="50" t="s">
        <v>634</v>
      </c>
      <c r="B103" s="50" t="s">
        <v>203</v>
      </c>
      <c r="C103" s="50" t="s">
        <v>86</v>
      </c>
      <c r="D103" s="49">
        <v>40441</v>
      </c>
      <c r="E103" s="50" t="s">
        <v>100</v>
      </c>
      <c r="F103" s="50">
        <v>40</v>
      </c>
      <c r="G103" s="50">
        <v>16</v>
      </c>
      <c r="H103" s="50" t="s">
        <v>97</v>
      </c>
      <c r="I103" s="57">
        <v>11247323</v>
      </c>
      <c r="J103" s="57">
        <v>0</v>
      </c>
      <c r="K103" s="57"/>
      <c r="L103" s="49"/>
      <c r="M103" s="49">
        <v>46387</v>
      </c>
    </row>
    <row r="104" spans="1:13" x14ac:dyDescent="0.45">
      <c r="A104" s="50" t="s">
        <v>634</v>
      </c>
      <c r="B104" s="50" t="s">
        <v>203</v>
      </c>
      <c r="C104" s="50" t="s">
        <v>86</v>
      </c>
      <c r="D104" s="49">
        <v>40441</v>
      </c>
      <c r="E104" s="50" t="s">
        <v>99</v>
      </c>
      <c r="F104" s="50">
        <v>20</v>
      </c>
      <c r="G104" s="50">
        <v>16</v>
      </c>
      <c r="H104" s="50" t="s">
        <v>97</v>
      </c>
      <c r="I104" s="57">
        <v>4001003</v>
      </c>
      <c r="J104" s="57">
        <v>0</v>
      </c>
      <c r="K104" s="57"/>
      <c r="L104" s="49"/>
      <c r="M104" s="49">
        <v>46387</v>
      </c>
    </row>
    <row r="105" spans="1:13" x14ac:dyDescent="0.45">
      <c r="A105" s="50" t="s">
        <v>800</v>
      </c>
      <c r="B105" s="50" t="s">
        <v>203</v>
      </c>
      <c r="C105" s="50" t="s">
        <v>781</v>
      </c>
      <c r="D105" s="49">
        <v>43563</v>
      </c>
      <c r="E105" s="50" t="s">
        <v>801</v>
      </c>
      <c r="F105" s="50">
        <v>100</v>
      </c>
      <c r="G105" s="50">
        <v>20</v>
      </c>
      <c r="H105" s="50" t="s">
        <v>97</v>
      </c>
      <c r="I105" s="57">
        <v>51910054</v>
      </c>
      <c r="J105" s="57">
        <v>697656</v>
      </c>
      <c r="K105" s="57"/>
      <c r="L105" s="49">
        <v>43563</v>
      </c>
      <c r="M105" s="49">
        <v>51135</v>
      </c>
    </row>
    <row r="106" spans="1:13" x14ac:dyDescent="0.45">
      <c r="A106" s="50" t="s">
        <v>800</v>
      </c>
      <c r="B106" s="50" t="s">
        <v>203</v>
      </c>
      <c r="C106" s="50" t="s">
        <v>781</v>
      </c>
      <c r="D106" s="49">
        <v>43563</v>
      </c>
      <c r="E106" s="50" t="s">
        <v>802</v>
      </c>
      <c r="F106" s="50">
        <v>110</v>
      </c>
      <c r="G106" s="50">
        <v>20</v>
      </c>
      <c r="H106" s="50" t="s">
        <v>97</v>
      </c>
      <c r="I106" s="57">
        <v>56903001</v>
      </c>
      <c r="J106" s="57">
        <v>767421.6</v>
      </c>
      <c r="K106" s="57"/>
      <c r="L106" s="49">
        <v>43563</v>
      </c>
      <c r="M106" s="49">
        <v>51135</v>
      </c>
    </row>
    <row r="107" spans="1:13" x14ac:dyDescent="0.45">
      <c r="A107" s="50" t="s">
        <v>755</v>
      </c>
      <c r="B107" s="50" t="s">
        <v>143</v>
      </c>
      <c r="C107" s="50" t="s">
        <v>84</v>
      </c>
      <c r="D107" s="49">
        <v>44224</v>
      </c>
      <c r="E107" s="50" t="s">
        <v>144</v>
      </c>
      <c r="F107" s="50">
        <v>40</v>
      </c>
      <c r="G107" s="50">
        <v>20</v>
      </c>
      <c r="H107" s="50" t="s">
        <v>120</v>
      </c>
      <c r="I107" s="57">
        <v>25000000000</v>
      </c>
      <c r="J107" s="57">
        <v>1560000000</v>
      </c>
      <c r="K107" s="57">
        <v>24000000000</v>
      </c>
      <c r="L107" s="49">
        <v>44659</v>
      </c>
      <c r="M107" s="49">
        <v>51965</v>
      </c>
    </row>
    <row r="108" spans="1:13" x14ac:dyDescent="0.45">
      <c r="A108" s="50" t="s">
        <v>755</v>
      </c>
      <c r="B108" s="50" t="s">
        <v>143</v>
      </c>
      <c r="C108" s="50" t="s">
        <v>84</v>
      </c>
      <c r="D108" s="49">
        <v>44224</v>
      </c>
      <c r="E108" s="50" t="s">
        <v>105</v>
      </c>
      <c r="F108" s="50">
        <v>40</v>
      </c>
      <c r="G108" s="50">
        <v>20</v>
      </c>
      <c r="H108" s="50" t="s">
        <v>120</v>
      </c>
      <c r="I108" s="57">
        <v>25000000000</v>
      </c>
      <c r="J108" s="57">
        <v>1560000000</v>
      </c>
      <c r="K108" s="57">
        <v>24000000000</v>
      </c>
      <c r="L108" s="49">
        <v>44659</v>
      </c>
      <c r="M108" s="49">
        <v>51965</v>
      </c>
    </row>
    <row r="109" spans="1:13" x14ac:dyDescent="0.45">
      <c r="A109" s="50" t="s">
        <v>755</v>
      </c>
      <c r="B109" s="50" t="s">
        <v>143</v>
      </c>
      <c r="C109" s="50" t="s">
        <v>84</v>
      </c>
      <c r="D109" s="49">
        <v>44224</v>
      </c>
      <c r="E109" s="50" t="s">
        <v>85</v>
      </c>
      <c r="F109" s="50">
        <v>40</v>
      </c>
      <c r="G109" s="50">
        <v>20</v>
      </c>
      <c r="H109" s="50" t="s">
        <v>120</v>
      </c>
      <c r="I109" s="57">
        <v>26400000000</v>
      </c>
      <c r="J109" s="57">
        <v>1560000000</v>
      </c>
      <c r="K109" s="57">
        <v>24000000000</v>
      </c>
      <c r="L109" s="49">
        <v>44659</v>
      </c>
      <c r="M109" s="49">
        <v>51965</v>
      </c>
    </row>
    <row r="110" spans="1:13" x14ac:dyDescent="0.45">
      <c r="A110" s="50" t="s">
        <v>756</v>
      </c>
      <c r="B110" s="50" t="s">
        <v>143</v>
      </c>
      <c r="C110" s="50" t="s">
        <v>93</v>
      </c>
      <c r="D110" s="49">
        <v>43916</v>
      </c>
      <c r="E110" s="50" t="s">
        <v>119</v>
      </c>
      <c r="F110" s="50">
        <v>20</v>
      </c>
      <c r="G110" s="50">
        <v>20</v>
      </c>
      <c r="H110" s="50" t="s">
        <v>120</v>
      </c>
      <c r="I110" s="57">
        <v>26000000000</v>
      </c>
      <c r="J110" s="57">
        <v>1560000000</v>
      </c>
      <c r="K110" s="57">
        <v>10000000000</v>
      </c>
      <c r="L110" s="49">
        <v>44080</v>
      </c>
      <c r="M110" s="49">
        <v>51385</v>
      </c>
    </row>
    <row r="111" spans="1:13" x14ac:dyDescent="0.45">
      <c r="A111" s="50" t="s">
        <v>756</v>
      </c>
      <c r="B111" s="50" t="s">
        <v>143</v>
      </c>
      <c r="C111" s="50" t="s">
        <v>93</v>
      </c>
      <c r="D111" s="49">
        <v>43916</v>
      </c>
      <c r="E111" s="50" t="s">
        <v>85</v>
      </c>
      <c r="F111" s="50">
        <v>20</v>
      </c>
      <c r="G111" s="50">
        <v>20</v>
      </c>
      <c r="H111" s="50" t="s">
        <v>120</v>
      </c>
      <c r="I111" s="57">
        <v>26000000000</v>
      </c>
      <c r="J111" s="57">
        <v>1560000000</v>
      </c>
      <c r="K111" s="57">
        <v>10000000000</v>
      </c>
      <c r="L111" s="49">
        <v>44080</v>
      </c>
      <c r="M111" s="49">
        <v>51385</v>
      </c>
    </row>
    <row r="112" spans="1:13" x14ac:dyDescent="0.45">
      <c r="A112" s="50" t="s">
        <v>756</v>
      </c>
      <c r="B112" s="50" t="s">
        <v>143</v>
      </c>
      <c r="C112" s="50" t="s">
        <v>93</v>
      </c>
      <c r="D112" s="49">
        <v>43916</v>
      </c>
      <c r="E112" s="50" t="s">
        <v>105</v>
      </c>
      <c r="F112" s="50">
        <v>10</v>
      </c>
      <c r="G112" s="50">
        <v>20</v>
      </c>
      <c r="H112" s="50" t="s">
        <v>120</v>
      </c>
      <c r="I112" s="57">
        <v>12500000001</v>
      </c>
      <c r="J112" s="57">
        <v>780000000</v>
      </c>
      <c r="K112" s="57">
        <v>5000000000</v>
      </c>
      <c r="L112" s="49">
        <v>44080</v>
      </c>
      <c r="M112" s="49">
        <v>51385</v>
      </c>
    </row>
    <row r="113" spans="1:13" x14ac:dyDescent="0.45">
      <c r="A113" s="50" t="s">
        <v>757</v>
      </c>
      <c r="B113" s="50" t="s">
        <v>143</v>
      </c>
      <c r="C113" s="50" t="s">
        <v>87</v>
      </c>
      <c r="D113" s="49">
        <v>43916</v>
      </c>
      <c r="E113" s="50" t="s">
        <v>119</v>
      </c>
      <c r="F113" s="50">
        <v>20</v>
      </c>
      <c r="G113" s="50">
        <v>20</v>
      </c>
      <c r="H113" s="50" t="s">
        <v>120</v>
      </c>
      <c r="I113" s="57">
        <v>8440000000</v>
      </c>
      <c r="J113" s="57">
        <v>780000000</v>
      </c>
      <c r="K113" s="57">
        <v>8000000000</v>
      </c>
      <c r="L113" s="49">
        <v>43922</v>
      </c>
      <c r="M113" s="49">
        <v>51227</v>
      </c>
    </row>
    <row r="114" spans="1:13" x14ac:dyDescent="0.45">
      <c r="A114" s="50" t="s">
        <v>757</v>
      </c>
      <c r="B114" s="50" t="s">
        <v>143</v>
      </c>
      <c r="C114" s="50" t="s">
        <v>87</v>
      </c>
      <c r="D114" s="49">
        <v>43916</v>
      </c>
      <c r="E114" s="50" t="s">
        <v>85</v>
      </c>
      <c r="F114" s="50">
        <v>10</v>
      </c>
      <c r="G114" s="50">
        <v>20</v>
      </c>
      <c r="H114" s="50" t="s">
        <v>120</v>
      </c>
      <c r="I114" s="57">
        <v>4400000000</v>
      </c>
      <c r="J114" s="57">
        <v>390000000</v>
      </c>
      <c r="K114" s="57">
        <v>4000000000</v>
      </c>
      <c r="L114" s="49">
        <v>43922</v>
      </c>
      <c r="M114" s="49">
        <v>51227</v>
      </c>
    </row>
    <row r="115" spans="1:13" x14ac:dyDescent="0.45">
      <c r="A115" s="50" t="s">
        <v>795</v>
      </c>
      <c r="B115" s="50" t="s">
        <v>143</v>
      </c>
      <c r="C115" s="50" t="s">
        <v>781</v>
      </c>
      <c r="D115" s="49">
        <v>43916</v>
      </c>
      <c r="E115" s="50" t="s">
        <v>119</v>
      </c>
      <c r="F115" s="50">
        <v>120</v>
      </c>
      <c r="G115" s="50">
        <v>20</v>
      </c>
      <c r="H115" s="50" t="s">
        <v>120</v>
      </c>
      <c r="I115" s="57">
        <v>19800000000</v>
      </c>
      <c r="J115" s="57">
        <v>1123200000</v>
      </c>
      <c r="K115" s="57">
        <v>18000000000</v>
      </c>
      <c r="L115" s="49">
        <v>43922</v>
      </c>
      <c r="M115" s="49">
        <v>51227</v>
      </c>
    </row>
    <row r="116" spans="1:13" x14ac:dyDescent="0.45">
      <c r="A116" s="50" t="s">
        <v>795</v>
      </c>
      <c r="B116" s="50" t="s">
        <v>143</v>
      </c>
      <c r="C116" s="50" t="s">
        <v>781</v>
      </c>
      <c r="D116" s="49">
        <v>43916</v>
      </c>
      <c r="E116" s="50" t="s">
        <v>85</v>
      </c>
      <c r="F116" s="50">
        <v>50</v>
      </c>
      <c r="G116" s="50">
        <v>20</v>
      </c>
      <c r="H116" s="50" t="s">
        <v>120</v>
      </c>
      <c r="I116" s="57">
        <v>8250000000</v>
      </c>
      <c r="J116" s="57">
        <v>468000000</v>
      </c>
      <c r="K116" s="57">
        <v>7500000000</v>
      </c>
      <c r="L116" s="49">
        <v>43922</v>
      </c>
      <c r="M116" s="49">
        <v>51227</v>
      </c>
    </row>
    <row r="117" spans="1:13" x14ac:dyDescent="0.45">
      <c r="A117" s="50" t="s">
        <v>795</v>
      </c>
      <c r="B117" s="50" t="s">
        <v>143</v>
      </c>
      <c r="C117" s="50" t="s">
        <v>781</v>
      </c>
      <c r="D117" s="49">
        <v>43916</v>
      </c>
      <c r="E117" s="50" t="s">
        <v>105</v>
      </c>
      <c r="F117" s="50">
        <v>140</v>
      </c>
      <c r="G117" s="50">
        <v>20</v>
      </c>
      <c r="H117" s="50" t="s">
        <v>120</v>
      </c>
      <c r="I117" s="57">
        <v>23100000000</v>
      </c>
      <c r="J117" s="57">
        <v>1310400000</v>
      </c>
      <c r="K117" s="57">
        <v>21000000000</v>
      </c>
      <c r="L117" s="49">
        <v>43922</v>
      </c>
      <c r="M117" s="49">
        <v>51227</v>
      </c>
    </row>
    <row r="118" spans="1:13" x14ac:dyDescent="0.45">
      <c r="A118" s="50" t="s">
        <v>651</v>
      </c>
      <c r="B118" s="50" t="s">
        <v>169</v>
      </c>
      <c r="C118" s="50" t="s">
        <v>93</v>
      </c>
      <c r="D118" s="49">
        <v>44302</v>
      </c>
      <c r="E118" s="50" t="s">
        <v>652</v>
      </c>
      <c r="F118" s="50">
        <v>20</v>
      </c>
      <c r="G118" s="50">
        <v>15</v>
      </c>
      <c r="H118" s="50" t="s">
        <v>97</v>
      </c>
      <c r="I118" s="57">
        <v>10462000</v>
      </c>
      <c r="J118" s="57">
        <v>48000</v>
      </c>
      <c r="K118" s="57">
        <v>5800000</v>
      </c>
      <c r="L118" s="49"/>
      <c r="M118" s="49"/>
    </row>
    <row r="119" spans="1:13" x14ac:dyDescent="0.45">
      <c r="A119" s="50" t="s">
        <v>651</v>
      </c>
      <c r="B119" s="50" t="s">
        <v>169</v>
      </c>
      <c r="C119" s="50" t="s">
        <v>93</v>
      </c>
      <c r="D119" s="49">
        <v>44302</v>
      </c>
      <c r="E119" s="50" t="s">
        <v>654</v>
      </c>
      <c r="F119" s="50">
        <v>20</v>
      </c>
      <c r="G119" s="50">
        <v>15</v>
      </c>
      <c r="H119" s="50" t="s">
        <v>97</v>
      </c>
      <c r="I119" s="57">
        <v>10473400</v>
      </c>
      <c r="J119" s="57">
        <v>48000</v>
      </c>
      <c r="K119" s="57">
        <v>5800000</v>
      </c>
      <c r="L119" s="49"/>
      <c r="M119" s="49"/>
    </row>
    <row r="120" spans="1:13" x14ac:dyDescent="0.45">
      <c r="A120" s="50" t="s">
        <v>651</v>
      </c>
      <c r="B120" s="50" t="s">
        <v>169</v>
      </c>
      <c r="C120" s="50" t="s">
        <v>93</v>
      </c>
      <c r="D120" s="49">
        <v>44302</v>
      </c>
      <c r="E120" s="50" t="s">
        <v>98</v>
      </c>
      <c r="F120" s="50">
        <v>20</v>
      </c>
      <c r="G120" s="50">
        <v>15</v>
      </c>
      <c r="H120" s="50" t="s">
        <v>97</v>
      </c>
      <c r="I120" s="57">
        <v>10462000</v>
      </c>
      <c r="J120" s="57">
        <v>48000</v>
      </c>
      <c r="K120" s="57">
        <v>5800000</v>
      </c>
      <c r="L120" s="49"/>
      <c r="M120" s="49"/>
    </row>
    <row r="121" spans="1:13" x14ac:dyDescent="0.45">
      <c r="A121" s="50" t="s">
        <v>653</v>
      </c>
      <c r="B121" s="50" t="s">
        <v>169</v>
      </c>
      <c r="C121" s="50" t="s">
        <v>646</v>
      </c>
      <c r="D121" s="49">
        <v>44302</v>
      </c>
      <c r="E121" s="50" t="s">
        <v>652</v>
      </c>
      <c r="F121" s="50">
        <v>30</v>
      </c>
      <c r="G121" s="50">
        <v>15</v>
      </c>
      <c r="H121" s="50" t="s">
        <v>97</v>
      </c>
      <c r="I121" s="57">
        <v>17643258</v>
      </c>
      <c r="J121" s="57">
        <v>36000</v>
      </c>
      <c r="K121" s="57">
        <v>7500000</v>
      </c>
      <c r="L121" s="49"/>
      <c r="M121" s="49"/>
    </row>
    <row r="122" spans="1:13" x14ac:dyDescent="0.45">
      <c r="A122" s="50" t="s">
        <v>653</v>
      </c>
      <c r="B122" s="50" t="s">
        <v>169</v>
      </c>
      <c r="C122" s="50" t="s">
        <v>646</v>
      </c>
      <c r="D122" s="49">
        <v>44302</v>
      </c>
      <c r="E122" s="50" t="s">
        <v>655</v>
      </c>
      <c r="F122" s="50">
        <v>20</v>
      </c>
      <c r="G122" s="50">
        <v>15</v>
      </c>
      <c r="H122" s="50" t="s">
        <v>97</v>
      </c>
      <c r="I122" s="57">
        <v>11762000</v>
      </c>
      <c r="J122" s="57">
        <v>24000</v>
      </c>
      <c r="K122" s="57">
        <v>5000000</v>
      </c>
      <c r="L122" s="49"/>
      <c r="M122" s="49"/>
    </row>
    <row r="123" spans="1:13" x14ac:dyDescent="0.45">
      <c r="A123" s="50" t="s">
        <v>653</v>
      </c>
      <c r="B123" s="50" t="s">
        <v>169</v>
      </c>
      <c r="C123" s="50" t="s">
        <v>646</v>
      </c>
      <c r="D123" s="49">
        <v>44302</v>
      </c>
      <c r="E123" s="50" t="s">
        <v>654</v>
      </c>
      <c r="F123" s="50">
        <v>40</v>
      </c>
      <c r="G123" s="50">
        <v>15</v>
      </c>
      <c r="H123" s="50" t="s">
        <v>97</v>
      </c>
      <c r="I123" s="57">
        <v>24729943</v>
      </c>
      <c r="J123" s="57">
        <v>48000</v>
      </c>
      <c r="K123" s="57">
        <v>10000000</v>
      </c>
      <c r="L123" s="49"/>
      <c r="M123" s="49"/>
    </row>
    <row r="124" spans="1:13" x14ac:dyDescent="0.45">
      <c r="A124" s="50" t="s">
        <v>653</v>
      </c>
      <c r="B124" s="50" t="s">
        <v>169</v>
      </c>
      <c r="C124" s="50" t="s">
        <v>646</v>
      </c>
      <c r="D124" s="49">
        <v>44302</v>
      </c>
      <c r="E124" s="50" t="s">
        <v>98</v>
      </c>
      <c r="F124" s="50">
        <v>30</v>
      </c>
      <c r="G124" s="50">
        <v>15</v>
      </c>
      <c r="H124" s="50" t="s">
        <v>97</v>
      </c>
      <c r="I124" s="57">
        <v>17643000</v>
      </c>
      <c r="J124" s="57">
        <v>36000</v>
      </c>
      <c r="K124" s="57">
        <v>7500000</v>
      </c>
      <c r="L124" s="49"/>
      <c r="M124" s="49"/>
    </row>
    <row r="125" spans="1:13" x14ac:dyDescent="0.45">
      <c r="A125" s="50" t="s">
        <v>656</v>
      </c>
      <c r="B125" s="50" t="s">
        <v>169</v>
      </c>
      <c r="C125" s="50" t="s">
        <v>657</v>
      </c>
      <c r="D125" s="49">
        <v>44302</v>
      </c>
      <c r="E125" s="50" t="s">
        <v>655</v>
      </c>
      <c r="F125" s="50">
        <v>40</v>
      </c>
      <c r="G125" s="50">
        <v>15</v>
      </c>
      <c r="H125" s="50" t="s">
        <v>97</v>
      </c>
      <c r="I125" s="57">
        <v>6396000</v>
      </c>
      <c r="J125" s="57">
        <v>28800</v>
      </c>
      <c r="K125" s="57">
        <v>1800000</v>
      </c>
      <c r="L125" s="49"/>
      <c r="M125" s="49"/>
    </row>
    <row r="126" spans="1:13" x14ac:dyDescent="0.45">
      <c r="A126" s="50" t="s">
        <v>656</v>
      </c>
      <c r="B126" s="50" t="s">
        <v>169</v>
      </c>
      <c r="C126" s="50" t="s">
        <v>657</v>
      </c>
      <c r="D126" s="49">
        <v>44302</v>
      </c>
      <c r="E126" s="50" t="s">
        <v>98</v>
      </c>
      <c r="F126" s="50">
        <v>30</v>
      </c>
      <c r="G126" s="50">
        <v>15</v>
      </c>
      <c r="H126" s="50" t="s">
        <v>97</v>
      </c>
      <c r="I126" s="57">
        <v>4797000</v>
      </c>
      <c r="J126" s="57">
        <v>21600</v>
      </c>
      <c r="K126" s="57">
        <v>1350000</v>
      </c>
      <c r="L126" s="49"/>
      <c r="M126" s="49"/>
    </row>
    <row r="127" spans="1:13" x14ac:dyDescent="0.45">
      <c r="A127" s="50" t="s">
        <v>786</v>
      </c>
      <c r="B127" s="50" t="s">
        <v>169</v>
      </c>
      <c r="C127" s="50" t="s">
        <v>781</v>
      </c>
      <c r="D127" s="49">
        <v>44302</v>
      </c>
      <c r="E127" s="50" t="s">
        <v>652</v>
      </c>
      <c r="F127" s="50">
        <v>100</v>
      </c>
      <c r="G127" s="50">
        <v>15</v>
      </c>
      <c r="H127" s="50" t="s">
        <v>97</v>
      </c>
      <c r="I127" s="57">
        <v>12230000</v>
      </c>
      <c r="J127" s="57">
        <v>60000</v>
      </c>
      <c r="K127" s="57">
        <v>4500000</v>
      </c>
      <c r="L127" s="49"/>
      <c r="M127" s="49"/>
    </row>
    <row r="128" spans="1:13" x14ac:dyDescent="0.45">
      <c r="A128" s="50" t="s">
        <v>786</v>
      </c>
      <c r="B128" s="50" t="s">
        <v>169</v>
      </c>
      <c r="C128" s="50" t="s">
        <v>781</v>
      </c>
      <c r="D128" s="49">
        <v>44302</v>
      </c>
      <c r="E128" s="50" t="s">
        <v>654</v>
      </c>
      <c r="F128" s="50">
        <v>140</v>
      </c>
      <c r="G128" s="50">
        <v>15</v>
      </c>
      <c r="H128" s="50" t="s">
        <v>97</v>
      </c>
      <c r="I128" s="57">
        <v>17122000</v>
      </c>
      <c r="J128" s="57">
        <v>84000</v>
      </c>
      <c r="K128" s="57">
        <v>6300000</v>
      </c>
      <c r="L128" s="49"/>
      <c r="M128" s="49"/>
    </row>
    <row r="129" spans="1:13" x14ac:dyDescent="0.45">
      <c r="A129" s="50" t="s">
        <v>786</v>
      </c>
      <c r="B129" s="50" t="s">
        <v>169</v>
      </c>
      <c r="C129" s="50" t="s">
        <v>781</v>
      </c>
      <c r="D129" s="49">
        <v>44302</v>
      </c>
      <c r="E129" s="50" t="s">
        <v>98</v>
      </c>
      <c r="F129" s="50">
        <v>140</v>
      </c>
      <c r="G129" s="50">
        <v>15</v>
      </c>
      <c r="H129" s="50" t="s">
        <v>97</v>
      </c>
      <c r="I129" s="57">
        <v>17122000</v>
      </c>
      <c r="J129" s="57">
        <v>84000</v>
      </c>
      <c r="K129" s="57">
        <v>6300000</v>
      </c>
      <c r="L129" s="49"/>
      <c r="M129" s="49"/>
    </row>
    <row r="130" spans="1:13" x14ac:dyDescent="0.45">
      <c r="A130" s="50" t="s">
        <v>137</v>
      </c>
      <c r="B130" s="50" t="s">
        <v>161</v>
      </c>
      <c r="C130" s="50" t="s">
        <v>91</v>
      </c>
      <c r="D130" s="49">
        <v>41584</v>
      </c>
      <c r="E130" s="50" t="s">
        <v>138</v>
      </c>
      <c r="F130" s="50">
        <v>10</v>
      </c>
      <c r="G130" s="50">
        <v>11</v>
      </c>
      <c r="H130" s="50" t="s">
        <v>136</v>
      </c>
      <c r="I130" s="57">
        <v>105652000</v>
      </c>
      <c r="J130" s="57">
        <v>8000000</v>
      </c>
      <c r="K130" s="57">
        <v>105000000</v>
      </c>
      <c r="L130" s="49"/>
      <c r="M130" s="49"/>
    </row>
    <row r="131" spans="1:13" x14ac:dyDescent="0.45">
      <c r="A131" s="50" t="s">
        <v>137</v>
      </c>
      <c r="B131" s="50" t="s">
        <v>161</v>
      </c>
      <c r="C131" s="50" t="s">
        <v>91</v>
      </c>
      <c r="D131" s="49">
        <v>41584</v>
      </c>
      <c r="E131" s="50" t="s">
        <v>139</v>
      </c>
      <c r="F131" s="50">
        <v>10</v>
      </c>
      <c r="G131" s="50">
        <v>11</v>
      </c>
      <c r="H131" s="50" t="s">
        <v>136</v>
      </c>
      <c r="I131" s="57">
        <v>175144999</v>
      </c>
      <c r="J131" s="57">
        <v>0</v>
      </c>
      <c r="K131" s="57">
        <v>105000000</v>
      </c>
      <c r="L131" s="49"/>
      <c r="M131" s="49"/>
    </row>
    <row r="132" spans="1:13" x14ac:dyDescent="0.45">
      <c r="A132" s="50" t="s">
        <v>860</v>
      </c>
      <c r="B132" s="50" t="s">
        <v>413</v>
      </c>
      <c r="C132" s="50"/>
      <c r="D132" s="49">
        <v>43220</v>
      </c>
      <c r="E132" s="50" t="s">
        <v>862</v>
      </c>
      <c r="F132" s="50">
        <v>1</v>
      </c>
      <c r="G132" s="50">
        <v>1</v>
      </c>
      <c r="H132" s="50" t="s">
        <v>863</v>
      </c>
      <c r="I132" s="57">
        <v>1</v>
      </c>
      <c r="J132" s="57">
        <v>0</v>
      </c>
      <c r="K132" s="57"/>
      <c r="L132" s="49"/>
      <c r="M132" s="49"/>
    </row>
    <row r="133" spans="1:13" x14ac:dyDescent="0.45">
      <c r="A133" s="50" t="s">
        <v>861</v>
      </c>
      <c r="B133" s="50" t="s">
        <v>413</v>
      </c>
      <c r="C133" s="50"/>
      <c r="D133" s="49">
        <v>43220</v>
      </c>
      <c r="E133" s="50" t="s">
        <v>862</v>
      </c>
      <c r="F133" s="50">
        <v>1</v>
      </c>
      <c r="G133" s="50">
        <v>1</v>
      </c>
      <c r="H133" s="50" t="s">
        <v>863</v>
      </c>
      <c r="I133" s="57">
        <v>0.10704947161391788</v>
      </c>
      <c r="J133" s="57">
        <v>0</v>
      </c>
      <c r="K133" s="57"/>
      <c r="L133" s="49"/>
      <c r="M133" s="49"/>
    </row>
  </sheetData>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3A8F7-FD7F-4AC2-AAEF-4AC5157FFD82}">
  <dimension ref="A1:G13"/>
  <sheetViews>
    <sheetView defaultGridColor="0" colorId="22" workbookViewId="0">
      <pane ySplit="4" topLeftCell="A5" activePane="bottomLeft" state="frozen"/>
      <selection pane="bottomLeft" activeCell="A5" sqref="A5"/>
    </sheetView>
  </sheetViews>
  <sheetFormatPr defaultColWidth="12.86328125" defaultRowHeight="14.25" x14ac:dyDescent="0.45"/>
  <cols>
    <col min="1" max="1" width="22.59765625" customWidth="1"/>
    <col min="2" max="2" width="12.3984375" customWidth="1"/>
    <col min="3" max="3" width="15.59765625" customWidth="1"/>
    <col min="4" max="4" width="14" customWidth="1"/>
    <col min="5" max="5" width="14.1328125" customWidth="1"/>
    <col min="6" max="6" width="47.59765625" bestFit="1" customWidth="1"/>
    <col min="7" max="7" width="38.1328125" bestFit="1" customWidth="1"/>
  </cols>
  <sheetData>
    <row r="1" spans="1:7" ht="40.5" customHeight="1" x14ac:dyDescent="0.45">
      <c r="A1" s="48" t="s">
        <v>637</v>
      </c>
    </row>
    <row r="2" spans="1:7" x14ac:dyDescent="0.45">
      <c r="A2" s="29" t="s">
        <v>579</v>
      </c>
    </row>
    <row r="4" spans="1:7" x14ac:dyDescent="0.45">
      <c r="A4" t="s">
        <v>629</v>
      </c>
      <c r="B4" t="s">
        <v>630</v>
      </c>
      <c r="C4" t="s">
        <v>78</v>
      </c>
      <c r="D4" t="s">
        <v>77</v>
      </c>
      <c r="E4" t="s">
        <v>633</v>
      </c>
      <c r="F4" t="s">
        <v>581</v>
      </c>
      <c r="G4" t="s">
        <v>889</v>
      </c>
    </row>
    <row r="5" spans="1:7" x14ac:dyDescent="0.45">
      <c r="A5" t="s">
        <v>827</v>
      </c>
      <c r="B5" s="49">
        <v>41364</v>
      </c>
      <c r="C5">
        <v>20</v>
      </c>
      <c r="D5">
        <v>1</v>
      </c>
      <c r="E5" s="57">
        <v>33000000</v>
      </c>
      <c r="F5" s="55" t="s">
        <v>890</v>
      </c>
    </row>
    <row r="6" spans="1:7" s="25" customFormat="1" x14ac:dyDescent="0.45">
      <c r="A6" s="25" t="s">
        <v>887</v>
      </c>
      <c r="B6" s="49">
        <v>41364</v>
      </c>
      <c r="C6" s="25">
        <v>20</v>
      </c>
      <c r="D6" s="25">
        <v>1</v>
      </c>
      <c r="E6" s="57">
        <v>30000000</v>
      </c>
      <c r="F6" s="55" t="s">
        <v>890</v>
      </c>
      <c r="G6" s="25" t="s">
        <v>894</v>
      </c>
    </row>
    <row r="7" spans="1:7" x14ac:dyDescent="0.45">
      <c r="A7" t="s">
        <v>828</v>
      </c>
      <c r="B7" s="49">
        <v>41364</v>
      </c>
      <c r="C7">
        <v>20</v>
      </c>
      <c r="D7">
        <v>1</v>
      </c>
      <c r="E7" s="57">
        <v>5500000</v>
      </c>
      <c r="F7" s="55" t="s">
        <v>890</v>
      </c>
    </row>
    <row r="8" spans="1:7" x14ac:dyDescent="0.45">
      <c r="A8" t="s">
        <v>88</v>
      </c>
      <c r="B8" s="49">
        <v>43203</v>
      </c>
      <c r="C8">
        <v>20</v>
      </c>
      <c r="D8">
        <v>1</v>
      </c>
      <c r="E8" s="57">
        <v>5147400</v>
      </c>
      <c r="F8" s="55" t="s">
        <v>892</v>
      </c>
    </row>
    <row r="9" spans="1:7" x14ac:dyDescent="0.45">
      <c r="A9" t="s">
        <v>790</v>
      </c>
      <c r="B9" s="49">
        <v>43203</v>
      </c>
      <c r="C9">
        <v>20</v>
      </c>
      <c r="D9">
        <v>1</v>
      </c>
      <c r="E9" s="57">
        <v>7564800</v>
      </c>
      <c r="F9" s="55" t="s">
        <v>892</v>
      </c>
      <c r="G9" t="s">
        <v>893</v>
      </c>
    </row>
    <row r="10" spans="1:7" s="25" customFormat="1" x14ac:dyDescent="0.45">
      <c r="A10" s="25" t="s">
        <v>703</v>
      </c>
      <c r="B10" s="49">
        <v>43220</v>
      </c>
      <c r="C10" s="25">
        <v>20</v>
      </c>
      <c r="D10" s="25">
        <v>1</v>
      </c>
      <c r="E10" s="57">
        <v>19000000</v>
      </c>
      <c r="F10" s="25" t="s">
        <v>891</v>
      </c>
    </row>
    <row r="11" spans="1:7" x14ac:dyDescent="0.45">
      <c r="A11" t="s">
        <v>632</v>
      </c>
      <c r="B11" s="49">
        <v>43220</v>
      </c>
      <c r="C11">
        <v>20</v>
      </c>
      <c r="D11">
        <v>1</v>
      </c>
      <c r="E11" s="57">
        <v>14000000</v>
      </c>
      <c r="F11" t="s">
        <v>891</v>
      </c>
    </row>
    <row r="12" spans="1:7" x14ac:dyDescent="0.45">
      <c r="A12" t="s">
        <v>631</v>
      </c>
      <c r="B12" s="49">
        <v>44272</v>
      </c>
      <c r="C12">
        <v>20</v>
      </c>
      <c r="D12">
        <v>1</v>
      </c>
      <c r="E12" s="57">
        <v>14000000</v>
      </c>
      <c r="F12" s="55" t="s">
        <v>888</v>
      </c>
    </row>
    <row r="13" spans="1:7" s="25" customFormat="1" x14ac:dyDescent="0.45">
      <c r="A13" s="25" t="s">
        <v>789</v>
      </c>
      <c r="B13" s="49">
        <v>44272</v>
      </c>
      <c r="C13" s="25">
        <v>20</v>
      </c>
      <c r="D13" s="25">
        <v>1</v>
      </c>
      <c r="E13" s="57">
        <v>4200000</v>
      </c>
      <c r="F13" s="55" t="s">
        <v>888</v>
      </c>
    </row>
  </sheetData>
  <hyperlinks>
    <hyperlink ref="F13" r:id="rId1" xr:uid="{224EBFDD-602A-4FBA-A6F2-357E71821A18}"/>
    <hyperlink ref="F12" r:id="rId2" xr:uid="{0EE3D7E0-C3F4-4935-A98C-B24D98A55F14}"/>
    <hyperlink ref="F5" r:id="rId3" display="2015 Statement, Section 2" xr:uid="{51A38BBC-D845-4A37-B9FC-5E5DD80DEDAD}"/>
    <hyperlink ref="F6:F7" r:id="rId4" display="2015 Statement, Section 2" xr:uid="{DD36070F-025E-4649-A5CA-A37FF54D3032}"/>
    <hyperlink ref="F8" r:id="rId5" xr:uid="{ED162B85-38B9-48E2-9B4F-C04EDCC4A8D9}"/>
    <hyperlink ref="F9" r:id="rId6" xr:uid="{D55FABD3-B919-4E61-AEC4-3C05FA4AE688}"/>
  </hyperlinks>
  <pageMargins left="0.7" right="0.7" top="0.75" bottom="0.75" header="0.3" footer="0.3"/>
  <pageSetup orientation="portrait" r:id="rId7"/>
  <tableParts count="1">
    <tablePart r:id="rId8"/>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6AC46-0679-451A-9F3B-42BCC25A5EFF}">
  <dimension ref="A1:M204"/>
  <sheetViews>
    <sheetView defaultGridColor="0" colorId="22" workbookViewId="0">
      <pane ySplit="4" topLeftCell="A5" activePane="bottomLeft" state="frozen"/>
      <selection pane="bottomLeft" activeCell="A5" sqref="A5"/>
    </sheetView>
  </sheetViews>
  <sheetFormatPr defaultColWidth="12.86328125" defaultRowHeight="14.25" x14ac:dyDescent="0.45"/>
  <cols>
    <col min="1" max="1" width="26.265625" bestFit="1" customWidth="1"/>
    <col min="2" max="12" width="12" bestFit="1" customWidth="1"/>
    <col min="13" max="13" width="12" style="25" bestFit="1" customWidth="1"/>
  </cols>
  <sheetData>
    <row r="1" spans="1:13" ht="40.5" customHeight="1" x14ac:dyDescent="0.45">
      <c r="A1" s="48" t="s">
        <v>140</v>
      </c>
    </row>
    <row r="2" spans="1:13" x14ac:dyDescent="0.45">
      <c r="A2" s="29" t="s">
        <v>708</v>
      </c>
    </row>
    <row r="4" spans="1:13" x14ac:dyDescent="0.45">
      <c r="A4" t="s">
        <v>142</v>
      </c>
      <c r="B4" t="s">
        <v>181</v>
      </c>
      <c r="C4" t="s">
        <v>182</v>
      </c>
      <c r="D4" t="s">
        <v>183</v>
      </c>
      <c r="E4" t="s">
        <v>184</v>
      </c>
      <c r="F4" t="s">
        <v>185</v>
      </c>
      <c r="G4" t="s">
        <v>186</v>
      </c>
      <c r="H4" t="s">
        <v>187</v>
      </c>
      <c r="I4" t="s">
        <v>188</v>
      </c>
      <c r="J4" t="s">
        <v>189</v>
      </c>
      <c r="K4" t="s">
        <v>190</v>
      </c>
      <c r="L4" t="s">
        <v>191</v>
      </c>
      <c r="M4" t="s">
        <v>658</v>
      </c>
    </row>
    <row r="5" spans="1:13" x14ac:dyDescent="0.45">
      <c r="A5" s="50" t="s">
        <v>192</v>
      </c>
      <c r="B5" s="25">
        <v>14.546728397841401</v>
      </c>
      <c r="C5" s="25">
        <v>16.6134779097919</v>
      </c>
      <c r="D5" s="25">
        <v>17.242263889420599</v>
      </c>
      <c r="E5" s="25">
        <v>17.509418857049202</v>
      </c>
      <c r="F5" s="25">
        <v>17.0358776005124</v>
      </c>
      <c r="G5" s="25">
        <v>17.022520016941598</v>
      </c>
      <c r="H5" s="25">
        <v>17.445827943147201</v>
      </c>
      <c r="I5" s="25">
        <v>17.2055580487587</v>
      </c>
      <c r="J5" s="25">
        <v>17.144309428830901</v>
      </c>
      <c r="K5" s="25">
        <v>17.9144826699909</v>
      </c>
      <c r="L5" s="25">
        <v>17.9144826699909</v>
      </c>
      <c r="M5" s="50">
        <v>17.9144826699909</v>
      </c>
    </row>
    <row r="6" spans="1:13" x14ac:dyDescent="0.45">
      <c r="A6" s="50" t="s">
        <v>157</v>
      </c>
      <c r="B6" s="25">
        <v>44.1623559306652</v>
      </c>
      <c r="C6" s="25">
        <v>43.857833965695903</v>
      </c>
      <c r="D6" s="25">
        <v>43.654999704509201</v>
      </c>
      <c r="E6" s="25">
        <v>44.113708996732001</v>
      </c>
      <c r="F6" s="25">
        <v>42.893807275358803</v>
      </c>
      <c r="G6" s="25">
        <v>42.7058307633692</v>
      </c>
      <c r="H6" s="25">
        <v>42.385879150638097</v>
      </c>
      <c r="I6" s="25">
        <v>42.255534801955697</v>
      </c>
      <c r="J6" s="25">
        <v>42.125795800478699</v>
      </c>
      <c r="K6" s="25">
        <v>41.3423914138531</v>
      </c>
      <c r="L6" s="25">
        <v>41.3423914138531</v>
      </c>
      <c r="M6" s="50">
        <v>41.3423914138531</v>
      </c>
    </row>
    <row r="7" spans="1:13" x14ac:dyDescent="0.45">
      <c r="A7" s="50" t="s">
        <v>193</v>
      </c>
      <c r="B7" s="25">
        <v>25.452191269866301</v>
      </c>
      <c r="C7" s="25">
        <v>29.475887298583999</v>
      </c>
      <c r="D7" s="25">
        <v>32.593227386474602</v>
      </c>
      <c r="E7" s="25">
        <v>33.430347442627003</v>
      </c>
      <c r="F7" s="25">
        <v>34.039524078369098</v>
      </c>
      <c r="G7" s="25">
        <v>35.010829925537102</v>
      </c>
      <c r="H7" s="25">
        <v>37.155826568603501</v>
      </c>
      <c r="I7" s="25">
        <v>38.855751037597699</v>
      </c>
      <c r="J7" s="25">
        <v>40.611568211307002</v>
      </c>
      <c r="K7" s="25">
        <v>39.475385887181297</v>
      </c>
      <c r="L7" s="25">
        <v>39.475385887181297</v>
      </c>
      <c r="M7" s="50">
        <v>39.475385887181297</v>
      </c>
    </row>
    <row r="8" spans="1:13" x14ac:dyDescent="0.45">
      <c r="A8" s="50" t="s">
        <v>196</v>
      </c>
      <c r="B8" s="25">
        <v>50.052764362425599</v>
      </c>
      <c r="C8" s="25">
        <v>64.605751037597699</v>
      </c>
      <c r="D8" s="25">
        <v>65.681671142578097</v>
      </c>
      <c r="E8" s="25">
        <v>66.019371032714801</v>
      </c>
      <c r="F8" s="25">
        <v>65.000671386718807</v>
      </c>
      <c r="G8" s="25">
        <v>68.182044982910199</v>
      </c>
      <c r="H8" s="25">
        <v>80.778968811035199</v>
      </c>
      <c r="I8" s="25">
        <v>92.951721191406307</v>
      </c>
      <c r="J8" s="25">
        <v>117.116076330122</v>
      </c>
      <c r="K8" s="25">
        <v>146.167167826781</v>
      </c>
      <c r="L8" s="25">
        <v>146.167167826781</v>
      </c>
      <c r="M8" s="50">
        <v>146.167167826781</v>
      </c>
    </row>
    <row r="9" spans="1:13" x14ac:dyDescent="0.45">
      <c r="A9" s="50" t="s">
        <v>197</v>
      </c>
      <c r="B9" s="25">
        <v>1.7093509087510499</v>
      </c>
      <c r="C9" s="25">
        <v>1.6913766860961901</v>
      </c>
      <c r="D9" s="25">
        <v>1.8285713195800799</v>
      </c>
      <c r="E9" s="25">
        <v>1.85441470146179</v>
      </c>
      <c r="F9" s="25">
        <v>1.9147150516510001</v>
      </c>
      <c r="G9" s="25">
        <v>2.0395412445068399</v>
      </c>
      <c r="H9" s="25">
        <v>2.0600430965423602</v>
      </c>
      <c r="I9" s="25">
        <v>2.0935010910034202</v>
      </c>
      <c r="J9" s="25">
        <v>2.0811851984791998</v>
      </c>
      <c r="K9" s="25">
        <v>2.0194532091955799</v>
      </c>
      <c r="L9" s="25">
        <v>2.0194532091955799</v>
      </c>
      <c r="M9" s="50">
        <v>2.0194532091955799</v>
      </c>
    </row>
    <row r="10" spans="1:13" x14ac:dyDescent="0.45">
      <c r="A10" s="50" t="s">
        <v>199</v>
      </c>
      <c r="B10" s="25">
        <v>2.2555714837300198</v>
      </c>
      <c r="C10" s="25">
        <v>2.7331278324127202</v>
      </c>
      <c r="D10" s="25">
        <v>3.2181537151336701</v>
      </c>
      <c r="E10" s="25">
        <v>3.9409668445587198</v>
      </c>
      <c r="F10" s="25">
        <v>5.4519639015197798</v>
      </c>
      <c r="G10" s="25">
        <v>6.8665480613708496</v>
      </c>
      <c r="H10" s="25">
        <v>9.2949657440185494</v>
      </c>
      <c r="I10" s="25">
        <v>10.2568216323853</v>
      </c>
      <c r="J10" s="25">
        <v>14.019287934371899</v>
      </c>
      <c r="K10" s="25">
        <v>20.713957840844301</v>
      </c>
      <c r="L10" s="25">
        <v>20.713957840844301</v>
      </c>
      <c r="M10" s="50">
        <v>20.713957840844301</v>
      </c>
    </row>
    <row r="11" spans="1:13" x14ac:dyDescent="0.45">
      <c r="A11" s="50" t="s">
        <v>200</v>
      </c>
      <c r="B11" s="25">
        <v>160.20906898892801</v>
      </c>
      <c r="C11" s="25">
        <v>163.65000915527301</v>
      </c>
      <c r="D11" s="25">
        <v>157.96383666992199</v>
      </c>
      <c r="E11" s="25">
        <v>159.84609985351599</v>
      </c>
      <c r="F11" s="25">
        <v>165.18589782714801</v>
      </c>
      <c r="G11" s="25">
        <v>172.92352294921901</v>
      </c>
      <c r="H11" s="25">
        <v>161.22888183593801</v>
      </c>
      <c r="I11" s="25">
        <v>155.970703125</v>
      </c>
      <c r="J11" s="25">
        <v>156.506218798286</v>
      </c>
      <c r="K11" s="25">
        <v>155.77047965117799</v>
      </c>
      <c r="L11" s="25">
        <v>155.77047965117799</v>
      </c>
      <c r="M11" s="50">
        <v>155.77047965117799</v>
      </c>
    </row>
    <row r="12" spans="1:13" x14ac:dyDescent="0.45">
      <c r="A12" s="50" t="s">
        <v>201</v>
      </c>
      <c r="B12" s="25">
        <v>1.2900713860867801</v>
      </c>
      <c r="C12" s="25">
        <v>1.30294060707092</v>
      </c>
      <c r="D12" s="25">
        <v>1.3178013563156099</v>
      </c>
      <c r="E12" s="25">
        <v>1.2851409912109399</v>
      </c>
      <c r="F12" s="25">
        <v>1.30884277820587</v>
      </c>
      <c r="G12" s="25">
        <v>1.3623179197311399</v>
      </c>
      <c r="H12" s="25">
        <v>1.3550446033477801</v>
      </c>
      <c r="I12" s="25">
        <v>1.3506896495819101</v>
      </c>
      <c r="J12" s="25">
        <v>1.3506896495819101</v>
      </c>
      <c r="K12" s="25">
        <v>1.3506896495819101</v>
      </c>
      <c r="L12" s="25">
        <v>1.3506896495819101</v>
      </c>
      <c r="M12" s="50">
        <v>1.3506896495819101</v>
      </c>
    </row>
    <row r="13" spans="1:13" x14ac:dyDescent="0.45">
      <c r="A13" s="50" t="s">
        <v>202</v>
      </c>
      <c r="B13" s="25">
        <v>1.502766</v>
      </c>
      <c r="C13" s="25">
        <v>1.5110520000000001</v>
      </c>
      <c r="D13" s="25">
        <v>1.5401149999999999</v>
      </c>
      <c r="E13" s="25">
        <v>1.4471229999999999</v>
      </c>
      <c r="F13" s="25">
        <v>1.4524889999999999</v>
      </c>
      <c r="G13" s="25">
        <v>1.4736910000000001</v>
      </c>
      <c r="H13" s="25">
        <v>1.450156</v>
      </c>
      <c r="I13" s="25">
        <v>1.4775529999999999</v>
      </c>
      <c r="J13" s="25">
        <v>1.4724269999999999</v>
      </c>
      <c r="K13" s="25">
        <v>1.4746429999999999</v>
      </c>
      <c r="L13" s="25">
        <v>1.461587</v>
      </c>
      <c r="M13" s="50">
        <v>1.461587</v>
      </c>
    </row>
    <row r="14" spans="1:13" x14ac:dyDescent="0.45">
      <c r="A14" s="50" t="s">
        <v>203</v>
      </c>
      <c r="B14" s="25">
        <v>0.84154799999999996</v>
      </c>
      <c r="C14" s="25">
        <v>0.83137399999999995</v>
      </c>
      <c r="D14" s="25">
        <v>0.81364800000000004</v>
      </c>
      <c r="E14" s="25">
        <v>0.79708100000000004</v>
      </c>
      <c r="F14" s="25">
        <v>0.79879699999999998</v>
      </c>
      <c r="G14" s="25">
        <v>0.798813</v>
      </c>
      <c r="H14" s="25">
        <v>0.77693100000000004</v>
      </c>
      <c r="I14" s="25">
        <v>0.77500899999999995</v>
      </c>
      <c r="J14" s="25">
        <v>0.764069</v>
      </c>
      <c r="K14" s="25">
        <v>0.76338700000000004</v>
      </c>
      <c r="L14" s="25">
        <v>0.75996200000000003</v>
      </c>
      <c r="M14" s="50">
        <v>0.75996200000000003</v>
      </c>
    </row>
    <row r="15" spans="1:13" x14ac:dyDescent="0.45">
      <c r="A15" s="50" t="s">
        <v>204</v>
      </c>
      <c r="B15" s="25">
        <v>0.31420473354735001</v>
      </c>
      <c r="C15" s="25">
        <v>0.38350978493690502</v>
      </c>
      <c r="D15" s="25">
        <v>0.36904329061508201</v>
      </c>
      <c r="E15" s="25">
        <v>0.35944795608520502</v>
      </c>
      <c r="F15" s="25">
        <v>0.35480394959449801</v>
      </c>
      <c r="G15" s="25">
        <v>0.37725710868835399</v>
      </c>
      <c r="H15" s="25">
        <v>0.43090146780013999</v>
      </c>
      <c r="I15" s="25">
        <v>0.50547164678573597</v>
      </c>
      <c r="J15" s="25">
        <v>0.55357539365619801</v>
      </c>
      <c r="K15" s="25">
        <v>0.54178302902386699</v>
      </c>
      <c r="L15" s="25">
        <v>0.54178302902386699</v>
      </c>
      <c r="M15" s="50">
        <v>0.54178302902386699</v>
      </c>
    </row>
    <row r="16" spans="1:13" x14ac:dyDescent="0.45">
      <c r="A16" s="50" t="s">
        <v>205</v>
      </c>
      <c r="B16" s="25">
        <v>0.92528001972308405</v>
      </c>
      <c r="C16" s="25">
        <v>0.89856344461440996</v>
      </c>
      <c r="D16" s="25">
        <v>0.91523545980453502</v>
      </c>
      <c r="E16" s="25">
        <v>0.903084576129913</v>
      </c>
      <c r="F16" s="25">
        <v>0.90426665544509899</v>
      </c>
      <c r="G16" s="25">
        <v>0.93631327152252197</v>
      </c>
      <c r="H16" s="25">
        <v>0.92412018775939897</v>
      </c>
      <c r="I16" s="25">
        <v>0.90140676498413097</v>
      </c>
      <c r="J16" s="25">
        <v>0.890462442914293</v>
      </c>
      <c r="K16" s="25">
        <v>0.89988258177873803</v>
      </c>
      <c r="L16" s="25">
        <v>0.89988258177873803</v>
      </c>
      <c r="M16" s="50">
        <v>0.89988258177873803</v>
      </c>
    </row>
    <row r="17" spans="1:13" x14ac:dyDescent="0.45">
      <c r="A17" s="50" t="s">
        <v>206</v>
      </c>
      <c r="B17" s="25">
        <v>0.166225912239504</v>
      </c>
      <c r="C17" s="25">
        <v>0.17867849767208099</v>
      </c>
      <c r="D17" s="25">
        <v>0.175509303808212</v>
      </c>
      <c r="E17" s="25">
        <v>0.18067699670791601</v>
      </c>
      <c r="F17" s="25">
        <v>0.18386819958686801</v>
      </c>
      <c r="G17" s="25">
        <v>0.18673110008239699</v>
      </c>
      <c r="H17" s="25">
        <v>0.189881026744843</v>
      </c>
      <c r="I17" s="25">
        <v>0.187117710709572</v>
      </c>
      <c r="J17" s="25">
        <v>0.19049721791517399</v>
      </c>
      <c r="K17" s="25">
        <v>0.188021618496962</v>
      </c>
      <c r="L17" s="25">
        <v>0.188021618496962</v>
      </c>
      <c r="M17" s="50">
        <v>0.188021618496962</v>
      </c>
    </row>
    <row r="18" spans="1:13" x14ac:dyDescent="0.45">
      <c r="A18" s="50" t="s">
        <v>207</v>
      </c>
      <c r="B18" s="25">
        <v>22.157129796039499</v>
      </c>
      <c r="C18" s="25">
        <v>23.4095554351807</v>
      </c>
      <c r="D18" s="25">
        <v>23.787351608276399</v>
      </c>
      <c r="E18" s="25">
        <v>24.9661979675293</v>
      </c>
      <c r="F18" s="25">
        <v>25.8188781738281</v>
      </c>
      <c r="G18" s="25">
        <v>27.283729553222699</v>
      </c>
      <c r="H18" s="25">
        <v>28.4988307952881</v>
      </c>
      <c r="I18" s="25">
        <v>29.738174438476602</v>
      </c>
      <c r="J18" s="25">
        <v>30.655958447249901</v>
      </c>
      <c r="K18" s="25">
        <v>31.412871920592401</v>
      </c>
      <c r="L18" s="25">
        <v>31.412871920592401</v>
      </c>
      <c r="M18" s="50">
        <v>31.412871920592401</v>
      </c>
    </row>
    <row r="19" spans="1:13" x14ac:dyDescent="0.45">
      <c r="A19" s="50" t="s">
        <v>208</v>
      </c>
      <c r="B19" s="25">
        <v>1.99114071892649</v>
      </c>
      <c r="C19" s="25">
        <v>2.0188870429992698</v>
      </c>
      <c r="D19" s="25">
        <v>2.1227371692657502</v>
      </c>
      <c r="E19" s="25">
        <v>2.1456098556518599</v>
      </c>
      <c r="F19" s="25">
        <v>2.17311811447144</v>
      </c>
      <c r="G19" s="25">
        <v>2.1307795047760001</v>
      </c>
      <c r="H19" s="25">
        <v>2.11886811256409</v>
      </c>
      <c r="I19" s="25">
        <v>2.2030050754547101</v>
      </c>
      <c r="J19" s="25">
        <v>2.2103178516630302</v>
      </c>
      <c r="K19" s="25">
        <v>2.22256686623555</v>
      </c>
      <c r="L19" s="25">
        <v>2.22256686623555</v>
      </c>
      <c r="M19" s="50">
        <v>2.22256686623555</v>
      </c>
    </row>
    <row r="20" spans="1:13" x14ac:dyDescent="0.45">
      <c r="A20" s="50" t="s">
        <v>209</v>
      </c>
      <c r="B20" s="25">
        <v>0.117019389570508</v>
      </c>
      <c r="C20" s="25">
        <v>0.196053221821785</v>
      </c>
      <c r="D20" s="25">
        <v>0.32017314434051503</v>
      </c>
      <c r="E20" s="25">
        <v>0.37392145395278897</v>
      </c>
      <c r="F20" s="25">
        <v>0.44866475462913502</v>
      </c>
      <c r="G20" s="25">
        <v>0.525160431861877</v>
      </c>
      <c r="H20" s="25">
        <v>0.56375706195831299</v>
      </c>
      <c r="I20" s="25">
        <v>0.60904282331466697</v>
      </c>
      <c r="J20" s="25">
        <v>0.66673427276442998</v>
      </c>
      <c r="K20" s="25">
        <v>0.69701659405586003</v>
      </c>
      <c r="L20" s="25">
        <v>0.69701659405586003</v>
      </c>
      <c r="M20" s="50">
        <v>0.69701659405586003</v>
      </c>
    </row>
    <row r="21" spans="1:13" x14ac:dyDescent="0.45">
      <c r="A21" s="50" t="s">
        <v>154</v>
      </c>
      <c r="B21" s="25">
        <v>0.83593399999999995</v>
      </c>
      <c r="C21" s="25">
        <v>0.83191099999999996</v>
      </c>
      <c r="D21" s="25">
        <v>0.82213700000000001</v>
      </c>
      <c r="E21" s="25">
        <v>0.80616600000000005</v>
      </c>
      <c r="F21" s="25">
        <v>0.80021399999999998</v>
      </c>
      <c r="G21" s="25">
        <v>0.79999799999999999</v>
      </c>
      <c r="H21" s="25">
        <v>0.78101100000000001</v>
      </c>
      <c r="I21" s="25">
        <v>0.77563400000000005</v>
      </c>
      <c r="J21" s="25">
        <v>0.76501699999999995</v>
      </c>
      <c r="K21" s="25">
        <v>0.75783800000000001</v>
      </c>
      <c r="L21" s="25">
        <v>0.75402499999999995</v>
      </c>
      <c r="M21" s="50">
        <v>0.75402499999999995</v>
      </c>
    </row>
    <row r="22" spans="1:13" x14ac:dyDescent="0.45">
      <c r="A22" s="50" t="s">
        <v>210</v>
      </c>
      <c r="B22" s="25">
        <v>1.1293130304853201</v>
      </c>
      <c r="C22" s="25">
        <v>1.15122830867767</v>
      </c>
      <c r="D22" s="25">
        <v>1.2390215396881099</v>
      </c>
      <c r="E22" s="25">
        <v>1.26428842544556</v>
      </c>
      <c r="F22" s="25">
        <v>1.3124840259552</v>
      </c>
      <c r="G22" s="25">
        <v>1.31852507591248</v>
      </c>
      <c r="H22" s="25">
        <v>1.34227430820465</v>
      </c>
      <c r="I22" s="25">
        <v>1.3750650882720901</v>
      </c>
      <c r="J22" s="25">
        <v>1.33980031036118</v>
      </c>
      <c r="K22" s="25">
        <v>1.3165839966020501</v>
      </c>
      <c r="L22" s="25">
        <v>1.3165839966020501</v>
      </c>
      <c r="M22" s="50">
        <v>1.3165839966020501</v>
      </c>
    </row>
    <row r="23" spans="1:13" x14ac:dyDescent="0.45">
      <c r="A23" s="50" t="s">
        <v>211</v>
      </c>
      <c r="B23" s="25">
        <v>216.939685242839</v>
      </c>
      <c r="C23" s="25">
        <v>220.43357849121099</v>
      </c>
      <c r="D23" s="25">
        <v>234.00419616699199</v>
      </c>
      <c r="E23" s="25">
        <v>231.47721862793</v>
      </c>
      <c r="F23" s="25">
        <v>225.04423522949199</v>
      </c>
      <c r="G23" s="25">
        <v>220.52389526367199</v>
      </c>
      <c r="H23" s="25">
        <v>214.43386840820301</v>
      </c>
      <c r="I23" s="25">
        <v>216.77360534668</v>
      </c>
      <c r="J23" s="25">
        <v>212.86675682412201</v>
      </c>
      <c r="K23" s="25">
        <v>208.14828767687999</v>
      </c>
      <c r="L23" s="25">
        <v>208.14828767687999</v>
      </c>
      <c r="M23" s="50">
        <v>208.14828767687999</v>
      </c>
    </row>
    <row r="24" spans="1:13" x14ac:dyDescent="0.45">
      <c r="A24" s="50" t="s">
        <v>212</v>
      </c>
      <c r="B24" s="25">
        <v>1.44258238007767</v>
      </c>
      <c r="C24" s="25">
        <v>1.3967968225479099</v>
      </c>
      <c r="D24" s="25">
        <v>1.4592481851577801</v>
      </c>
      <c r="E24" s="25">
        <v>1.4417594671249401</v>
      </c>
      <c r="F24" s="25">
        <v>1.4317272901535001</v>
      </c>
      <c r="G24" s="25">
        <v>1.41924369335175</v>
      </c>
      <c r="H24" s="25">
        <v>1.39972507953644</v>
      </c>
      <c r="I24" s="25">
        <v>1.36641585826874</v>
      </c>
      <c r="J24" s="25">
        <v>1.3551034173574299</v>
      </c>
      <c r="K24" s="25">
        <v>1.3707859561201501</v>
      </c>
      <c r="L24" s="25">
        <v>1.3707859561201501</v>
      </c>
      <c r="M24" s="50">
        <v>1.3707859561201501</v>
      </c>
    </row>
    <row r="25" spans="1:13" x14ac:dyDescent="0.45">
      <c r="A25" s="50" t="s">
        <v>213</v>
      </c>
      <c r="B25" s="25">
        <v>15.426478796859</v>
      </c>
      <c r="C25" s="25">
        <v>16.396804809570298</v>
      </c>
      <c r="D25" s="25">
        <v>17.147607803344702</v>
      </c>
      <c r="E25" s="25">
        <v>18.135402679443398</v>
      </c>
      <c r="F25" s="25">
        <v>18.677070617675799</v>
      </c>
      <c r="G25" s="25">
        <v>18.586774826049801</v>
      </c>
      <c r="H25" s="25">
        <v>18.831047058105501</v>
      </c>
      <c r="I25" s="25">
        <v>19.208339691162099</v>
      </c>
      <c r="J25" s="25">
        <v>19.081453342149999</v>
      </c>
      <c r="K25" s="25">
        <v>18.900128695075399</v>
      </c>
      <c r="L25" s="25">
        <v>18.900128695075399</v>
      </c>
      <c r="M25" s="50">
        <v>18.900128695075399</v>
      </c>
    </row>
    <row r="26" spans="1:13" x14ac:dyDescent="0.45">
      <c r="A26" s="50" t="s">
        <v>214</v>
      </c>
      <c r="B26" s="25">
        <v>2.6554256847042099</v>
      </c>
      <c r="C26" s="25">
        <v>2.9809119701385498</v>
      </c>
      <c r="D26" s="25">
        <v>3.04548192024231</v>
      </c>
      <c r="E26" s="25">
        <v>3.03339672088623</v>
      </c>
      <c r="F26" s="25">
        <v>3.0177555084228498</v>
      </c>
      <c r="G26" s="25">
        <v>2.9406976699829102</v>
      </c>
      <c r="H26" s="25">
        <v>2.8347120285034202</v>
      </c>
      <c r="I26" s="25">
        <v>2.7489435672760001</v>
      </c>
      <c r="J26" s="25">
        <v>2.76558879683272</v>
      </c>
      <c r="K26" s="25">
        <v>2.6941051256579698</v>
      </c>
      <c r="L26" s="25">
        <v>2.6941051256579698</v>
      </c>
      <c r="M26" s="50">
        <v>2.6941051256579698</v>
      </c>
    </row>
    <row r="27" spans="1:13" x14ac:dyDescent="0.45">
      <c r="A27" s="50" t="s">
        <v>215</v>
      </c>
      <c r="B27" s="25">
        <v>0.73168844722751603</v>
      </c>
      <c r="C27" s="25">
        <v>0.71816209849947499</v>
      </c>
      <c r="D27" s="25">
        <v>0.70593788783168798</v>
      </c>
      <c r="E27" s="25">
        <v>0.686155377767518</v>
      </c>
      <c r="F27" s="25">
        <v>0.68720327871201603</v>
      </c>
      <c r="G27" s="25">
        <v>0.69409303629580099</v>
      </c>
      <c r="H27" s="25">
        <v>0.67556765314483302</v>
      </c>
      <c r="I27" s="25">
        <v>0.68066458825468301</v>
      </c>
      <c r="J27" s="25">
        <v>0.67451540073088201</v>
      </c>
      <c r="K27" s="25">
        <v>0.67472177633302199</v>
      </c>
      <c r="L27" s="25">
        <v>0.67472177633302199</v>
      </c>
      <c r="M27" s="50">
        <v>0.67472177633302199</v>
      </c>
    </row>
    <row r="28" spans="1:13" x14ac:dyDescent="0.45">
      <c r="A28" s="50" t="s">
        <v>216</v>
      </c>
      <c r="B28" s="25">
        <v>3.27401133917959</v>
      </c>
      <c r="C28" s="25">
        <v>3.6546580791473402</v>
      </c>
      <c r="D28" s="25">
        <v>3.9637868404388401</v>
      </c>
      <c r="E28" s="25">
        <v>4.1258492469787598</v>
      </c>
      <c r="F28" s="25">
        <v>4.2844295501709002</v>
      </c>
      <c r="G28" s="25">
        <v>4.4301252365112296</v>
      </c>
      <c r="H28" s="25">
        <v>4.5750570297241202</v>
      </c>
      <c r="I28" s="25">
        <v>4.7338495254516602</v>
      </c>
      <c r="J28" s="25">
        <v>4.6752126549831399</v>
      </c>
      <c r="K28" s="25">
        <v>4.6155530837535697</v>
      </c>
      <c r="L28" s="25">
        <v>4.6155530837535697</v>
      </c>
      <c r="M28" s="50">
        <v>4.6155530837535697</v>
      </c>
    </row>
    <row r="29" spans="1:13" x14ac:dyDescent="0.45">
      <c r="A29" s="50" t="s">
        <v>217</v>
      </c>
      <c r="B29" s="25">
        <v>1.3884881942214999</v>
      </c>
      <c r="C29" s="25">
        <v>1.4732164144516</v>
      </c>
      <c r="D29" s="25">
        <v>1.6057044267654399</v>
      </c>
      <c r="E29" s="25">
        <v>1.70127630233765</v>
      </c>
      <c r="F29" s="25">
        <v>1.8132010698318499</v>
      </c>
      <c r="G29" s="25">
        <v>1.98881411552429</v>
      </c>
      <c r="H29" s="25">
        <v>2.1330816745758101</v>
      </c>
      <c r="I29" s="25">
        <v>2.1815569400787398</v>
      </c>
      <c r="J29" s="25">
        <v>2.1996472338543498</v>
      </c>
      <c r="K29" s="25">
        <v>2.2473836541216299</v>
      </c>
      <c r="L29" s="25">
        <v>2.2473836541216299</v>
      </c>
      <c r="M29" s="50">
        <v>2.2473836541216299</v>
      </c>
    </row>
    <row r="30" spans="1:13" x14ac:dyDescent="0.45">
      <c r="A30" s="50" t="s">
        <v>218</v>
      </c>
      <c r="B30" s="25"/>
      <c r="C30" s="25">
        <v>1.0275467634201001</v>
      </c>
      <c r="D30" s="25">
        <v>1.09735071659088</v>
      </c>
      <c r="E30" s="25">
        <v>1.09354901313782</v>
      </c>
      <c r="F30" s="25">
        <v>1.0894138813018801</v>
      </c>
      <c r="G30" s="25">
        <v>1.10523045063019</v>
      </c>
      <c r="H30" s="25">
        <v>1.0975375175476101</v>
      </c>
      <c r="I30" s="25">
        <v>1.0687785148620601</v>
      </c>
      <c r="J30" s="25">
        <v>1.0687785148620601</v>
      </c>
      <c r="K30" s="25">
        <v>1.0687785148620601</v>
      </c>
      <c r="L30" s="25">
        <v>1.0687785148620601</v>
      </c>
      <c r="M30" s="50">
        <v>1.0687785148620601</v>
      </c>
    </row>
    <row r="31" spans="1:13" x14ac:dyDescent="0.45">
      <c r="A31" s="50" t="s">
        <v>219</v>
      </c>
      <c r="B31" s="25">
        <v>0.59904715882883597</v>
      </c>
      <c r="C31" s="25">
        <v>0.70520681142806996</v>
      </c>
      <c r="D31" s="25">
        <v>0.67601227760314897</v>
      </c>
      <c r="E31" s="25">
        <v>0.66810786724090598</v>
      </c>
      <c r="F31" s="25">
        <v>0.64969736337661699</v>
      </c>
      <c r="G31" s="25">
        <v>0.68511360883712802</v>
      </c>
      <c r="H31" s="25">
        <v>0.66635441780090299</v>
      </c>
      <c r="I31" s="25">
        <v>0.64685362577438399</v>
      </c>
      <c r="J31" s="25">
        <v>0.68967778759297105</v>
      </c>
      <c r="K31" s="25">
        <v>0.65397195950703402</v>
      </c>
      <c r="L31" s="25">
        <v>0.65397195950703402</v>
      </c>
      <c r="M31" s="50">
        <v>0.65397195950703402</v>
      </c>
    </row>
    <row r="32" spans="1:13" x14ac:dyDescent="0.45">
      <c r="A32" s="50" t="s">
        <v>220</v>
      </c>
      <c r="B32" s="25">
        <v>0.676421030341531</v>
      </c>
      <c r="C32" s="25">
        <v>0.70107489210080998</v>
      </c>
      <c r="D32" s="25">
        <v>0.69281366349506501</v>
      </c>
      <c r="E32" s="25">
        <v>0.68000750268726096</v>
      </c>
      <c r="F32" s="25">
        <v>0.66122794070231505</v>
      </c>
      <c r="G32" s="25">
        <v>0.67870128749811298</v>
      </c>
      <c r="H32" s="25">
        <v>0.66666574083075303</v>
      </c>
      <c r="I32" s="25">
        <v>0.676280695489754</v>
      </c>
      <c r="J32" s="25">
        <v>0.68184252811997903</v>
      </c>
      <c r="K32" s="25">
        <v>0.69855128919813803</v>
      </c>
      <c r="L32" s="25">
        <v>0.69855128919813803</v>
      </c>
      <c r="M32" s="50">
        <v>0.69855128919813803</v>
      </c>
    </row>
    <row r="33" spans="1:13" x14ac:dyDescent="0.45">
      <c r="A33" s="50" t="s">
        <v>221</v>
      </c>
      <c r="B33" s="25">
        <v>213.39773897102199</v>
      </c>
      <c r="C33" s="25">
        <v>223.11581420898401</v>
      </c>
      <c r="D33" s="25">
        <v>238.97865295410199</v>
      </c>
      <c r="E33" s="25">
        <v>231.07925415039099</v>
      </c>
      <c r="F33" s="25">
        <v>231.325927734375</v>
      </c>
      <c r="G33" s="25">
        <v>225.41592407226599</v>
      </c>
      <c r="H33" s="25">
        <v>215.19668579101599</v>
      </c>
      <c r="I33" s="25">
        <v>208.75720214843801</v>
      </c>
      <c r="J33" s="25">
        <v>207.93610146137999</v>
      </c>
      <c r="K33" s="25">
        <v>202.684664333737</v>
      </c>
      <c r="L33" s="25">
        <v>202.684664333737</v>
      </c>
      <c r="M33" s="50">
        <v>202.684664333737</v>
      </c>
    </row>
    <row r="34" spans="1:13" x14ac:dyDescent="0.45">
      <c r="A34" s="50" t="s">
        <v>222</v>
      </c>
      <c r="B34" s="25">
        <v>434.783258126855</v>
      </c>
      <c r="C34" s="25">
        <v>461.50912475585898</v>
      </c>
      <c r="D34" s="25">
        <v>527.052978515625</v>
      </c>
      <c r="E34" s="25">
        <v>539.31109619140602</v>
      </c>
      <c r="F34" s="25">
        <v>547.099609375</v>
      </c>
      <c r="G34" s="25">
        <v>570.65911865234398</v>
      </c>
      <c r="H34" s="25">
        <v>585.89318847656295</v>
      </c>
      <c r="I34" s="25">
        <v>654.89587402343795</v>
      </c>
      <c r="J34" s="25">
        <v>621.09582270888905</v>
      </c>
      <c r="K34" s="25">
        <v>614.27390186123102</v>
      </c>
      <c r="L34" s="25">
        <v>614.27390186123102</v>
      </c>
      <c r="M34" s="50">
        <v>614.27390186123102</v>
      </c>
    </row>
    <row r="35" spans="1:13" x14ac:dyDescent="0.45">
      <c r="A35" s="50" t="s">
        <v>223</v>
      </c>
      <c r="B35" s="25">
        <v>49.411107374665796</v>
      </c>
      <c r="C35" s="25">
        <v>49.695461273193402</v>
      </c>
      <c r="D35" s="25">
        <v>51.140789031982401</v>
      </c>
      <c r="E35" s="25">
        <v>51.855216979980497</v>
      </c>
      <c r="F35" s="25">
        <v>51.839725494384801</v>
      </c>
      <c r="G35" s="25">
        <v>50.452663421630902</v>
      </c>
      <c r="H35" s="25">
        <v>49.364143371582003</v>
      </c>
      <c r="I35" s="25">
        <v>48.477127075195298</v>
      </c>
      <c r="J35" s="25">
        <v>48.045446876520799</v>
      </c>
      <c r="K35" s="25">
        <v>47.395538013564</v>
      </c>
      <c r="L35" s="25">
        <v>47.395538013564</v>
      </c>
      <c r="M35" s="50">
        <v>47.395538013564</v>
      </c>
    </row>
    <row r="36" spans="1:13" x14ac:dyDescent="0.45">
      <c r="A36" s="50" t="s">
        <v>224</v>
      </c>
      <c r="B36" s="25">
        <v>1354.31895185335</v>
      </c>
      <c r="C36" s="25">
        <v>1371.2353515625</v>
      </c>
      <c r="D36" s="25">
        <v>1336.79028320313</v>
      </c>
      <c r="E36" s="25">
        <v>1340.06762695313</v>
      </c>
      <c r="F36" s="25">
        <v>1386.03576660156</v>
      </c>
      <c r="G36" s="25">
        <v>1395.92004394531</v>
      </c>
      <c r="H36" s="25">
        <v>1402.13061523438</v>
      </c>
      <c r="I36" s="25">
        <v>1428.353515625</v>
      </c>
      <c r="J36" s="25">
        <v>1437.7770493508999</v>
      </c>
      <c r="K36" s="25">
        <v>1456.01938306187</v>
      </c>
      <c r="L36" s="25">
        <v>1456.01938306187</v>
      </c>
      <c r="M36" s="50">
        <v>1456.01938306187</v>
      </c>
    </row>
    <row r="37" spans="1:13" x14ac:dyDescent="0.45">
      <c r="A37" s="50" t="s">
        <v>225</v>
      </c>
      <c r="B37" s="25">
        <v>237.35549452116899</v>
      </c>
      <c r="C37" s="25">
        <v>238.70707702636699</v>
      </c>
      <c r="D37" s="25">
        <v>242.19395446777301</v>
      </c>
      <c r="E37" s="25">
        <v>241.0830078125</v>
      </c>
      <c r="F37" s="25">
        <v>239.11933898925801</v>
      </c>
      <c r="G37" s="25">
        <v>240.70826721191401</v>
      </c>
      <c r="H37" s="25">
        <v>237.44375610351599</v>
      </c>
      <c r="I37" s="25">
        <v>232.80139160156301</v>
      </c>
      <c r="J37" s="25">
        <v>230.90001837664599</v>
      </c>
      <c r="K37" s="25">
        <v>232.21811152382901</v>
      </c>
      <c r="L37" s="25">
        <v>232.21811152382901</v>
      </c>
      <c r="M37" s="50">
        <v>232.21811152382901</v>
      </c>
    </row>
    <row r="38" spans="1:13" x14ac:dyDescent="0.45">
      <c r="A38" s="50" t="s">
        <v>226</v>
      </c>
      <c r="B38" s="25">
        <v>1.221371</v>
      </c>
      <c r="C38" s="25">
        <v>1.2399039999999999</v>
      </c>
      <c r="D38" s="25">
        <v>1.244607</v>
      </c>
      <c r="E38" s="25">
        <v>1.224</v>
      </c>
      <c r="F38" s="25">
        <v>1.2303580000000001</v>
      </c>
      <c r="G38" s="25">
        <v>1.2480420000000001</v>
      </c>
      <c r="H38" s="25">
        <v>1.2070449999999999</v>
      </c>
      <c r="I38" s="25">
        <v>1.212304</v>
      </c>
      <c r="J38" s="25">
        <v>1.1981649999999999</v>
      </c>
      <c r="K38" s="25">
        <v>1.2132890000000001</v>
      </c>
      <c r="L38" s="25">
        <v>1.198088</v>
      </c>
      <c r="M38" s="50">
        <v>1.198088</v>
      </c>
    </row>
    <row r="39" spans="1:13" x14ac:dyDescent="0.45">
      <c r="A39" s="50" t="s">
        <v>228</v>
      </c>
      <c r="B39" s="25">
        <v>0.96565211673551099</v>
      </c>
      <c r="C39" s="25">
        <v>0.94153791666030895</v>
      </c>
      <c r="D39" s="25">
        <v>0.965750873088837</v>
      </c>
      <c r="E39" s="25">
        <v>0.98109811544418302</v>
      </c>
      <c r="F39" s="25">
        <v>0.99083691835403398</v>
      </c>
      <c r="G39" s="25">
        <v>0.98963290452957198</v>
      </c>
      <c r="H39" s="25">
        <v>0.98125523328781095</v>
      </c>
      <c r="I39" s="25">
        <v>0.9737908244133</v>
      </c>
      <c r="J39" s="25">
        <v>0.97749702093435298</v>
      </c>
      <c r="K39" s="25">
        <v>0.97749702093435298</v>
      </c>
      <c r="L39" s="25">
        <v>0.97749702093435298</v>
      </c>
      <c r="M39" s="50">
        <v>0.97749702093435298</v>
      </c>
    </row>
    <row r="40" spans="1:13" x14ac:dyDescent="0.45">
      <c r="A40" s="50" t="s">
        <v>229</v>
      </c>
      <c r="B40" s="25">
        <v>252.02103679964799</v>
      </c>
      <c r="C40" s="25">
        <v>256.76135253906301</v>
      </c>
      <c r="D40" s="25">
        <v>262.12899780273398</v>
      </c>
      <c r="E40" s="25">
        <v>254.34715270996099</v>
      </c>
      <c r="F40" s="25">
        <v>290.94522094726602</v>
      </c>
      <c r="G40" s="25">
        <v>283.52374267578102</v>
      </c>
      <c r="H40" s="25">
        <v>280.04779052734398</v>
      </c>
      <c r="I40" s="25">
        <v>286.82916259765602</v>
      </c>
      <c r="J40" s="25">
        <v>276.58053063283302</v>
      </c>
      <c r="K40" s="25">
        <v>277.85286749064397</v>
      </c>
      <c r="L40" s="25">
        <v>277.85286749064397</v>
      </c>
      <c r="M40" s="50">
        <v>277.85286749064397</v>
      </c>
    </row>
    <row r="41" spans="1:13" x14ac:dyDescent="0.45">
      <c r="A41" s="50" t="s">
        <v>231</v>
      </c>
      <c r="B41" s="25">
        <v>242.69889823899899</v>
      </c>
      <c r="C41" s="25">
        <v>258.13131713867199</v>
      </c>
      <c r="D41" s="25">
        <v>285.353515625</v>
      </c>
      <c r="E41" s="25">
        <v>308.41970825195301</v>
      </c>
      <c r="F41" s="25">
        <v>300.38610839843801</v>
      </c>
      <c r="G41" s="25">
        <v>252.0751953125</v>
      </c>
      <c r="H41" s="25">
        <v>246.88441467285199</v>
      </c>
      <c r="I41" s="25">
        <v>243.65457153320301</v>
      </c>
      <c r="J41" s="25">
        <v>249.78816990160001</v>
      </c>
      <c r="K41" s="25">
        <v>252.02796029243399</v>
      </c>
      <c r="L41" s="25">
        <v>252.02796029243399</v>
      </c>
      <c r="M41" s="50">
        <v>252.02796029243399</v>
      </c>
    </row>
    <row r="42" spans="1:13" x14ac:dyDescent="0.45">
      <c r="A42" s="50" t="s">
        <v>233</v>
      </c>
      <c r="B42" s="25">
        <v>359.83702</v>
      </c>
      <c r="C42" s="25">
        <v>348.01684699999998</v>
      </c>
      <c r="D42" s="25">
        <v>347.22850699999998</v>
      </c>
      <c r="E42" s="25">
        <v>349.68053600000002</v>
      </c>
      <c r="F42" s="25">
        <v>367.21390700000001</v>
      </c>
      <c r="G42" s="25">
        <v>391.17886099999998</v>
      </c>
      <c r="H42" s="25">
        <v>397.25070299999999</v>
      </c>
      <c r="I42" s="25">
        <v>397.68940099999998</v>
      </c>
      <c r="J42" s="25">
        <v>411.82271800000001</v>
      </c>
      <c r="K42" s="25">
        <v>398.92280199999999</v>
      </c>
      <c r="L42" s="25">
        <v>420.90305499999999</v>
      </c>
      <c r="M42" s="50">
        <v>420.90305499999999</v>
      </c>
    </row>
    <row r="43" spans="1:13" x14ac:dyDescent="0.45">
      <c r="A43" s="50" t="s">
        <v>234</v>
      </c>
      <c r="B43" s="25">
        <v>3.3292321612475599</v>
      </c>
      <c r="C43" s="25">
        <v>3.5244677066803001</v>
      </c>
      <c r="D43" s="25">
        <v>3.5609679222106898</v>
      </c>
      <c r="E43" s="25">
        <v>3.6636447906494101</v>
      </c>
      <c r="F43" s="25">
        <v>3.75884985923767</v>
      </c>
      <c r="G43" s="25">
        <v>3.8706972599029501</v>
      </c>
      <c r="H43" s="25">
        <v>3.98883724212646</v>
      </c>
      <c r="I43" s="25">
        <v>4.1838111877441397</v>
      </c>
      <c r="J43" s="25">
        <v>4.22725793736464</v>
      </c>
      <c r="K43" s="25">
        <v>4.2001178686271299</v>
      </c>
      <c r="L43" s="25">
        <v>4.2001178686271299</v>
      </c>
      <c r="M43" s="50">
        <v>4.2001178686271299</v>
      </c>
    </row>
    <row r="44" spans="1:13" x14ac:dyDescent="0.45">
      <c r="A44" s="50" t="s">
        <v>235</v>
      </c>
      <c r="B44" s="25">
        <v>1121.0474205661801</v>
      </c>
      <c r="C44" s="25">
        <v>1168.24304199219</v>
      </c>
      <c r="D44" s="25">
        <v>1203.58520507813</v>
      </c>
      <c r="E44" s="25">
        <v>1206.67907714844</v>
      </c>
      <c r="F44" s="25">
        <v>1220.60729980469</v>
      </c>
      <c r="G44" s="25">
        <v>1276.47937011719</v>
      </c>
      <c r="H44" s="25">
        <v>1298.142605</v>
      </c>
      <c r="I44" s="25">
        <v>1328.016627</v>
      </c>
      <c r="J44" s="25">
        <v>1338.006136</v>
      </c>
      <c r="K44" s="25">
        <v>1349.411552</v>
      </c>
      <c r="L44" s="25">
        <v>1351.775746</v>
      </c>
      <c r="M44" s="50">
        <v>1351.775746</v>
      </c>
    </row>
    <row r="45" spans="1:13" x14ac:dyDescent="0.45">
      <c r="A45" s="50" t="s">
        <v>236</v>
      </c>
      <c r="B45" s="25">
        <v>216.85341675941601</v>
      </c>
      <c r="C45" s="25">
        <v>218.97758483886699</v>
      </c>
      <c r="D45" s="25">
        <v>213.963623046875</v>
      </c>
      <c r="E45" s="25">
        <v>211.50003051757801</v>
      </c>
      <c r="F45" s="25">
        <v>206.34310913085901</v>
      </c>
      <c r="G45" s="25">
        <v>203.34403991699199</v>
      </c>
      <c r="H45" s="25">
        <v>197.570556640625</v>
      </c>
      <c r="I45" s="25">
        <v>190.125900268555</v>
      </c>
      <c r="J45" s="25">
        <v>187.76279152523099</v>
      </c>
      <c r="K45" s="25">
        <v>188.465816580834</v>
      </c>
      <c r="L45" s="25">
        <v>188.465816580834</v>
      </c>
      <c r="M45" s="50">
        <v>188.465816580834</v>
      </c>
    </row>
    <row r="46" spans="1:13" x14ac:dyDescent="0.45">
      <c r="A46" s="50" t="s">
        <v>237</v>
      </c>
      <c r="B46" s="25">
        <v>477.34404068304701</v>
      </c>
      <c r="C46" s="25">
        <v>532.06341552734398</v>
      </c>
      <c r="D46" s="25">
        <v>583.254638671875</v>
      </c>
      <c r="E46" s="25">
        <v>558.90661621093795</v>
      </c>
      <c r="F46" s="25">
        <v>530.01763916015602</v>
      </c>
      <c r="G46" s="25">
        <v>508.59552001953102</v>
      </c>
      <c r="H46" s="25">
        <v>494.126708984375</v>
      </c>
      <c r="I46" s="25">
        <v>645.39056396484398</v>
      </c>
      <c r="J46" s="25">
        <v>812.56195031327604</v>
      </c>
      <c r="K46" s="25">
        <v>834.58538967320499</v>
      </c>
      <c r="L46" s="25">
        <v>834.58538967320499</v>
      </c>
      <c r="M46" s="50">
        <v>834.58538967320499</v>
      </c>
    </row>
    <row r="47" spans="1:13" x14ac:dyDescent="0.45">
      <c r="A47" s="50" t="s">
        <v>238</v>
      </c>
      <c r="B47" s="25">
        <v>284.54410764700299</v>
      </c>
      <c r="C47" s="25">
        <v>309.25119018554699</v>
      </c>
      <c r="D47" s="25">
        <v>316.11636352539102</v>
      </c>
      <c r="E47" s="25">
        <v>316.15191650390602</v>
      </c>
      <c r="F47" s="25">
        <v>314.80508422851602</v>
      </c>
      <c r="G47" s="25">
        <v>311.99905395507801</v>
      </c>
      <c r="H47" s="25">
        <v>316.62527465820301</v>
      </c>
      <c r="I47" s="25">
        <v>297.67398071289102</v>
      </c>
      <c r="J47" s="25">
        <v>357.75485674717203</v>
      </c>
      <c r="K47" s="25">
        <v>348.27333337128999</v>
      </c>
      <c r="L47" s="25">
        <v>348.27333337128999</v>
      </c>
      <c r="M47" s="50">
        <v>348.27333337128999</v>
      </c>
    </row>
    <row r="48" spans="1:13" x14ac:dyDescent="0.45">
      <c r="A48" s="50" t="s">
        <v>239</v>
      </c>
      <c r="B48" s="25">
        <v>336.44061764916398</v>
      </c>
      <c r="C48" s="25">
        <v>344.54602050781301</v>
      </c>
      <c r="D48" s="25">
        <v>353.78475952148398</v>
      </c>
      <c r="E48" s="25">
        <v>357.828125</v>
      </c>
      <c r="F48" s="25">
        <v>363.42178344726602</v>
      </c>
      <c r="G48" s="25">
        <v>364.16271972656301</v>
      </c>
      <c r="H48" s="25">
        <v>343.01361700000001</v>
      </c>
      <c r="I48" s="25">
        <v>340.99188199999998</v>
      </c>
      <c r="J48" s="25">
        <v>342.66406799999999</v>
      </c>
      <c r="K48" s="25">
        <v>341.441239</v>
      </c>
      <c r="L48" s="25">
        <v>341.441239</v>
      </c>
      <c r="M48" s="50">
        <v>341.441239</v>
      </c>
    </row>
    <row r="49" spans="1:13" x14ac:dyDescent="0.45">
      <c r="A49" s="50" t="s">
        <v>240</v>
      </c>
      <c r="B49" s="25">
        <v>237.96763701615299</v>
      </c>
      <c r="C49" s="25">
        <v>236.91058349609401</v>
      </c>
      <c r="D49" s="25">
        <v>241.71537780761699</v>
      </c>
      <c r="E49" s="25">
        <v>247.24160766601599</v>
      </c>
      <c r="F49" s="25">
        <v>246.51933288574199</v>
      </c>
      <c r="G49" s="25">
        <v>250.63824462890599</v>
      </c>
      <c r="H49" s="25">
        <v>252.41082763671901</v>
      </c>
      <c r="I49" s="25">
        <v>253.74560546875</v>
      </c>
      <c r="J49" s="25">
        <v>249.28393267327601</v>
      </c>
      <c r="K49" s="25">
        <v>245.02546694876699</v>
      </c>
      <c r="L49" s="25">
        <v>245.02546694876699</v>
      </c>
      <c r="M49" s="50">
        <v>245.02546694876699</v>
      </c>
    </row>
    <row r="50" spans="1:13" x14ac:dyDescent="0.45">
      <c r="A50" s="50" t="s">
        <v>161</v>
      </c>
      <c r="B50" s="25">
        <v>3.8705569168406102</v>
      </c>
      <c r="C50" s="25">
        <v>3.7526406416554199</v>
      </c>
      <c r="D50" s="25">
        <v>3.6641229832752198</v>
      </c>
      <c r="E50" s="25">
        <v>3.5751170491353901</v>
      </c>
      <c r="F50" s="25">
        <v>3.5434737437932999</v>
      </c>
      <c r="G50" s="25">
        <v>3.5123825544365102</v>
      </c>
      <c r="H50" s="25">
        <v>3.3820184148763301</v>
      </c>
      <c r="I50" s="25">
        <v>3.3246648904026799</v>
      </c>
      <c r="J50" s="25">
        <v>3.3015532940546302</v>
      </c>
      <c r="K50" s="25">
        <v>3.2721521112760299</v>
      </c>
      <c r="L50" s="25">
        <v>3.2721521112760299</v>
      </c>
      <c r="M50" s="50">
        <v>3.2721521112760299</v>
      </c>
    </row>
    <row r="51" spans="1:13" x14ac:dyDescent="0.45">
      <c r="A51" s="50" t="s">
        <v>241</v>
      </c>
      <c r="B51" s="25"/>
      <c r="C51" s="25">
        <v>0.32193871145563202</v>
      </c>
      <c r="D51" s="25">
        <v>0.32193871145563202</v>
      </c>
      <c r="E51" s="25">
        <v>0.32193871145563202</v>
      </c>
      <c r="F51" s="25">
        <v>0.32193871145563202</v>
      </c>
      <c r="G51" s="25">
        <v>0.32193871145563202</v>
      </c>
      <c r="H51" s="25">
        <v>0.32193871145563202</v>
      </c>
      <c r="I51" s="25">
        <v>0.32193871145563202</v>
      </c>
      <c r="J51" s="25">
        <v>0.32193871145563202</v>
      </c>
      <c r="K51" s="25">
        <v>0.32193871145563202</v>
      </c>
      <c r="L51" s="25">
        <v>0.32193871145563202</v>
      </c>
      <c r="M51" s="50">
        <v>0.32193871145563202</v>
      </c>
    </row>
    <row r="52" spans="1:13" x14ac:dyDescent="0.45">
      <c r="A52" s="50" t="s">
        <v>242</v>
      </c>
      <c r="B52" s="25">
        <v>1.32146204086748</v>
      </c>
      <c r="C52" s="25">
        <v>1.3246216773986801</v>
      </c>
      <c r="D52" s="25">
        <v>1.4078603982925399</v>
      </c>
      <c r="E52" s="25">
        <v>1.41306436061859</v>
      </c>
      <c r="F52" s="25">
        <v>1.4287959337234499</v>
      </c>
      <c r="G52" s="25">
        <v>1.42337906360626</v>
      </c>
      <c r="H52" s="25">
        <v>1.41097772121429</v>
      </c>
      <c r="I52" s="25">
        <v>1.3671565055847199</v>
      </c>
      <c r="J52" s="25">
        <v>1.36914008950628</v>
      </c>
      <c r="K52" s="25">
        <v>1.3787195632378699</v>
      </c>
      <c r="L52" s="25">
        <v>1.3787195632378699</v>
      </c>
      <c r="M52" s="50">
        <v>1.3787195632378699</v>
      </c>
    </row>
    <row r="53" spans="1:13" x14ac:dyDescent="0.45">
      <c r="A53" s="50" t="s">
        <v>243</v>
      </c>
      <c r="B53" s="25">
        <v>0.69960447106513002</v>
      </c>
      <c r="C53" s="25">
        <v>0.69862321379320602</v>
      </c>
      <c r="D53" s="25">
        <v>0.70684873825423999</v>
      </c>
      <c r="E53" s="25">
        <v>0.68731613005619796</v>
      </c>
      <c r="F53" s="25">
        <v>0.679708670387699</v>
      </c>
      <c r="G53" s="25">
        <v>0.66314132286657002</v>
      </c>
      <c r="H53" s="25">
        <v>0.622328384740373</v>
      </c>
      <c r="I53" s="25">
        <v>0.61518431027852505</v>
      </c>
      <c r="J53" s="25">
        <v>0.60857667821523698</v>
      </c>
      <c r="K53" s="25">
        <v>0.60870301092745704</v>
      </c>
      <c r="L53" s="25">
        <v>0.60870301092745704</v>
      </c>
      <c r="M53" s="50">
        <v>0.60870301092745704</v>
      </c>
    </row>
    <row r="54" spans="1:13" x14ac:dyDescent="0.45">
      <c r="A54" s="50" t="s">
        <v>153</v>
      </c>
      <c r="B54" s="25">
        <v>13.661572</v>
      </c>
      <c r="C54" s="25">
        <v>13.345305</v>
      </c>
      <c r="D54" s="25">
        <v>13.297699</v>
      </c>
      <c r="E54" s="25">
        <v>12.785271</v>
      </c>
      <c r="F54" s="25">
        <v>12.70321</v>
      </c>
      <c r="G54" s="25">
        <v>12.93798</v>
      </c>
      <c r="H54" s="25">
        <v>12.576343</v>
      </c>
      <c r="I54" s="25">
        <v>12.424986000000001</v>
      </c>
      <c r="J54" s="25">
        <v>12.37195</v>
      </c>
      <c r="K54" s="25">
        <v>12.526002999999999</v>
      </c>
      <c r="L54" s="25">
        <v>12.843495000000001</v>
      </c>
      <c r="M54" s="50">
        <v>12.843495000000001</v>
      </c>
    </row>
    <row r="55" spans="1:13" x14ac:dyDescent="0.45">
      <c r="A55" s="50" t="s">
        <v>168</v>
      </c>
      <c r="B55" s="25">
        <v>7.585045</v>
      </c>
      <c r="C55" s="25">
        <v>7.4664919999999997</v>
      </c>
      <c r="D55" s="25">
        <v>7.5641360000000004</v>
      </c>
      <c r="E55" s="25">
        <v>7.3548460000000002</v>
      </c>
      <c r="F55" s="25">
        <v>7.3286740000000004</v>
      </c>
      <c r="G55" s="25">
        <v>7.3053569999999999</v>
      </c>
      <c r="H55" s="25">
        <v>7.0798560000000004</v>
      </c>
      <c r="I55" s="25">
        <v>6.8716790000000003</v>
      </c>
      <c r="J55" s="25">
        <v>6.7690999999999999</v>
      </c>
      <c r="K55" s="25">
        <v>6.6559920000000004</v>
      </c>
      <c r="L55" s="25">
        <v>6.6603500000000002</v>
      </c>
      <c r="M55" s="50">
        <v>6.6603500000000002</v>
      </c>
    </row>
    <row r="56" spans="1:13" x14ac:dyDescent="0.45">
      <c r="A56" s="50" t="s">
        <v>244</v>
      </c>
      <c r="B56" s="25"/>
      <c r="C56" s="25">
        <v>93.571823120117202</v>
      </c>
      <c r="D56" s="25">
        <v>98.269592285156307</v>
      </c>
      <c r="E56" s="25">
        <v>100.15228271484401</v>
      </c>
      <c r="F56" s="25">
        <v>102.11085510253901</v>
      </c>
      <c r="G56" s="25">
        <v>103.302284240723</v>
      </c>
      <c r="H56" s="25">
        <v>106.126457214355</v>
      </c>
      <c r="I56" s="25">
        <v>106.022705078125</v>
      </c>
      <c r="J56" s="25">
        <v>104.543287965072</v>
      </c>
      <c r="K56" s="25">
        <v>105.005967896123</v>
      </c>
      <c r="L56" s="25">
        <v>105.005967896123</v>
      </c>
      <c r="M56" s="50">
        <v>105.005967896123</v>
      </c>
    </row>
    <row r="57" spans="1:13" x14ac:dyDescent="0.45">
      <c r="A57" s="50" t="s">
        <v>245</v>
      </c>
      <c r="B57" s="25">
        <v>1.87785311913543</v>
      </c>
      <c r="C57" s="25">
        <v>1.8704295158386199</v>
      </c>
      <c r="D57" s="25">
        <v>1.8592386245727499</v>
      </c>
      <c r="E57" s="25">
        <v>1.86717689037323</v>
      </c>
      <c r="F57" s="25">
        <v>1.81103038787842</v>
      </c>
      <c r="G57" s="25">
        <v>1.8411551713943499</v>
      </c>
      <c r="H57" s="25">
        <v>1.8258967399597199</v>
      </c>
      <c r="I57" s="25">
        <v>1.7375373840332</v>
      </c>
      <c r="J57" s="25">
        <v>1.7577488209747101</v>
      </c>
      <c r="K57" s="25">
        <v>1.75970417134687</v>
      </c>
      <c r="L57" s="25">
        <v>1.75970417134687</v>
      </c>
      <c r="M57" s="50">
        <v>1.75970417134687</v>
      </c>
    </row>
    <row r="58" spans="1:13" x14ac:dyDescent="0.45">
      <c r="A58" s="50" t="s">
        <v>246</v>
      </c>
      <c r="B58" s="25">
        <v>17.927293548876399</v>
      </c>
      <c r="C58" s="25">
        <v>18.975978851318398</v>
      </c>
      <c r="D58" s="25">
        <v>20.189214706420898</v>
      </c>
      <c r="E58" s="25">
        <v>20.887376785278299</v>
      </c>
      <c r="F58" s="25">
        <v>21.358970642089801</v>
      </c>
      <c r="G58" s="25">
        <v>21.151008605956999</v>
      </c>
      <c r="H58" s="25">
        <v>20.818893432617202</v>
      </c>
      <c r="I58" s="25">
        <v>21.613275527954102</v>
      </c>
      <c r="J58" s="25">
        <v>21.968901590638399</v>
      </c>
      <c r="K58" s="25">
        <v>22.094685573248299</v>
      </c>
      <c r="L58" s="25">
        <v>22.094685573248299</v>
      </c>
      <c r="M58" s="50">
        <v>22.094685573248299</v>
      </c>
    </row>
    <row r="59" spans="1:13" x14ac:dyDescent="0.45">
      <c r="A59" s="50" t="s">
        <v>251</v>
      </c>
      <c r="B59" s="25">
        <v>0.509728629589979</v>
      </c>
      <c r="C59" s="25">
        <v>0.52757233381271396</v>
      </c>
      <c r="D59" s="25">
        <v>0.551044821739197</v>
      </c>
      <c r="E59" s="25">
        <v>0.54298925399780296</v>
      </c>
      <c r="F59" s="25">
        <v>0.54443764686584495</v>
      </c>
      <c r="G59" s="25">
        <v>0.55373710393905595</v>
      </c>
      <c r="H59" s="25">
        <v>0.54920655488967896</v>
      </c>
      <c r="I59" s="25">
        <v>0.53482097387313798</v>
      </c>
      <c r="J59" s="25">
        <v>0.53159893117733603</v>
      </c>
      <c r="K59" s="25">
        <v>0.52058005211381897</v>
      </c>
      <c r="L59" s="25">
        <v>0.52058005211381897</v>
      </c>
      <c r="M59" s="50">
        <v>0.52058005211381897</v>
      </c>
    </row>
    <row r="60" spans="1:13" x14ac:dyDescent="0.45">
      <c r="A60" s="50" t="s">
        <v>252</v>
      </c>
      <c r="B60" s="25">
        <v>1.53103426957012</v>
      </c>
      <c r="C60" s="25">
        <v>1.6746172904968299</v>
      </c>
      <c r="D60" s="25">
        <v>1.7469180822372401</v>
      </c>
      <c r="E60" s="25">
        <v>1.87536120414734</v>
      </c>
      <c r="F60" s="25">
        <v>2.1618614196777299</v>
      </c>
      <c r="G60" s="25">
        <v>2.2963895797729501</v>
      </c>
      <c r="H60" s="25">
        <v>2.56308174133301</v>
      </c>
      <c r="I60" s="25">
        <v>3.2666029930114702</v>
      </c>
      <c r="J60" s="25">
        <v>3.87218620091677</v>
      </c>
      <c r="K60" s="25">
        <v>4.3160278220274204</v>
      </c>
      <c r="L60" s="25">
        <v>4.3160278220274204</v>
      </c>
      <c r="M60" s="50">
        <v>4.3160278220274204</v>
      </c>
    </row>
    <row r="61" spans="1:13" x14ac:dyDescent="0.45">
      <c r="A61" s="50" t="s">
        <v>253</v>
      </c>
      <c r="B61" s="25">
        <v>0.48689267694698501</v>
      </c>
      <c r="C61" s="25">
        <v>0.50512027740478505</v>
      </c>
      <c r="D61" s="25">
        <v>0.52412414550781306</v>
      </c>
      <c r="E61" s="25">
        <v>0.51031726598739602</v>
      </c>
      <c r="F61" s="25">
        <v>0.49619051814079301</v>
      </c>
      <c r="G61" s="25">
        <v>0.48772457242012002</v>
      </c>
      <c r="H61" s="25">
        <v>0.47346323728561401</v>
      </c>
      <c r="I61" s="25">
        <v>0.46253019571304299</v>
      </c>
      <c r="J61" s="25">
        <v>0.460900990034666</v>
      </c>
      <c r="K61" s="25">
        <v>0.45690657850536098</v>
      </c>
      <c r="L61" s="25">
        <v>0.45690657850536098</v>
      </c>
      <c r="M61" s="50">
        <v>0.45690657850536098</v>
      </c>
    </row>
    <row r="62" spans="1:13" x14ac:dyDescent="0.45">
      <c r="A62" s="50" t="s">
        <v>254</v>
      </c>
      <c r="B62" s="25">
        <v>259.49327303115399</v>
      </c>
      <c r="C62" s="25">
        <v>297.50949096679699</v>
      </c>
      <c r="D62" s="25">
        <v>295.03802490234398</v>
      </c>
      <c r="E62" s="25">
        <v>289.67855834960898</v>
      </c>
      <c r="F62" s="25">
        <v>284.185302734375</v>
      </c>
      <c r="G62" s="25">
        <v>277.46356201171898</v>
      </c>
      <c r="H62" s="25">
        <v>267.94314575195301</v>
      </c>
      <c r="I62" s="25">
        <v>248.93429565429699</v>
      </c>
      <c r="J62" s="25">
        <v>270.16729110902799</v>
      </c>
      <c r="K62" s="25">
        <v>245.86016020598601</v>
      </c>
      <c r="L62" s="25">
        <v>245.86016020598601</v>
      </c>
      <c r="M62" s="50">
        <v>245.86016020598601</v>
      </c>
    </row>
    <row r="63" spans="1:13" x14ac:dyDescent="0.45">
      <c r="A63" s="50" t="s">
        <v>255</v>
      </c>
      <c r="B63" s="25">
        <v>5.1901097387007002</v>
      </c>
      <c r="C63" s="25">
        <v>6.0772179935858004</v>
      </c>
      <c r="D63" s="25">
        <v>6.3905752561910596</v>
      </c>
      <c r="E63" s="25">
        <v>6.0902025465409899</v>
      </c>
      <c r="F63" s="25">
        <v>6.0717868835414901</v>
      </c>
      <c r="G63" s="25">
        <v>5.8266489989236803</v>
      </c>
      <c r="H63" s="25">
        <v>5.8093845672523603</v>
      </c>
      <c r="I63" s="25">
        <v>5.4699043486879804</v>
      </c>
      <c r="J63" s="25">
        <v>5.4699043486879804</v>
      </c>
      <c r="K63" s="25">
        <v>5.4699043486879804</v>
      </c>
      <c r="L63" s="25">
        <v>5.4699043486879804</v>
      </c>
      <c r="M63" s="50">
        <v>5.4699043486879804</v>
      </c>
    </row>
    <row r="64" spans="1:13" x14ac:dyDescent="0.45">
      <c r="A64" s="50" t="s">
        <v>175</v>
      </c>
      <c r="B64" s="25">
        <v>0.51170599999999999</v>
      </c>
      <c r="C64" s="25">
        <v>0.51160000000000005</v>
      </c>
      <c r="D64" s="25">
        <v>0.52106300000000005</v>
      </c>
      <c r="E64" s="25">
        <v>0.522424</v>
      </c>
      <c r="F64" s="25">
        <v>0.52688999999999997</v>
      </c>
      <c r="G64" s="25">
        <v>0.53757999999999995</v>
      </c>
      <c r="H64" s="25">
        <v>0.52784900000000001</v>
      </c>
      <c r="I64" s="25">
        <v>0.53490800000000005</v>
      </c>
      <c r="J64" s="25">
        <v>0.54010599999999998</v>
      </c>
      <c r="K64" s="25">
        <v>0.54577299999999995</v>
      </c>
      <c r="L64" s="25">
        <v>0.53290000000000004</v>
      </c>
      <c r="M64" s="50">
        <v>0.53290000000000004</v>
      </c>
    </row>
    <row r="65" spans="1:13" x14ac:dyDescent="0.45">
      <c r="A65" s="50" t="s">
        <v>256</v>
      </c>
      <c r="B65" s="25">
        <v>3.9270424126415899</v>
      </c>
      <c r="C65" s="25">
        <v>4.0521378517150897</v>
      </c>
      <c r="D65" s="25">
        <v>4.4966244697570801</v>
      </c>
      <c r="E65" s="25">
        <v>4.6900162696838397</v>
      </c>
      <c r="F65" s="25">
        <v>4.9823050498962402</v>
      </c>
      <c r="G65" s="25">
        <v>5.3229084014892596</v>
      </c>
      <c r="H65" s="25">
        <v>5.7878603935241699</v>
      </c>
      <c r="I65" s="25">
        <v>6.2055931091308603</v>
      </c>
      <c r="J65" s="25">
        <v>6.22840620947715</v>
      </c>
      <c r="K65" s="25">
        <v>6.25078823453594</v>
      </c>
      <c r="L65" s="25">
        <v>6.25078823453594</v>
      </c>
      <c r="M65" s="50">
        <v>6.25078823453594</v>
      </c>
    </row>
    <row r="66" spans="1:13" x14ac:dyDescent="0.45">
      <c r="A66" s="50" t="s">
        <v>257</v>
      </c>
      <c r="B66" s="25">
        <v>4.2817003463029604</v>
      </c>
      <c r="C66" s="25">
        <v>5.0355029106140101</v>
      </c>
      <c r="D66" s="25">
        <v>6.6409487724304199</v>
      </c>
      <c r="E66" s="25">
        <v>7.0806994438171396</v>
      </c>
      <c r="F66" s="25">
        <v>7.1442236900329599</v>
      </c>
      <c r="G66" s="25">
        <v>7.76668500900269</v>
      </c>
      <c r="H66" s="25">
        <v>8.0559206008911097</v>
      </c>
      <c r="I66" s="25">
        <v>8.5208549499511701</v>
      </c>
      <c r="J66" s="25">
        <v>9.3482097633194599</v>
      </c>
      <c r="K66" s="25">
        <v>10.349446059582201</v>
      </c>
      <c r="L66" s="25">
        <v>10.349446059582201</v>
      </c>
      <c r="M66" s="50">
        <v>10.349446059582201</v>
      </c>
    </row>
    <row r="67" spans="1:13" x14ac:dyDescent="0.45">
      <c r="A67" s="50" t="s">
        <v>264</v>
      </c>
      <c r="B67" s="25">
        <v>0.88533868174886499</v>
      </c>
      <c r="C67" s="25">
        <v>0.94866710901260398</v>
      </c>
      <c r="D67" s="25">
        <v>0.92974138259887695</v>
      </c>
      <c r="E67" s="25">
        <v>0.93471163511276201</v>
      </c>
      <c r="F67" s="25">
        <v>0.932411849498749</v>
      </c>
      <c r="G67" s="25">
        <v>0.91099280118942305</v>
      </c>
      <c r="H67" s="25">
        <v>0.937128186225891</v>
      </c>
      <c r="I67" s="25">
        <v>0.93900692462921098</v>
      </c>
      <c r="J67" s="25">
        <v>0.92974687042233894</v>
      </c>
      <c r="K67" s="25">
        <v>0.93368977397444797</v>
      </c>
      <c r="L67" s="25">
        <v>0.93368977397444797</v>
      </c>
      <c r="M67" s="50">
        <v>0.93368977397444797</v>
      </c>
    </row>
    <row r="68" spans="1:13" x14ac:dyDescent="0.45">
      <c r="A68" s="50" t="s">
        <v>167</v>
      </c>
      <c r="B68" s="25">
        <v>0.89978899999999995</v>
      </c>
      <c r="C68" s="25">
        <v>0.89806799999999998</v>
      </c>
      <c r="D68" s="25">
        <v>0.90849500000000005</v>
      </c>
      <c r="E68" s="25">
        <v>0.90535699999999997</v>
      </c>
      <c r="F68" s="25">
        <v>0.90720999999999996</v>
      </c>
      <c r="G68" s="25">
        <v>0.907748</v>
      </c>
      <c r="H68" s="25">
        <v>0.88089499999999998</v>
      </c>
      <c r="I68" s="25">
        <v>0.86365700000000001</v>
      </c>
      <c r="J68" s="25">
        <v>0.85158199999999995</v>
      </c>
      <c r="K68" s="25">
        <v>0.84398399999999996</v>
      </c>
      <c r="L68" s="25">
        <v>0.85458800000000001</v>
      </c>
      <c r="M68" s="50">
        <v>0.85458800000000001</v>
      </c>
    </row>
    <row r="69" spans="1:13" x14ac:dyDescent="0.45">
      <c r="A69" s="50" t="s">
        <v>170</v>
      </c>
      <c r="B69" s="25">
        <v>0.85397999999999996</v>
      </c>
      <c r="C69" s="25">
        <v>0.84136100000000003</v>
      </c>
      <c r="D69" s="25">
        <v>0.84430099999999997</v>
      </c>
      <c r="E69" s="25">
        <v>0.811643</v>
      </c>
      <c r="F69" s="25">
        <v>0.80756499999999998</v>
      </c>
      <c r="G69" s="25">
        <v>0.80869400000000002</v>
      </c>
      <c r="H69" s="25">
        <v>0.78004399999999996</v>
      </c>
      <c r="I69" s="25">
        <v>0.77010900000000004</v>
      </c>
      <c r="J69" s="25">
        <v>0.75545099999999998</v>
      </c>
      <c r="K69" s="25">
        <v>0.73051200000000005</v>
      </c>
      <c r="L69" s="25">
        <v>0.74052499999999999</v>
      </c>
      <c r="M69" s="50">
        <v>0.74052499999999999</v>
      </c>
    </row>
    <row r="70" spans="1:13" x14ac:dyDescent="0.45">
      <c r="A70" s="50" t="s">
        <v>267</v>
      </c>
      <c r="B70" s="25">
        <v>295.11285059121502</v>
      </c>
      <c r="C70" s="25">
        <v>325.73254394531301</v>
      </c>
      <c r="D70" s="25">
        <v>326.27444458007801</v>
      </c>
      <c r="E70" s="25">
        <v>316.43493652343801</v>
      </c>
      <c r="F70" s="25">
        <v>310.41546630859398</v>
      </c>
      <c r="G70" s="25">
        <v>297.01083374023398</v>
      </c>
      <c r="H70" s="25">
        <v>289.72079467773398</v>
      </c>
      <c r="I70" s="25">
        <v>279.76571655273398</v>
      </c>
      <c r="J70" s="25">
        <v>292.61092923009198</v>
      </c>
      <c r="K70" s="25">
        <v>291.498912218778</v>
      </c>
      <c r="L70" s="25">
        <v>291.498912218778</v>
      </c>
      <c r="M70" s="50">
        <v>291.498912218778</v>
      </c>
    </row>
    <row r="71" spans="1:13" x14ac:dyDescent="0.45">
      <c r="A71" s="50" t="s">
        <v>268</v>
      </c>
      <c r="B71" s="25">
        <v>9.9011354736918396</v>
      </c>
      <c r="C71" s="25">
        <v>10.141971588134799</v>
      </c>
      <c r="D71" s="25">
        <v>10.831163406372101</v>
      </c>
      <c r="E71" s="25">
        <v>11.873202323913601</v>
      </c>
      <c r="F71" s="25">
        <v>12.5058794021606</v>
      </c>
      <c r="G71" s="25">
        <v>13.5881757736206</v>
      </c>
      <c r="H71" s="25">
        <v>14.4826145172119</v>
      </c>
      <c r="I71" s="25">
        <v>15.286075592041</v>
      </c>
      <c r="J71" s="25">
        <v>15.959942984176299</v>
      </c>
      <c r="K71" s="25">
        <v>16.775192412127499</v>
      </c>
      <c r="L71" s="25">
        <v>16.775192412127499</v>
      </c>
      <c r="M71" s="50">
        <v>16.775192412127499</v>
      </c>
    </row>
    <row r="72" spans="1:13" x14ac:dyDescent="0.45">
      <c r="A72" s="50" t="s">
        <v>269</v>
      </c>
      <c r="B72" s="25">
        <v>0.76185289659962596</v>
      </c>
      <c r="C72" s="25">
        <v>0.81129533052444502</v>
      </c>
      <c r="D72" s="25">
        <v>0.74310088157653797</v>
      </c>
      <c r="E72" s="25">
        <v>0.72477406263351396</v>
      </c>
      <c r="F72" s="25">
        <v>0.72290188074111905</v>
      </c>
      <c r="G72" s="25">
        <v>0.75351679325103804</v>
      </c>
      <c r="H72" s="25">
        <v>0.74767273664474498</v>
      </c>
      <c r="I72" s="25">
        <v>0.80457169037939902</v>
      </c>
      <c r="J72" s="25">
        <v>0.81948106527290698</v>
      </c>
      <c r="K72" s="25">
        <v>0.845610437765276</v>
      </c>
      <c r="L72" s="25">
        <v>0.845610437765276</v>
      </c>
      <c r="M72" s="50">
        <v>0.845610437765276</v>
      </c>
    </row>
    <row r="73" spans="1:13" x14ac:dyDescent="0.45">
      <c r="A73" s="50" t="s">
        <v>158</v>
      </c>
      <c r="B73" s="25">
        <v>0.80442599999999997</v>
      </c>
      <c r="C73" s="25">
        <v>0.78873899999999997</v>
      </c>
      <c r="D73" s="25">
        <v>0.787246</v>
      </c>
      <c r="E73" s="25">
        <v>0.77478400000000003</v>
      </c>
      <c r="F73" s="25">
        <v>0.76893699999999998</v>
      </c>
      <c r="G73" s="25">
        <v>0.77812199999999998</v>
      </c>
      <c r="H73" s="25">
        <v>0.75260800000000005</v>
      </c>
      <c r="I73" s="25">
        <v>0.74478299999999997</v>
      </c>
      <c r="J73" s="25">
        <v>0.73668900000000004</v>
      </c>
      <c r="K73" s="25">
        <v>0.74266299999999996</v>
      </c>
      <c r="L73" s="25">
        <v>0.74467899999999998</v>
      </c>
      <c r="M73" s="50">
        <v>0.74467899999999998</v>
      </c>
    </row>
    <row r="74" spans="1:13" x14ac:dyDescent="0.45">
      <c r="A74" s="50" t="s">
        <v>270</v>
      </c>
      <c r="B74" s="25">
        <v>0.62480421391658403</v>
      </c>
      <c r="C74" s="25">
        <v>0.69718116521835305</v>
      </c>
      <c r="D74" s="25">
        <v>0.76606106758117698</v>
      </c>
      <c r="E74" s="25">
        <v>0.88355493545532204</v>
      </c>
      <c r="F74" s="25">
        <v>1.04678118228912</v>
      </c>
      <c r="G74" s="25">
        <v>1.26583588123322</v>
      </c>
      <c r="H74" s="25">
        <v>1.5442366600036599</v>
      </c>
      <c r="I74" s="25">
        <v>1.76394963264465</v>
      </c>
      <c r="J74" s="25">
        <v>1.8978215017411999</v>
      </c>
      <c r="K74" s="25">
        <v>2.0327338315818699</v>
      </c>
      <c r="L74" s="25">
        <v>2.0327338315818699</v>
      </c>
      <c r="M74" s="50">
        <v>2.0327338315818699</v>
      </c>
    </row>
    <row r="75" spans="1:13" x14ac:dyDescent="0.45">
      <c r="A75" s="50" t="s">
        <v>149</v>
      </c>
      <c r="B75" s="25">
        <v>0.72142600000000001</v>
      </c>
      <c r="C75" s="25">
        <v>0.71316299999999999</v>
      </c>
      <c r="D75" s="25">
        <v>0.68466300000000002</v>
      </c>
      <c r="E75" s="25">
        <v>0.63128600000000001</v>
      </c>
      <c r="F75" s="25">
        <v>0.61113499999999998</v>
      </c>
      <c r="G75" s="25">
        <v>0.60907</v>
      </c>
      <c r="H75" s="25">
        <v>0.58857999999999999</v>
      </c>
      <c r="I75" s="25">
        <v>0.57504100000000002</v>
      </c>
      <c r="J75" s="25">
        <v>0.56418299999999999</v>
      </c>
      <c r="K75" s="25">
        <v>0.554176</v>
      </c>
      <c r="L75" s="25">
        <v>0.54554599999999998</v>
      </c>
      <c r="M75" s="50">
        <v>0.54554599999999998</v>
      </c>
    </row>
    <row r="76" spans="1:13" x14ac:dyDescent="0.45">
      <c r="A76" s="50" t="s">
        <v>273</v>
      </c>
      <c r="B76" s="25">
        <v>1.80393832408282</v>
      </c>
      <c r="C76" s="25">
        <v>1.7709947824478101</v>
      </c>
      <c r="D76" s="25">
        <v>1.8003737926483201</v>
      </c>
      <c r="E76" s="25">
        <v>1.76927518844604</v>
      </c>
      <c r="F76" s="25">
        <v>1.73278737068176</v>
      </c>
      <c r="G76" s="25">
        <v>1.7355021238327</v>
      </c>
      <c r="H76" s="25">
        <v>1.7301242351532</v>
      </c>
      <c r="I76" s="25">
        <v>1.69031286239624</v>
      </c>
      <c r="J76" s="25">
        <v>1.6450413274748801</v>
      </c>
      <c r="K76" s="25">
        <v>1.6401711105594801</v>
      </c>
      <c r="L76" s="25">
        <v>1.6401711105594801</v>
      </c>
      <c r="M76" s="50">
        <v>1.6401711105594801</v>
      </c>
    </row>
    <row r="77" spans="1:13" x14ac:dyDescent="0.45">
      <c r="A77" s="50" t="s">
        <v>275</v>
      </c>
      <c r="B77" s="25">
        <v>3.4717954810429101</v>
      </c>
      <c r="C77" s="25">
        <v>3.6365325450897199</v>
      </c>
      <c r="D77" s="25">
        <v>3.6478822231292698</v>
      </c>
      <c r="E77" s="25">
        <v>3.7168335914611799</v>
      </c>
      <c r="F77" s="25">
        <v>3.7668333053588898</v>
      </c>
      <c r="G77" s="25">
        <v>3.7315721511840798</v>
      </c>
      <c r="H77" s="25">
        <v>3.8576567173004199</v>
      </c>
      <c r="I77" s="25">
        <v>3.9325940608978298</v>
      </c>
      <c r="J77" s="25">
        <v>3.88624089138471</v>
      </c>
      <c r="K77" s="25">
        <v>3.9423334440539302</v>
      </c>
      <c r="L77" s="25">
        <v>3.9423334440539302</v>
      </c>
      <c r="M77" s="50">
        <v>3.9423334440539302</v>
      </c>
    </row>
    <row r="78" spans="1:13" x14ac:dyDescent="0.45">
      <c r="A78" s="50" t="s">
        <v>276</v>
      </c>
      <c r="B78" s="25">
        <v>2328.29866232717</v>
      </c>
      <c r="C78" s="25">
        <v>2485.90087890625</v>
      </c>
      <c r="D78" s="25">
        <v>2789.9404296875</v>
      </c>
      <c r="E78" s="25">
        <v>2932.7470703125</v>
      </c>
      <c r="F78" s="25">
        <v>3059.93481445313</v>
      </c>
      <c r="G78" s="25">
        <v>3164.99609375</v>
      </c>
      <c r="H78" s="25">
        <v>3159.34155273438</v>
      </c>
      <c r="I78" s="25">
        <v>3216.03491210938</v>
      </c>
      <c r="J78" s="25">
        <v>3096.55057886645</v>
      </c>
      <c r="K78" s="25">
        <v>3305.07540389528</v>
      </c>
      <c r="L78" s="25">
        <v>3305.07540389528</v>
      </c>
      <c r="M78" s="50">
        <v>3305.07540389528</v>
      </c>
    </row>
    <row r="79" spans="1:13" x14ac:dyDescent="0.45">
      <c r="A79" s="50" t="s">
        <v>277</v>
      </c>
      <c r="B79" s="25">
        <v>206.26254909814901</v>
      </c>
      <c r="C79" s="25">
        <v>230.39176940918</v>
      </c>
      <c r="D79" s="25">
        <v>232.193115234375</v>
      </c>
      <c r="E79" s="25">
        <v>229.74427795410199</v>
      </c>
      <c r="F79" s="25">
        <v>223.30358886718801</v>
      </c>
      <c r="G79" s="25">
        <v>223.35075378418</v>
      </c>
      <c r="H79" s="25">
        <v>224.40704345703099</v>
      </c>
      <c r="I79" s="25">
        <v>222.74858093261699</v>
      </c>
      <c r="J79" s="25">
        <v>216.52751389794699</v>
      </c>
      <c r="K79" s="25">
        <v>196.66527371697899</v>
      </c>
      <c r="L79" s="25">
        <v>196.66527371697899</v>
      </c>
      <c r="M79" s="50">
        <v>196.66527371697899</v>
      </c>
    </row>
    <row r="80" spans="1:13" x14ac:dyDescent="0.45">
      <c r="A80" s="50" t="s">
        <v>278</v>
      </c>
      <c r="B80" s="25">
        <v>99.955790134719194</v>
      </c>
      <c r="C80" s="25">
        <v>100.26947021484401</v>
      </c>
      <c r="D80" s="25">
        <v>104.88816070556599</v>
      </c>
      <c r="E80" s="25">
        <v>102.27834320068401</v>
      </c>
      <c r="F80" s="25">
        <v>101.92862701416</v>
      </c>
      <c r="G80" s="25">
        <v>102.838325500488</v>
      </c>
      <c r="H80" s="25">
        <v>106.22980499267599</v>
      </c>
      <c r="I80" s="25">
        <v>105.35279083252</v>
      </c>
      <c r="J80" s="25">
        <v>99.877645045580806</v>
      </c>
      <c r="K80" s="25">
        <v>100.87625350427101</v>
      </c>
      <c r="L80" s="25">
        <v>100.87625350427101</v>
      </c>
      <c r="M80" s="50">
        <v>100.87625350427101</v>
      </c>
    </row>
    <row r="81" spans="1:13" x14ac:dyDescent="0.45">
      <c r="A81" s="50" t="s">
        <v>279</v>
      </c>
      <c r="B81" s="25">
        <v>17.976350842864999</v>
      </c>
      <c r="C81" s="25">
        <v>18.4949626922607</v>
      </c>
      <c r="D81" s="25">
        <v>20.128587722778299</v>
      </c>
      <c r="E81" s="25">
        <v>20.9299430847168</v>
      </c>
      <c r="F81" s="25">
        <v>21.5955810546875</v>
      </c>
      <c r="G81" s="25">
        <v>23.232265472412099</v>
      </c>
      <c r="H81" s="25">
        <v>25.260469436645501</v>
      </c>
      <c r="I81" s="25">
        <v>28.498395919799801</v>
      </c>
      <c r="J81" s="25">
        <v>30.632243789107399</v>
      </c>
      <c r="K81" s="25">
        <v>35.287156513613603</v>
      </c>
      <c r="L81" s="25">
        <v>35.287156513613603</v>
      </c>
      <c r="M81" s="50">
        <v>35.287156513613603</v>
      </c>
    </row>
    <row r="82" spans="1:13" x14ac:dyDescent="0.45">
      <c r="A82" s="50" t="s">
        <v>282</v>
      </c>
      <c r="B82" s="25">
        <v>9.5231421128058908</v>
      </c>
      <c r="C82" s="25">
        <v>10.056561470031699</v>
      </c>
      <c r="D82" s="25">
        <v>10.370379447936999</v>
      </c>
      <c r="E82" s="25">
        <v>10.331550598144499</v>
      </c>
      <c r="F82" s="25">
        <v>10.398200988769499</v>
      </c>
      <c r="G82" s="25">
        <v>10.474433898925801</v>
      </c>
      <c r="H82" s="25">
        <v>10.392535209655801</v>
      </c>
      <c r="I82" s="25">
        <v>10.361558914184601</v>
      </c>
      <c r="J82" s="25">
        <v>10.308158783648301</v>
      </c>
      <c r="K82" s="25">
        <v>10.550489599280599</v>
      </c>
      <c r="L82" s="25">
        <v>10.550489599280599</v>
      </c>
      <c r="M82" s="50">
        <v>10.550489599280599</v>
      </c>
    </row>
    <row r="83" spans="1:13" x14ac:dyDescent="0.45">
      <c r="A83" s="50" t="s">
        <v>283</v>
      </c>
      <c r="B83" s="25">
        <v>5.1415306991539298</v>
      </c>
      <c r="C83" s="25">
        <v>5.2326393127441397</v>
      </c>
      <c r="D83" s="25">
        <v>5.4542279243469203</v>
      </c>
      <c r="E83" s="25">
        <v>5.5475788116455096</v>
      </c>
      <c r="F83" s="25">
        <v>5.7064504623413104</v>
      </c>
      <c r="G83" s="25">
        <v>5.8310532569885298</v>
      </c>
      <c r="H83" s="25">
        <v>5.9322891235351598</v>
      </c>
      <c r="I83" s="25">
        <v>6.0114331245422399</v>
      </c>
      <c r="J83" s="25">
        <v>6.0831496260267199</v>
      </c>
      <c r="K83" s="25">
        <v>6.1078173582389104</v>
      </c>
      <c r="L83" s="25">
        <v>6.1078173582389104</v>
      </c>
      <c r="M83" s="50">
        <v>6.1078173582389104</v>
      </c>
    </row>
    <row r="84" spans="1:13" x14ac:dyDescent="0.45">
      <c r="A84" s="50" t="s">
        <v>143</v>
      </c>
      <c r="B84" s="25">
        <v>126.314168</v>
      </c>
      <c r="C84" s="25">
        <v>124.27183599999999</v>
      </c>
      <c r="D84" s="25">
        <v>125.623608</v>
      </c>
      <c r="E84" s="25">
        <v>124.979432</v>
      </c>
      <c r="F84" s="25">
        <v>129.414974</v>
      </c>
      <c r="G84" s="25">
        <v>132.55350999999999</v>
      </c>
      <c r="H84" s="25">
        <v>132.03379699999999</v>
      </c>
      <c r="I84" s="25">
        <v>136.03652199999999</v>
      </c>
      <c r="J84" s="25">
        <v>139.31155699999999</v>
      </c>
      <c r="K84" s="25">
        <v>143.23211499999999</v>
      </c>
      <c r="L84" s="25">
        <v>145.659085</v>
      </c>
      <c r="M84" s="50">
        <v>145.659085</v>
      </c>
    </row>
    <row r="85" spans="1:13" x14ac:dyDescent="0.45">
      <c r="A85" s="50" t="s">
        <v>165</v>
      </c>
      <c r="B85" s="25">
        <v>132.77952500000001</v>
      </c>
      <c r="C85" s="25">
        <v>135.15200400000001</v>
      </c>
      <c r="D85" s="25">
        <v>136.96767</v>
      </c>
      <c r="E85" s="25">
        <v>137.022617</v>
      </c>
      <c r="F85" s="25">
        <v>138.54786899999999</v>
      </c>
      <c r="G85" s="25">
        <v>141.97492600000001</v>
      </c>
      <c r="H85" s="25">
        <v>140.02995000000001</v>
      </c>
      <c r="I85" s="25">
        <v>138.277175</v>
      </c>
      <c r="J85" s="25">
        <v>138.29641699999999</v>
      </c>
      <c r="K85" s="25">
        <v>140.56725499999999</v>
      </c>
      <c r="L85" s="25">
        <v>144.108968</v>
      </c>
      <c r="M85" s="50">
        <v>144.108968</v>
      </c>
    </row>
    <row r="86" spans="1:13" x14ac:dyDescent="0.45">
      <c r="A86" s="50" t="s">
        <v>289</v>
      </c>
      <c r="B86" s="25">
        <v>14.599321137060601</v>
      </c>
      <c r="C86" s="25">
        <v>15.5495491027832</v>
      </c>
      <c r="D86" s="25">
        <v>16.160835266113299</v>
      </c>
      <c r="E86" s="25">
        <v>17.3423252105713</v>
      </c>
      <c r="F86" s="25">
        <v>18.386548995971701</v>
      </c>
      <c r="G86" s="25">
        <v>19.235002517700199</v>
      </c>
      <c r="H86" s="25">
        <v>19.898727416992202</v>
      </c>
      <c r="I86" s="25">
        <v>20.647792816162099</v>
      </c>
      <c r="J86" s="25">
        <v>21.075024188994501</v>
      </c>
      <c r="K86" s="25">
        <v>21.275503833878801</v>
      </c>
      <c r="L86" s="25">
        <v>21.275503833878801</v>
      </c>
      <c r="M86" s="50">
        <v>21.275503833878801</v>
      </c>
    </row>
    <row r="87" spans="1:13" x14ac:dyDescent="0.45">
      <c r="A87" s="50" t="s">
        <v>290</v>
      </c>
      <c r="B87" s="25">
        <v>3336.99389227948</v>
      </c>
      <c r="C87" s="25">
        <v>3512.75390625</v>
      </c>
      <c r="D87" s="25">
        <v>3569.892578125</v>
      </c>
      <c r="E87" s="25">
        <v>3765.671875</v>
      </c>
      <c r="F87" s="25">
        <v>4030.77465820313</v>
      </c>
      <c r="G87" s="25">
        <v>4353.3271484375</v>
      </c>
      <c r="H87" s="25">
        <v>4518.10400390625</v>
      </c>
      <c r="I87" s="25">
        <v>4695.65869140625</v>
      </c>
      <c r="J87" s="25">
        <v>4759.0891669736702</v>
      </c>
      <c r="K87" s="25">
        <v>4743.3374468190495</v>
      </c>
      <c r="L87" s="25">
        <v>4743.3374468190495</v>
      </c>
      <c r="M87" s="50">
        <v>4743.3374468190495</v>
      </c>
    </row>
    <row r="88" spans="1:13" x14ac:dyDescent="0.45">
      <c r="A88" s="50" t="s">
        <v>291</v>
      </c>
      <c r="B88" s="25">
        <v>3926.1039438417802</v>
      </c>
      <c r="C88" s="25">
        <v>4758.86962890625</v>
      </c>
      <c r="D88" s="25">
        <v>6093.5625</v>
      </c>
      <c r="E88" s="25">
        <v>8503.8466796875</v>
      </c>
      <c r="F88" s="25">
        <v>9758.5537109375</v>
      </c>
      <c r="G88" s="25">
        <v>10701.5615234375</v>
      </c>
      <c r="H88" s="25">
        <v>11796.810546875</v>
      </c>
      <c r="I88" s="25">
        <v>13061.294921875</v>
      </c>
      <c r="J88" s="25">
        <v>16945.488043323599</v>
      </c>
      <c r="K88" s="25">
        <v>22758.129318243999</v>
      </c>
      <c r="L88" s="25">
        <v>22758.129318243999</v>
      </c>
      <c r="M88" s="50">
        <v>22758.129318243999</v>
      </c>
    </row>
    <row r="89" spans="1:13" x14ac:dyDescent="0.45">
      <c r="A89" s="50" t="s">
        <v>292</v>
      </c>
      <c r="B89" s="25">
        <v>428.95732698145702</v>
      </c>
      <c r="C89" s="25">
        <v>523.34020996093795</v>
      </c>
      <c r="D89" s="25">
        <v>525.73785400390602</v>
      </c>
      <c r="E89" s="25">
        <v>531.128173828125</v>
      </c>
      <c r="F89" s="25">
        <v>557.27947998046898</v>
      </c>
      <c r="G89" s="25">
        <v>560.51654052734398</v>
      </c>
      <c r="H89" s="25">
        <v>570.48498535156295</v>
      </c>
      <c r="I89" s="25">
        <v>560.76080322265602</v>
      </c>
      <c r="J89" s="25">
        <v>631.51355810329096</v>
      </c>
      <c r="K89" s="25">
        <v>619.47812852347897</v>
      </c>
      <c r="L89" s="25">
        <v>619.47812852347897</v>
      </c>
      <c r="M89" s="50">
        <v>619.47812852347897</v>
      </c>
    </row>
    <row r="90" spans="1:13" x14ac:dyDescent="0.45">
      <c r="A90" s="50" t="s">
        <v>293</v>
      </c>
      <c r="B90" s="25">
        <v>0.848854</v>
      </c>
      <c r="C90" s="25">
        <v>0.83151299999999995</v>
      </c>
      <c r="D90" s="25">
        <v>0.82307200000000003</v>
      </c>
      <c r="E90" s="25">
        <v>0.81122799999999995</v>
      </c>
      <c r="F90" s="25">
        <v>0.81904100000000002</v>
      </c>
      <c r="G90" s="25">
        <v>0.80968600000000002</v>
      </c>
      <c r="H90" s="25">
        <v>0.79428900000000002</v>
      </c>
      <c r="I90" s="25">
        <v>0.79440500000000003</v>
      </c>
      <c r="J90" s="25">
        <v>0.79118500000000003</v>
      </c>
      <c r="K90" s="25">
        <v>0.80685099999999998</v>
      </c>
      <c r="L90" s="25">
        <v>0.81601800000000002</v>
      </c>
      <c r="M90" s="50">
        <v>0.81601800000000002</v>
      </c>
    </row>
    <row r="91" spans="1:13" x14ac:dyDescent="0.45">
      <c r="A91" s="50" t="s">
        <v>295</v>
      </c>
      <c r="B91" s="25">
        <v>3.981341</v>
      </c>
      <c r="C91" s="25">
        <v>3.944763</v>
      </c>
      <c r="D91" s="25">
        <v>3.9553579999999999</v>
      </c>
      <c r="E91" s="25">
        <v>3.839566</v>
      </c>
      <c r="F91" s="25">
        <v>3.9403869999999999</v>
      </c>
      <c r="G91" s="25">
        <v>3.9239250000000001</v>
      </c>
      <c r="H91" s="25">
        <v>3.7885110000000002</v>
      </c>
      <c r="I91" s="25">
        <v>3.751633</v>
      </c>
      <c r="J91" s="25">
        <v>3.7117529999999999</v>
      </c>
      <c r="K91" s="25">
        <v>3.703983</v>
      </c>
      <c r="L91" s="25">
        <v>3.6860149999999998</v>
      </c>
      <c r="M91" s="50">
        <v>3.6860149999999998</v>
      </c>
    </row>
    <row r="92" spans="1:13" x14ac:dyDescent="0.45">
      <c r="A92" s="50" t="s">
        <v>163</v>
      </c>
      <c r="B92" s="25">
        <v>0.77253899999999998</v>
      </c>
      <c r="C92" s="25">
        <v>0.758687</v>
      </c>
      <c r="D92" s="25">
        <v>0.74773100000000003</v>
      </c>
      <c r="E92" s="25">
        <v>0.73729900000000004</v>
      </c>
      <c r="F92" s="25">
        <v>0.73964399999999997</v>
      </c>
      <c r="G92" s="25">
        <v>0.73869399999999996</v>
      </c>
      <c r="H92" s="25">
        <v>0.70054399999999994</v>
      </c>
      <c r="I92" s="25">
        <v>0.68989500000000004</v>
      </c>
      <c r="J92" s="25">
        <v>0.67990600000000001</v>
      </c>
      <c r="K92" s="25">
        <v>0.66853499999999999</v>
      </c>
      <c r="L92" s="25">
        <v>0.669014</v>
      </c>
      <c r="M92" s="50">
        <v>0.669014</v>
      </c>
    </row>
    <row r="93" spans="1:13" x14ac:dyDescent="0.45">
      <c r="A93" s="50" t="s">
        <v>296</v>
      </c>
      <c r="B93" s="25">
        <v>51.919526838655102</v>
      </c>
      <c r="C93" s="25">
        <v>53.804946899414098</v>
      </c>
      <c r="D93" s="25">
        <v>56.475269317627003</v>
      </c>
      <c r="E93" s="25">
        <v>59.334335327148402</v>
      </c>
      <c r="F93" s="25">
        <v>62.759792327880902</v>
      </c>
      <c r="G93" s="25">
        <v>65.295219421386705</v>
      </c>
      <c r="H93" s="25">
        <v>65.903694152832003</v>
      </c>
      <c r="I93" s="25">
        <v>67.581840515136705</v>
      </c>
      <c r="J93" s="25">
        <v>69.172407514126405</v>
      </c>
      <c r="K93" s="25">
        <v>73.005889230764296</v>
      </c>
      <c r="L93" s="25">
        <v>73.005889230764296</v>
      </c>
      <c r="M93" s="50">
        <v>73.005889230764296</v>
      </c>
    </row>
    <row r="94" spans="1:13" x14ac:dyDescent="0.45">
      <c r="A94" s="50" t="s">
        <v>297</v>
      </c>
      <c r="B94" s="25">
        <v>111.66658700000001</v>
      </c>
      <c r="C94" s="25">
        <v>107.45428099999999</v>
      </c>
      <c r="D94" s="25">
        <v>104.273972</v>
      </c>
      <c r="E94" s="25">
        <v>101.302673</v>
      </c>
      <c r="F94" s="25">
        <v>103.052076</v>
      </c>
      <c r="G94" s="25">
        <v>103.469437</v>
      </c>
      <c r="H94" s="25">
        <v>105.519502</v>
      </c>
      <c r="I94" s="25">
        <v>105.101901</v>
      </c>
      <c r="J94" s="25">
        <v>103.706485</v>
      </c>
      <c r="K94" s="25">
        <v>103.625494</v>
      </c>
      <c r="L94" s="25">
        <v>103.412076</v>
      </c>
      <c r="M94" s="50">
        <v>103.412076</v>
      </c>
    </row>
    <row r="95" spans="1:13" x14ac:dyDescent="0.45">
      <c r="A95" s="50" t="s">
        <v>298</v>
      </c>
      <c r="B95" s="25">
        <v>0.28043726910574102</v>
      </c>
      <c r="C95" s="25">
        <v>0.290935188531876</v>
      </c>
      <c r="D95" s="25">
        <v>0.30213180184364302</v>
      </c>
      <c r="E95" s="25">
        <v>0.30802938342094399</v>
      </c>
      <c r="F95" s="25">
        <v>0.319498181343079</v>
      </c>
      <c r="G95" s="25">
        <v>0.31237363815307601</v>
      </c>
      <c r="H95" s="25">
        <v>0.31383964419364901</v>
      </c>
      <c r="I95" s="25">
        <v>0.300330430269241</v>
      </c>
      <c r="J95" s="25">
        <v>0.29820518509357902</v>
      </c>
      <c r="K95" s="25">
        <v>0.29741150862059701</v>
      </c>
      <c r="L95" s="25">
        <v>0.29741150862059701</v>
      </c>
      <c r="M95" s="50">
        <v>0.29741150862059701</v>
      </c>
    </row>
    <row r="96" spans="1:13" x14ac:dyDescent="0.45">
      <c r="A96" s="50" t="s">
        <v>299</v>
      </c>
      <c r="B96" s="25">
        <v>69.522832218550107</v>
      </c>
      <c r="C96" s="25">
        <v>82.090095520019503</v>
      </c>
      <c r="D96" s="25">
        <v>83.832473754882798</v>
      </c>
      <c r="E96" s="25">
        <v>86.235084533691406</v>
      </c>
      <c r="F96" s="25">
        <v>92.813674926757798</v>
      </c>
      <c r="G96" s="25">
        <v>100.349800109863</v>
      </c>
      <c r="H96" s="25">
        <v>110.82453918457</v>
      </c>
      <c r="I96" s="25">
        <v>121.253463745117</v>
      </c>
      <c r="J96" s="25">
        <v>129.26664201705199</v>
      </c>
      <c r="K96" s="25">
        <v>136.483499986547</v>
      </c>
      <c r="L96" s="25">
        <v>136.483499986547</v>
      </c>
      <c r="M96" s="50">
        <v>136.483499986547</v>
      </c>
    </row>
    <row r="97" spans="1:13" x14ac:dyDescent="0.45">
      <c r="A97" s="50" t="s">
        <v>300</v>
      </c>
      <c r="B97" s="25">
        <v>32.615067794490201</v>
      </c>
      <c r="C97" s="25">
        <v>35.396121978759801</v>
      </c>
      <c r="D97" s="25">
        <v>37.978683471679702</v>
      </c>
      <c r="E97" s="25">
        <v>37.667854309082003</v>
      </c>
      <c r="F97" s="25">
        <v>38.289257049560497</v>
      </c>
      <c r="G97" s="25">
        <v>39.040477752685497</v>
      </c>
      <c r="H97" s="25">
        <v>39.384956359863303</v>
      </c>
      <c r="I97" s="25">
        <v>40.1849365234375</v>
      </c>
      <c r="J97" s="25">
        <v>40.179628327537003</v>
      </c>
      <c r="K97" s="25">
        <v>40.9754449391002</v>
      </c>
      <c r="L97" s="25">
        <v>40.9754449391002</v>
      </c>
      <c r="M97" s="50">
        <v>40.9754449391002</v>
      </c>
    </row>
    <row r="98" spans="1:13" x14ac:dyDescent="0.45">
      <c r="A98" s="50" t="s">
        <v>301</v>
      </c>
      <c r="B98" s="25">
        <v>0.96361959638592898</v>
      </c>
      <c r="C98" s="25">
        <v>0.96162138169192601</v>
      </c>
      <c r="D98" s="25">
        <v>0.93979657895273305</v>
      </c>
      <c r="E98" s="25">
        <v>0.92484198435403897</v>
      </c>
      <c r="F98" s="25">
        <v>0.95077567938918806</v>
      </c>
      <c r="G98" s="25">
        <v>0.97375475497055097</v>
      </c>
      <c r="H98" s="25">
        <v>0.96545082028579499</v>
      </c>
      <c r="I98" s="25">
        <v>0.95672896022841902</v>
      </c>
      <c r="J98" s="25">
        <v>0.98367628283514996</v>
      </c>
      <c r="K98" s="25">
        <v>1.0035320240710099</v>
      </c>
      <c r="L98" s="25">
        <v>1.0035320240710099</v>
      </c>
      <c r="M98" s="50">
        <v>1.0035320240710099</v>
      </c>
    </row>
    <row r="99" spans="1:13" x14ac:dyDescent="0.45">
      <c r="A99" s="50" t="s">
        <v>302</v>
      </c>
      <c r="B99" s="25">
        <v>840.68301199999996</v>
      </c>
      <c r="C99" s="25">
        <v>854.58572300000003</v>
      </c>
      <c r="D99" s="25">
        <v>854.88726799999995</v>
      </c>
      <c r="E99" s="25">
        <v>869.08142199999998</v>
      </c>
      <c r="F99" s="25">
        <v>871.878106</v>
      </c>
      <c r="G99" s="25">
        <v>857.48338699999999</v>
      </c>
      <c r="H99" s="25">
        <v>858.80968700000005</v>
      </c>
      <c r="I99" s="25">
        <v>872.62477100000001</v>
      </c>
      <c r="J99" s="25">
        <v>865.72160399999996</v>
      </c>
      <c r="K99" s="25">
        <v>868.57030599999996</v>
      </c>
      <c r="L99" s="25">
        <v>869.06394899999998</v>
      </c>
      <c r="M99" s="50">
        <v>869.06394899999998</v>
      </c>
    </row>
    <row r="100" spans="1:13" x14ac:dyDescent="0.45">
      <c r="A100" s="50" t="s">
        <v>303</v>
      </c>
      <c r="B100" s="25">
        <v>0.318523338324668</v>
      </c>
      <c r="C100" s="25">
        <v>0.32693860000000002</v>
      </c>
      <c r="D100" s="25">
        <v>0.33021563497346201</v>
      </c>
      <c r="E100" s="25">
        <v>0.33272096456969102</v>
      </c>
      <c r="F100" s="25">
        <v>0.33962210370302398</v>
      </c>
      <c r="G100" s="25">
        <v>0.33912802953966598</v>
      </c>
      <c r="H100" s="25">
        <v>0.33937771715279402</v>
      </c>
      <c r="I100" s="25">
        <v>0.34007729291405198</v>
      </c>
      <c r="J100" s="25">
        <v>0.335353966817792</v>
      </c>
      <c r="K100" s="25">
        <v>0.33238983875922501</v>
      </c>
      <c r="L100" s="25">
        <v>0.33238983875922501</v>
      </c>
      <c r="M100" s="50">
        <v>0.33238983875922501</v>
      </c>
    </row>
    <row r="101" spans="1:13" x14ac:dyDescent="0.45">
      <c r="A101" s="50" t="s">
        <v>304</v>
      </c>
      <c r="B101" s="25">
        <v>0.149478346814295</v>
      </c>
      <c r="C101" s="25">
        <v>0.17168940603733099</v>
      </c>
      <c r="D101" s="25">
        <v>0.17596618831157701</v>
      </c>
      <c r="E101" s="25">
        <v>0.17943559587001801</v>
      </c>
      <c r="F101" s="25">
        <v>0.17893409729003901</v>
      </c>
      <c r="G101" s="25">
        <v>0.19029478728771199</v>
      </c>
      <c r="H101" s="25">
        <v>0.186951458454132</v>
      </c>
      <c r="I101" s="25">
        <v>0.17748399078846</v>
      </c>
      <c r="J101" s="25">
        <v>0.19854283642974099</v>
      </c>
      <c r="K101" s="25">
        <v>0.18661905090203901</v>
      </c>
      <c r="L101" s="25">
        <v>0.18661905090203901</v>
      </c>
      <c r="M101" s="50">
        <v>0.18661905090203901</v>
      </c>
    </row>
    <row r="102" spans="1:13" x14ac:dyDescent="0.45">
      <c r="A102" s="50" t="s">
        <v>305</v>
      </c>
      <c r="B102" s="25">
        <v>13.109164984494001</v>
      </c>
      <c r="C102" s="25">
        <v>15.7278079986572</v>
      </c>
      <c r="D102" s="25">
        <v>15.303433418273899</v>
      </c>
      <c r="E102" s="25">
        <v>15.364942550659199</v>
      </c>
      <c r="F102" s="25">
        <v>16.0363655090332</v>
      </c>
      <c r="G102" s="25">
        <v>17.145973205566399</v>
      </c>
      <c r="H102" s="25">
        <v>16.7373352050781</v>
      </c>
      <c r="I102" s="25">
        <v>16.958723068237301</v>
      </c>
      <c r="J102" s="25">
        <v>17.126171870009401</v>
      </c>
      <c r="K102" s="25">
        <v>16.658587131405199</v>
      </c>
      <c r="L102" s="25">
        <v>16.658587131405199</v>
      </c>
      <c r="M102" s="50">
        <v>16.658587131405199</v>
      </c>
    </row>
    <row r="103" spans="1:13" x14ac:dyDescent="0.45">
      <c r="A103" s="50" t="s">
        <v>306</v>
      </c>
      <c r="B103" s="25">
        <v>2464.2598554657502</v>
      </c>
      <c r="C103" s="25">
        <v>2666.53491210938</v>
      </c>
      <c r="D103" s="25">
        <v>2615.5234375</v>
      </c>
      <c r="E103" s="25">
        <v>2712.92993164063</v>
      </c>
      <c r="F103" s="25">
        <v>2738.37084960938</v>
      </c>
      <c r="G103" s="25">
        <v>2819.72900390625</v>
      </c>
      <c r="H103" s="25">
        <v>2759.42553710938</v>
      </c>
      <c r="I103" s="25">
        <v>2789.10864257813</v>
      </c>
      <c r="J103" s="25">
        <v>2775.05602073521</v>
      </c>
      <c r="K103" s="25">
        <v>2788.1527554253198</v>
      </c>
      <c r="L103" s="25">
        <v>2788.1527554253198</v>
      </c>
      <c r="M103" s="50">
        <v>2788.1527554253198</v>
      </c>
    </row>
    <row r="104" spans="1:13" x14ac:dyDescent="0.45">
      <c r="A104" s="50" t="s">
        <v>176</v>
      </c>
      <c r="B104" s="25">
        <v>0.48663400000000001</v>
      </c>
      <c r="C104" s="25">
        <v>0.498506</v>
      </c>
      <c r="D104" s="25">
        <v>0.50620299999999996</v>
      </c>
      <c r="E104" s="25">
        <v>0.49927100000000002</v>
      </c>
      <c r="F104" s="25">
        <v>0.497558</v>
      </c>
      <c r="G104" s="25">
        <v>0.49756899999999998</v>
      </c>
      <c r="H104" s="25">
        <v>0.48453499999999999</v>
      </c>
      <c r="I104" s="25">
        <v>0.484537</v>
      </c>
      <c r="J104" s="25">
        <v>0.49098000000000003</v>
      </c>
      <c r="K104" s="25">
        <v>0.49668800000000002</v>
      </c>
      <c r="L104" s="25">
        <v>0.49193399999999998</v>
      </c>
      <c r="M104" s="50">
        <v>0.49193399999999998</v>
      </c>
    </row>
    <row r="105" spans="1:13" x14ac:dyDescent="0.45">
      <c r="A105" s="50" t="s">
        <v>312</v>
      </c>
      <c r="B105" s="25">
        <v>782.03995751718605</v>
      </c>
      <c r="C105" s="25">
        <v>788.75180645870296</v>
      </c>
      <c r="D105" s="25">
        <v>808.92030205478898</v>
      </c>
      <c r="E105" s="25">
        <v>798.52602767824101</v>
      </c>
      <c r="F105" s="25">
        <v>771.11485189242899</v>
      </c>
      <c r="G105" s="25">
        <v>764.82144213490699</v>
      </c>
      <c r="H105" s="25">
        <v>742.68610569779696</v>
      </c>
      <c r="I105" s="25">
        <v>734.77587993388397</v>
      </c>
      <c r="J105" s="25">
        <v>756.44997755706697</v>
      </c>
      <c r="K105" s="25">
        <v>775.56109250214695</v>
      </c>
      <c r="L105" s="25">
        <v>775.56109250214695</v>
      </c>
      <c r="M105" s="50">
        <v>775.56109250214695</v>
      </c>
    </row>
    <row r="106" spans="1:13" x14ac:dyDescent="0.45">
      <c r="A106" s="50" t="s">
        <v>313</v>
      </c>
      <c r="B106" s="25">
        <v>3.8299218070804701</v>
      </c>
      <c r="C106" s="25">
        <v>4.0807523727417001</v>
      </c>
      <c r="D106" s="25">
        <v>4.3733577728271502</v>
      </c>
      <c r="E106" s="25">
        <v>4.3930802345275897</v>
      </c>
      <c r="F106" s="25">
        <v>4.6232328414917001</v>
      </c>
      <c r="G106" s="25">
        <v>4.75158739089966</v>
      </c>
      <c r="H106" s="25">
        <v>5.0115408897399902</v>
      </c>
      <c r="I106" s="25">
        <v>5.5058526992797896</v>
      </c>
      <c r="J106" s="25">
        <v>5.7433127894055298</v>
      </c>
      <c r="K106" s="25">
        <v>5.7218415529644702</v>
      </c>
      <c r="L106" s="25">
        <v>5.7218415529644702</v>
      </c>
      <c r="M106" s="50">
        <v>5.7218415529644702</v>
      </c>
    </row>
    <row r="107" spans="1:13" x14ac:dyDescent="0.45">
      <c r="A107" s="50" t="s">
        <v>314</v>
      </c>
      <c r="B107" s="25">
        <v>0.50236515756908695</v>
      </c>
      <c r="C107" s="25">
        <v>0.545838707946248</v>
      </c>
      <c r="D107" s="25">
        <v>0.56039926454289701</v>
      </c>
      <c r="E107" s="25">
        <v>0.53903488182800097</v>
      </c>
      <c r="F107" s="25">
        <v>0.52186249940632701</v>
      </c>
      <c r="G107" s="25">
        <v>0.54979163534734199</v>
      </c>
      <c r="H107" s="25">
        <v>0.51819765629242898</v>
      </c>
      <c r="I107" s="25">
        <v>0.46099355118409702</v>
      </c>
      <c r="J107" s="25">
        <v>0.44169204548890201</v>
      </c>
      <c r="K107" s="25">
        <v>0.41709685570864702</v>
      </c>
      <c r="L107" s="25">
        <v>0.41709685570864702</v>
      </c>
      <c r="M107" s="50">
        <v>0.41709685570864702</v>
      </c>
    </row>
    <row r="108" spans="1:13" x14ac:dyDescent="0.45">
      <c r="A108" s="50" t="s">
        <v>315</v>
      </c>
      <c r="B108" s="25">
        <v>0.51124107417363096</v>
      </c>
      <c r="C108" s="25">
        <v>0.59217624207225505</v>
      </c>
      <c r="D108" s="25">
        <v>0.67670555644760699</v>
      </c>
      <c r="E108" s="25">
        <v>0.66332263732611996</v>
      </c>
      <c r="F108" s="25">
        <v>0.57529794907579102</v>
      </c>
      <c r="G108" s="25">
        <v>0.49030461875141201</v>
      </c>
      <c r="H108" s="25">
        <v>0.50505690779461798</v>
      </c>
      <c r="I108" s="25">
        <v>0.60611022753967603</v>
      </c>
      <c r="J108" s="25">
        <v>0.69893346238818499</v>
      </c>
      <c r="K108" s="25">
        <v>0.67805244642178997</v>
      </c>
      <c r="L108" s="25">
        <v>0.67805244642178997</v>
      </c>
      <c r="M108" s="50">
        <v>0.67805244642178997</v>
      </c>
    </row>
    <row r="109" spans="1:13" x14ac:dyDescent="0.45">
      <c r="A109" s="50" t="s">
        <v>177</v>
      </c>
      <c r="B109" s="25">
        <v>0.45003300000000002</v>
      </c>
      <c r="C109" s="25">
        <v>0.45192100000000002</v>
      </c>
      <c r="D109" s="25">
        <v>0.45265699999999998</v>
      </c>
      <c r="E109" s="25">
        <v>0.44334699999999999</v>
      </c>
      <c r="F109" s="25">
        <v>0.44262000000000001</v>
      </c>
      <c r="G109" s="25">
        <v>0.44585799999999998</v>
      </c>
      <c r="H109" s="25">
        <v>0.43844</v>
      </c>
      <c r="I109" s="25">
        <v>0.44272</v>
      </c>
      <c r="J109" s="25">
        <v>0.44675300000000001</v>
      </c>
      <c r="K109" s="25">
        <v>0.45061800000000002</v>
      </c>
      <c r="L109" s="25">
        <v>0.45024500000000001</v>
      </c>
      <c r="M109" s="50">
        <v>0.45024500000000001</v>
      </c>
    </row>
    <row r="110" spans="1:13" x14ac:dyDescent="0.45">
      <c r="A110" s="50" t="s">
        <v>155</v>
      </c>
      <c r="B110" s="25">
        <v>0.92493199999999998</v>
      </c>
      <c r="C110" s="25">
        <v>0.90509899999999999</v>
      </c>
      <c r="D110" s="25">
        <v>0.90678999999999998</v>
      </c>
      <c r="E110" s="25">
        <v>0.89525399999999999</v>
      </c>
      <c r="F110" s="25">
        <v>0.88413799999999998</v>
      </c>
      <c r="G110" s="25">
        <v>0.88126099999999996</v>
      </c>
      <c r="H110" s="25">
        <v>0.85189400000000004</v>
      </c>
      <c r="I110" s="25">
        <v>0.84831000000000001</v>
      </c>
      <c r="J110" s="25">
        <v>0.84684099999999995</v>
      </c>
      <c r="K110" s="25">
        <v>0.84692199999999995</v>
      </c>
      <c r="L110" s="25">
        <v>0.864174</v>
      </c>
      <c r="M110" s="50">
        <v>0.864174</v>
      </c>
    </row>
    <row r="111" spans="1:13" x14ac:dyDescent="0.45">
      <c r="A111" s="50" t="s">
        <v>320</v>
      </c>
      <c r="B111" s="25">
        <v>4.2165297891778204</v>
      </c>
      <c r="C111" s="25">
        <v>4.4397869110107404</v>
      </c>
      <c r="D111" s="25">
        <v>4.5652909278869602</v>
      </c>
      <c r="E111" s="25">
        <v>4.6438708305358896</v>
      </c>
      <c r="F111" s="25">
        <v>4.8606619834899902</v>
      </c>
      <c r="G111" s="25">
        <v>5.13702344894409</v>
      </c>
      <c r="H111" s="25">
        <v>5.1178541183471697</v>
      </c>
      <c r="I111" s="25">
        <v>5.1549162864685103</v>
      </c>
      <c r="J111" s="25">
        <v>5.2100607409483803</v>
      </c>
      <c r="K111" s="25">
        <v>5.2429075961981599</v>
      </c>
      <c r="L111" s="25">
        <v>5.2429075961981599</v>
      </c>
      <c r="M111" s="50">
        <v>5.2429075961981599</v>
      </c>
    </row>
    <row r="112" spans="1:13" x14ac:dyDescent="0.45">
      <c r="A112" s="50" t="s">
        <v>321</v>
      </c>
      <c r="B112" s="25">
        <v>642.63256829861996</v>
      </c>
      <c r="C112" s="25">
        <v>694.86267089843795</v>
      </c>
      <c r="D112" s="25">
        <v>742.898193359375</v>
      </c>
      <c r="E112" s="25">
        <v>777.65881347656295</v>
      </c>
      <c r="F112" s="25">
        <v>823.95611572265602</v>
      </c>
      <c r="G112" s="25">
        <v>886.09130859375</v>
      </c>
      <c r="H112" s="25">
        <v>941.01086425781295</v>
      </c>
      <c r="I112" s="25">
        <v>1013.43463134766</v>
      </c>
      <c r="J112" s="25">
        <v>1064.3511361956701</v>
      </c>
      <c r="K112" s="25">
        <v>1101.03781847766</v>
      </c>
      <c r="L112" s="25">
        <v>1101.03781847766</v>
      </c>
      <c r="M112" s="50">
        <v>1101.03781847766</v>
      </c>
    </row>
    <row r="113" spans="1:13" x14ac:dyDescent="0.45">
      <c r="A113" s="50" t="s">
        <v>322</v>
      </c>
      <c r="B113" s="25">
        <v>70.492364684202997</v>
      </c>
      <c r="C113" s="25">
        <v>78.769287109375</v>
      </c>
      <c r="D113" s="25">
        <v>94.331245422363295</v>
      </c>
      <c r="E113" s="25">
        <v>114.54124450683599</v>
      </c>
      <c r="F113" s="25">
        <v>146.20370483398401</v>
      </c>
      <c r="G113" s="25">
        <v>186.61488342285199</v>
      </c>
      <c r="H113" s="25">
        <v>221.197341918945</v>
      </c>
      <c r="I113" s="25">
        <v>251.07423400878901</v>
      </c>
      <c r="J113" s="25">
        <v>261.45005091507198</v>
      </c>
      <c r="K113" s="25">
        <v>277.412807983172</v>
      </c>
      <c r="L113" s="25">
        <v>277.412807983172</v>
      </c>
      <c r="M113" s="50">
        <v>277.412807983172</v>
      </c>
    </row>
    <row r="114" spans="1:13" x14ac:dyDescent="0.45">
      <c r="A114" s="50" t="s">
        <v>323</v>
      </c>
      <c r="B114" s="25">
        <v>1.4199092816268799</v>
      </c>
      <c r="C114" s="25">
        <v>1.4661344289779701</v>
      </c>
      <c r="D114" s="25">
        <v>1.4536314010620099</v>
      </c>
      <c r="E114" s="25">
        <v>1.4722597599029501</v>
      </c>
      <c r="F114" s="25">
        <v>1.50547206401825</v>
      </c>
      <c r="G114" s="25">
        <v>1.5676306486129801</v>
      </c>
      <c r="H114" s="25">
        <v>1.5942581892013501</v>
      </c>
      <c r="I114" s="25">
        <v>1.6547869443893399</v>
      </c>
      <c r="J114" s="25">
        <v>1.6263145923420601</v>
      </c>
      <c r="K114" s="25">
        <v>1.5963488056145201</v>
      </c>
      <c r="L114" s="25">
        <v>1.5963488056145201</v>
      </c>
      <c r="M114" s="50">
        <v>1.5963488056145201</v>
      </c>
    </row>
    <row r="115" spans="1:13" x14ac:dyDescent="0.45">
      <c r="A115" s="50" t="s">
        <v>324</v>
      </c>
      <c r="B115" s="25">
        <v>7.1255368260597001</v>
      </c>
      <c r="C115" s="25">
        <v>7.8616256713867196</v>
      </c>
      <c r="D115" s="25">
        <v>8.1541557312011701</v>
      </c>
      <c r="E115" s="25">
        <v>8.2464456558227504</v>
      </c>
      <c r="F115" s="25">
        <v>8.1737174987793004</v>
      </c>
      <c r="G115" s="25">
        <v>8.2779111862182599</v>
      </c>
      <c r="H115" s="25">
        <v>8.1288604736328107</v>
      </c>
      <c r="I115" s="25">
        <v>8.1607799530029297</v>
      </c>
      <c r="J115" s="25">
        <v>8.2150605908777603</v>
      </c>
      <c r="K115" s="25">
        <v>8.0143696065414805</v>
      </c>
      <c r="L115" s="25">
        <v>8.0143696065414805</v>
      </c>
      <c r="M115" s="50">
        <v>8.0143696065414805</v>
      </c>
    </row>
    <row r="116" spans="1:13" x14ac:dyDescent="0.45">
      <c r="A116" s="50" t="s">
        <v>325</v>
      </c>
      <c r="B116" s="25">
        <v>196.64681444303699</v>
      </c>
      <c r="C116" s="25">
        <v>216.09016418457</v>
      </c>
      <c r="D116" s="25">
        <v>225.37870788574199</v>
      </c>
      <c r="E116" s="25">
        <v>219.31239318847699</v>
      </c>
      <c r="F116" s="25">
        <v>218.68270874023401</v>
      </c>
      <c r="G116" s="25">
        <v>218.57096862793</v>
      </c>
      <c r="H116" s="25">
        <v>211.35667419433599</v>
      </c>
      <c r="I116" s="25">
        <v>214.50868225097699</v>
      </c>
      <c r="J116" s="25">
        <v>212.46059724743699</v>
      </c>
      <c r="K116" s="25">
        <v>212.437827427381</v>
      </c>
      <c r="L116" s="25">
        <v>212.437827427381</v>
      </c>
      <c r="M116" s="50">
        <v>212.437827427381</v>
      </c>
    </row>
    <row r="117" spans="1:13" x14ac:dyDescent="0.45">
      <c r="A117" s="50" t="s">
        <v>326</v>
      </c>
      <c r="B117" s="25">
        <v>0.57203996127900303</v>
      </c>
      <c r="C117" s="25">
        <v>0.57414966493481301</v>
      </c>
      <c r="D117" s="25">
        <v>0.57972711423674705</v>
      </c>
      <c r="E117" s="25">
        <v>0.57747750997352398</v>
      </c>
      <c r="F117" s="25">
        <v>0.58635780664483705</v>
      </c>
      <c r="G117" s="25">
        <v>0.59970094962870302</v>
      </c>
      <c r="H117" s="25">
        <v>0.58301831766356005</v>
      </c>
      <c r="I117" s="25">
        <v>0.58642394110860896</v>
      </c>
      <c r="J117" s="25">
        <v>0.58390296488646898</v>
      </c>
      <c r="K117" s="25">
        <v>0.57659025730232205</v>
      </c>
      <c r="L117" s="25">
        <v>0.57659025730232205</v>
      </c>
      <c r="M117" s="50">
        <v>0.57659025730232205</v>
      </c>
    </row>
    <row r="118" spans="1:13" x14ac:dyDescent="0.45">
      <c r="A118" s="50" t="s">
        <v>327</v>
      </c>
      <c r="B118" s="25">
        <v>0.88458474678939503</v>
      </c>
      <c r="C118" s="25">
        <v>0.93859516440826896</v>
      </c>
      <c r="D118" s="25">
        <v>0.98951591714299902</v>
      </c>
      <c r="E118" s="25">
        <v>0.96237058424226496</v>
      </c>
      <c r="F118" s="25">
        <v>0.93852182825907804</v>
      </c>
      <c r="G118" s="25">
        <v>0.91385404541276105</v>
      </c>
      <c r="H118" s="25">
        <v>0.97000933839873904</v>
      </c>
      <c r="I118" s="25">
        <v>0.97117497569437905</v>
      </c>
      <c r="J118" s="25">
        <v>0.95100476363792097</v>
      </c>
      <c r="K118" s="25">
        <v>0.95100476363792097</v>
      </c>
      <c r="L118" s="25">
        <v>0.95100476363792097</v>
      </c>
      <c r="M118" s="50">
        <v>0.95100476363792097</v>
      </c>
    </row>
    <row r="119" spans="1:13" x14ac:dyDescent="0.45">
      <c r="A119" s="50" t="s">
        <v>328</v>
      </c>
      <c r="B119" s="25">
        <v>10.5416570028446</v>
      </c>
      <c r="C119" s="25">
        <v>11.9681709289551</v>
      </c>
      <c r="D119" s="25">
        <v>12.154086303710899</v>
      </c>
      <c r="E119" s="25">
        <v>12.041706085205099</v>
      </c>
      <c r="F119" s="25">
        <v>11.820645904540999</v>
      </c>
      <c r="G119" s="25">
        <v>11.7810821533203</v>
      </c>
      <c r="H119" s="25">
        <v>11.521932983398401</v>
      </c>
      <c r="I119" s="25">
        <v>11.1257583618164</v>
      </c>
      <c r="J119" s="25">
        <v>11.0575859925522</v>
      </c>
      <c r="K119" s="25">
        <v>11.354249982659301</v>
      </c>
      <c r="L119" s="25">
        <v>11.354249982659301</v>
      </c>
      <c r="M119" s="50">
        <v>11.354249982659301</v>
      </c>
    </row>
    <row r="120" spans="1:13" x14ac:dyDescent="0.45">
      <c r="A120" s="50" t="s">
        <v>329</v>
      </c>
      <c r="B120" s="25">
        <v>15.688533341316701</v>
      </c>
      <c r="C120" s="25">
        <v>15.8533592224121</v>
      </c>
      <c r="D120" s="25">
        <v>16.458938598632798</v>
      </c>
      <c r="E120" s="25">
        <v>16.5601921081543</v>
      </c>
      <c r="F120" s="25">
        <v>16.817884445190401</v>
      </c>
      <c r="G120" s="25">
        <v>16.882137298583999</v>
      </c>
      <c r="H120" s="25">
        <v>16.622360229492202</v>
      </c>
      <c r="I120" s="25">
        <v>16.8822021484375</v>
      </c>
      <c r="J120" s="25">
        <v>16.7192522449797</v>
      </c>
      <c r="K120" s="25">
        <v>16.486184560678399</v>
      </c>
      <c r="L120" s="25">
        <v>16.486184560678399</v>
      </c>
      <c r="M120" s="50">
        <v>16.486184560678399</v>
      </c>
    </row>
    <row r="121" spans="1:13" x14ac:dyDescent="0.45">
      <c r="A121" s="50" t="s">
        <v>330</v>
      </c>
      <c r="B121" s="25">
        <v>7.6768429999999999</v>
      </c>
      <c r="C121" s="25">
        <v>7.6730130000000001</v>
      </c>
      <c r="D121" s="25">
        <v>7.858708</v>
      </c>
      <c r="E121" s="25">
        <v>7.8843589999999999</v>
      </c>
      <c r="F121" s="25">
        <v>8.045318</v>
      </c>
      <c r="G121" s="25">
        <v>8.3275950000000005</v>
      </c>
      <c r="H121" s="25">
        <v>8.4460429999999995</v>
      </c>
      <c r="I121" s="25">
        <v>8.9135519999999993</v>
      </c>
      <c r="J121" s="25">
        <v>9.2018850000000008</v>
      </c>
      <c r="K121" s="25">
        <v>9.3699870000000001</v>
      </c>
      <c r="L121" s="25">
        <v>9.5052020000000006</v>
      </c>
      <c r="M121" s="50">
        <v>9.5052020000000006</v>
      </c>
    </row>
    <row r="122" spans="1:13" x14ac:dyDescent="0.45">
      <c r="A122" s="50" t="s">
        <v>331</v>
      </c>
      <c r="B122" s="25">
        <v>0.88356314479165099</v>
      </c>
      <c r="C122" s="25">
        <v>0.87929396015344896</v>
      </c>
      <c r="D122" s="25">
        <v>0.92419697880569596</v>
      </c>
      <c r="E122" s="25">
        <v>0.91404291854418596</v>
      </c>
      <c r="F122" s="25">
        <v>0.92457948442923898</v>
      </c>
      <c r="G122" s="25">
        <v>0.86700620521139005</v>
      </c>
      <c r="H122" s="25">
        <v>0.89285773188755202</v>
      </c>
      <c r="I122" s="25">
        <v>0.94182286407633797</v>
      </c>
      <c r="J122" s="25">
        <v>1.0057260546526401</v>
      </c>
      <c r="K122" s="25">
        <v>1.0057260546526401</v>
      </c>
      <c r="L122" s="25">
        <v>1.0057260546526401</v>
      </c>
      <c r="M122" s="50">
        <v>1.0057260546526401</v>
      </c>
    </row>
    <row r="123" spans="1:13" x14ac:dyDescent="0.45">
      <c r="A123" s="50" t="s">
        <v>336</v>
      </c>
      <c r="B123" s="25">
        <v>4.7139022427842097</v>
      </c>
      <c r="C123" s="25">
        <v>4.9956541061401403</v>
      </c>
      <c r="D123" s="25">
        <v>5.00982761383057</v>
      </c>
      <c r="E123" s="25">
        <v>4.9887223243713397</v>
      </c>
      <c r="F123" s="25">
        <v>5.2930145263671902</v>
      </c>
      <c r="G123" s="25">
        <v>5.5560870170593297</v>
      </c>
      <c r="H123" s="25">
        <v>5.4087381362915004</v>
      </c>
      <c r="I123" s="25">
        <v>5.5724015235900897</v>
      </c>
      <c r="J123" s="25">
        <v>5.6128754326351196</v>
      </c>
      <c r="K123" s="25">
        <v>5.8083030911480202</v>
      </c>
      <c r="L123" s="25">
        <v>5.8083030911480202</v>
      </c>
      <c r="M123" s="50">
        <v>5.8083030911480202</v>
      </c>
    </row>
    <row r="124" spans="1:13" x14ac:dyDescent="0.45">
      <c r="A124" s="50" t="s">
        <v>338</v>
      </c>
      <c r="B124" s="25">
        <v>473.13700309480998</v>
      </c>
      <c r="C124" s="25">
        <v>533.52697753906295</v>
      </c>
      <c r="D124" s="25">
        <v>577.66015625</v>
      </c>
      <c r="E124" s="25">
        <v>630.67980957031295</v>
      </c>
      <c r="F124" s="25">
        <v>683.76745605468795</v>
      </c>
      <c r="G124" s="25">
        <v>717.072265625</v>
      </c>
      <c r="H124" s="25">
        <v>729.22277832031295</v>
      </c>
      <c r="I124" s="25">
        <v>791.43603515625</v>
      </c>
      <c r="J124" s="25">
        <v>837.60622439826102</v>
      </c>
      <c r="K124" s="25">
        <v>898.73263363082901</v>
      </c>
      <c r="L124" s="25">
        <v>898.73263363082901</v>
      </c>
      <c r="M124" s="50">
        <v>898.73263363082901</v>
      </c>
    </row>
    <row r="125" spans="1:13" x14ac:dyDescent="0.45">
      <c r="A125" s="50" t="s">
        <v>339</v>
      </c>
      <c r="B125" s="25">
        <v>0.36970157606558401</v>
      </c>
      <c r="C125" s="25">
        <v>0.36380252398381002</v>
      </c>
      <c r="D125" s="25">
        <v>0.36976759647774998</v>
      </c>
      <c r="E125" s="25">
        <v>0.364005136455125</v>
      </c>
      <c r="F125" s="25">
        <v>0.3617846625635</v>
      </c>
      <c r="G125" s="25">
        <v>0.359639701812274</v>
      </c>
      <c r="H125" s="25">
        <v>0.349142444484564</v>
      </c>
      <c r="I125" s="25">
        <v>0.35095451299236402</v>
      </c>
      <c r="J125" s="25">
        <v>0.347805658573627</v>
      </c>
      <c r="K125" s="25">
        <v>0.34094404631576097</v>
      </c>
      <c r="L125" s="25">
        <v>0.34094404631576097</v>
      </c>
      <c r="M125" s="50">
        <v>0.34094404631576097</v>
      </c>
    </row>
    <row r="126" spans="1:13" x14ac:dyDescent="0.45">
      <c r="A126" s="50" t="s">
        <v>340</v>
      </c>
      <c r="B126" s="25">
        <v>3.7750713415097099</v>
      </c>
      <c r="C126" s="25">
        <v>3.6722760200500502</v>
      </c>
      <c r="D126" s="25">
        <v>3.7496287822723402</v>
      </c>
      <c r="E126" s="25">
        <v>3.7939896583557098</v>
      </c>
      <c r="F126" s="25">
        <v>4.0338625907897896</v>
      </c>
      <c r="G126" s="25">
        <v>3.9964454174041699</v>
      </c>
      <c r="H126" s="25">
        <v>3.9940369129180899</v>
      </c>
      <c r="I126" s="25">
        <v>4.0234403610229501</v>
      </c>
      <c r="J126" s="25">
        <v>3.9705582597437501</v>
      </c>
      <c r="K126" s="25">
        <v>3.94702364488783</v>
      </c>
      <c r="L126" s="25">
        <v>3.94702364488783</v>
      </c>
      <c r="M126" s="50">
        <v>3.94702364488783</v>
      </c>
    </row>
    <row r="127" spans="1:13" x14ac:dyDescent="0.45">
      <c r="A127" s="50" t="s">
        <v>341</v>
      </c>
      <c r="B127" s="25">
        <v>16.7121625525185</v>
      </c>
      <c r="C127" s="25">
        <v>16.893541336059599</v>
      </c>
      <c r="D127" s="25">
        <v>18.019264221191399</v>
      </c>
      <c r="E127" s="25">
        <v>18.425573348998999</v>
      </c>
      <c r="F127" s="25">
        <v>18.5511798858643</v>
      </c>
      <c r="G127" s="25">
        <v>18.264247894287099</v>
      </c>
      <c r="H127" s="25">
        <v>19.8335285186768</v>
      </c>
      <c r="I127" s="25">
        <v>22.855552673339801</v>
      </c>
      <c r="J127" s="25">
        <v>22.981653076641798</v>
      </c>
      <c r="K127" s="25">
        <v>23.547195091984999</v>
      </c>
      <c r="L127" s="25">
        <v>23.547195091984999</v>
      </c>
      <c r="M127" s="50">
        <v>23.547195091984999</v>
      </c>
    </row>
    <row r="128" spans="1:13" x14ac:dyDescent="0.45">
      <c r="A128" s="50" t="s">
        <v>342</v>
      </c>
      <c r="B128" s="25">
        <v>242.39569743319899</v>
      </c>
      <c r="C128" s="25">
        <v>261.783935546875</v>
      </c>
      <c r="D128" s="25">
        <v>267.49615478515602</v>
      </c>
      <c r="E128" s="25">
        <v>278.55938720703102</v>
      </c>
      <c r="F128" s="25">
        <v>294.00662231445301</v>
      </c>
      <c r="G128" s="25">
        <v>318.97854614257801</v>
      </c>
      <c r="H128" s="25">
        <v>347.07058715820301</v>
      </c>
      <c r="I128" s="25">
        <v>366.71325683593801</v>
      </c>
      <c r="J128" s="25">
        <v>380.42156762650097</v>
      </c>
      <c r="K128" s="25">
        <v>401.70661261684103</v>
      </c>
      <c r="L128" s="25">
        <v>401.70661261684103</v>
      </c>
      <c r="M128" s="50">
        <v>401.70661261684103</v>
      </c>
    </row>
    <row r="129" spans="1:13" x14ac:dyDescent="0.45">
      <c r="A129" s="50" t="s">
        <v>343</v>
      </c>
      <c r="B129" s="25">
        <v>4.6532844356086498</v>
      </c>
      <c r="C129" s="25">
        <v>4.7315082550048801</v>
      </c>
      <c r="D129" s="25">
        <v>5.2124400138854998</v>
      </c>
      <c r="E129" s="25">
        <v>5.4001631736755398</v>
      </c>
      <c r="F129" s="25">
        <v>5.6662178039550799</v>
      </c>
      <c r="G129" s="25">
        <v>5.9320945739746103</v>
      </c>
      <c r="H129" s="25">
        <v>6.4141111373901403</v>
      </c>
      <c r="I129" s="25">
        <v>7.0205979347229004</v>
      </c>
      <c r="J129" s="25">
        <v>7.1482757612073202</v>
      </c>
      <c r="K129" s="25">
        <v>7.1174315154722496</v>
      </c>
      <c r="L129" s="25">
        <v>7.1174315154722496</v>
      </c>
      <c r="M129" s="50">
        <v>7.1174315154722496</v>
      </c>
    </row>
    <row r="130" spans="1:13" x14ac:dyDescent="0.45">
      <c r="A130" s="50" t="s">
        <v>344</v>
      </c>
      <c r="B130" s="25">
        <v>0.90395877678779801</v>
      </c>
      <c r="C130" s="25">
        <v>0.998753796315207</v>
      </c>
      <c r="D130" s="25">
        <v>1.23457603166151</v>
      </c>
      <c r="E130" s="25">
        <v>0.94868476771514598</v>
      </c>
      <c r="F130" s="25">
        <v>0.87395727781146604</v>
      </c>
      <c r="G130" s="25">
        <v>0.76309001733720105</v>
      </c>
      <c r="H130" s="25">
        <v>0.96134925441541896</v>
      </c>
      <c r="I130" s="25">
        <v>1.0579005683192599</v>
      </c>
      <c r="J130" s="25">
        <v>1.0718677372974501</v>
      </c>
      <c r="K130" s="25">
        <v>1.08627842398814</v>
      </c>
      <c r="L130" s="25">
        <v>1.08627842398814</v>
      </c>
      <c r="M130" s="50">
        <v>1.08627842398814</v>
      </c>
    </row>
    <row r="131" spans="1:13" x14ac:dyDescent="0.45">
      <c r="A131" s="50" t="s">
        <v>345</v>
      </c>
      <c r="B131" s="25">
        <v>23.2667495450074</v>
      </c>
      <c r="C131" s="25">
        <v>25.254611968994102</v>
      </c>
      <c r="D131" s="25">
        <v>26.004440307617202</v>
      </c>
      <c r="E131" s="25">
        <v>26.799869537353501</v>
      </c>
      <c r="F131" s="25">
        <v>28.152746200561499</v>
      </c>
      <c r="G131" s="25">
        <v>29.9425354003906</v>
      </c>
      <c r="H131" s="25">
        <v>31.9988098144531</v>
      </c>
      <c r="I131" s="25">
        <v>31.234983444213899</v>
      </c>
      <c r="J131" s="25">
        <v>32.535363741667197</v>
      </c>
      <c r="K131" s="25">
        <v>33.884594985736399</v>
      </c>
      <c r="L131" s="25">
        <v>33.884594985736399</v>
      </c>
      <c r="M131" s="50">
        <v>33.884594985736399</v>
      </c>
    </row>
    <row r="132" spans="1:13" x14ac:dyDescent="0.45">
      <c r="A132" s="50" t="s">
        <v>156</v>
      </c>
      <c r="B132" s="25">
        <v>0.85339399999999999</v>
      </c>
      <c r="C132" s="25">
        <v>0.83606499999999995</v>
      </c>
      <c r="D132" s="25">
        <v>0.82440800000000003</v>
      </c>
      <c r="E132" s="25">
        <v>0.79816600000000004</v>
      </c>
      <c r="F132" s="25">
        <v>0.80879800000000002</v>
      </c>
      <c r="G132" s="25">
        <v>0.80997799999999998</v>
      </c>
      <c r="H132" s="25">
        <v>0.79544800000000004</v>
      </c>
      <c r="I132" s="25">
        <v>0.78215000000000001</v>
      </c>
      <c r="J132" s="25">
        <v>0.77574799999999999</v>
      </c>
      <c r="K132" s="25">
        <v>0.78551599999999999</v>
      </c>
      <c r="L132" s="25">
        <v>0.79489100000000001</v>
      </c>
      <c r="M132" s="50">
        <v>0.79489100000000001</v>
      </c>
    </row>
    <row r="133" spans="1:13" x14ac:dyDescent="0.45">
      <c r="A133" s="50" t="s">
        <v>347</v>
      </c>
      <c r="B133" s="25">
        <v>1.4961260000000001</v>
      </c>
      <c r="C133" s="25">
        <v>1.4859150000000001</v>
      </c>
      <c r="D133" s="25">
        <v>1.495622</v>
      </c>
      <c r="E133" s="25">
        <v>1.4459789999999999</v>
      </c>
      <c r="F133" s="25">
        <v>1.4407300000000001</v>
      </c>
      <c r="G133" s="25">
        <v>1.4780139999999999</v>
      </c>
      <c r="H133" s="25">
        <v>1.4410080000000001</v>
      </c>
      <c r="I133" s="25">
        <v>1.4309590000000001</v>
      </c>
      <c r="J133" s="25">
        <v>1.4247030000000001</v>
      </c>
      <c r="K133" s="25">
        <v>1.4398150000000001</v>
      </c>
      <c r="L133" s="25">
        <v>1.4591099999999999</v>
      </c>
      <c r="M133" s="50">
        <v>1.4591099999999999</v>
      </c>
    </row>
    <row r="134" spans="1:13" x14ac:dyDescent="0.45">
      <c r="A134" s="50" t="s">
        <v>348</v>
      </c>
      <c r="B134" s="25">
        <v>8.0674815593060707</v>
      </c>
      <c r="C134" s="25">
        <v>8.7095584869384801</v>
      </c>
      <c r="D134" s="25">
        <v>9.3616819381713903</v>
      </c>
      <c r="E134" s="25">
        <v>9.7149305343627894</v>
      </c>
      <c r="F134" s="25">
        <v>10.159691810607899</v>
      </c>
      <c r="G134" s="25">
        <v>10.554167747497599</v>
      </c>
      <c r="H134" s="25">
        <v>10.5936603546143</v>
      </c>
      <c r="I134" s="25">
        <v>10.8068704605103</v>
      </c>
      <c r="J134" s="25">
        <v>10.9288090540268</v>
      </c>
      <c r="K134" s="25">
        <v>11.221066511064</v>
      </c>
      <c r="L134" s="25">
        <v>11.221066511064</v>
      </c>
      <c r="M134" s="50">
        <v>11.221066511064</v>
      </c>
    </row>
    <row r="135" spans="1:13" x14ac:dyDescent="0.45">
      <c r="A135" s="50" t="s">
        <v>349</v>
      </c>
      <c r="B135" s="25">
        <v>222.03309102845199</v>
      </c>
      <c r="C135" s="25">
        <v>226.12777709960901</v>
      </c>
      <c r="D135" s="25">
        <v>233.42677307128901</v>
      </c>
      <c r="E135" s="25">
        <v>242.08447265625</v>
      </c>
      <c r="F135" s="25">
        <v>243.99969482421901</v>
      </c>
      <c r="G135" s="25">
        <v>249.92111206054699</v>
      </c>
      <c r="H135" s="25">
        <v>257.01895141601602</v>
      </c>
      <c r="I135" s="25">
        <v>258.46008300781301</v>
      </c>
      <c r="J135" s="25">
        <v>258.45149960499901</v>
      </c>
      <c r="K135" s="25">
        <v>253.79969538385501</v>
      </c>
      <c r="L135" s="25">
        <v>253.79969538385501</v>
      </c>
      <c r="M135" s="50">
        <v>253.79969538385501</v>
      </c>
    </row>
    <row r="136" spans="1:13" x14ac:dyDescent="0.45">
      <c r="A136" s="50" t="s">
        <v>350</v>
      </c>
      <c r="B136" s="25">
        <v>73.258537837308594</v>
      </c>
      <c r="C136" s="25">
        <v>78.776527404785199</v>
      </c>
      <c r="D136" s="25">
        <v>86.8260498046875</v>
      </c>
      <c r="E136" s="25">
        <v>90.261184692382798</v>
      </c>
      <c r="F136" s="25">
        <v>92.782028198242202</v>
      </c>
      <c r="G136" s="25">
        <v>96.8323974609375</v>
      </c>
      <c r="H136" s="25">
        <v>105.373916625977</v>
      </c>
      <c r="I136" s="25">
        <v>115.977828979492</v>
      </c>
      <c r="J136" s="25">
        <v>124.800462296717</v>
      </c>
      <c r="K136" s="25">
        <v>135.13643909749501</v>
      </c>
      <c r="L136" s="25">
        <v>135.13643909749501</v>
      </c>
      <c r="M136" s="50">
        <v>135.13643909749501</v>
      </c>
    </row>
    <row r="137" spans="1:13" x14ac:dyDescent="0.45">
      <c r="A137" s="50" t="s">
        <v>352</v>
      </c>
      <c r="B137" s="25">
        <v>18.716005687146399</v>
      </c>
      <c r="C137" s="25">
        <v>19.289542537252199</v>
      </c>
      <c r="D137" s="25">
        <v>19.003457242479801</v>
      </c>
      <c r="E137" s="25">
        <v>19.1053766853993</v>
      </c>
      <c r="F137" s="25">
        <v>18.995822794786701</v>
      </c>
      <c r="G137" s="25">
        <v>19.440646408879498</v>
      </c>
      <c r="H137" s="25">
        <v>18.958642909717099</v>
      </c>
      <c r="I137" s="25">
        <v>18.9701560182388</v>
      </c>
      <c r="J137" s="25">
        <v>19.031004861247698</v>
      </c>
      <c r="K137" s="25">
        <v>18.819068983350199</v>
      </c>
      <c r="L137" s="25">
        <v>18.819068983350199</v>
      </c>
      <c r="M137" s="50">
        <v>18.819068983350199</v>
      </c>
    </row>
    <row r="138" spans="1:13" x14ac:dyDescent="0.45">
      <c r="A138" s="50" t="s">
        <v>159</v>
      </c>
      <c r="B138" s="25">
        <v>9.1442449999999997</v>
      </c>
      <c r="C138" s="25">
        <v>9.0827360000000006</v>
      </c>
      <c r="D138" s="25">
        <v>9.0370849999999994</v>
      </c>
      <c r="E138" s="25">
        <v>9.0293489999999998</v>
      </c>
      <c r="F138" s="25">
        <v>9.2784580000000005</v>
      </c>
      <c r="G138" s="25">
        <v>9.9325159999999997</v>
      </c>
      <c r="H138" s="25">
        <v>10.0419</v>
      </c>
      <c r="I138" s="25">
        <v>9.7498299999999993</v>
      </c>
      <c r="J138" s="25">
        <v>9.5974509999999995</v>
      </c>
      <c r="K138" s="25">
        <v>9.7632429999999992</v>
      </c>
      <c r="L138" s="25">
        <v>9.3029399999999995</v>
      </c>
      <c r="M138" s="50">
        <v>9.3029399999999995</v>
      </c>
    </row>
    <row r="139" spans="1:13" x14ac:dyDescent="0.45">
      <c r="A139" s="50" t="s">
        <v>355</v>
      </c>
      <c r="B139" s="25">
        <v>0.162444947168531</v>
      </c>
      <c r="C139" s="25">
        <v>0.184847801923752</v>
      </c>
      <c r="D139" s="25">
        <v>0.18895140290260301</v>
      </c>
      <c r="E139" s="25">
        <v>0.190663322806358</v>
      </c>
      <c r="F139" s="25">
        <v>0.19944606721401201</v>
      </c>
      <c r="G139" s="25">
        <v>0.19808240234851801</v>
      </c>
      <c r="H139" s="25">
        <v>0.19432105123996701</v>
      </c>
      <c r="I139" s="25">
        <v>0.200041279196739</v>
      </c>
      <c r="J139" s="25">
        <v>0.216882201578771</v>
      </c>
      <c r="K139" s="25">
        <v>0.20694246294653201</v>
      </c>
      <c r="L139" s="25">
        <v>0.20694246294653201</v>
      </c>
      <c r="M139" s="50">
        <v>0.20694246294653201</v>
      </c>
    </row>
    <row r="140" spans="1:13" x14ac:dyDescent="0.45">
      <c r="A140" s="50" t="s">
        <v>358</v>
      </c>
      <c r="B140" s="25">
        <v>21.298993838004499</v>
      </c>
      <c r="C140" s="25">
        <v>24.9616813659668</v>
      </c>
      <c r="D140" s="25">
        <v>26.635309219360401</v>
      </c>
      <c r="E140" s="25">
        <v>28.521720886230501</v>
      </c>
      <c r="F140" s="25">
        <v>30.403480529785199</v>
      </c>
      <c r="G140" s="25">
        <v>31.467857360839801</v>
      </c>
      <c r="H140" s="25">
        <v>32.377647399902301</v>
      </c>
      <c r="I140" s="25">
        <v>33.588920593261697</v>
      </c>
      <c r="J140" s="25">
        <v>33.5965555174974</v>
      </c>
      <c r="K140" s="25">
        <v>35.797677035867302</v>
      </c>
      <c r="L140" s="25">
        <v>35.797677035867302</v>
      </c>
      <c r="M140" s="50">
        <v>35.797677035867302</v>
      </c>
    </row>
    <row r="141" spans="1:13" x14ac:dyDescent="0.45">
      <c r="A141" s="50" t="s">
        <v>359</v>
      </c>
      <c r="B141" s="25">
        <v>0.770558620457376</v>
      </c>
      <c r="C141" s="25">
        <v>0.749237503264511</v>
      </c>
      <c r="D141" s="25">
        <v>0.77991115814492296</v>
      </c>
      <c r="E141" s="25">
        <v>0.825901207745523</v>
      </c>
      <c r="F141" s="25">
        <v>0.83379547336327997</v>
      </c>
      <c r="G141" s="25">
        <v>0.89050963340901101</v>
      </c>
      <c r="H141" s="25">
        <v>0.92806572453729796</v>
      </c>
      <c r="I141" s="25">
        <v>0.90050762578773502</v>
      </c>
      <c r="J141" s="25">
        <v>0.82805794066383098</v>
      </c>
      <c r="K141" s="25">
        <v>0.81177003769639899</v>
      </c>
      <c r="L141" s="25">
        <v>0.81177003769639899</v>
      </c>
      <c r="M141" s="50">
        <v>0.81177003769639899</v>
      </c>
    </row>
    <row r="142" spans="1:13" x14ac:dyDescent="0.45">
      <c r="A142" s="50" t="s">
        <v>360</v>
      </c>
      <c r="B142" s="25">
        <v>0.53334303793847704</v>
      </c>
      <c r="C142" s="25">
        <v>0.55296015739440896</v>
      </c>
      <c r="D142" s="25">
        <v>0.57401180267333995</v>
      </c>
      <c r="E142" s="25">
        <v>0.57132041454315197</v>
      </c>
      <c r="F142" s="25">
        <v>0.55884391069412198</v>
      </c>
      <c r="G142" s="25">
        <v>0.53833818435668901</v>
      </c>
      <c r="H142" s="25">
        <v>0.51544106006622303</v>
      </c>
      <c r="I142" s="25">
        <v>0.49747046828269997</v>
      </c>
      <c r="J142" s="25">
        <v>0.49024713013627402</v>
      </c>
      <c r="K142" s="25">
        <v>0.47886221244563199</v>
      </c>
      <c r="L142" s="25">
        <v>0.47886221244563199</v>
      </c>
      <c r="M142" s="50">
        <v>0.47886221244563199</v>
      </c>
    </row>
    <row r="143" spans="1:13" x14ac:dyDescent="0.45">
      <c r="A143" s="50" t="s">
        <v>361</v>
      </c>
      <c r="B143" s="25">
        <v>1.8181481713732499</v>
      </c>
      <c r="C143" s="25">
        <v>1.85903340416986</v>
      </c>
      <c r="D143" s="25">
        <v>1.8135676874636699</v>
      </c>
      <c r="E143" s="25">
        <v>1.8462195887898301</v>
      </c>
      <c r="F143" s="25">
        <v>1.9112509533800599</v>
      </c>
      <c r="G143" s="25">
        <v>1.8682639338053999</v>
      </c>
      <c r="H143" s="25">
        <v>1.8956785718996401</v>
      </c>
      <c r="I143" s="25">
        <v>2.00388995940322</v>
      </c>
      <c r="J143" s="25">
        <v>2.1479003052151699</v>
      </c>
      <c r="K143" s="25">
        <v>2.1074612511592798</v>
      </c>
      <c r="L143" s="25">
        <v>2.1074612511592798</v>
      </c>
      <c r="M143" s="50">
        <v>2.1074612511592798</v>
      </c>
    </row>
    <row r="144" spans="1:13" x14ac:dyDescent="0.45">
      <c r="A144" s="50" t="s">
        <v>362</v>
      </c>
      <c r="B144" s="25">
        <v>2065.9252917807198</v>
      </c>
      <c r="C144" s="25">
        <v>2126.669921875</v>
      </c>
      <c r="D144" s="25">
        <v>2288.408203125</v>
      </c>
      <c r="E144" s="25">
        <v>2309.77734375</v>
      </c>
      <c r="F144" s="25">
        <v>2383.45092773438</v>
      </c>
      <c r="G144" s="25">
        <v>2453.15966796875</v>
      </c>
      <c r="H144" s="25">
        <v>2507.39965820313</v>
      </c>
      <c r="I144" s="25">
        <v>2534.37670898438</v>
      </c>
      <c r="J144" s="25">
        <v>2528.10677398286</v>
      </c>
      <c r="K144" s="25">
        <v>2551.04021521804</v>
      </c>
      <c r="L144" s="25">
        <v>2551.04021521804</v>
      </c>
      <c r="M144" s="50">
        <v>2551.04021521804</v>
      </c>
    </row>
    <row r="145" spans="1:13" x14ac:dyDescent="0.45">
      <c r="A145" s="50" t="s">
        <v>363</v>
      </c>
      <c r="B145" s="25">
        <v>1.4755946635741599</v>
      </c>
      <c r="C145" s="25">
        <v>1.5429053306579601</v>
      </c>
      <c r="D145" s="25">
        <v>1.5993064641952499</v>
      </c>
      <c r="E145" s="25">
        <v>1.6161588430404701</v>
      </c>
      <c r="F145" s="25">
        <v>1.6458592414855999</v>
      </c>
      <c r="G145" s="25">
        <v>1.7140855789184599</v>
      </c>
      <c r="H145" s="25">
        <v>1.74326360225677</v>
      </c>
      <c r="I145" s="25">
        <v>1.7494549751281701</v>
      </c>
      <c r="J145" s="25">
        <v>1.7422859435109199</v>
      </c>
      <c r="K145" s="25">
        <v>1.7356817450586699</v>
      </c>
      <c r="L145" s="25">
        <v>1.7356817450586699</v>
      </c>
      <c r="M145" s="50">
        <v>1.7356817450586699</v>
      </c>
    </row>
    <row r="146" spans="1:13" x14ac:dyDescent="0.45">
      <c r="A146" s="50" t="s">
        <v>364</v>
      </c>
      <c r="B146" s="25">
        <v>17.7789734881264</v>
      </c>
      <c r="C146" s="25">
        <v>18.097654342651399</v>
      </c>
      <c r="D146" s="25">
        <v>18.068983078002901</v>
      </c>
      <c r="E146" s="25">
        <v>18.425867080688501</v>
      </c>
      <c r="F146" s="25">
        <v>18.876012802123999</v>
      </c>
      <c r="G146" s="25">
        <v>19.0010089874268</v>
      </c>
      <c r="H146" s="25">
        <v>18.948604583740199</v>
      </c>
      <c r="I146" s="25">
        <v>19.385011672973601</v>
      </c>
      <c r="J146" s="25">
        <v>19.631904293801998</v>
      </c>
      <c r="K146" s="25">
        <v>19.404986883789</v>
      </c>
      <c r="L146" s="25">
        <v>19.404986883789</v>
      </c>
      <c r="M146" s="50">
        <v>19.404986883789</v>
      </c>
    </row>
    <row r="147" spans="1:13" x14ac:dyDescent="0.45">
      <c r="A147" s="50" t="s">
        <v>172</v>
      </c>
      <c r="B147" s="25">
        <v>1.8034380000000001</v>
      </c>
      <c r="C147" s="25">
        <v>1.8014239999999999</v>
      </c>
      <c r="D147" s="25">
        <v>1.796168</v>
      </c>
      <c r="E147" s="25">
        <v>1.7620450000000001</v>
      </c>
      <c r="F147" s="25">
        <v>1.767142</v>
      </c>
      <c r="G147" s="25">
        <v>1.7651159999999999</v>
      </c>
      <c r="H147" s="25">
        <v>1.7328429999999999</v>
      </c>
      <c r="I147" s="25">
        <v>1.7428790000000001</v>
      </c>
      <c r="J147" s="25">
        <v>1.7470319999999999</v>
      </c>
      <c r="K147" s="25">
        <v>1.7644280000000001</v>
      </c>
      <c r="L147" s="25">
        <v>1.811159</v>
      </c>
      <c r="M147" s="50">
        <v>1.811159</v>
      </c>
    </row>
    <row r="148" spans="1:13" x14ac:dyDescent="0.45">
      <c r="A148" s="50" t="s">
        <v>178</v>
      </c>
      <c r="B148" s="25">
        <v>0.62264699999999995</v>
      </c>
      <c r="C148" s="25">
        <v>0.62308300000000005</v>
      </c>
      <c r="D148" s="25">
        <v>0.60539799999999999</v>
      </c>
      <c r="E148" s="25">
        <v>0.58360699999999999</v>
      </c>
      <c r="F148" s="25">
        <v>0.57886800000000005</v>
      </c>
      <c r="G148" s="25">
        <v>0.58494699999999999</v>
      </c>
      <c r="H148" s="25">
        <v>0.57141600000000004</v>
      </c>
      <c r="I148" s="25">
        <v>0.57568799999999998</v>
      </c>
      <c r="J148" s="25">
        <v>0.57117399999999996</v>
      </c>
      <c r="K148" s="25">
        <v>0.56410300000000002</v>
      </c>
      <c r="L148" s="25">
        <v>0.57420599999999999</v>
      </c>
      <c r="M148" s="50">
        <v>0.57420599999999999</v>
      </c>
    </row>
    <row r="149" spans="1:13" x14ac:dyDescent="0.45">
      <c r="A149" s="50" t="s">
        <v>367</v>
      </c>
      <c r="B149" s="25">
        <v>0.85482315761269201</v>
      </c>
      <c r="C149" s="25">
        <v>0.85717541246428897</v>
      </c>
      <c r="D149" s="25">
        <v>0.85765760483111197</v>
      </c>
      <c r="E149" s="25">
        <v>0.85953782591803896</v>
      </c>
      <c r="F149" s="25">
        <v>0.86042176680707705</v>
      </c>
      <c r="G149" s="25">
        <v>0.87498438215726304</v>
      </c>
      <c r="H149" s="25">
        <v>0.89170179934851501</v>
      </c>
      <c r="I149" s="25">
        <v>0.90527827664661698</v>
      </c>
      <c r="J149" s="25">
        <v>0.90484840383652498</v>
      </c>
      <c r="K149" s="25">
        <v>0.91201619088215402</v>
      </c>
      <c r="L149" s="25">
        <v>0.91201619088215402</v>
      </c>
      <c r="M149" s="50">
        <v>0.91201619088215402</v>
      </c>
    </row>
    <row r="150" spans="1:13" x14ac:dyDescent="0.45">
      <c r="A150" s="50" t="s">
        <v>368</v>
      </c>
      <c r="B150" s="25">
        <v>1.8580157521243299</v>
      </c>
      <c r="C150" s="25">
        <v>2.1525144577026398</v>
      </c>
      <c r="D150" s="25">
        <v>2.1864457130432098</v>
      </c>
      <c r="E150" s="25">
        <v>2.2396368980407702</v>
      </c>
      <c r="F150" s="25">
        <v>2.3649780750274698</v>
      </c>
      <c r="G150" s="25">
        <v>2.4681804180145299</v>
      </c>
      <c r="H150" s="25">
        <v>2.5038185119628902</v>
      </c>
      <c r="I150" s="25">
        <v>2.3459498882293701</v>
      </c>
      <c r="J150" s="25">
        <v>2.57447140206297</v>
      </c>
      <c r="K150" s="25">
        <v>2.4035298900342599</v>
      </c>
      <c r="L150" s="25">
        <v>2.4035298900342599</v>
      </c>
      <c r="M150" s="50">
        <v>2.4035298900342599</v>
      </c>
    </row>
    <row r="151" spans="1:13" x14ac:dyDescent="0.45">
      <c r="A151" s="50" t="s">
        <v>369</v>
      </c>
      <c r="B151" s="25">
        <v>1.53646731403334</v>
      </c>
      <c r="C151" s="25">
        <v>1.5500361527509601</v>
      </c>
      <c r="D151" s="25">
        <v>1.5635896223627399</v>
      </c>
      <c r="E151" s="25">
        <v>1.6062243447773401</v>
      </c>
      <c r="F151" s="25">
        <v>1.6283648713521099</v>
      </c>
      <c r="G151" s="25">
        <v>1.66287102733867</v>
      </c>
      <c r="H151" s="25">
        <v>1.59692807643701</v>
      </c>
      <c r="I151" s="25">
        <v>1.61357331209141</v>
      </c>
      <c r="J151" s="25">
        <v>1.67089963591492</v>
      </c>
      <c r="K151" s="25">
        <v>1.6911969158646301</v>
      </c>
      <c r="L151" s="25">
        <v>1.6911969158646301</v>
      </c>
      <c r="M151" s="50">
        <v>1.6911969158646301</v>
      </c>
    </row>
    <row r="152" spans="1:13" x14ac:dyDescent="0.45">
      <c r="A152" s="50" t="s">
        <v>370</v>
      </c>
      <c r="B152" s="25">
        <v>15.821142</v>
      </c>
      <c r="C152" s="25">
        <v>18.443729000000001</v>
      </c>
      <c r="D152" s="25">
        <v>19.568259999999999</v>
      </c>
      <c r="E152" s="25">
        <v>19.505592</v>
      </c>
      <c r="F152" s="25">
        <v>20.998875000000002</v>
      </c>
      <c r="G152" s="25">
        <v>23.562632000000001</v>
      </c>
      <c r="H152" s="25">
        <v>24.192336999999998</v>
      </c>
      <c r="I152" s="25">
        <v>24.124181</v>
      </c>
      <c r="J152" s="25">
        <v>24.662241999999999</v>
      </c>
      <c r="K152" s="25">
        <v>25.500533999999998</v>
      </c>
      <c r="L152" s="25">
        <v>24.247942999999999</v>
      </c>
      <c r="M152" s="50">
        <v>24.247942999999999</v>
      </c>
    </row>
    <row r="153" spans="1:13" x14ac:dyDescent="0.45">
      <c r="A153" s="50" t="s">
        <v>371</v>
      </c>
      <c r="B153" s="25">
        <v>263.45366079742797</v>
      </c>
      <c r="C153" s="25">
        <v>276.64923095703102</v>
      </c>
      <c r="D153" s="25">
        <v>299.23913574218801</v>
      </c>
      <c r="E153" s="25">
        <v>302.89480590820301</v>
      </c>
      <c r="F153" s="25">
        <v>297.07180786132801</v>
      </c>
      <c r="G153" s="25">
        <v>299.61502075195301</v>
      </c>
      <c r="H153" s="25">
        <v>311.47610473632801</v>
      </c>
      <c r="I153" s="25">
        <v>325.126220703125</v>
      </c>
      <c r="J153" s="25">
        <v>315.26585922942598</v>
      </c>
      <c r="K153" s="25">
        <v>317.18245495628901</v>
      </c>
      <c r="L153" s="25">
        <v>317.18245495628901</v>
      </c>
      <c r="M153" s="50">
        <v>317.18245495628901</v>
      </c>
    </row>
    <row r="154" spans="1:13" x14ac:dyDescent="0.45">
      <c r="A154" s="50" t="s">
        <v>372</v>
      </c>
      <c r="B154" s="25">
        <v>1.6882604174656</v>
      </c>
      <c r="C154" s="25">
        <v>1.66056811905465</v>
      </c>
      <c r="D154" s="25">
        <v>1.6886965290350899</v>
      </c>
      <c r="E154" s="25">
        <v>1.6755023361778401</v>
      </c>
      <c r="F154" s="25">
        <v>1.6424769033537601</v>
      </c>
      <c r="G154" s="25">
        <v>1.6945442067561001</v>
      </c>
      <c r="H154" s="25">
        <v>1.6970685815454101</v>
      </c>
      <c r="I154" s="25">
        <v>1.66476614088338</v>
      </c>
      <c r="J154" s="25">
        <v>1.6583066875236201</v>
      </c>
      <c r="K154" s="25">
        <v>1.6626736819832699</v>
      </c>
      <c r="L154" s="25">
        <v>1.6626736819832699</v>
      </c>
      <c r="M154" s="50">
        <v>1.6626736819832699</v>
      </c>
    </row>
    <row r="155" spans="1:13" x14ac:dyDescent="0.45">
      <c r="A155" s="50" t="s">
        <v>373</v>
      </c>
      <c r="B155" s="25">
        <v>0.723987959411031</v>
      </c>
      <c r="C155" s="25">
        <v>0.71025689999999997</v>
      </c>
      <c r="D155" s="25">
        <v>0.71452112755585595</v>
      </c>
      <c r="E155" s="25">
        <v>0.72622698102306305</v>
      </c>
      <c r="F155" s="25">
        <v>0.69003746306645097</v>
      </c>
      <c r="G155" s="25">
        <v>0.69140223664803402</v>
      </c>
      <c r="H155" s="25">
        <v>0.68913126741554598</v>
      </c>
      <c r="I155" s="25">
        <v>0.68267809471537999</v>
      </c>
      <c r="J155" s="25">
        <v>0.68141699528708699</v>
      </c>
      <c r="K155" s="25">
        <v>0.68141699528708699</v>
      </c>
      <c r="L155" s="25">
        <v>0.68141699528708699</v>
      </c>
      <c r="M155" s="50">
        <v>0.68141699528708699</v>
      </c>
    </row>
    <row r="156" spans="1:13" x14ac:dyDescent="0.45">
      <c r="A156" s="50" t="s">
        <v>374</v>
      </c>
      <c r="B156" s="25">
        <v>7.0390621612695599</v>
      </c>
      <c r="C156" s="25">
        <v>7.4313936233520499</v>
      </c>
      <c r="D156" s="25">
        <v>8.6515598297119105</v>
      </c>
      <c r="E156" s="25">
        <v>8.7667951583862305</v>
      </c>
      <c r="F156" s="25">
        <v>8.6241178512573207</v>
      </c>
      <c r="G156" s="25">
        <v>9.1860589981079102</v>
      </c>
      <c r="H156" s="25">
        <v>9.7386798858642596</v>
      </c>
      <c r="I156" s="25">
        <v>10.0551843643188</v>
      </c>
      <c r="J156" s="25">
        <v>9.9844887399764897</v>
      </c>
      <c r="K156" s="25">
        <v>10.354404668418701</v>
      </c>
      <c r="L156" s="25">
        <v>10.354404668418701</v>
      </c>
      <c r="M156" s="50">
        <v>10.354404668418701</v>
      </c>
    </row>
    <row r="157" spans="1:13" x14ac:dyDescent="0.45">
      <c r="A157" s="50" t="s">
        <v>375</v>
      </c>
      <c r="B157" s="25">
        <v>1.4018007911711601</v>
      </c>
      <c r="C157" s="25">
        <v>1.58635425567627</v>
      </c>
      <c r="D157" s="25">
        <v>1.6501966714859</v>
      </c>
      <c r="E157" s="25">
        <v>1.6664663553237899</v>
      </c>
      <c r="F157" s="25">
        <v>1.6462805271148699</v>
      </c>
      <c r="G157" s="25">
        <v>1.59129655361176</v>
      </c>
      <c r="H157" s="25">
        <v>1.6389201879501301</v>
      </c>
      <c r="I157" s="25">
        <v>1.6490272283554099</v>
      </c>
      <c r="J157" s="25">
        <v>1.7950768440257701</v>
      </c>
      <c r="K157" s="25">
        <v>1.76944612839592</v>
      </c>
      <c r="L157" s="25">
        <v>1.76944612839592</v>
      </c>
      <c r="M157" s="50">
        <v>1.76944612839592</v>
      </c>
    </row>
    <row r="158" spans="1:13" x14ac:dyDescent="0.45">
      <c r="A158" s="50" t="s">
        <v>376</v>
      </c>
      <c r="B158" s="25">
        <v>237.89813794805599</v>
      </c>
      <c r="C158" s="25">
        <v>241.27606201171901</v>
      </c>
      <c r="D158" s="25">
        <v>245.59980773925801</v>
      </c>
      <c r="E158" s="25">
        <v>247.2119140625</v>
      </c>
      <c r="F158" s="25">
        <v>243.61833190918</v>
      </c>
      <c r="G158" s="25">
        <v>242.59521484375</v>
      </c>
      <c r="H158" s="25">
        <v>244.65771484375</v>
      </c>
      <c r="I158" s="25">
        <v>246.78666687011699</v>
      </c>
      <c r="J158" s="25">
        <v>239.743560635823</v>
      </c>
      <c r="K158" s="25">
        <v>239.12275993346</v>
      </c>
      <c r="L158" s="25">
        <v>239.12275993346</v>
      </c>
      <c r="M158" s="50">
        <v>239.12275993346</v>
      </c>
    </row>
    <row r="159" spans="1:13" x14ac:dyDescent="0.45">
      <c r="A159" s="50" t="s">
        <v>171</v>
      </c>
      <c r="B159" s="25">
        <v>34.806773149408599</v>
      </c>
      <c r="C159" s="25">
        <v>36.323749748421598</v>
      </c>
      <c r="D159" s="25">
        <v>37.982314875007397</v>
      </c>
      <c r="E159" s="25">
        <v>39.322810333508897</v>
      </c>
      <c r="F159" s="25">
        <v>39.801887265614397</v>
      </c>
      <c r="G159" s="25">
        <v>40.737417958837398</v>
      </c>
      <c r="H159" s="25">
        <v>40.455164081269899</v>
      </c>
      <c r="I159" s="25">
        <v>40.820949843432402</v>
      </c>
      <c r="J159" s="25">
        <v>40.962486355284703</v>
      </c>
      <c r="K159" s="25">
        <v>41.207997797046197</v>
      </c>
      <c r="L159" s="25">
        <v>41.207997797046197</v>
      </c>
      <c r="M159" s="50">
        <v>41.207997797046197</v>
      </c>
    </row>
    <row r="160" spans="1:13" x14ac:dyDescent="0.45">
      <c r="A160" s="50" t="s">
        <v>377</v>
      </c>
      <c r="B160" s="25">
        <v>6.7252783086487504</v>
      </c>
      <c r="C160" s="25">
        <v>6.8838653564453098</v>
      </c>
      <c r="D160" s="25">
        <v>7.6246895790100098</v>
      </c>
      <c r="E160" s="25">
        <v>7.9590930938720703</v>
      </c>
      <c r="F160" s="25">
        <v>7.8436746597290004</v>
      </c>
      <c r="G160" s="25">
        <v>8.1570787429809606</v>
      </c>
      <c r="H160" s="25">
        <v>7.8153324127197301</v>
      </c>
      <c r="I160" s="25">
        <v>7.9686732292175302</v>
      </c>
      <c r="J160" s="25">
        <v>7.9508619565563601</v>
      </c>
      <c r="K160" s="25">
        <v>8.0238192070094794</v>
      </c>
      <c r="L160" s="25">
        <v>8.0238192070094794</v>
      </c>
      <c r="M160" s="50">
        <v>8.0238192070094794</v>
      </c>
    </row>
    <row r="161" spans="1:13" x14ac:dyDescent="0.45">
      <c r="A161" s="50" t="s">
        <v>378</v>
      </c>
      <c r="B161" s="25">
        <v>1409.53260427739</v>
      </c>
      <c r="C161" s="25">
        <v>1620.57507324219</v>
      </c>
      <c r="D161" s="25">
        <v>1750.4375</v>
      </c>
      <c r="E161" s="25">
        <v>1778.18005371094</v>
      </c>
      <c r="F161" s="25">
        <v>1808.75476074219</v>
      </c>
      <c r="G161" s="25">
        <v>1881.81066894531</v>
      </c>
      <c r="H161" s="25">
        <v>1975.34399414063</v>
      </c>
      <c r="I161" s="25">
        <v>2244.99462890625</v>
      </c>
      <c r="J161" s="25">
        <v>2485.8527881956202</v>
      </c>
      <c r="K161" s="25">
        <v>2649.0305251514001</v>
      </c>
      <c r="L161" s="25">
        <v>2649.0305251514001</v>
      </c>
      <c r="M161" s="50">
        <v>2649.0305251514001</v>
      </c>
    </row>
    <row r="162" spans="1:13" x14ac:dyDescent="0.45">
      <c r="A162" s="50" t="s">
        <v>379</v>
      </c>
      <c r="B162" s="25">
        <v>0.85541066061245796</v>
      </c>
      <c r="C162" s="25">
        <v>0.84673774242401101</v>
      </c>
      <c r="D162" s="25">
        <v>0.84587192535400402</v>
      </c>
      <c r="E162" s="25">
        <v>0.85881692171096802</v>
      </c>
      <c r="F162" s="25">
        <v>0.86395078897476196</v>
      </c>
      <c r="G162" s="25">
        <v>0.879599809646606</v>
      </c>
      <c r="H162" s="25">
        <v>0.87830555438995395</v>
      </c>
      <c r="I162" s="25">
        <v>0.88597989082336404</v>
      </c>
      <c r="J162" s="25">
        <v>0.89163059193909999</v>
      </c>
      <c r="K162" s="25">
        <v>0.87547519762000103</v>
      </c>
      <c r="L162" s="25">
        <v>0.87547519762000103</v>
      </c>
      <c r="M162" s="50">
        <v>0.87547519762000103</v>
      </c>
    </row>
    <row r="163" spans="1:13" x14ac:dyDescent="0.45">
      <c r="A163" s="50" t="s">
        <v>380</v>
      </c>
      <c r="B163" s="25">
        <v>1.3700262415528801</v>
      </c>
      <c r="C163" s="25">
        <v>1.34595239162445</v>
      </c>
      <c r="D163" s="25">
        <v>1.54946506023407</v>
      </c>
      <c r="E163" s="25">
        <v>1.5400362014770499</v>
      </c>
      <c r="F163" s="25">
        <v>1.52214002609253</v>
      </c>
      <c r="G163" s="25">
        <v>1.5118891000747701</v>
      </c>
      <c r="H163" s="25">
        <v>1.4803508520126301</v>
      </c>
      <c r="I163" s="25">
        <v>1.3865706920623799</v>
      </c>
      <c r="J163" s="25">
        <v>1.4417735192505901</v>
      </c>
      <c r="K163" s="25">
        <v>1.4417735192505901</v>
      </c>
      <c r="L163" s="25">
        <v>1.4417735192505901</v>
      </c>
      <c r="M163" s="50">
        <v>1.4417735192505901</v>
      </c>
    </row>
    <row r="164" spans="1:13" x14ac:dyDescent="0.45">
      <c r="A164" s="50" t="s">
        <v>152</v>
      </c>
      <c r="B164" s="25">
        <v>0.50170300000000001</v>
      </c>
      <c r="C164" s="25">
        <v>0.50640700000000005</v>
      </c>
      <c r="D164" s="25">
        <v>0.50454200000000005</v>
      </c>
      <c r="E164" s="25">
        <v>0.491124</v>
      </c>
      <c r="F164" s="25">
        <v>0.48541200000000001</v>
      </c>
      <c r="G164" s="25">
        <v>0.49154799999999998</v>
      </c>
      <c r="H164" s="25">
        <v>0.50319400000000003</v>
      </c>
      <c r="I164" s="25">
        <v>0.51643300000000003</v>
      </c>
      <c r="J164" s="25">
        <v>0.52072399999999996</v>
      </c>
      <c r="K164" s="25">
        <v>0.52880300000000002</v>
      </c>
      <c r="L164" s="25">
        <v>0.53322999999999998</v>
      </c>
      <c r="M164" s="50">
        <v>0.53322999999999998</v>
      </c>
    </row>
    <row r="165" spans="1:13" x14ac:dyDescent="0.45">
      <c r="A165" s="50" t="s">
        <v>169</v>
      </c>
      <c r="B165" s="25">
        <v>0.63741300000000001</v>
      </c>
      <c r="C165" s="25">
        <v>0.62397000000000002</v>
      </c>
      <c r="D165" s="25">
        <v>0.60679300000000003</v>
      </c>
      <c r="E165" s="25">
        <v>0.59040700000000002</v>
      </c>
      <c r="F165" s="25">
        <v>0.59123800000000004</v>
      </c>
      <c r="G165" s="25">
        <v>0.59529799999999999</v>
      </c>
      <c r="H165" s="25">
        <v>0.57710600000000001</v>
      </c>
      <c r="I165" s="25">
        <v>0.57014900000000002</v>
      </c>
      <c r="J165" s="25">
        <v>0.56826100000000002</v>
      </c>
      <c r="K165" s="25">
        <v>0.56251700000000004</v>
      </c>
      <c r="L165" s="25">
        <v>0.56842599999999999</v>
      </c>
      <c r="M165" s="50">
        <v>0.56842599999999999</v>
      </c>
    </row>
    <row r="166" spans="1:13" x14ac:dyDescent="0.45">
      <c r="A166" s="50" t="s">
        <v>382</v>
      </c>
      <c r="B166" s="25">
        <v>5.9423225934652502</v>
      </c>
      <c r="C166" s="25">
        <v>6.3748621240379801</v>
      </c>
      <c r="D166" s="25">
        <v>6.7047440888358896</v>
      </c>
      <c r="E166" s="25">
        <v>6.69908398091368</v>
      </c>
      <c r="F166" s="25">
        <v>6.8344012828235696</v>
      </c>
      <c r="G166" s="25">
        <v>7.0047061260859698</v>
      </c>
      <c r="H166" s="25">
        <v>6.9352913019336198</v>
      </c>
      <c r="I166" s="25">
        <v>6.9017223805504599</v>
      </c>
      <c r="J166" s="25">
        <v>7.0208456252387501</v>
      </c>
      <c r="K166" s="25">
        <v>6.9770496462440601</v>
      </c>
      <c r="L166" s="25">
        <v>6.9770496462440601</v>
      </c>
      <c r="M166" s="50">
        <v>6.9770496462440601</v>
      </c>
    </row>
    <row r="167" spans="1:13" x14ac:dyDescent="0.45">
      <c r="A167" s="50" t="s">
        <v>383</v>
      </c>
      <c r="B167" s="25"/>
      <c r="C167" s="25">
        <v>8001.0313137900903</v>
      </c>
      <c r="D167" s="25">
        <v>8005.5929977191699</v>
      </c>
      <c r="E167" s="25">
        <v>8325.8633473100508</v>
      </c>
      <c r="F167" s="25">
        <v>8129.2714312595999</v>
      </c>
      <c r="G167" s="25">
        <v>7941.6353301305398</v>
      </c>
      <c r="H167" s="25">
        <v>7916.9107517724897</v>
      </c>
      <c r="I167" s="25">
        <v>8229.5310858614394</v>
      </c>
      <c r="J167" s="25">
        <v>8229.5310858614394</v>
      </c>
      <c r="K167" s="25">
        <v>8229.5310858614394</v>
      </c>
      <c r="L167" s="25">
        <v>8229.5310858614394</v>
      </c>
      <c r="M167" s="50">
        <v>8229.5310858614394</v>
      </c>
    </row>
    <row r="168" spans="1:13" x14ac:dyDescent="0.45">
      <c r="A168" s="50" t="s">
        <v>384</v>
      </c>
      <c r="B168" s="25">
        <v>4.5774012480166899</v>
      </c>
      <c r="C168" s="25">
        <v>4.7766284942626998</v>
      </c>
      <c r="D168" s="25">
        <v>5.1078166961669904</v>
      </c>
      <c r="E168" s="25">
        <v>5.2957382202148402</v>
      </c>
      <c r="F168" s="25">
        <v>5.5718913078308097</v>
      </c>
      <c r="G168" s="25">
        <v>5.82525587081909</v>
      </c>
      <c r="H168" s="25">
        <v>6.1590933799743697</v>
      </c>
      <c r="I168" s="25">
        <v>6.4267010688781703</v>
      </c>
      <c r="J168" s="25">
        <v>6.519588073785</v>
      </c>
      <c r="K168" s="25">
        <v>6.6525659124934604</v>
      </c>
      <c r="L168" s="25">
        <v>6.6525659124934604</v>
      </c>
      <c r="M168" s="50">
        <v>6.6525659124934604</v>
      </c>
    </row>
    <row r="169" spans="1:13" x14ac:dyDescent="0.45">
      <c r="A169" s="50" t="s">
        <v>387</v>
      </c>
      <c r="B169" s="25">
        <v>1.1717019985411901</v>
      </c>
      <c r="C169" s="25">
        <v>1.5934278790787799</v>
      </c>
      <c r="D169" s="25">
        <v>2.29091910386011</v>
      </c>
      <c r="E169" s="25">
        <v>2.5006409141290402</v>
      </c>
      <c r="F169" s="25">
        <v>2.6093578209665198</v>
      </c>
      <c r="G169" s="25">
        <v>3.2682952304697199</v>
      </c>
      <c r="H169" s="25">
        <v>3.2682952304697199</v>
      </c>
      <c r="I169" s="25">
        <v>3.2682952304697199</v>
      </c>
      <c r="J169" s="25">
        <v>3.2682952304697199</v>
      </c>
      <c r="K169" s="25">
        <v>3.2682952304697199</v>
      </c>
      <c r="L169" s="25">
        <v>3.2682952304697199</v>
      </c>
      <c r="M169" s="50">
        <v>3.2682952304697199</v>
      </c>
    </row>
    <row r="170" spans="1:13" x14ac:dyDescent="0.45">
      <c r="A170" s="50" t="s">
        <v>179</v>
      </c>
      <c r="B170" s="25">
        <v>0.72636999999999996</v>
      </c>
      <c r="C170" s="25">
        <v>0.71412900000000001</v>
      </c>
      <c r="D170" s="25">
        <v>0.69497600000000004</v>
      </c>
      <c r="E170" s="25">
        <v>0.67479999999999996</v>
      </c>
      <c r="F170" s="25">
        <v>0.66235900000000003</v>
      </c>
      <c r="G170" s="25">
        <v>0.66474</v>
      </c>
      <c r="H170" s="25">
        <v>0.64264399999999999</v>
      </c>
      <c r="I170" s="25">
        <v>0.63083900000000004</v>
      </c>
      <c r="J170" s="25">
        <v>0.63194399999999995</v>
      </c>
      <c r="K170" s="25">
        <v>0.626031</v>
      </c>
      <c r="L170" s="25">
        <v>0.62448400000000004</v>
      </c>
      <c r="M170" s="50">
        <v>0.62448400000000004</v>
      </c>
    </row>
    <row r="171" spans="1:13" x14ac:dyDescent="0.45">
      <c r="A171" s="50" t="s">
        <v>388</v>
      </c>
      <c r="B171" s="25">
        <v>38.629544006403997</v>
      </c>
      <c r="C171" s="25">
        <v>39.288887023925803</v>
      </c>
      <c r="D171" s="25">
        <v>41.447456359863303</v>
      </c>
      <c r="E171" s="25">
        <v>42.938968658447301</v>
      </c>
      <c r="F171" s="25">
        <v>44.298309326171903</v>
      </c>
      <c r="G171" s="25">
        <v>45.183189392089801</v>
      </c>
      <c r="H171" s="25">
        <v>46.282962799072301</v>
      </c>
      <c r="I171" s="25">
        <v>49.39013671875</v>
      </c>
      <c r="J171" s="25">
        <v>50.307293471713002</v>
      </c>
      <c r="K171" s="25">
        <v>50.430349094917297</v>
      </c>
      <c r="L171" s="25">
        <v>50.430349094917297</v>
      </c>
      <c r="M171" s="50">
        <v>50.430349094917297</v>
      </c>
    </row>
    <row r="172" spans="1:13" x14ac:dyDescent="0.45">
      <c r="A172" s="50" t="s">
        <v>389</v>
      </c>
      <c r="B172" s="25">
        <v>1.8951937543597901</v>
      </c>
      <c r="C172" s="25">
        <v>1.96119391918182</v>
      </c>
      <c r="D172" s="25">
        <v>2.0161473751068102</v>
      </c>
      <c r="E172" s="25">
        <v>2.0336470603942902</v>
      </c>
      <c r="F172" s="25">
        <v>2.0349855422973602</v>
      </c>
      <c r="G172" s="25">
        <v>2.0349133014678999</v>
      </c>
      <c r="H172" s="25">
        <v>2.0376164913177499</v>
      </c>
      <c r="I172" s="25">
        <v>2.0397644042968799</v>
      </c>
      <c r="J172" s="25">
        <v>1.9616197014457799</v>
      </c>
      <c r="K172" s="25">
        <v>1.94958591915702</v>
      </c>
      <c r="L172" s="25">
        <v>1.94958591915702</v>
      </c>
      <c r="M172" s="50">
        <v>1.94958591915702</v>
      </c>
    </row>
    <row r="173" spans="1:13" x14ac:dyDescent="0.45">
      <c r="A173" s="50" t="s">
        <v>390</v>
      </c>
      <c r="B173" s="25">
        <v>1.85760244718789</v>
      </c>
      <c r="C173" s="25">
        <v>1.8296931982040401</v>
      </c>
      <c r="D173" s="25">
        <v>1.8756631612777701</v>
      </c>
      <c r="E173" s="25">
        <v>1.87722980976105</v>
      </c>
      <c r="F173" s="25">
        <v>1.9314279556274401</v>
      </c>
      <c r="G173" s="25">
        <v>2.0110747814178498</v>
      </c>
      <c r="H173" s="25">
        <v>1.9576119184494001</v>
      </c>
      <c r="I173" s="25">
        <v>1.99576032161713</v>
      </c>
      <c r="J173" s="25">
        <v>1.9616115795837601</v>
      </c>
      <c r="K173" s="25">
        <v>1.9433434266099701</v>
      </c>
      <c r="L173" s="25">
        <v>1.9433434266099701</v>
      </c>
      <c r="M173" s="50">
        <v>1.9433434266099701</v>
      </c>
    </row>
    <row r="174" spans="1:13" x14ac:dyDescent="0.45">
      <c r="A174" s="50" t="s">
        <v>392</v>
      </c>
      <c r="B174" s="25">
        <v>1.67562482014238</v>
      </c>
      <c r="C174" s="25">
        <v>1.63591921329498</v>
      </c>
      <c r="D174" s="25">
        <v>1.6499547958373999</v>
      </c>
      <c r="E174" s="25">
        <v>1.6432464122772199</v>
      </c>
      <c r="F174" s="25">
        <v>1.59582412242889</v>
      </c>
      <c r="G174" s="25">
        <v>1.6051045656204199</v>
      </c>
      <c r="H174" s="25">
        <v>1.5334950685501101</v>
      </c>
      <c r="I174" s="25">
        <v>1.59044253826141</v>
      </c>
      <c r="J174" s="25">
        <v>1.55643145239972</v>
      </c>
      <c r="K174" s="25">
        <v>1.5443908709807901</v>
      </c>
      <c r="L174" s="25">
        <v>1.5443908709807901</v>
      </c>
      <c r="M174" s="50">
        <v>1.5443908709807901</v>
      </c>
    </row>
    <row r="175" spans="1:13" x14ac:dyDescent="0.45">
      <c r="A175" s="50" t="s">
        <v>396</v>
      </c>
      <c r="B175" s="25">
        <v>1.03899304250417</v>
      </c>
      <c r="C175" s="25">
        <v>1.2314757108688399</v>
      </c>
      <c r="D175" s="25">
        <v>1.6391863822937001</v>
      </c>
      <c r="E175" s="25">
        <v>2.2071690559387198</v>
      </c>
      <c r="F175" s="25">
        <v>2.6209602355957</v>
      </c>
      <c r="G175" s="25">
        <v>2.96842265129089</v>
      </c>
      <c r="H175" s="25">
        <v>3.3734300136566202</v>
      </c>
      <c r="I175" s="25">
        <v>4.6189689636230504</v>
      </c>
      <c r="J175" s="25">
        <v>7.1532882919742304</v>
      </c>
      <c r="K175" s="25">
        <v>10.5008468567533</v>
      </c>
      <c r="L175" s="25">
        <v>10.5008468567533</v>
      </c>
      <c r="M175" s="50">
        <v>10.5008468567533</v>
      </c>
    </row>
    <row r="176" spans="1:13" x14ac:dyDescent="0.45">
      <c r="A176" s="50" t="s">
        <v>397</v>
      </c>
      <c r="B176" s="25">
        <v>1.67292492197053</v>
      </c>
      <c r="C176" s="25">
        <v>1.86556231975555</v>
      </c>
      <c r="D176" s="25">
        <v>1.92353367805481</v>
      </c>
      <c r="E176" s="25">
        <v>1.8451941013336199</v>
      </c>
      <c r="F176" s="25">
        <v>1.8108571767807</v>
      </c>
      <c r="G176" s="25">
        <v>1.82014083862305</v>
      </c>
      <c r="H176" s="25">
        <v>2.4285078048706099</v>
      </c>
      <c r="I176" s="25">
        <v>2.57821440696716</v>
      </c>
      <c r="J176" s="25">
        <v>2.6343306285627799</v>
      </c>
      <c r="K176" s="25">
        <v>2.74870090935574</v>
      </c>
      <c r="L176" s="25">
        <v>2.74870090935574</v>
      </c>
      <c r="M176" s="50">
        <v>2.74870090935574</v>
      </c>
    </row>
    <row r="177" spans="1:13" x14ac:dyDescent="0.45">
      <c r="A177" s="50" t="s">
        <v>146</v>
      </c>
      <c r="B177" s="25">
        <v>9.0177359999999993</v>
      </c>
      <c r="C177" s="25">
        <v>8.844042</v>
      </c>
      <c r="D177" s="25">
        <v>8.6547680000000007</v>
      </c>
      <c r="E177" s="25">
        <v>8.5976809999999997</v>
      </c>
      <c r="F177" s="25">
        <v>8.727131</v>
      </c>
      <c r="G177" s="25">
        <v>8.8543830000000003</v>
      </c>
      <c r="H177" s="25">
        <v>8.8225859999999994</v>
      </c>
      <c r="I177" s="25">
        <v>8.8522470000000002</v>
      </c>
      <c r="J177" s="25">
        <v>8.8606359999999995</v>
      </c>
      <c r="K177" s="25">
        <v>8.8774870000000004</v>
      </c>
      <c r="L177" s="25">
        <v>8.9027609999999999</v>
      </c>
      <c r="M177" s="50">
        <v>8.9027609999999999</v>
      </c>
    </row>
    <row r="178" spans="1:13" x14ac:dyDescent="0.45">
      <c r="A178" s="50" t="s">
        <v>398</v>
      </c>
      <c r="B178" s="25">
        <v>1.464944</v>
      </c>
      <c r="C178" s="25">
        <v>1.3974979999999999</v>
      </c>
      <c r="D178" s="25">
        <v>1.3540719999999999</v>
      </c>
      <c r="E178" s="25">
        <v>1.3124769999999999</v>
      </c>
      <c r="F178" s="25">
        <v>1.2817609999999999</v>
      </c>
      <c r="G178" s="25">
        <v>1.2357880000000001</v>
      </c>
      <c r="H178" s="25">
        <v>1.201964</v>
      </c>
      <c r="I178" s="25">
        <v>1.1877260000000001</v>
      </c>
      <c r="J178" s="25">
        <v>1.1786799999999999</v>
      </c>
      <c r="K178" s="25">
        <v>1.1594059999999999</v>
      </c>
      <c r="L178" s="25">
        <v>1.1438360000000001</v>
      </c>
      <c r="M178" s="50">
        <v>1.1438360000000001</v>
      </c>
    </row>
    <row r="179" spans="1:13" x14ac:dyDescent="0.45">
      <c r="A179" s="50" t="s">
        <v>400</v>
      </c>
      <c r="B179" s="25">
        <v>1.4096497608483001</v>
      </c>
      <c r="C179" s="25">
        <v>1.56478023529053</v>
      </c>
      <c r="D179" s="25">
        <v>1.66968774795532</v>
      </c>
      <c r="E179" s="25">
        <v>1.6493602991104099</v>
      </c>
      <c r="F179" s="25">
        <v>1.6505599021911599</v>
      </c>
      <c r="G179" s="25">
        <v>1.91402864456177</v>
      </c>
      <c r="H179" s="25">
        <v>2.03031325340271</v>
      </c>
      <c r="I179" s="25">
        <v>2.2305700778961199</v>
      </c>
      <c r="J179" s="25">
        <v>2.2829438748262301</v>
      </c>
      <c r="K179" s="25">
        <v>2.3514373614881001</v>
      </c>
      <c r="L179" s="25">
        <v>2.3514373614881001</v>
      </c>
      <c r="M179" s="50">
        <v>2.3514373614881001</v>
      </c>
    </row>
    <row r="180" spans="1:13" x14ac:dyDescent="0.45">
      <c r="A180" s="50" t="s">
        <v>401</v>
      </c>
      <c r="B180" s="25">
        <v>496.869784664853</v>
      </c>
      <c r="C180" s="25">
        <v>546.07312011718795</v>
      </c>
      <c r="D180" s="25">
        <v>649.70495605468795</v>
      </c>
      <c r="E180" s="25">
        <v>706.30926513671898</v>
      </c>
      <c r="F180" s="25">
        <v>759.031494140625</v>
      </c>
      <c r="G180" s="25">
        <v>803.8115234375</v>
      </c>
      <c r="H180" s="25">
        <v>848.67956542968795</v>
      </c>
      <c r="I180" s="25">
        <v>885.08288574218795</v>
      </c>
      <c r="J180" s="25">
        <v>905.31396776207703</v>
      </c>
      <c r="K180" s="25">
        <v>929.18966265112294</v>
      </c>
      <c r="L180" s="25">
        <v>929.18966265112294</v>
      </c>
      <c r="M180" s="50">
        <v>929.18966265112294</v>
      </c>
    </row>
    <row r="181" spans="1:13" x14ac:dyDescent="0.45">
      <c r="A181" s="50" t="s">
        <v>402</v>
      </c>
      <c r="B181" s="25">
        <v>12.189682359681401</v>
      </c>
      <c r="C181" s="25">
        <v>12.3871974945068</v>
      </c>
      <c r="D181" s="25">
        <v>12.249703407287599</v>
      </c>
      <c r="E181" s="25">
        <v>12.300760269165</v>
      </c>
      <c r="F181" s="25">
        <v>12.487942695617701</v>
      </c>
      <c r="G181" s="25">
        <v>12.6408605575562</v>
      </c>
      <c r="H181" s="25">
        <v>12.7310800552368</v>
      </c>
      <c r="I181" s="25">
        <v>12.8447160720825</v>
      </c>
      <c r="J181" s="25">
        <v>12.722894302577799</v>
      </c>
      <c r="K181" s="25">
        <v>12.573632462529201</v>
      </c>
      <c r="L181" s="25">
        <v>12.573632462529201</v>
      </c>
      <c r="M181" s="50">
        <v>12.573632462529201</v>
      </c>
    </row>
    <row r="182" spans="1:13" x14ac:dyDescent="0.45">
      <c r="A182" s="50" t="s">
        <v>403</v>
      </c>
      <c r="B182" s="25">
        <v>0.41048150317357601</v>
      </c>
      <c r="C182" s="25">
        <v>0.45453202700875001</v>
      </c>
      <c r="D182" s="25">
        <v>0.43664579446148899</v>
      </c>
      <c r="E182" s="25">
        <v>0.48729369600391798</v>
      </c>
      <c r="F182" s="25">
        <v>0.452933233030273</v>
      </c>
      <c r="G182" s="25">
        <v>0.45757380041426898</v>
      </c>
      <c r="H182" s="25">
        <v>0.43242795316652799</v>
      </c>
      <c r="I182" s="25">
        <v>0.408969540137466</v>
      </c>
      <c r="J182" s="25">
        <v>0.39354529758066797</v>
      </c>
      <c r="K182" s="25">
        <v>0.42064399182199202</v>
      </c>
      <c r="L182" s="25">
        <v>0.42064399182199202</v>
      </c>
      <c r="M182" s="50">
        <v>0.42064399182199202</v>
      </c>
    </row>
    <row r="183" spans="1:13" x14ac:dyDescent="0.45">
      <c r="A183" s="50" t="s">
        <v>404</v>
      </c>
      <c r="B183" s="25">
        <v>230.913948548105</v>
      </c>
      <c r="C183" s="25">
        <v>228.62496948242199</v>
      </c>
      <c r="D183" s="25">
        <v>237.89924621582</v>
      </c>
      <c r="E183" s="25">
        <v>240.65126037597699</v>
      </c>
      <c r="F183" s="25">
        <v>238.234451293945</v>
      </c>
      <c r="G183" s="25">
        <v>241.55215454101599</v>
      </c>
      <c r="H183" s="25">
        <v>243.55308532714801</v>
      </c>
      <c r="I183" s="25">
        <v>239.72172546386699</v>
      </c>
      <c r="J183" s="25">
        <v>237.43745554357599</v>
      </c>
      <c r="K183" s="25">
        <v>238.71139332044999</v>
      </c>
      <c r="L183" s="25">
        <v>238.71139332044999</v>
      </c>
      <c r="M183" s="50">
        <v>238.71139332044999</v>
      </c>
    </row>
    <row r="184" spans="1:13" x14ac:dyDescent="0.45">
      <c r="A184" s="50" t="s">
        <v>405</v>
      </c>
      <c r="B184" s="25">
        <v>1.4759909054337399</v>
      </c>
      <c r="C184" s="25">
        <v>1.45268475139735</v>
      </c>
      <c r="D184" s="25">
        <v>1.4851288270940199</v>
      </c>
      <c r="E184" s="25">
        <v>1.42490350684141</v>
      </c>
      <c r="F184" s="25">
        <v>1.3991887333708199</v>
      </c>
      <c r="G184" s="25">
        <v>1.4579292540404301</v>
      </c>
      <c r="H184" s="25">
        <v>1.4870731635525301</v>
      </c>
      <c r="I184" s="25">
        <v>1.5415176714241201</v>
      </c>
      <c r="J184" s="25">
        <v>1.5823544492297701</v>
      </c>
      <c r="K184" s="25">
        <v>1.67115075806166</v>
      </c>
      <c r="L184" s="25">
        <v>1.67115075806166</v>
      </c>
      <c r="M184" s="50">
        <v>1.67115075806166</v>
      </c>
    </row>
    <row r="185" spans="1:13" x14ac:dyDescent="0.45">
      <c r="A185" s="50" t="s">
        <v>406</v>
      </c>
      <c r="B185" s="25">
        <v>3.48407562607008</v>
      </c>
      <c r="C185" s="25">
        <v>3.94960689544678</v>
      </c>
      <c r="D185" s="25">
        <v>4.0971779823303196</v>
      </c>
      <c r="E185" s="25">
        <v>4.31729984283447</v>
      </c>
      <c r="F185" s="25">
        <v>4.3745689392089799</v>
      </c>
      <c r="G185" s="25">
        <v>4.2398777008056596</v>
      </c>
      <c r="H185" s="25">
        <v>4.1067261695861799</v>
      </c>
      <c r="I185" s="25">
        <v>4.1624517440795898</v>
      </c>
      <c r="J185" s="25">
        <v>4.3095743122402599</v>
      </c>
      <c r="K185" s="25">
        <v>4.2990560207373001</v>
      </c>
      <c r="L185" s="25">
        <v>4.2990560207373001</v>
      </c>
      <c r="M185" s="50">
        <v>4.2990560207373001</v>
      </c>
    </row>
    <row r="186" spans="1:13" x14ac:dyDescent="0.45">
      <c r="A186" s="50" t="s">
        <v>407</v>
      </c>
      <c r="B186" s="25">
        <v>0.583805420102954</v>
      </c>
      <c r="C186" s="25">
        <v>0.59633147716522195</v>
      </c>
      <c r="D186" s="25">
        <v>0.63482326269149802</v>
      </c>
      <c r="E186" s="25">
        <v>0.67052507400512695</v>
      </c>
      <c r="F186" s="25">
        <v>0.69972884654998802</v>
      </c>
      <c r="G186" s="25">
        <v>0.74201995134353604</v>
      </c>
      <c r="H186" s="25">
        <v>0.76676547527313199</v>
      </c>
      <c r="I186" s="25">
        <v>0.79418015480041504</v>
      </c>
      <c r="J186" s="25">
        <v>0.82551585069546096</v>
      </c>
      <c r="K186" s="25">
        <v>0.86672966827161901</v>
      </c>
      <c r="L186" s="25">
        <v>0.86672966827161901</v>
      </c>
      <c r="M186" s="50">
        <v>0.86672966827161901</v>
      </c>
    </row>
    <row r="187" spans="1:13" x14ac:dyDescent="0.45">
      <c r="A187" s="50" t="s">
        <v>173</v>
      </c>
      <c r="B187" s="25">
        <v>0.91960699999999995</v>
      </c>
      <c r="C187" s="25">
        <v>0.96617600000000003</v>
      </c>
      <c r="D187" s="25">
        <v>1.0198560000000001</v>
      </c>
      <c r="E187" s="25">
        <v>1.0702940000000001</v>
      </c>
      <c r="F187" s="25">
        <v>1.1045039999999999</v>
      </c>
      <c r="G187" s="25">
        <v>1.162452</v>
      </c>
      <c r="H187" s="25">
        <v>1.241052</v>
      </c>
      <c r="I187" s="25">
        <v>1.38398</v>
      </c>
      <c r="J187" s="25">
        <v>1.633464</v>
      </c>
      <c r="K187" s="25">
        <v>1.8955139999999999</v>
      </c>
      <c r="L187" s="25">
        <v>2.1131139999999999</v>
      </c>
      <c r="M187" s="50">
        <v>2.1131139999999999</v>
      </c>
    </row>
    <row r="188" spans="1:13" x14ac:dyDescent="0.45">
      <c r="A188" s="50" t="s">
        <v>408</v>
      </c>
      <c r="B188" s="25">
        <v>1.28959600017329</v>
      </c>
      <c r="C188" s="25">
        <v>1.4256252771395499</v>
      </c>
      <c r="D188" s="25">
        <v>1.5778361046542</v>
      </c>
      <c r="E188" s="25">
        <v>1.63410950636299</v>
      </c>
      <c r="F188" s="25">
        <v>1.6820401023637801</v>
      </c>
      <c r="G188" s="25">
        <v>1.6445134199831299</v>
      </c>
      <c r="H188" s="25">
        <v>1.61278636436468</v>
      </c>
      <c r="I188" s="25">
        <v>1.62300465233047</v>
      </c>
      <c r="J188" s="25">
        <v>1.6034250658112801</v>
      </c>
      <c r="K188" s="25">
        <v>1.6034250658112801</v>
      </c>
      <c r="L188" s="25">
        <v>1.6034250658112801</v>
      </c>
      <c r="M188" s="50">
        <v>1.6034250658112801</v>
      </c>
    </row>
    <row r="189" spans="1:13" x14ac:dyDescent="0.45">
      <c r="A189" s="50" t="s">
        <v>409</v>
      </c>
      <c r="B189" s="25"/>
      <c r="C189" s="25">
        <v>1.02840805053711</v>
      </c>
      <c r="D189" s="25">
        <v>1.1017311811447099</v>
      </c>
      <c r="E189" s="25">
        <v>1.0793150663375899</v>
      </c>
      <c r="F189" s="25">
        <v>1.0793718099594101</v>
      </c>
      <c r="G189" s="25">
        <v>1.08652007579803</v>
      </c>
      <c r="H189" s="25">
        <v>1.0716539621353101</v>
      </c>
      <c r="I189" s="25">
        <v>1.01790571212769</v>
      </c>
      <c r="J189" s="25">
        <v>1.0244826436239001</v>
      </c>
      <c r="K189" s="25">
        <v>1.0263656903800999</v>
      </c>
      <c r="L189" s="25">
        <v>1.0263656903800999</v>
      </c>
      <c r="M189" s="50">
        <v>1.0263656903800999</v>
      </c>
    </row>
    <row r="190" spans="1:13" x14ac:dyDescent="0.45">
      <c r="A190" s="50" t="s">
        <v>410</v>
      </c>
      <c r="B190" s="25">
        <v>1.1261822190233499</v>
      </c>
      <c r="C190" s="25">
        <v>1.1099262718756799</v>
      </c>
      <c r="D190" s="25">
        <v>1.0978480014297001</v>
      </c>
      <c r="E190" s="25">
        <v>1.1016923927704201</v>
      </c>
      <c r="F190" s="25">
        <v>1.1364757522454001</v>
      </c>
      <c r="G190" s="25">
        <v>1.17684572000806</v>
      </c>
      <c r="H190" s="25">
        <v>1.1764377475890899</v>
      </c>
      <c r="I190" s="25">
        <v>1.19582133121982</v>
      </c>
      <c r="J190" s="25">
        <v>1.2248666140845199</v>
      </c>
      <c r="K190" s="25">
        <v>1.3059942981698001</v>
      </c>
      <c r="L190" s="25">
        <v>1.3059942981698001</v>
      </c>
      <c r="M190" s="50">
        <v>1.3059942981698001</v>
      </c>
    </row>
    <row r="191" spans="1:13" x14ac:dyDescent="0.45">
      <c r="A191" s="50" t="s">
        <v>411</v>
      </c>
      <c r="B191" s="25">
        <v>799.01226386766302</v>
      </c>
      <c r="C191" s="25">
        <v>856.168212890625</v>
      </c>
      <c r="D191" s="25">
        <v>1003.27728271484</v>
      </c>
      <c r="E191" s="25">
        <v>1042.08117675781</v>
      </c>
      <c r="F191" s="25">
        <v>1073.74743652344</v>
      </c>
      <c r="G191" s="25">
        <v>1125.47131347656</v>
      </c>
      <c r="H191" s="25">
        <v>1211.94018554688</v>
      </c>
      <c r="I191" s="25">
        <v>1270.6083984375</v>
      </c>
      <c r="J191" s="25">
        <v>1296.6535488008101</v>
      </c>
      <c r="K191" s="25">
        <v>1299.45978146478</v>
      </c>
      <c r="L191" s="25">
        <v>1299.45978146478</v>
      </c>
      <c r="M191" s="50">
        <v>1299.45978146478</v>
      </c>
    </row>
    <row r="192" spans="1:13" x14ac:dyDescent="0.45">
      <c r="A192" s="50" t="s">
        <v>164</v>
      </c>
      <c r="B192" s="25">
        <v>2.8537406771314</v>
      </c>
      <c r="C192" s="25">
        <v>3.19231104850769</v>
      </c>
      <c r="D192" s="25">
        <v>3.2973940372467001</v>
      </c>
      <c r="E192" s="25">
        <v>3.0125505924224898</v>
      </c>
      <c r="F192" s="25">
        <v>3.43497610092163</v>
      </c>
      <c r="G192" s="25">
        <v>4.5662255287170401</v>
      </c>
      <c r="H192" s="25">
        <v>5.0142064094543501</v>
      </c>
      <c r="I192" s="25">
        <v>5.9162887122680496</v>
      </c>
      <c r="J192" s="25">
        <v>6.6649209378923597</v>
      </c>
      <c r="K192" s="25">
        <v>7.0694929507267803</v>
      </c>
      <c r="L192" s="25">
        <v>7.0694929507267803</v>
      </c>
      <c r="M192" s="50">
        <v>7.0694929507267803</v>
      </c>
    </row>
    <row r="193" spans="1:13" x14ac:dyDescent="0.45">
      <c r="A193" s="50" t="s">
        <v>412</v>
      </c>
      <c r="B193" s="25">
        <v>1.9184586253743099</v>
      </c>
      <c r="C193" s="25">
        <v>2.12660837173462</v>
      </c>
      <c r="D193" s="25">
        <v>2.1777245998382599</v>
      </c>
      <c r="E193" s="25">
        <v>2.2133159637451199</v>
      </c>
      <c r="F193" s="25">
        <v>2.18256711959839</v>
      </c>
      <c r="G193" s="25">
        <v>2.1877846717834499</v>
      </c>
      <c r="H193" s="25">
        <v>2.1897521018981898</v>
      </c>
      <c r="I193" s="25">
        <v>2.2217919826507599</v>
      </c>
      <c r="J193" s="25">
        <v>2.3469523660310001</v>
      </c>
      <c r="K193" s="25">
        <v>2.2585030759639699</v>
      </c>
      <c r="L193" s="25">
        <v>2.2585030759639699</v>
      </c>
      <c r="M193" s="50">
        <v>2.2585030759639699</v>
      </c>
    </row>
    <row r="194" spans="1:13" x14ac:dyDescent="0.45">
      <c r="A194" s="50" t="s">
        <v>413</v>
      </c>
      <c r="B194" s="25">
        <v>0.70170699999999997</v>
      </c>
      <c r="C194" s="25">
        <v>0.70605200000000001</v>
      </c>
      <c r="D194" s="25">
        <v>0.70163399999999998</v>
      </c>
      <c r="E194" s="25">
        <v>0.69524799999999998</v>
      </c>
      <c r="F194" s="25">
        <v>0.69844399999999995</v>
      </c>
      <c r="G194" s="25">
        <v>0.69255100000000003</v>
      </c>
      <c r="H194" s="25">
        <v>0.68860299999999997</v>
      </c>
      <c r="I194" s="25">
        <v>0.68460100000000002</v>
      </c>
      <c r="J194" s="25">
        <v>0.68355100000000002</v>
      </c>
      <c r="K194" s="25">
        <v>0.68398199999999998</v>
      </c>
      <c r="L194" s="25">
        <v>0.71626400000000001</v>
      </c>
      <c r="M194" s="50">
        <v>0.71626400000000001</v>
      </c>
    </row>
    <row r="195" spans="1:13" x14ac:dyDescent="0.45">
      <c r="A195" s="50" t="s">
        <v>414</v>
      </c>
      <c r="B195" s="25">
        <v>1</v>
      </c>
      <c r="C195" s="25">
        <v>1</v>
      </c>
      <c r="D195" s="25">
        <v>1</v>
      </c>
      <c r="E195" s="25">
        <v>1</v>
      </c>
      <c r="F195" s="25">
        <v>1</v>
      </c>
      <c r="G195" s="25">
        <v>1</v>
      </c>
      <c r="H195" s="25">
        <v>1</v>
      </c>
      <c r="I195" s="25">
        <v>1</v>
      </c>
      <c r="J195" s="25">
        <v>1</v>
      </c>
      <c r="K195" s="25">
        <v>1</v>
      </c>
      <c r="L195" s="25">
        <v>1</v>
      </c>
      <c r="M195" s="50">
        <v>1</v>
      </c>
    </row>
    <row r="196" spans="1:13" x14ac:dyDescent="0.45">
      <c r="A196" s="50" t="s">
        <v>416</v>
      </c>
      <c r="B196" s="25">
        <v>14.304006160584301</v>
      </c>
      <c r="C196" s="25">
        <v>15.2736978530884</v>
      </c>
      <c r="D196" s="25">
        <v>16.9381217956543</v>
      </c>
      <c r="E196" s="25">
        <v>18.172880172729499</v>
      </c>
      <c r="F196" s="25">
        <v>19.472618103027301</v>
      </c>
      <c r="G196" s="25">
        <v>21.104578018188501</v>
      </c>
      <c r="H196" s="25">
        <v>22.453821182251001</v>
      </c>
      <c r="I196" s="25">
        <v>23.293806076049801</v>
      </c>
      <c r="J196" s="25">
        <v>24.003071727060998</v>
      </c>
      <c r="K196" s="25">
        <v>25.3512988749765</v>
      </c>
      <c r="L196" s="25">
        <v>25.3512988749765</v>
      </c>
      <c r="M196" s="50">
        <v>25.3512988749765</v>
      </c>
    </row>
    <row r="197" spans="1:13" x14ac:dyDescent="0.45">
      <c r="A197" s="50" t="s">
        <v>417</v>
      </c>
      <c r="B197" s="25">
        <v>505.89930340601899</v>
      </c>
      <c r="C197" s="25">
        <v>601.99839932491204</v>
      </c>
      <c r="D197" s="25">
        <v>706.90461325190802</v>
      </c>
      <c r="E197" s="25">
        <v>804.31010352320004</v>
      </c>
      <c r="F197" s="25">
        <v>935.23724584663205</v>
      </c>
      <c r="G197" s="25">
        <v>1058.67768324759</v>
      </c>
      <c r="H197" s="25">
        <v>1179.95670461133</v>
      </c>
      <c r="I197" s="25">
        <v>1432.90717805091</v>
      </c>
      <c r="J197" s="25">
        <v>1783.0949417801201</v>
      </c>
      <c r="K197" s="25">
        <v>2085.54845778662</v>
      </c>
      <c r="L197" s="25">
        <v>2085.54845778662</v>
      </c>
      <c r="M197" s="50">
        <v>2085.54845778662</v>
      </c>
    </row>
    <row r="198" spans="1:13" x14ac:dyDescent="0.45">
      <c r="A198" s="50" t="s">
        <v>418</v>
      </c>
      <c r="B198" s="25">
        <v>99.526377576741197</v>
      </c>
      <c r="C198" s="25">
        <v>100.51104325685201</v>
      </c>
      <c r="D198" s="25">
        <v>99.027669545098306</v>
      </c>
      <c r="E198" s="25">
        <v>99.905692818631806</v>
      </c>
      <c r="F198" s="25">
        <v>100.063422045279</v>
      </c>
      <c r="G198" s="25">
        <v>103.481552876202</v>
      </c>
      <c r="H198" s="25">
        <v>104.31219087242501</v>
      </c>
      <c r="I198" s="25">
        <v>106.634571461189</v>
      </c>
      <c r="J198" s="25">
        <v>107.437999750366</v>
      </c>
      <c r="K198" s="25">
        <v>108.10485632990699</v>
      </c>
      <c r="L198" s="25">
        <v>108.10485632990699</v>
      </c>
      <c r="M198" s="50">
        <v>108.10485632990699</v>
      </c>
    </row>
    <row r="199" spans="1:13" x14ac:dyDescent="0.45">
      <c r="A199" s="50" t="s">
        <v>419</v>
      </c>
      <c r="B199" s="25">
        <v>2.1357807380429001</v>
      </c>
      <c r="C199" s="25">
        <v>2.6809825897216801</v>
      </c>
      <c r="D199" s="25">
        <v>2.6809825897216801</v>
      </c>
      <c r="E199" s="25">
        <v>2.6809825897216801</v>
      </c>
      <c r="F199" s="25">
        <v>2.6809825897216801</v>
      </c>
      <c r="G199" s="25">
        <v>2.6809825897216801</v>
      </c>
      <c r="H199" s="25">
        <v>2.6809825897216801</v>
      </c>
      <c r="I199" s="25">
        <v>2.6809825897216801</v>
      </c>
      <c r="J199" s="25">
        <v>2.6809825897216801</v>
      </c>
      <c r="K199" s="25">
        <v>2.6809825897216801</v>
      </c>
      <c r="L199" s="25">
        <v>2.6809825897216801</v>
      </c>
      <c r="M199" s="50">
        <v>2.6809825897216801</v>
      </c>
    </row>
    <row r="200" spans="1:13" x14ac:dyDescent="0.45">
      <c r="A200" s="50" t="s">
        <v>420</v>
      </c>
      <c r="B200" s="25">
        <v>5821.99552088767</v>
      </c>
      <c r="C200" s="25">
        <v>6915.33544921875</v>
      </c>
      <c r="D200" s="25">
        <v>7167.056640625</v>
      </c>
      <c r="E200" s="25">
        <v>7369.89453125</v>
      </c>
      <c r="F200" s="25">
        <v>7473.41943359375</v>
      </c>
      <c r="G200" s="25">
        <v>7413.45556640625</v>
      </c>
      <c r="H200" s="25">
        <v>7315.61279296875</v>
      </c>
      <c r="I200" s="25">
        <v>7395.33837890625</v>
      </c>
      <c r="J200" s="25">
        <v>7464.7971438675604</v>
      </c>
      <c r="K200" s="25">
        <v>7453.56818882062</v>
      </c>
      <c r="L200" s="25">
        <v>7453.56818882062</v>
      </c>
      <c r="M200" s="50">
        <v>7453.56818882062</v>
      </c>
    </row>
    <row r="201" spans="1:13" x14ac:dyDescent="0.45">
      <c r="A201" s="50" t="s">
        <v>422</v>
      </c>
      <c r="B201" s="25">
        <v>0.65078409521841596</v>
      </c>
      <c r="C201" s="25">
        <v>0.67201765050687001</v>
      </c>
      <c r="D201" s="25">
        <v>0.61193669032312403</v>
      </c>
      <c r="E201" s="25">
        <v>0.64711780264122598</v>
      </c>
      <c r="F201" s="25">
        <v>0.608354215297364</v>
      </c>
      <c r="G201" s="25">
        <v>0.54953545159436201</v>
      </c>
      <c r="H201" s="25">
        <v>0.55945989311000699</v>
      </c>
      <c r="I201" s="25">
        <v>0.56552749456804596</v>
      </c>
      <c r="J201" s="25">
        <v>0.55041160552951496</v>
      </c>
      <c r="K201" s="25">
        <v>0.56055060212265095</v>
      </c>
      <c r="L201" s="25">
        <v>0.56055060212265095</v>
      </c>
      <c r="M201" s="50">
        <v>0.56055060212265095</v>
      </c>
    </row>
    <row r="202" spans="1:13" x14ac:dyDescent="0.45">
      <c r="A202" s="50" t="s">
        <v>424</v>
      </c>
      <c r="B202" s="25">
        <v>70.422675411485102</v>
      </c>
      <c r="C202" s="25">
        <v>81.476760864257798</v>
      </c>
      <c r="D202" s="25">
        <v>88.792991638183594</v>
      </c>
      <c r="E202" s="25">
        <v>93.631317138671903</v>
      </c>
      <c r="F202" s="25">
        <v>93.631317138671903</v>
      </c>
      <c r="G202" s="25">
        <v>93.631317138671903</v>
      </c>
      <c r="H202" s="25">
        <v>93.631317138671903</v>
      </c>
      <c r="I202" s="25">
        <v>93.631317138671903</v>
      </c>
      <c r="J202" s="25">
        <v>93.631317138671903</v>
      </c>
      <c r="K202" s="25">
        <v>93.631317138671903</v>
      </c>
      <c r="L202" s="25">
        <v>93.631317138671903</v>
      </c>
      <c r="M202" s="50">
        <v>93.631317138671903</v>
      </c>
    </row>
    <row r="203" spans="1:13" x14ac:dyDescent="0.45">
      <c r="A203" s="50" t="s">
        <v>425</v>
      </c>
      <c r="B203" s="25">
        <v>2.2476788762828899</v>
      </c>
      <c r="C203" s="25">
        <v>2.4463460445404102</v>
      </c>
      <c r="D203" s="25">
        <v>2.6514914035797101</v>
      </c>
      <c r="E203" s="25">
        <v>2.8328611850738499</v>
      </c>
      <c r="F203" s="25">
        <v>3.0648221969604501</v>
      </c>
      <c r="G203" s="25">
        <v>3.3664817810058598</v>
      </c>
      <c r="H203" s="25">
        <v>3.8788266181945801</v>
      </c>
      <c r="I203" s="25">
        <v>4.1925802230834996</v>
      </c>
      <c r="J203" s="25">
        <v>4.3962369755460404</v>
      </c>
      <c r="K203" s="25">
        <v>4.6416574341166497</v>
      </c>
      <c r="L203" s="25">
        <v>4.6416574341166497</v>
      </c>
      <c r="M203" s="50">
        <v>4.6416574341166497</v>
      </c>
    </row>
    <row r="204" spans="1:13" x14ac:dyDescent="0.45">
      <c r="A204" s="50" t="s">
        <v>426</v>
      </c>
      <c r="B204" s="25">
        <v>0.51797974827288495</v>
      </c>
      <c r="C204" s="25">
        <v>0.52033537626266502</v>
      </c>
      <c r="D204" s="25">
        <v>0.54924583435058605</v>
      </c>
      <c r="E204" s="25">
        <v>0.558424472808838</v>
      </c>
      <c r="F204" s="25">
        <v>0.54925185441970803</v>
      </c>
      <c r="G204" s="25">
        <v>0.53930419683456399</v>
      </c>
      <c r="H204" s="25">
        <v>0.521861791610718</v>
      </c>
      <c r="I204" s="25">
        <v>0.51124316453933705</v>
      </c>
      <c r="J204" s="25">
        <v>0.525138824821198</v>
      </c>
      <c r="K204" s="25">
        <v>0.494348267213925</v>
      </c>
      <c r="L204" s="25">
        <v>0.494348267213925</v>
      </c>
      <c r="M204" s="50">
        <v>0.494348267213925</v>
      </c>
    </row>
  </sheetData>
  <phoneticPr fontId="23" type="noConversion"/>
  <pageMargins left="0.7" right="0.7" top="0.75" bottom="0.75" header="0.3" footer="0.3"/>
  <pageSetup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5BABF-8A14-4C0B-B42E-9CAEE21CB1C4}">
  <dimension ref="A1:M267"/>
  <sheetViews>
    <sheetView defaultGridColor="0" colorId="22" workbookViewId="0">
      <pane ySplit="4" topLeftCell="A5" activePane="bottomLeft" state="frozen"/>
      <selection pane="bottomLeft" activeCell="A5" sqref="A5"/>
    </sheetView>
  </sheetViews>
  <sheetFormatPr defaultColWidth="12.86328125" defaultRowHeight="14.25" x14ac:dyDescent="0.45"/>
  <cols>
    <col min="1" max="1" width="45.265625" bestFit="1" customWidth="1"/>
    <col min="2" max="12" width="11" bestFit="1" customWidth="1"/>
    <col min="13" max="13" width="11" style="25" bestFit="1" customWidth="1"/>
  </cols>
  <sheetData>
    <row r="1" spans="1:13" ht="40.5" customHeight="1" x14ac:dyDescent="0.45">
      <c r="A1" s="48" t="s">
        <v>564</v>
      </c>
    </row>
    <row r="2" spans="1:13" x14ac:dyDescent="0.45">
      <c r="A2" s="29" t="s">
        <v>711</v>
      </c>
    </row>
    <row r="4" spans="1:13" x14ac:dyDescent="0.45">
      <c r="A4" t="s">
        <v>142</v>
      </c>
      <c r="B4" t="s">
        <v>181</v>
      </c>
      <c r="C4" t="s">
        <v>182</v>
      </c>
      <c r="D4" t="s">
        <v>183</v>
      </c>
      <c r="E4" t="s">
        <v>184</v>
      </c>
      <c r="F4" t="s">
        <v>185</v>
      </c>
      <c r="G4" t="s">
        <v>186</v>
      </c>
      <c r="H4" t="s">
        <v>187</v>
      </c>
      <c r="I4" t="s">
        <v>188</v>
      </c>
      <c r="J4" t="s">
        <v>189</v>
      </c>
      <c r="K4" t="s">
        <v>190</v>
      </c>
      <c r="L4" t="s">
        <v>191</v>
      </c>
      <c r="M4" t="s">
        <v>658</v>
      </c>
    </row>
    <row r="5" spans="1:13" x14ac:dyDescent="0.45">
      <c r="A5" s="50" t="s">
        <v>192</v>
      </c>
      <c r="B5" s="25">
        <v>29185507</v>
      </c>
      <c r="C5" s="25">
        <v>30117413</v>
      </c>
      <c r="D5" s="25">
        <v>31161376</v>
      </c>
      <c r="E5" s="25">
        <v>32269589</v>
      </c>
      <c r="F5" s="25">
        <v>33370794</v>
      </c>
      <c r="G5" s="25">
        <v>34413603</v>
      </c>
      <c r="H5" s="25">
        <v>35383128</v>
      </c>
      <c r="I5" s="25">
        <v>36296400</v>
      </c>
      <c r="J5" s="25">
        <v>37172386</v>
      </c>
      <c r="K5" s="25">
        <v>38041754</v>
      </c>
      <c r="L5" s="25">
        <v>38041754</v>
      </c>
      <c r="M5">
        <v>38041754</v>
      </c>
    </row>
    <row r="6" spans="1:13" x14ac:dyDescent="0.45">
      <c r="A6" s="50" t="s">
        <v>157</v>
      </c>
      <c r="B6" s="25">
        <v>2913021</v>
      </c>
      <c r="C6" s="25">
        <v>2905195</v>
      </c>
      <c r="D6" s="25">
        <v>2900401</v>
      </c>
      <c r="E6" s="25">
        <v>2895092</v>
      </c>
      <c r="F6" s="25">
        <v>2889104</v>
      </c>
      <c r="G6" s="25">
        <v>2880703</v>
      </c>
      <c r="H6" s="25">
        <v>2876101</v>
      </c>
      <c r="I6" s="25">
        <v>2873457</v>
      </c>
      <c r="J6" s="25">
        <v>2866376</v>
      </c>
      <c r="K6" s="25">
        <v>2854191</v>
      </c>
      <c r="L6" s="25">
        <v>2854191</v>
      </c>
      <c r="M6">
        <v>2854191</v>
      </c>
    </row>
    <row r="7" spans="1:13" x14ac:dyDescent="0.45">
      <c r="A7" s="50" t="s">
        <v>193</v>
      </c>
      <c r="B7" s="25">
        <v>35977455</v>
      </c>
      <c r="C7" s="25">
        <v>36661444</v>
      </c>
      <c r="D7" s="25">
        <v>37383887</v>
      </c>
      <c r="E7" s="25">
        <v>38140132</v>
      </c>
      <c r="F7" s="25">
        <v>38923687</v>
      </c>
      <c r="G7" s="25">
        <v>39728025</v>
      </c>
      <c r="H7" s="25">
        <v>40551404</v>
      </c>
      <c r="I7" s="25">
        <v>41389198</v>
      </c>
      <c r="J7" s="25">
        <v>42228429</v>
      </c>
      <c r="K7" s="25">
        <v>43053054</v>
      </c>
      <c r="L7" s="25">
        <v>43053054</v>
      </c>
      <c r="M7">
        <v>43053054</v>
      </c>
    </row>
    <row r="8" spans="1:13" x14ac:dyDescent="0.45">
      <c r="A8" s="50" t="s">
        <v>194</v>
      </c>
      <c r="B8" s="25">
        <v>56079</v>
      </c>
      <c r="C8" s="25">
        <v>55759</v>
      </c>
      <c r="D8" s="25">
        <v>55667</v>
      </c>
      <c r="E8" s="25">
        <v>55713</v>
      </c>
      <c r="F8" s="25">
        <v>55791</v>
      </c>
      <c r="G8" s="25">
        <v>55812</v>
      </c>
      <c r="H8" s="25">
        <v>55741</v>
      </c>
      <c r="I8" s="25">
        <v>55620</v>
      </c>
      <c r="J8" s="25">
        <v>55465</v>
      </c>
      <c r="K8" s="25">
        <v>55312</v>
      </c>
      <c r="L8" s="25">
        <v>55312</v>
      </c>
      <c r="M8">
        <v>55312</v>
      </c>
    </row>
    <row r="9" spans="1:13" x14ac:dyDescent="0.45">
      <c r="A9" s="50" t="s">
        <v>195</v>
      </c>
      <c r="B9" s="25">
        <v>84449</v>
      </c>
      <c r="C9" s="25">
        <v>83747</v>
      </c>
      <c r="D9" s="25">
        <v>82427</v>
      </c>
      <c r="E9" s="25">
        <v>80774</v>
      </c>
      <c r="F9" s="25">
        <v>79213</v>
      </c>
      <c r="G9" s="25">
        <v>78011</v>
      </c>
      <c r="H9" s="25">
        <v>77297</v>
      </c>
      <c r="I9" s="25">
        <v>77001</v>
      </c>
      <c r="J9" s="25">
        <v>77006</v>
      </c>
      <c r="K9" s="25">
        <v>77142</v>
      </c>
      <c r="L9" s="25">
        <v>77142</v>
      </c>
      <c r="M9">
        <v>77142</v>
      </c>
    </row>
    <row r="10" spans="1:13" x14ac:dyDescent="0.45">
      <c r="A10" s="50" t="s">
        <v>196</v>
      </c>
      <c r="B10" s="25">
        <v>23356246</v>
      </c>
      <c r="C10" s="25">
        <v>24220661</v>
      </c>
      <c r="D10" s="25">
        <v>25107931</v>
      </c>
      <c r="E10" s="25">
        <v>26015780</v>
      </c>
      <c r="F10" s="25">
        <v>26941779</v>
      </c>
      <c r="G10" s="25">
        <v>27884381</v>
      </c>
      <c r="H10" s="25">
        <v>28842484</v>
      </c>
      <c r="I10" s="25">
        <v>29816748</v>
      </c>
      <c r="J10" s="25">
        <v>30809762</v>
      </c>
      <c r="K10" s="25">
        <v>31825295</v>
      </c>
      <c r="L10" s="25">
        <v>31825295</v>
      </c>
      <c r="M10">
        <v>31825295</v>
      </c>
    </row>
    <row r="11" spans="1:13" x14ac:dyDescent="0.45">
      <c r="A11" s="50" t="s">
        <v>197</v>
      </c>
      <c r="B11" s="25">
        <v>88028</v>
      </c>
      <c r="C11" s="25">
        <v>89253</v>
      </c>
      <c r="D11" s="25">
        <v>90409</v>
      </c>
      <c r="E11" s="25">
        <v>91516</v>
      </c>
      <c r="F11" s="25">
        <v>92562</v>
      </c>
      <c r="G11" s="25">
        <v>93566</v>
      </c>
      <c r="H11" s="25">
        <v>94527</v>
      </c>
      <c r="I11" s="25">
        <v>95426</v>
      </c>
      <c r="J11" s="25">
        <v>96286</v>
      </c>
      <c r="K11" s="25">
        <v>97118</v>
      </c>
      <c r="L11" s="25">
        <v>97118</v>
      </c>
      <c r="M11">
        <v>97118</v>
      </c>
    </row>
    <row r="12" spans="1:13" x14ac:dyDescent="0.45">
      <c r="A12" s="50" t="s">
        <v>198</v>
      </c>
      <c r="B12" s="25">
        <v>354890042</v>
      </c>
      <c r="C12" s="25">
        <v>363158703</v>
      </c>
      <c r="D12" s="25">
        <v>371443547</v>
      </c>
      <c r="E12" s="25">
        <v>379705717</v>
      </c>
      <c r="F12" s="25">
        <v>387907747</v>
      </c>
      <c r="G12" s="25">
        <v>396028278</v>
      </c>
      <c r="H12" s="25">
        <v>404024435</v>
      </c>
      <c r="I12" s="25">
        <v>411898967</v>
      </c>
      <c r="J12" s="25">
        <v>419790591</v>
      </c>
      <c r="K12" s="25">
        <v>427870270</v>
      </c>
      <c r="L12" s="25">
        <v>427870270</v>
      </c>
      <c r="M12">
        <v>427870270</v>
      </c>
    </row>
    <row r="13" spans="1:13" x14ac:dyDescent="0.45">
      <c r="A13" s="50" t="s">
        <v>199</v>
      </c>
      <c r="B13" s="25">
        <v>40788453</v>
      </c>
      <c r="C13" s="25">
        <v>41261490</v>
      </c>
      <c r="D13" s="25">
        <v>41733271</v>
      </c>
      <c r="E13" s="25">
        <v>42202935</v>
      </c>
      <c r="F13" s="25">
        <v>42669500</v>
      </c>
      <c r="G13" s="25">
        <v>43131966</v>
      </c>
      <c r="H13" s="25">
        <v>43590368</v>
      </c>
      <c r="I13" s="25">
        <v>44044811</v>
      </c>
      <c r="J13" s="25">
        <v>44494502</v>
      </c>
      <c r="K13" s="25">
        <v>44938712</v>
      </c>
      <c r="L13" s="25">
        <v>44938712</v>
      </c>
      <c r="M13">
        <v>44938712</v>
      </c>
    </row>
    <row r="14" spans="1:13" x14ac:dyDescent="0.45">
      <c r="A14" s="50" t="s">
        <v>200</v>
      </c>
      <c r="B14" s="25">
        <v>2877319</v>
      </c>
      <c r="C14" s="25">
        <v>2876538</v>
      </c>
      <c r="D14" s="25">
        <v>2884229</v>
      </c>
      <c r="E14" s="25">
        <v>2897584</v>
      </c>
      <c r="F14" s="25">
        <v>2912403</v>
      </c>
      <c r="G14" s="25">
        <v>2925553</v>
      </c>
      <c r="H14" s="25">
        <v>2936146</v>
      </c>
      <c r="I14" s="25">
        <v>2944809</v>
      </c>
      <c r="J14" s="25">
        <v>2951776</v>
      </c>
      <c r="K14" s="25">
        <v>2957731</v>
      </c>
      <c r="L14" s="25">
        <v>2957731</v>
      </c>
      <c r="M14">
        <v>2957731</v>
      </c>
    </row>
    <row r="15" spans="1:13" x14ac:dyDescent="0.45">
      <c r="A15" s="50" t="s">
        <v>201</v>
      </c>
      <c r="B15" s="25">
        <v>101669</v>
      </c>
      <c r="C15" s="25">
        <v>102046</v>
      </c>
      <c r="D15" s="25">
        <v>102560</v>
      </c>
      <c r="E15" s="25">
        <v>103159</v>
      </c>
      <c r="F15" s="25">
        <v>103774</v>
      </c>
      <c r="G15" s="25">
        <v>104341</v>
      </c>
      <c r="H15" s="25">
        <v>104872</v>
      </c>
      <c r="I15" s="25">
        <v>105366</v>
      </c>
      <c r="J15" s="25">
        <v>105845</v>
      </c>
      <c r="K15" s="25">
        <v>106314</v>
      </c>
      <c r="L15" s="25">
        <v>106314</v>
      </c>
      <c r="M15">
        <v>106314</v>
      </c>
    </row>
    <row r="16" spans="1:13" x14ac:dyDescent="0.45">
      <c r="A16" s="50" t="s">
        <v>202</v>
      </c>
      <c r="B16" s="25">
        <v>22031750</v>
      </c>
      <c r="C16" s="25">
        <v>22340024</v>
      </c>
      <c r="D16" s="25">
        <v>22733465</v>
      </c>
      <c r="E16" s="25">
        <v>23128129</v>
      </c>
      <c r="F16" s="25">
        <v>23475686</v>
      </c>
      <c r="G16" s="25">
        <v>23815995</v>
      </c>
      <c r="H16" s="25">
        <v>24190907</v>
      </c>
      <c r="I16" s="25">
        <v>24601860</v>
      </c>
      <c r="J16" s="25">
        <v>24982688</v>
      </c>
      <c r="K16" s="25">
        <v>25365745</v>
      </c>
      <c r="L16" s="25">
        <v>25365745</v>
      </c>
      <c r="M16">
        <v>25365745</v>
      </c>
    </row>
    <row r="17" spans="1:13" x14ac:dyDescent="0.45">
      <c r="A17" s="50" t="s">
        <v>203</v>
      </c>
      <c r="B17" s="25">
        <v>8363404</v>
      </c>
      <c r="C17" s="25">
        <v>8391643</v>
      </c>
      <c r="D17" s="25">
        <v>8429991</v>
      </c>
      <c r="E17" s="25">
        <v>8479823</v>
      </c>
      <c r="F17" s="25">
        <v>8546356</v>
      </c>
      <c r="G17" s="25">
        <v>8642699</v>
      </c>
      <c r="H17" s="25">
        <v>8736668</v>
      </c>
      <c r="I17" s="25">
        <v>8797566</v>
      </c>
      <c r="J17" s="25">
        <v>8840521</v>
      </c>
      <c r="K17" s="25">
        <v>8879920</v>
      </c>
      <c r="L17" s="25">
        <v>8879920</v>
      </c>
      <c r="M17">
        <v>8879920</v>
      </c>
    </row>
    <row r="18" spans="1:13" x14ac:dyDescent="0.45">
      <c r="A18" s="50" t="s">
        <v>204</v>
      </c>
      <c r="B18" s="25">
        <v>9054332</v>
      </c>
      <c r="C18" s="25">
        <v>9173082</v>
      </c>
      <c r="D18" s="25">
        <v>9295784</v>
      </c>
      <c r="E18" s="25">
        <v>9416801</v>
      </c>
      <c r="F18" s="25">
        <v>9535079</v>
      </c>
      <c r="G18" s="25">
        <v>9649341</v>
      </c>
      <c r="H18" s="25">
        <v>9757812</v>
      </c>
      <c r="I18" s="25">
        <v>9854033</v>
      </c>
      <c r="J18" s="25">
        <v>9939771</v>
      </c>
      <c r="K18" s="25">
        <v>10024283</v>
      </c>
      <c r="L18" s="25">
        <v>10024283</v>
      </c>
      <c r="M18">
        <v>10024283</v>
      </c>
    </row>
    <row r="19" spans="1:13" x14ac:dyDescent="0.45">
      <c r="A19" s="50" t="s">
        <v>205</v>
      </c>
      <c r="B19" s="25">
        <v>354942</v>
      </c>
      <c r="C19" s="25">
        <v>359577</v>
      </c>
      <c r="D19" s="25">
        <v>363584</v>
      </c>
      <c r="E19" s="25">
        <v>367168</v>
      </c>
      <c r="F19" s="25">
        <v>370633</v>
      </c>
      <c r="G19" s="25">
        <v>374206</v>
      </c>
      <c r="H19" s="25">
        <v>377931</v>
      </c>
      <c r="I19" s="25">
        <v>381761</v>
      </c>
      <c r="J19" s="25">
        <v>385640</v>
      </c>
      <c r="K19" s="25">
        <v>389482</v>
      </c>
      <c r="L19" s="25">
        <v>389482</v>
      </c>
      <c r="M19">
        <v>389482</v>
      </c>
    </row>
    <row r="20" spans="1:13" x14ac:dyDescent="0.45">
      <c r="A20" s="50" t="s">
        <v>206</v>
      </c>
      <c r="B20" s="25">
        <v>1240860</v>
      </c>
      <c r="C20" s="25">
        <v>1278151</v>
      </c>
      <c r="D20" s="25">
        <v>1299943</v>
      </c>
      <c r="E20" s="25">
        <v>1315029</v>
      </c>
      <c r="F20" s="25">
        <v>1336075</v>
      </c>
      <c r="G20" s="25">
        <v>1371851</v>
      </c>
      <c r="H20" s="25">
        <v>1425791</v>
      </c>
      <c r="I20" s="25">
        <v>1494074</v>
      </c>
      <c r="J20" s="25">
        <v>1569439</v>
      </c>
      <c r="K20" s="25">
        <v>1641172</v>
      </c>
      <c r="L20" s="25">
        <v>1641172</v>
      </c>
      <c r="M20">
        <v>1641172</v>
      </c>
    </row>
    <row r="21" spans="1:13" x14ac:dyDescent="0.45">
      <c r="A21" s="50" t="s">
        <v>207</v>
      </c>
      <c r="B21" s="25">
        <v>147575430</v>
      </c>
      <c r="C21" s="25">
        <v>149273778</v>
      </c>
      <c r="D21" s="25">
        <v>151007807</v>
      </c>
      <c r="E21" s="25">
        <v>152764676</v>
      </c>
      <c r="F21" s="25">
        <v>154520167</v>
      </c>
      <c r="G21" s="25">
        <v>156256276</v>
      </c>
      <c r="H21" s="25">
        <v>157970840</v>
      </c>
      <c r="I21" s="25">
        <v>159670593</v>
      </c>
      <c r="J21" s="25">
        <v>161356039</v>
      </c>
      <c r="K21" s="25">
        <v>163046161</v>
      </c>
      <c r="L21" s="25">
        <v>163046161</v>
      </c>
      <c r="M21">
        <v>163046161</v>
      </c>
    </row>
    <row r="22" spans="1:13" x14ac:dyDescent="0.45">
      <c r="A22" s="50" t="s">
        <v>208</v>
      </c>
      <c r="B22" s="25">
        <v>282131</v>
      </c>
      <c r="C22" s="25">
        <v>282987</v>
      </c>
      <c r="D22" s="25">
        <v>283700</v>
      </c>
      <c r="E22" s="25">
        <v>284296</v>
      </c>
      <c r="F22" s="25">
        <v>284825</v>
      </c>
      <c r="G22" s="25">
        <v>285324</v>
      </c>
      <c r="H22" s="25">
        <v>285796</v>
      </c>
      <c r="I22" s="25">
        <v>286233</v>
      </c>
      <c r="J22" s="25">
        <v>286641</v>
      </c>
      <c r="K22" s="25">
        <v>287025</v>
      </c>
      <c r="L22" s="25">
        <v>287025</v>
      </c>
      <c r="M22">
        <v>287025</v>
      </c>
    </row>
    <row r="23" spans="1:13" x14ac:dyDescent="0.45">
      <c r="A23" s="50" t="s">
        <v>209</v>
      </c>
      <c r="B23" s="25">
        <v>9490583</v>
      </c>
      <c r="C23" s="25">
        <v>9473172</v>
      </c>
      <c r="D23" s="25">
        <v>9464495</v>
      </c>
      <c r="E23" s="25">
        <v>9465997</v>
      </c>
      <c r="F23" s="25">
        <v>9474511</v>
      </c>
      <c r="G23" s="25">
        <v>9489616</v>
      </c>
      <c r="H23" s="25">
        <v>9501534</v>
      </c>
      <c r="I23" s="25">
        <v>9498264</v>
      </c>
      <c r="J23" s="25">
        <v>9483499</v>
      </c>
      <c r="K23" s="25">
        <v>9417849</v>
      </c>
      <c r="L23" s="25">
        <v>9417849</v>
      </c>
      <c r="M23">
        <v>9417849</v>
      </c>
    </row>
    <row r="24" spans="1:13" x14ac:dyDescent="0.45">
      <c r="A24" s="50" t="s">
        <v>154</v>
      </c>
      <c r="B24" s="25">
        <v>10895586</v>
      </c>
      <c r="C24" s="25">
        <v>11038264</v>
      </c>
      <c r="D24" s="25">
        <v>11106932</v>
      </c>
      <c r="E24" s="25">
        <v>11159407</v>
      </c>
      <c r="F24" s="25">
        <v>11209057</v>
      </c>
      <c r="G24" s="25">
        <v>11274196</v>
      </c>
      <c r="H24" s="25">
        <v>11331422</v>
      </c>
      <c r="I24" s="25">
        <v>11375158</v>
      </c>
      <c r="J24" s="25">
        <v>11427054</v>
      </c>
      <c r="K24" s="25">
        <v>11502704</v>
      </c>
      <c r="L24" s="25">
        <v>11502704</v>
      </c>
      <c r="M24">
        <v>11502704</v>
      </c>
    </row>
    <row r="25" spans="1:13" x14ac:dyDescent="0.45">
      <c r="A25" s="50" t="s">
        <v>210</v>
      </c>
      <c r="B25" s="25">
        <v>322464</v>
      </c>
      <c r="C25" s="25">
        <v>330237</v>
      </c>
      <c r="D25" s="25">
        <v>338000</v>
      </c>
      <c r="E25" s="25">
        <v>345715</v>
      </c>
      <c r="F25" s="25">
        <v>353366</v>
      </c>
      <c r="G25" s="25">
        <v>360933</v>
      </c>
      <c r="H25" s="25">
        <v>368400</v>
      </c>
      <c r="I25" s="25">
        <v>375769</v>
      </c>
      <c r="J25" s="25">
        <v>383071</v>
      </c>
      <c r="K25" s="25">
        <v>390353</v>
      </c>
      <c r="L25" s="25">
        <v>390353</v>
      </c>
      <c r="M25">
        <v>390353</v>
      </c>
    </row>
    <row r="26" spans="1:13" x14ac:dyDescent="0.45">
      <c r="A26" s="50" t="s">
        <v>211</v>
      </c>
      <c r="B26" s="25">
        <v>9199259</v>
      </c>
      <c r="C26" s="25">
        <v>9460830</v>
      </c>
      <c r="D26" s="25">
        <v>9729248</v>
      </c>
      <c r="E26" s="25">
        <v>10004588</v>
      </c>
      <c r="F26" s="25">
        <v>10286842</v>
      </c>
      <c r="G26" s="25">
        <v>10575952</v>
      </c>
      <c r="H26" s="25">
        <v>10872067</v>
      </c>
      <c r="I26" s="25">
        <v>11175204</v>
      </c>
      <c r="J26" s="25">
        <v>11485048</v>
      </c>
      <c r="K26" s="25">
        <v>11801151</v>
      </c>
      <c r="L26" s="25">
        <v>11801151</v>
      </c>
      <c r="M26">
        <v>11801151</v>
      </c>
    </row>
    <row r="27" spans="1:13" x14ac:dyDescent="0.45">
      <c r="A27" s="50" t="s">
        <v>212</v>
      </c>
      <c r="B27" s="25">
        <v>65124</v>
      </c>
      <c r="C27" s="25">
        <v>64564</v>
      </c>
      <c r="D27" s="25">
        <v>64798</v>
      </c>
      <c r="E27" s="25">
        <v>65001</v>
      </c>
      <c r="F27" s="25">
        <v>65138</v>
      </c>
      <c r="G27" s="25">
        <v>65237</v>
      </c>
      <c r="H27" s="25">
        <v>64554</v>
      </c>
      <c r="I27" s="25">
        <v>63873</v>
      </c>
      <c r="J27" s="25">
        <v>63920</v>
      </c>
      <c r="K27" s="25">
        <v>64027</v>
      </c>
      <c r="L27" s="25">
        <v>64027</v>
      </c>
      <c r="M27">
        <v>64027</v>
      </c>
    </row>
    <row r="28" spans="1:13" x14ac:dyDescent="0.45">
      <c r="A28" s="50" t="s">
        <v>213</v>
      </c>
      <c r="B28" s="25">
        <v>685503</v>
      </c>
      <c r="C28" s="25">
        <v>693298</v>
      </c>
      <c r="D28" s="25">
        <v>701583</v>
      </c>
      <c r="E28" s="25">
        <v>710238</v>
      </c>
      <c r="F28" s="25">
        <v>719056</v>
      </c>
      <c r="G28" s="25">
        <v>727876</v>
      </c>
      <c r="H28" s="25">
        <v>736709</v>
      </c>
      <c r="I28" s="25">
        <v>745568</v>
      </c>
      <c r="J28" s="25">
        <v>754394</v>
      </c>
      <c r="K28" s="25">
        <v>763092</v>
      </c>
      <c r="L28" s="25">
        <v>763092</v>
      </c>
      <c r="M28">
        <v>763092</v>
      </c>
    </row>
    <row r="29" spans="1:13" x14ac:dyDescent="0.45">
      <c r="A29" s="50" t="s">
        <v>214</v>
      </c>
      <c r="B29" s="25">
        <v>10048590</v>
      </c>
      <c r="C29" s="25">
        <v>10212954</v>
      </c>
      <c r="D29" s="25">
        <v>10377676</v>
      </c>
      <c r="E29" s="25">
        <v>10542376</v>
      </c>
      <c r="F29" s="25">
        <v>10706517</v>
      </c>
      <c r="G29" s="25">
        <v>10869730</v>
      </c>
      <c r="H29" s="25">
        <v>11031813</v>
      </c>
      <c r="I29" s="25">
        <v>11192854</v>
      </c>
      <c r="J29" s="25">
        <v>11353142</v>
      </c>
      <c r="K29" s="25">
        <v>11513100</v>
      </c>
      <c r="L29" s="25">
        <v>11513100</v>
      </c>
      <c r="M29">
        <v>11513100</v>
      </c>
    </row>
    <row r="30" spans="1:13" x14ac:dyDescent="0.45">
      <c r="A30" s="50" t="s">
        <v>215</v>
      </c>
      <c r="B30" s="25">
        <v>3705472</v>
      </c>
      <c r="C30" s="25">
        <v>3661175</v>
      </c>
      <c r="D30" s="25">
        <v>3604972</v>
      </c>
      <c r="E30" s="25">
        <v>3542605</v>
      </c>
      <c r="F30" s="25">
        <v>3482104</v>
      </c>
      <c r="G30" s="25">
        <v>3429361</v>
      </c>
      <c r="H30" s="25">
        <v>3386267</v>
      </c>
      <c r="I30" s="25">
        <v>3351527</v>
      </c>
      <c r="J30" s="25">
        <v>3323929</v>
      </c>
      <c r="K30" s="25">
        <v>3301000</v>
      </c>
      <c r="L30" s="25">
        <v>3301000</v>
      </c>
      <c r="M30">
        <v>3301000</v>
      </c>
    </row>
    <row r="31" spans="1:13" x14ac:dyDescent="0.45">
      <c r="A31" s="50" t="s">
        <v>216</v>
      </c>
      <c r="B31" s="25">
        <v>1987105</v>
      </c>
      <c r="C31" s="25">
        <v>2015402</v>
      </c>
      <c r="D31" s="25">
        <v>2039551</v>
      </c>
      <c r="E31" s="25">
        <v>2062536</v>
      </c>
      <c r="F31" s="25">
        <v>2088614</v>
      </c>
      <c r="G31" s="25">
        <v>2120716</v>
      </c>
      <c r="H31" s="25">
        <v>2159944</v>
      </c>
      <c r="I31" s="25">
        <v>2205128</v>
      </c>
      <c r="J31" s="25">
        <v>2254126</v>
      </c>
      <c r="K31" s="25">
        <v>2303697</v>
      </c>
      <c r="L31" s="25">
        <v>2303697</v>
      </c>
      <c r="M31">
        <v>2303697</v>
      </c>
    </row>
    <row r="32" spans="1:13" x14ac:dyDescent="0.45">
      <c r="A32" s="50" t="s">
        <v>217</v>
      </c>
      <c r="B32" s="25">
        <v>195713635</v>
      </c>
      <c r="C32" s="25">
        <v>197514534</v>
      </c>
      <c r="D32" s="25">
        <v>199287296</v>
      </c>
      <c r="E32" s="25">
        <v>201035903</v>
      </c>
      <c r="F32" s="25">
        <v>202763735</v>
      </c>
      <c r="G32" s="25">
        <v>204471769</v>
      </c>
      <c r="H32" s="25">
        <v>206163058</v>
      </c>
      <c r="I32" s="25">
        <v>207833831</v>
      </c>
      <c r="J32" s="25">
        <v>209469333</v>
      </c>
      <c r="K32" s="25">
        <v>211049527</v>
      </c>
      <c r="L32" s="25">
        <v>211049527</v>
      </c>
      <c r="M32">
        <v>211049527</v>
      </c>
    </row>
    <row r="33" spans="1:13" x14ac:dyDescent="0.45">
      <c r="A33" s="50" t="s">
        <v>218</v>
      </c>
      <c r="B33" s="25">
        <v>27794</v>
      </c>
      <c r="C33" s="25">
        <v>28319</v>
      </c>
      <c r="D33" s="25">
        <v>28650</v>
      </c>
      <c r="E33" s="25">
        <v>28847</v>
      </c>
      <c r="F33" s="25">
        <v>28989</v>
      </c>
      <c r="G33" s="25">
        <v>29152</v>
      </c>
      <c r="H33" s="25">
        <v>29355</v>
      </c>
      <c r="I33" s="25">
        <v>29577</v>
      </c>
      <c r="J33" s="25">
        <v>29802</v>
      </c>
      <c r="K33" s="25">
        <v>30030</v>
      </c>
      <c r="L33" s="25">
        <v>30030</v>
      </c>
      <c r="M33">
        <v>30030</v>
      </c>
    </row>
    <row r="34" spans="1:13" x14ac:dyDescent="0.45">
      <c r="A34" s="50" t="s">
        <v>219</v>
      </c>
      <c r="B34" s="25">
        <v>388646</v>
      </c>
      <c r="C34" s="25">
        <v>393688</v>
      </c>
      <c r="D34" s="25">
        <v>398989</v>
      </c>
      <c r="E34" s="25">
        <v>404421</v>
      </c>
      <c r="F34" s="25">
        <v>409769</v>
      </c>
      <c r="G34" s="25">
        <v>414907</v>
      </c>
      <c r="H34" s="25">
        <v>419800</v>
      </c>
      <c r="I34" s="25">
        <v>424473</v>
      </c>
      <c r="J34" s="25">
        <v>428962</v>
      </c>
      <c r="K34" s="25">
        <v>433285</v>
      </c>
      <c r="L34" s="25">
        <v>433285</v>
      </c>
      <c r="M34">
        <v>433285</v>
      </c>
    </row>
    <row r="35" spans="1:13" x14ac:dyDescent="0.45">
      <c r="A35" s="50" t="s">
        <v>220</v>
      </c>
      <c r="B35" s="25">
        <v>7395599</v>
      </c>
      <c r="C35" s="25">
        <v>7348328</v>
      </c>
      <c r="D35" s="25">
        <v>7305888</v>
      </c>
      <c r="E35" s="25">
        <v>7265115</v>
      </c>
      <c r="F35" s="25">
        <v>7223938</v>
      </c>
      <c r="G35" s="25">
        <v>7177991</v>
      </c>
      <c r="H35" s="25">
        <v>7127822</v>
      </c>
      <c r="I35" s="25">
        <v>7075947</v>
      </c>
      <c r="J35" s="25">
        <v>7025037</v>
      </c>
      <c r="K35" s="25">
        <v>6975761</v>
      </c>
      <c r="L35" s="25">
        <v>6975761</v>
      </c>
      <c r="M35">
        <v>6975761</v>
      </c>
    </row>
    <row r="36" spans="1:13" x14ac:dyDescent="0.45">
      <c r="A36" s="50" t="s">
        <v>221</v>
      </c>
      <c r="B36" s="25">
        <v>15605217</v>
      </c>
      <c r="C36" s="25">
        <v>16081911</v>
      </c>
      <c r="D36" s="25">
        <v>16571246</v>
      </c>
      <c r="E36" s="25">
        <v>17072775</v>
      </c>
      <c r="F36" s="25">
        <v>17586017</v>
      </c>
      <c r="G36" s="25">
        <v>18110624</v>
      </c>
      <c r="H36" s="25">
        <v>18646378</v>
      </c>
      <c r="I36" s="25">
        <v>19193284</v>
      </c>
      <c r="J36" s="25">
        <v>19751535</v>
      </c>
      <c r="K36" s="25">
        <v>20321378</v>
      </c>
      <c r="L36" s="25">
        <v>20321378</v>
      </c>
      <c r="M36">
        <v>20321378</v>
      </c>
    </row>
    <row r="37" spans="1:13" x14ac:dyDescent="0.45">
      <c r="A37" s="50" t="s">
        <v>222</v>
      </c>
      <c r="B37" s="25">
        <v>8675602</v>
      </c>
      <c r="C37" s="25">
        <v>8958406</v>
      </c>
      <c r="D37" s="25">
        <v>9245988</v>
      </c>
      <c r="E37" s="25">
        <v>9540289</v>
      </c>
      <c r="F37" s="25">
        <v>9844297</v>
      </c>
      <c r="G37" s="25">
        <v>10160030</v>
      </c>
      <c r="H37" s="25">
        <v>10487998</v>
      </c>
      <c r="I37" s="25">
        <v>10827024</v>
      </c>
      <c r="J37" s="25">
        <v>11175378</v>
      </c>
      <c r="K37" s="25">
        <v>11530580</v>
      </c>
      <c r="L37" s="25">
        <v>11530580</v>
      </c>
      <c r="M37">
        <v>11530580</v>
      </c>
    </row>
    <row r="38" spans="1:13" x14ac:dyDescent="0.45">
      <c r="A38" s="50" t="s">
        <v>223</v>
      </c>
      <c r="B38" s="25">
        <v>492654</v>
      </c>
      <c r="C38" s="25">
        <v>498856</v>
      </c>
      <c r="D38" s="25">
        <v>505235</v>
      </c>
      <c r="E38" s="25">
        <v>511748</v>
      </c>
      <c r="F38" s="25">
        <v>518269</v>
      </c>
      <c r="G38" s="25">
        <v>524743</v>
      </c>
      <c r="H38" s="25">
        <v>531146</v>
      </c>
      <c r="I38" s="25">
        <v>537497</v>
      </c>
      <c r="J38" s="25">
        <v>543767</v>
      </c>
      <c r="K38" s="25">
        <v>549935</v>
      </c>
      <c r="L38" s="25">
        <v>549935</v>
      </c>
      <c r="M38">
        <v>549935</v>
      </c>
    </row>
    <row r="39" spans="1:13" x14ac:dyDescent="0.45">
      <c r="A39" s="50" t="s">
        <v>224</v>
      </c>
      <c r="B39" s="25">
        <v>14312212</v>
      </c>
      <c r="C39" s="25">
        <v>14541423</v>
      </c>
      <c r="D39" s="25">
        <v>14780454</v>
      </c>
      <c r="E39" s="25">
        <v>15026332</v>
      </c>
      <c r="F39" s="25">
        <v>15274503</v>
      </c>
      <c r="G39" s="25">
        <v>15521436</v>
      </c>
      <c r="H39" s="25">
        <v>15766293</v>
      </c>
      <c r="I39" s="25">
        <v>16009414</v>
      </c>
      <c r="J39" s="25">
        <v>16249798</v>
      </c>
      <c r="K39" s="25">
        <v>16486542</v>
      </c>
      <c r="L39" s="25">
        <v>16486542</v>
      </c>
      <c r="M39">
        <v>16486542</v>
      </c>
    </row>
    <row r="40" spans="1:13" x14ac:dyDescent="0.45">
      <c r="A40" s="50" t="s">
        <v>225</v>
      </c>
      <c r="B40" s="25">
        <v>20341241</v>
      </c>
      <c r="C40" s="25">
        <v>20906388</v>
      </c>
      <c r="D40" s="25">
        <v>21485266</v>
      </c>
      <c r="E40" s="25">
        <v>22077298</v>
      </c>
      <c r="F40" s="25">
        <v>22681858</v>
      </c>
      <c r="G40" s="25">
        <v>23298368</v>
      </c>
      <c r="H40" s="25">
        <v>23926539</v>
      </c>
      <c r="I40" s="25">
        <v>24566045</v>
      </c>
      <c r="J40" s="25">
        <v>25216237</v>
      </c>
      <c r="K40" s="25">
        <v>25876380</v>
      </c>
      <c r="L40" s="25">
        <v>25876380</v>
      </c>
      <c r="M40">
        <v>25876380</v>
      </c>
    </row>
    <row r="41" spans="1:13" x14ac:dyDescent="0.45">
      <c r="A41" s="50" t="s">
        <v>226</v>
      </c>
      <c r="B41" s="25">
        <v>34004889</v>
      </c>
      <c r="C41" s="25">
        <v>34339328</v>
      </c>
      <c r="D41" s="25">
        <v>34714222</v>
      </c>
      <c r="E41" s="25">
        <v>35082954</v>
      </c>
      <c r="F41" s="25">
        <v>35437435</v>
      </c>
      <c r="G41" s="25">
        <v>35702908</v>
      </c>
      <c r="H41" s="25">
        <v>36109487</v>
      </c>
      <c r="I41" s="25">
        <v>36545295</v>
      </c>
      <c r="J41" s="25">
        <v>37065178</v>
      </c>
      <c r="K41" s="25">
        <v>37593384</v>
      </c>
      <c r="L41" s="25">
        <v>37593384</v>
      </c>
      <c r="M41">
        <v>37593384</v>
      </c>
    </row>
    <row r="42" spans="1:13" x14ac:dyDescent="0.45">
      <c r="A42" s="50" t="s">
        <v>227</v>
      </c>
      <c r="B42" s="25">
        <v>6973196</v>
      </c>
      <c r="C42" s="25">
        <v>7022380</v>
      </c>
      <c r="D42" s="25">
        <v>7072661</v>
      </c>
      <c r="E42" s="25">
        <v>7123333</v>
      </c>
      <c r="F42" s="25">
        <v>7173442</v>
      </c>
      <c r="G42" s="25">
        <v>7222206</v>
      </c>
      <c r="H42" s="25">
        <v>7269385</v>
      </c>
      <c r="I42" s="25">
        <v>7314986</v>
      </c>
      <c r="J42" s="25">
        <v>7358958</v>
      </c>
      <c r="K42" s="25">
        <v>7401383</v>
      </c>
      <c r="L42" s="25">
        <v>7401383</v>
      </c>
      <c r="M42">
        <v>7401383</v>
      </c>
    </row>
    <row r="43" spans="1:13" x14ac:dyDescent="0.45">
      <c r="A43" s="50" t="s">
        <v>228</v>
      </c>
      <c r="B43" s="25">
        <v>56672</v>
      </c>
      <c r="C43" s="25">
        <v>57878</v>
      </c>
      <c r="D43" s="25">
        <v>58958</v>
      </c>
      <c r="E43" s="25">
        <v>59932</v>
      </c>
      <c r="F43" s="25">
        <v>60848</v>
      </c>
      <c r="G43" s="25">
        <v>61724</v>
      </c>
      <c r="H43" s="25">
        <v>62569</v>
      </c>
      <c r="I43" s="25">
        <v>63382</v>
      </c>
      <c r="J43" s="25">
        <v>64174</v>
      </c>
      <c r="K43" s="25">
        <v>64948</v>
      </c>
      <c r="L43" s="25">
        <v>64948</v>
      </c>
      <c r="M43">
        <v>64948</v>
      </c>
    </row>
    <row r="44" spans="1:13" x14ac:dyDescent="0.45">
      <c r="A44" s="50" t="s">
        <v>229</v>
      </c>
      <c r="B44" s="25">
        <v>4386768</v>
      </c>
      <c r="C44" s="25">
        <v>4418636</v>
      </c>
      <c r="D44" s="25">
        <v>4436415</v>
      </c>
      <c r="E44" s="25">
        <v>4447942</v>
      </c>
      <c r="F44" s="25">
        <v>4464175</v>
      </c>
      <c r="G44" s="25">
        <v>4493170</v>
      </c>
      <c r="H44" s="25">
        <v>4537687</v>
      </c>
      <c r="I44" s="25">
        <v>4596028</v>
      </c>
      <c r="J44" s="25">
        <v>4666377</v>
      </c>
      <c r="K44" s="25">
        <v>4745185</v>
      </c>
      <c r="L44" s="25">
        <v>4745185</v>
      </c>
      <c r="M44">
        <v>4745185</v>
      </c>
    </row>
    <row r="45" spans="1:13" x14ac:dyDescent="0.45">
      <c r="A45" s="50" t="s">
        <v>230</v>
      </c>
      <c r="B45" s="25">
        <v>104421447</v>
      </c>
      <c r="C45" s="25">
        <v>104174038</v>
      </c>
      <c r="D45" s="25">
        <v>103935318</v>
      </c>
      <c r="E45" s="25">
        <v>103713726</v>
      </c>
      <c r="F45" s="25">
        <v>103496179</v>
      </c>
      <c r="G45" s="25">
        <v>103257886</v>
      </c>
      <c r="H45" s="25">
        <v>102994278</v>
      </c>
      <c r="I45" s="25">
        <v>102738653</v>
      </c>
      <c r="J45" s="25">
        <v>102537026</v>
      </c>
      <c r="K45" s="25">
        <v>102393110</v>
      </c>
      <c r="L45" s="25">
        <v>102393110</v>
      </c>
      <c r="M45">
        <v>102393110</v>
      </c>
    </row>
    <row r="46" spans="1:13" x14ac:dyDescent="0.45">
      <c r="A46" s="50" t="s">
        <v>231</v>
      </c>
      <c r="B46" s="25">
        <v>11952136</v>
      </c>
      <c r="C46" s="25">
        <v>12360989</v>
      </c>
      <c r="D46" s="25">
        <v>12784750</v>
      </c>
      <c r="E46" s="25">
        <v>13220424</v>
      </c>
      <c r="F46" s="25">
        <v>13663559</v>
      </c>
      <c r="G46" s="25">
        <v>14110975</v>
      </c>
      <c r="H46" s="25">
        <v>14561666</v>
      </c>
      <c r="I46" s="25">
        <v>15016773</v>
      </c>
      <c r="J46" s="25">
        <v>15477751</v>
      </c>
      <c r="K46" s="25">
        <v>15946876</v>
      </c>
      <c r="L46" s="25">
        <v>15946876</v>
      </c>
      <c r="M46">
        <v>15946876</v>
      </c>
    </row>
    <row r="47" spans="1:13" x14ac:dyDescent="0.45">
      <c r="A47" s="50" t="s">
        <v>232</v>
      </c>
      <c r="B47" s="25">
        <v>159734</v>
      </c>
      <c r="C47" s="25">
        <v>160998</v>
      </c>
      <c r="D47" s="25">
        <v>162056</v>
      </c>
      <c r="E47" s="25">
        <v>163038</v>
      </c>
      <c r="F47" s="25">
        <v>164100</v>
      </c>
      <c r="G47" s="25">
        <v>165385</v>
      </c>
      <c r="H47" s="25">
        <v>166923</v>
      </c>
      <c r="I47" s="25">
        <v>168665</v>
      </c>
      <c r="J47" s="25">
        <v>170499</v>
      </c>
      <c r="K47" s="25">
        <v>172259</v>
      </c>
      <c r="L47" s="25">
        <v>172259</v>
      </c>
      <c r="M47">
        <v>172259</v>
      </c>
    </row>
    <row r="48" spans="1:13" x14ac:dyDescent="0.45">
      <c r="A48" s="50" t="s">
        <v>233</v>
      </c>
      <c r="B48" s="25">
        <v>17062536</v>
      </c>
      <c r="C48" s="25">
        <v>17233576</v>
      </c>
      <c r="D48" s="25">
        <v>17400347</v>
      </c>
      <c r="E48" s="25">
        <v>17571507</v>
      </c>
      <c r="F48" s="25">
        <v>17758959</v>
      </c>
      <c r="G48" s="25">
        <v>17969353</v>
      </c>
      <c r="H48" s="25">
        <v>18209068</v>
      </c>
      <c r="I48" s="25">
        <v>18470439</v>
      </c>
      <c r="J48" s="25">
        <v>18729160</v>
      </c>
      <c r="K48" s="25">
        <v>18952038</v>
      </c>
      <c r="L48" s="25">
        <v>18952038</v>
      </c>
      <c r="M48">
        <v>18952038</v>
      </c>
    </row>
    <row r="49" spans="1:13" x14ac:dyDescent="0.45">
      <c r="A49" s="50" t="s">
        <v>234</v>
      </c>
      <c r="B49" s="25">
        <v>1337705000</v>
      </c>
      <c r="C49" s="25">
        <v>1344130000</v>
      </c>
      <c r="D49" s="25">
        <v>1350695000</v>
      </c>
      <c r="E49" s="25">
        <v>1357380000</v>
      </c>
      <c r="F49" s="25">
        <v>1364270000</v>
      </c>
      <c r="G49" s="25">
        <v>1371220000</v>
      </c>
      <c r="H49" s="25">
        <v>1378665000</v>
      </c>
      <c r="I49" s="25">
        <v>1386395000</v>
      </c>
      <c r="J49" s="25">
        <v>1392730000</v>
      </c>
      <c r="K49" s="25">
        <v>1397715000</v>
      </c>
      <c r="L49" s="25">
        <v>1397715000</v>
      </c>
      <c r="M49">
        <v>1397715000</v>
      </c>
    </row>
    <row r="50" spans="1:13" x14ac:dyDescent="0.45">
      <c r="A50" s="50" t="s">
        <v>235</v>
      </c>
      <c r="B50" s="25">
        <v>45222699</v>
      </c>
      <c r="C50" s="25">
        <v>45662747</v>
      </c>
      <c r="D50" s="25">
        <v>46075721</v>
      </c>
      <c r="E50" s="25">
        <v>46495492</v>
      </c>
      <c r="F50" s="25">
        <v>46967706</v>
      </c>
      <c r="G50" s="25">
        <v>47520667</v>
      </c>
      <c r="H50" s="25">
        <v>48175048</v>
      </c>
      <c r="I50" s="25">
        <v>48909844</v>
      </c>
      <c r="J50" s="25">
        <v>49661056</v>
      </c>
      <c r="K50" s="25">
        <v>50339443</v>
      </c>
      <c r="L50" s="25">
        <v>50339443</v>
      </c>
      <c r="M50">
        <v>50339443</v>
      </c>
    </row>
    <row r="51" spans="1:13" x14ac:dyDescent="0.45">
      <c r="A51" s="50" t="s">
        <v>236</v>
      </c>
      <c r="B51" s="25">
        <v>689692</v>
      </c>
      <c r="C51" s="25">
        <v>706569</v>
      </c>
      <c r="D51" s="25">
        <v>723871</v>
      </c>
      <c r="E51" s="25">
        <v>741505</v>
      </c>
      <c r="F51" s="25">
        <v>759390</v>
      </c>
      <c r="G51" s="25">
        <v>777424</v>
      </c>
      <c r="H51" s="25">
        <v>795592</v>
      </c>
      <c r="I51" s="25">
        <v>813892</v>
      </c>
      <c r="J51" s="25">
        <v>832322</v>
      </c>
      <c r="K51" s="25">
        <v>850886</v>
      </c>
      <c r="L51" s="25">
        <v>850886</v>
      </c>
      <c r="M51">
        <v>850886</v>
      </c>
    </row>
    <row r="52" spans="1:13" x14ac:dyDescent="0.45">
      <c r="A52" s="50" t="s">
        <v>237</v>
      </c>
      <c r="B52" s="25">
        <v>64563854</v>
      </c>
      <c r="C52" s="25">
        <v>66755153</v>
      </c>
      <c r="D52" s="25">
        <v>69020747</v>
      </c>
      <c r="E52" s="25">
        <v>71358807</v>
      </c>
      <c r="F52" s="25">
        <v>73767447</v>
      </c>
      <c r="G52" s="25">
        <v>76244544</v>
      </c>
      <c r="H52" s="25">
        <v>78789127</v>
      </c>
      <c r="I52" s="25">
        <v>81398764</v>
      </c>
      <c r="J52" s="25">
        <v>84068091</v>
      </c>
      <c r="K52" s="25">
        <v>86790567</v>
      </c>
      <c r="L52" s="25">
        <v>86790567</v>
      </c>
      <c r="M52">
        <v>86790567</v>
      </c>
    </row>
    <row r="53" spans="1:13" x14ac:dyDescent="0.45">
      <c r="A53" s="50" t="s">
        <v>238</v>
      </c>
      <c r="B53" s="25">
        <v>4273731</v>
      </c>
      <c r="C53" s="25">
        <v>4394844</v>
      </c>
      <c r="D53" s="25">
        <v>4510198</v>
      </c>
      <c r="E53" s="25">
        <v>4622761</v>
      </c>
      <c r="F53" s="25">
        <v>4736974</v>
      </c>
      <c r="G53" s="25">
        <v>4856095</v>
      </c>
      <c r="H53" s="25">
        <v>4980999</v>
      </c>
      <c r="I53" s="25">
        <v>5110702</v>
      </c>
      <c r="J53" s="25">
        <v>5244363</v>
      </c>
      <c r="K53" s="25">
        <v>5380508</v>
      </c>
      <c r="L53" s="25">
        <v>5380508</v>
      </c>
      <c r="M53">
        <v>5380508</v>
      </c>
    </row>
    <row r="54" spans="1:13" x14ac:dyDescent="0.45">
      <c r="A54" s="50" t="s">
        <v>239</v>
      </c>
      <c r="B54" s="25">
        <v>4577378</v>
      </c>
      <c r="C54" s="25">
        <v>4633086</v>
      </c>
      <c r="D54" s="25">
        <v>4688000</v>
      </c>
      <c r="E54" s="25">
        <v>4742107</v>
      </c>
      <c r="F54" s="25">
        <v>4795396</v>
      </c>
      <c r="G54" s="25">
        <v>4847804</v>
      </c>
      <c r="H54" s="25">
        <v>4899345</v>
      </c>
      <c r="I54" s="25">
        <v>4949954</v>
      </c>
      <c r="J54" s="25">
        <v>4999441</v>
      </c>
      <c r="K54" s="25">
        <v>5047561</v>
      </c>
      <c r="L54" s="25">
        <v>5047561</v>
      </c>
      <c r="M54">
        <v>5047561</v>
      </c>
    </row>
    <row r="55" spans="1:13" x14ac:dyDescent="0.45">
      <c r="A55" s="50" t="s">
        <v>240</v>
      </c>
      <c r="B55" s="25">
        <v>20532950</v>
      </c>
      <c r="C55" s="25">
        <v>21028655</v>
      </c>
      <c r="D55" s="25">
        <v>21547188</v>
      </c>
      <c r="E55" s="25">
        <v>22087505</v>
      </c>
      <c r="F55" s="25">
        <v>22647683</v>
      </c>
      <c r="G55" s="25">
        <v>23226143</v>
      </c>
      <c r="H55" s="25">
        <v>23822714</v>
      </c>
      <c r="I55" s="25">
        <v>24437469</v>
      </c>
      <c r="J55" s="25">
        <v>25069229</v>
      </c>
      <c r="K55" s="25">
        <v>25716544</v>
      </c>
      <c r="L55" s="25">
        <v>25716544</v>
      </c>
      <c r="M55">
        <v>25716544</v>
      </c>
    </row>
    <row r="56" spans="1:13" x14ac:dyDescent="0.45">
      <c r="A56" s="50" t="s">
        <v>161</v>
      </c>
      <c r="B56" s="25">
        <v>4295427</v>
      </c>
      <c r="C56" s="25">
        <v>4280622</v>
      </c>
      <c r="D56" s="25">
        <v>4267558</v>
      </c>
      <c r="E56" s="25">
        <v>4255689</v>
      </c>
      <c r="F56" s="25">
        <v>4238389</v>
      </c>
      <c r="G56" s="25">
        <v>4203604</v>
      </c>
      <c r="H56" s="25">
        <v>4174349</v>
      </c>
      <c r="I56" s="25">
        <v>4124531</v>
      </c>
      <c r="J56" s="25">
        <v>4087843</v>
      </c>
      <c r="K56" s="25">
        <v>4065253</v>
      </c>
      <c r="L56" s="25">
        <v>4065253</v>
      </c>
      <c r="M56">
        <v>4065253</v>
      </c>
    </row>
    <row r="57" spans="1:13" x14ac:dyDescent="0.45">
      <c r="A57" s="50" t="s">
        <v>241</v>
      </c>
      <c r="B57" s="25">
        <v>11225832</v>
      </c>
      <c r="C57" s="25">
        <v>11236670</v>
      </c>
      <c r="D57" s="25">
        <v>11257101</v>
      </c>
      <c r="E57" s="25">
        <v>11282720</v>
      </c>
      <c r="F57" s="25">
        <v>11306902</v>
      </c>
      <c r="G57" s="25">
        <v>11324781</v>
      </c>
      <c r="H57" s="25">
        <v>11335109</v>
      </c>
      <c r="I57" s="25">
        <v>11339259</v>
      </c>
      <c r="J57" s="25">
        <v>11338138</v>
      </c>
      <c r="K57" s="25">
        <v>11333483</v>
      </c>
      <c r="L57" s="25">
        <v>11333483</v>
      </c>
      <c r="M57">
        <v>11333483</v>
      </c>
    </row>
    <row r="58" spans="1:13" x14ac:dyDescent="0.45">
      <c r="A58" s="50" t="s">
        <v>242</v>
      </c>
      <c r="B58" s="25">
        <v>148703</v>
      </c>
      <c r="C58" s="25">
        <v>150831</v>
      </c>
      <c r="D58" s="25">
        <v>152088</v>
      </c>
      <c r="E58" s="25">
        <v>153822</v>
      </c>
      <c r="F58" s="25">
        <v>155909</v>
      </c>
      <c r="G58" s="25">
        <v>157980</v>
      </c>
      <c r="H58" s="25">
        <v>159664</v>
      </c>
      <c r="I58" s="25">
        <v>160175</v>
      </c>
      <c r="J58" s="25">
        <v>159336</v>
      </c>
      <c r="K58" s="25">
        <v>157441</v>
      </c>
      <c r="L58" s="25">
        <v>157441</v>
      </c>
      <c r="M58">
        <v>157441</v>
      </c>
    </row>
    <row r="59" spans="1:13" x14ac:dyDescent="0.45">
      <c r="A59" s="50" t="s">
        <v>243</v>
      </c>
      <c r="B59" s="25">
        <v>1112612</v>
      </c>
      <c r="C59" s="25">
        <v>1124833</v>
      </c>
      <c r="D59" s="25">
        <v>1135046</v>
      </c>
      <c r="E59" s="25">
        <v>1143866</v>
      </c>
      <c r="F59" s="25">
        <v>1152285</v>
      </c>
      <c r="G59" s="25">
        <v>1160985</v>
      </c>
      <c r="H59" s="25">
        <v>1170187</v>
      </c>
      <c r="I59" s="25">
        <v>1179680</v>
      </c>
      <c r="J59" s="25">
        <v>1189265</v>
      </c>
      <c r="K59" s="25">
        <v>1198575</v>
      </c>
      <c r="L59" s="25">
        <v>1198575</v>
      </c>
      <c r="M59">
        <v>1198575</v>
      </c>
    </row>
    <row r="60" spans="1:13" x14ac:dyDescent="0.45">
      <c r="A60" s="50" t="s">
        <v>153</v>
      </c>
      <c r="B60" s="25">
        <v>10474410</v>
      </c>
      <c r="C60" s="25">
        <v>10496088</v>
      </c>
      <c r="D60" s="25">
        <v>10510785</v>
      </c>
      <c r="E60" s="25">
        <v>10514272</v>
      </c>
      <c r="F60" s="25">
        <v>10525347</v>
      </c>
      <c r="G60" s="25">
        <v>10546059</v>
      </c>
      <c r="H60" s="25">
        <v>10566332</v>
      </c>
      <c r="I60" s="25">
        <v>10594438</v>
      </c>
      <c r="J60" s="25">
        <v>10629928</v>
      </c>
      <c r="K60" s="25">
        <v>10671870</v>
      </c>
      <c r="L60" s="25">
        <v>10671870</v>
      </c>
      <c r="M60">
        <v>10671870</v>
      </c>
    </row>
    <row r="61" spans="1:13" x14ac:dyDescent="0.45">
      <c r="A61" s="50" t="s">
        <v>168</v>
      </c>
      <c r="B61" s="25">
        <v>5547683</v>
      </c>
      <c r="C61" s="25">
        <v>5570572</v>
      </c>
      <c r="D61" s="25">
        <v>5591572</v>
      </c>
      <c r="E61" s="25">
        <v>5614932</v>
      </c>
      <c r="F61" s="25">
        <v>5643475</v>
      </c>
      <c r="G61" s="25">
        <v>5683483</v>
      </c>
      <c r="H61" s="25">
        <v>5728010</v>
      </c>
      <c r="I61" s="25">
        <v>5764980</v>
      </c>
      <c r="J61" s="25">
        <v>5793636</v>
      </c>
      <c r="K61" s="25">
        <v>5814422</v>
      </c>
      <c r="L61" s="25">
        <v>5814422</v>
      </c>
      <c r="M61">
        <v>5814422</v>
      </c>
    </row>
    <row r="62" spans="1:13" x14ac:dyDescent="0.45">
      <c r="A62" s="50" t="s">
        <v>244</v>
      </c>
      <c r="B62" s="25">
        <v>840198</v>
      </c>
      <c r="C62" s="25">
        <v>853674</v>
      </c>
      <c r="D62" s="25">
        <v>868136</v>
      </c>
      <c r="E62" s="25">
        <v>883293</v>
      </c>
      <c r="F62" s="25">
        <v>898696</v>
      </c>
      <c r="G62" s="25">
        <v>913993</v>
      </c>
      <c r="H62" s="25">
        <v>929112</v>
      </c>
      <c r="I62" s="25">
        <v>944097</v>
      </c>
      <c r="J62" s="25">
        <v>958920</v>
      </c>
      <c r="K62" s="25">
        <v>973560</v>
      </c>
      <c r="L62" s="25">
        <v>973560</v>
      </c>
      <c r="M62">
        <v>973560</v>
      </c>
    </row>
    <row r="63" spans="1:13" x14ac:dyDescent="0.45">
      <c r="A63" s="50" t="s">
        <v>245</v>
      </c>
      <c r="B63" s="25">
        <v>70878</v>
      </c>
      <c r="C63" s="25">
        <v>70916</v>
      </c>
      <c r="D63" s="25">
        <v>70965</v>
      </c>
      <c r="E63" s="25">
        <v>71016</v>
      </c>
      <c r="F63" s="25">
        <v>71085</v>
      </c>
      <c r="G63" s="25">
        <v>71183</v>
      </c>
      <c r="H63" s="25">
        <v>71307</v>
      </c>
      <c r="I63" s="25">
        <v>71458</v>
      </c>
      <c r="J63" s="25">
        <v>71625</v>
      </c>
      <c r="K63" s="25">
        <v>71808</v>
      </c>
      <c r="L63" s="25">
        <v>71808</v>
      </c>
      <c r="M63">
        <v>71808</v>
      </c>
    </row>
    <row r="64" spans="1:13" x14ac:dyDescent="0.45">
      <c r="A64" s="50" t="s">
        <v>246</v>
      </c>
      <c r="B64" s="25">
        <v>9695121</v>
      </c>
      <c r="C64" s="25">
        <v>9813210</v>
      </c>
      <c r="D64" s="25">
        <v>9930911</v>
      </c>
      <c r="E64" s="25">
        <v>10048224</v>
      </c>
      <c r="F64" s="25">
        <v>10165178</v>
      </c>
      <c r="G64" s="25">
        <v>10281680</v>
      </c>
      <c r="H64" s="25">
        <v>10397743</v>
      </c>
      <c r="I64" s="25">
        <v>10513131</v>
      </c>
      <c r="J64" s="25">
        <v>10627165</v>
      </c>
      <c r="K64" s="25">
        <v>10738958</v>
      </c>
      <c r="L64" s="25">
        <v>10738958</v>
      </c>
      <c r="M64">
        <v>10738958</v>
      </c>
    </row>
    <row r="65" spans="1:13" x14ac:dyDescent="0.45">
      <c r="A65" s="50" t="s">
        <v>247</v>
      </c>
      <c r="B65" s="25">
        <v>2907916911</v>
      </c>
      <c r="C65" s="25">
        <v>2951428633</v>
      </c>
      <c r="D65" s="25">
        <v>2994362709</v>
      </c>
      <c r="E65" s="25">
        <v>3037108979</v>
      </c>
      <c r="F65" s="25">
        <v>3079706744</v>
      </c>
      <c r="G65" s="25">
        <v>3122156907</v>
      </c>
      <c r="H65" s="25">
        <v>3164390907</v>
      </c>
      <c r="I65" s="25">
        <v>3206370328</v>
      </c>
      <c r="J65" s="25">
        <v>3248252342</v>
      </c>
      <c r="K65" s="25">
        <v>3290291010</v>
      </c>
      <c r="L65" s="25">
        <v>3290291010</v>
      </c>
      <c r="M65">
        <v>3290291010</v>
      </c>
    </row>
    <row r="66" spans="1:13" x14ac:dyDescent="0.45">
      <c r="A66" s="50" t="s">
        <v>248</v>
      </c>
      <c r="B66" s="25">
        <v>2206884624</v>
      </c>
      <c r="C66" s="25">
        <v>2221673110</v>
      </c>
      <c r="D66" s="25">
        <v>2236819053</v>
      </c>
      <c r="E66" s="25">
        <v>2252046977</v>
      </c>
      <c r="F66" s="25">
        <v>2267489099</v>
      </c>
      <c r="G66" s="25">
        <v>2282869531</v>
      </c>
      <c r="H66" s="25">
        <v>2298507042</v>
      </c>
      <c r="I66" s="25">
        <v>2314117413</v>
      </c>
      <c r="J66" s="25">
        <v>2328197666</v>
      </c>
      <c r="K66" s="25">
        <v>2340692030</v>
      </c>
      <c r="L66" s="25">
        <v>2340692030</v>
      </c>
      <c r="M66">
        <v>2340692030</v>
      </c>
    </row>
    <row r="67" spans="1:13" x14ac:dyDescent="0.45">
      <c r="A67" s="50" t="s">
        <v>249</v>
      </c>
      <c r="B67" s="25">
        <v>1941377349</v>
      </c>
      <c r="C67" s="25">
        <v>1955334267</v>
      </c>
      <c r="D67" s="25">
        <v>1969562739</v>
      </c>
      <c r="E67" s="25">
        <v>1983964453</v>
      </c>
      <c r="F67" s="25">
        <v>1998513398</v>
      </c>
      <c r="G67" s="25">
        <v>2012980531</v>
      </c>
      <c r="H67" s="25">
        <v>2027771091</v>
      </c>
      <c r="I67" s="25">
        <v>2042687863</v>
      </c>
      <c r="J67" s="25">
        <v>2056064424</v>
      </c>
      <c r="K67" s="25">
        <v>2067984156</v>
      </c>
      <c r="L67" s="25">
        <v>2067984156</v>
      </c>
      <c r="M67">
        <v>2067984156</v>
      </c>
    </row>
    <row r="68" spans="1:13" x14ac:dyDescent="0.45">
      <c r="A68" s="50" t="s">
        <v>250</v>
      </c>
      <c r="B68" s="25">
        <v>1965954304</v>
      </c>
      <c r="C68" s="25">
        <v>1980035609</v>
      </c>
      <c r="D68" s="25">
        <v>1994391099</v>
      </c>
      <c r="E68" s="25">
        <v>2008921191</v>
      </c>
      <c r="F68" s="25">
        <v>2023597462</v>
      </c>
      <c r="G68" s="25">
        <v>2038190036</v>
      </c>
      <c r="H68" s="25">
        <v>2053103802</v>
      </c>
      <c r="I68" s="25">
        <v>2068142784</v>
      </c>
      <c r="J68" s="25">
        <v>2081639097</v>
      </c>
      <c r="K68" s="25">
        <v>2093675040</v>
      </c>
      <c r="L68" s="25">
        <v>2093675040</v>
      </c>
      <c r="M68">
        <v>2093675040</v>
      </c>
    </row>
    <row r="69" spans="1:13" x14ac:dyDescent="0.45">
      <c r="A69" s="50" t="s">
        <v>251</v>
      </c>
      <c r="B69" s="25">
        <v>15011117</v>
      </c>
      <c r="C69" s="25">
        <v>15243883</v>
      </c>
      <c r="D69" s="25">
        <v>15474102</v>
      </c>
      <c r="E69" s="25">
        <v>15707474</v>
      </c>
      <c r="F69" s="25">
        <v>15951838</v>
      </c>
      <c r="G69" s="25">
        <v>16212020</v>
      </c>
      <c r="H69" s="25">
        <v>16491115</v>
      </c>
      <c r="I69" s="25">
        <v>16785361</v>
      </c>
      <c r="J69" s="25">
        <v>17084357</v>
      </c>
      <c r="K69" s="25">
        <v>17373662</v>
      </c>
      <c r="L69" s="25">
        <v>17373662</v>
      </c>
      <c r="M69">
        <v>17373662</v>
      </c>
    </row>
    <row r="70" spans="1:13" x14ac:dyDescent="0.45">
      <c r="A70" s="50" t="s">
        <v>252</v>
      </c>
      <c r="B70" s="25">
        <v>82761235</v>
      </c>
      <c r="C70" s="25">
        <v>84529250</v>
      </c>
      <c r="D70" s="25">
        <v>86422240</v>
      </c>
      <c r="E70" s="25">
        <v>88404640</v>
      </c>
      <c r="F70" s="25">
        <v>90424654</v>
      </c>
      <c r="G70" s="25">
        <v>92442547</v>
      </c>
      <c r="H70" s="25">
        <v>94447072</v>
      </c>
      <c r="I70" s="25">
        <v>96442593</v>
      </c>
      <c r="J70" s="25">
        <v>98423595</v>
      </c>
      <c r="K70" s="25">
        <v>100388073</v>
      </c>
      <c r="L70" s="25">
        <v>100388073</v>
      </c>
      <c r="M70">
        <v>100388073</v>
      </c>
    </row>
    <row r="71" spans="1:13" x14ac:dyDescent="0.45">
      <c r="A71" s="50" t="s">
        <v>253</v>
      </c>
      <c r="B71" s="25">
        <v>6183875</v>
      </c>
      <c r="C71" s="25">
        <v>6210568</v>
      </c>
      <c r="D71" s="25">
        <v>6237923</v>
      </c>
      <c r="E71" s="25">
        <v>6266070</v>
      </c>
      <c r="F71" s="25">
        <v>6295128</v>
      </c>
      <c r="G71" s="25">
        <v>6325124</v>
      </c>
      <c r="H71" s="25">
        <v>6356143</v>
      </c>
      <c r="I71" s="25">
        <v>6388122</v>
      </c>
      <c r="J71" s="25">
        <v>6420744</v>
      </c>
      <c r="K71" s="25">
        <v>6453553</v>
      </c>
      <c r="L71" s="25">
        <v>6453553</v>
      </c>
      <c r="M71">
        <v>6453553</v>
      </c>
    </row>
    <row r="72" spans="1:13" x14ac:dyDescent="0.45">
      <c r="A72" s="50" t="s">
        <v>254</v>
      </c>
      <c r="B72" s="25">
        <v>943639</v>
      </c>
      <c r="C72" s="25">
        <v>986853</v>
      </c>
      <c r="D72" s="25">
        <v>1031191</v>
      </c>
      <c r="E72" s="25">
        <v>1076413</v>
      </c>
      <c r="F72" s="25">
        <v>1122276</v>
      </c>
      <c r="G72" s="25">
        <v>1168568</v>
      </c>
      <c r="H72" s="25">
        <v>1215179</v>
      </c>
      <c r="I72" s="25">
        <v>1262001</v>
      </c>
      <c r="J72" s="25">
        <v>1308974</v>
      </c>
      <c r="K72" s="25">
        <v>1355986</v>
      </c>
      <c r="L72" s="25">
        <v>1355986</v>
      </c>
      <c r="M72">
        <v>1355986</v>
      </c>
    </row>
    <row r="73" spans="1:13" x14ac:dyDescent="0.45">
      <c r="A73" s="50" t="s">
        <v>255</v>
      </c>
      <c r="B73" s="25">
        <v>3170435</v>
      </c>
      <c r="C73" s="25">
        <v>3213972</v>
      </c>
      <c r="D73" s="25">
        <v>3213972</v>
      </c>
      <c r="E73" s="25">
        <v>3213972</v>
      </c>
      <c r="F73" s="25">
        <v>3213972</v>
      </c>
      <c r="G73" s="25">
        <v>3213972</v>
      </c>
      <c r="H73" s="25">
        <v>3213972</v>
      </c>
      <c r="I73" s="25">
        <v>3213972</v>
      </c>
      <c r="J73" s="25">
        <v>3213972</v>
      </c>
      <c r="K73" s="25">
        <v>3213972</v>
      </c>
      <c r="L73" s="25">
        <v>3213972</v>
      </c>
      <c r="M73">
        <v>3213972</v>
      </c>
    </row>
    <row r="74" spans="1:13" x14ac:dyDescent="0.45">
      <c r="A74" s="50" t="s">
        <v>175</v>
      </c>
      <c r="B74" s="25">
        <v>1331475</v>
      </c>
      <c r="C74" s="25">
        <v>1327439</v>
      </c>
      <c r="D74" s="25">
        <v>1322696</v>
      </c>
      <c r="E74" s="25">
        <v>1317997</v>
      </c>
      <c r="F74" s="25">
        <v>1314545</v>
      </c>
      <c r="G74" s="25">
        <v>1315407</v>
      </c>
      <c r="H74" s="25">
        <v>1315790</v>
      </c>
      <c r="I74" s="25">
        <v>1317384</v>
      </c>
      <c r="J74" s="25">
        <v>1321977</v>
      </c>
      <c r="K74" s="25">
        <v>1326898</v>
      </c>
      <c r="L74" s="25">
        <v>1326898</v>
      </c>
      <c r="M74">
        <v>1326898</v>
      </c>
    </row>
    <row r="75" spans="1:13" x14ac:dyDescent="0.45">
      <c r="A75" s="50" t="s">
        <v>256</v>
      </c>
      <c r="B75" s="25">
        <v>1064837</v>
      </c>
      <c r="C75" s="25">
        <v>1072032</v>
      </c>
      <c r="D75" s="25">
        <v>1079288</v>
      </c>
      <c r="E75" s="25">
        <v>1086839</v>
      </c>
      <c r="F75" s="25">
        <v>1095021</v>
      </c>
      <c r="G75" s="25">
        <v>1104044</v>
      </c>
      <c r="H75" s="25">
        <v>1113984</v>
      </c>
      <c r="I75" s="25">
        <v>1124753</v>
      </c>
      <c r="J75" s="25">
        <v>1136191</v>
      </c>
      <c r="K75" s="25">
        <v>1148130</v>
      </c>
      <c r="L75" s="25">
        <v>1148130</v>
      </c>
      <c r="M75">
        <v>1148130</v>
      </c>
    </row>
    <row r="76" spans="1:13" x14ac:dyDescent="0.45">
      <c r="A76" s="50" t="s">
        <v>257</v>
      </c>
      <c r="B76" s="25">
        <v>87639964</v>
      </c>
      <c r="C76" s="25">
        <v>90139927</v>
      </c>
      <c r="D76" s="25">
        <v>92726971</v>
      </c>
      <c r="E76" s="25">
        <v>95385785</v>
      </c>
      <c r="F76" s="25">
        <v>98094253</v>
      </c>
      <c r="G76" s="25">
        <v>100835458</v>
      </c>
      <c r="H76" s="25">
        <v>103603501</v>
      </c>
      <c r="I76" s="25">
        <v>106400024</v>
      </c>
      <c r="J76" s="25">
        <v>109224559</v>
      </c>
      <c r="K76" s="25">
        <v>112078730</v>
      </c>
      <c r="L76" s="25">
        <v>112078730</v>
      </c>
      <c r="M76">
        <v>112078730</v>
      </c>
    </row>
    <row r="77" spans="1:13" x14ac:dyDescent="0.45">
      <c r="A77" s="50" t="s">
        <v>258</v>
      </c>
      <c r="B77" s="25">
        <v>336151479</v>
      </c>
      <c r="C77" s="25">
        <v>335419643</v>
      </c>
      <c r="D77" s="25">
        <v>336159194</v>
      </c>
      <c r="E77" s="25">
        <v>337302113</v>
      </c>
      <c r="F77" s="25">
        <v>338462222</v>
      </c>
      <c r="G77" s="25">
        <v>339488380</v>
      </c>
      <c r="H77" s="25">
        <v>340481753</v>
      </c>
      <c r="I77" s="25">
        <v>341163597</v>
      </c>
      <c r="J77" s="25">
        <v>341843156</v>
      </c>
      <c r="K77" s="25">
        <v>342671033</v>
      </c>
      <c r="L77" s="25">
        <v>342671033</v>
      </c>
      <c r="M77">
        <v>342671033</v>
      </c>
    </row>
    <row r="78" spans="1:13" x14ac:dyDescent="0.45">
      <c r="A78" s="50" t="s">
        <v>259</v>
      </c>
      <c r="B78" s="25">
        <v>887926820</v>
      </c>
      <c r="C78" s="25">
        <v>890162707</v>
      </c>
      <c r="D78" s="25">
        <v>893788643</v>
      </c>
      <c r="E78" s="25">
        <v>898060417</v>
      </c>
      <c r="F78" s="25">
        <v>902406816</v>
      </c>
      <c r="G78" s="25">
        <v>906707416</v>
      </c>
      <c r="H78" s="25">
        <v>910904758</v>
      </c>
      <c r="I78" s="25">
        <v>914585460</v>
      </c>
      <c r="J78" s="25">
        <v>917924736</v>
      </c>
      <c r="K78" s="25">
        <v>921192974</v>
      </c>
      <c r="L78" s="25">
        <v>921192974</v>
      </c>
      <c r="M78">
        <v>921192974</v>
      </c>
    </row>
    <row r="79" spans="1:13" x14ac:dyDescent="0.45">
      <c r="A79" s="50" t="s">
        <v>260</v>
      </c>
      <c r="B79" s="25">
        <v>440420861</v>
      </c>
      <c r="C79" s="25">
        <v>442656488</v>
      </c>
      <c r="D79" s="25">
        <v>444898524</v>
      </c>
      <c r="E79" s="25">
        <v>447368357</v>
      </c>
      <c r="F79" s="25">
        <v>449819913</v>
      </c>
      <c r="G79" s="25">
        <v>452301305</v>
      </c>
      <c r="H79" s="25">
        <v>454717187</v>
      </c>
      <c r="I79" s="25">
        <v>456976355</v>
      </c>
      <c r="J79" s="25">
        <v>458972361</v>
      </c>
      <c r="K79" s="25">
        <v>460786185</v>
      </c>
      <c r="L79" s="25">
        <v>460786185</v>
      </c>
      <c r="M79">
        <v>460786185</v>
      </c>
    </row>
    <row r="80" spans="1:13" x14ac:dyDescent="0.45">
      <c r="A80" s="50" t="s">
        <v>261</v>
      </c>
      <c r="B80" s="25">
        <v>377835769</v>
      </c>
      <c r="C80" s="25">
        <v>380165083</v>
      </c>
      <c r="D80" s="25">
        <v>382509767</v>
      </c>
      <c r="E80" s="25">
        <v>385088779</v>
      </c>
      <c r="F80" s="25">
        <v>387660810</v>
      </c>
      <c r="G80" s="25">
        <v>390295673</v>
      </c>
      <c r="H80" s="25">
        <v>392870484</v>
      </c>
      <c r="I80" s="25">
        <v>395289708</v>
      </c>
      <c r="J80" s="25">
        <v>397437223</v>
      </c>
      <c r="K80" s="25">
        <v>399389236</v>
      </c>
      <c r="L80" s="25">
        <v>399389236</v>
      </c>
      <c r="M80">
        <v>399389236</v>
      </c>
    </row>
    <row r="81" spans="1:13" x14ac:dyDescent="0.45">
      <c r="A81" s="50" t="s">
        <v>262</v>
      </c>
      <c r="B81" s="25">
        <v>441532412</v>
      </c>
      <c r="C81" s="25">
        <v>440746976</v>
      </c>
      <c r="D81" s="25">
        <v>441395932</v>
      </c>
      <c r="E81" s="25">
        <v>442469471</v>
      </c>
      <c r="F81" s="25">
        <v>443576663</v>
      </c>
      <c r="G81" s="25">
        <v>444543759</v>
      </c>
      <c r="H81" s="25">
        <v>445487728</v>
      </c>
      <c r="I81" s="25">
        <v>446131273</v>
      </c>
      <c r="J81" s="25">
        <v>446777673</v>
      </c>
      <c r="K81" s="25">
        <v>447580063</v>
      </c>
      <c r="L81" s="25">
        <v>447580063</v>
      </c>
      <c r="M81">
        <v>447580063</v>
      </c>
    </row>
    <row r="82" spans="1:13" x14ac:dyDescent="0.45">
      <c r="A82" s="50" t="s">
        <v>263</v>
      </c>
      <c r="B82" s="25">
        <v>47814</v>
      </c>
      <c r="C82" s="25">
        <v>47823</v>
      </c>
      <c r="D82" s="25">
        <v>47843</v>
      </c>
      <c r="E82" s="25">
        <v>47892</v>
      </c>
      <c r="F82" s="25">
        <v>47960</v>
      </c>
      <c r="G82" s="25">
        <v>48051</v>
      </c>
      <c r="H82" s="25">
        <v>48173</v>
      </c>
      <c r="I82" s="25">
        <v>48331</v>
      </c>
      <c r="J82" s="25">
        <v>48497</v>
      </c>
      <c r="K82" s="25">
        <v>48678</v>
      </c>
      <c r="L82" s="25">
        <v>48678</v>
      </c>
      <c r="M82">
        <v>48678</v>
      </c>
    </row>
    <row r="83" spans="1:13" x14ac:dyDescent="0.45">
      <c r="A83" s="50" t="s">
        <v>264</v>
      </c>
      <c r="B83" s="25">
        <v>859818</v>
      </c>
      <c r="C83" s="25">
        <v>863449</v>
      </c>
      <c r="D83" s="25">
        <v>865069</v>
      </c>
      <c r="E83" s="25">
        <v>865608</v>
      </c>
      <c r="F83" s="25">
        <v>866453</v>
      </c>
      <c r="G83" s="25">
        <v>868627</v>
      </c>
      <c r="H83" s="25">
        <v>872399</v>
      </c>
      <c r="I83" s="25">
        <v>877459</v>
      </c>
      <c r="J83" s="25">
        <v>883483</v>
      </c>
      <c r="K83" s="25">
        <v>889953</v>
      </c>
      <c r="L83" s="25">
        <v>889953</v>
      </c>
      <c r="M83">
        <v>889953</v>
      </c>
    </row>
    <row r="84" spans="1:13" x14ac:dyDescent="0.45">
      <c r="A84" s="50" t="s">
        <v>167</v>
      </c>
      <c r="B84" s="25">
        <v>5363352</v>
      </c>
      <c r="C84" s="25">
        <v>5388272</v>
      </c>
      <c r="D84" s="25">
        <v>5413971</v>
      </c>
      <c r="E84" s="25">
        <v>5438972</v>
      </c>
      <c r="F84" s="25">
        <v>5461512</v>
      </c>
      <c r="G84" s="25">
        <v>5479531</v>
      </c>
      <c r="H84" s="25">
        <v>5495303</v>
      </c>
      <c r="I84" s="25">
        <v>5508214</v>
      </c>
      <c r="J84" s="25">
        <v>5515525</v>
      </c>
      <c r="K84" s="25">
        <v>5521606</v>
      </c>
      <c r="L84" s="25">
        <v>5521606</v>
      </c>
      <c r="M84">
        <v>5521606</v>
      </c>
    </row>
    <row r="85" spans="1:13" x14ac:dyDescent="0.45">
      <c r="A85" s="50" t="s">
        <v>265</v>
      </c>
      <c r="B85" s="25">
        <v>647810261</v>
      </c>
      <c r="C85" s="25">
        <v>663884474</v>
      </c>
      <c r="D85" s="25">
        <v>680326998</v>
      </c>
      <c r="E85" s="25">
        <v>697006260</v>
      </c>
      <c r="F85" s="25">
        <v>713739741</v>
      </c>
      <c r="G85" s="25">
        <v>730424930</v>
      </c>
      <c r="H85" s="25">
        <v>747004599</v>
      </c>
      <c r="I85" s="25">
        <v>763578047</v>
      </c>
      <c r="J85" s="25">
        <v>780467640</v>
      </c>
      <c r="K85" s="25">
        <v>798133217</v>
      </c>
      <c r="L85" s="25">
        <v>798133217</v>
      </c>
      <c r="M85">
        <v>798133217</v>
      </c>
    </row>
    <row r="86" spans="1:13" x14ac:dyDescent="0.45">
      <c r="A86" s="50" t="s">
        <v>170</v>
      </c>
      <c r="B86" s="25">
        <v>65027507</v>
      </c>
      <c r="C86" s="25">
        <v>65342780</v>
      </c>
      <c r="D86" s="25">
        <v>65659809</v>
      </c>
      <c r="E86" s="25">
        <v>65998687</v>
      </c>
      <c r="F86" s="25">
        <v>66312067</v>
      </c>
      <c r="G86" s="25">
        <v>66548272</v>
      </c>
      <c r="H86" s="25">
        <v>66724104</v>
      </c>
      <c r="I86" s="25">
        <v>66864379</v>
      </c>
      <c r="J86" s="25">
        <v>66965912</v>
      </c>
      <c r="K86" s="25">
        <v>67055854</v>
      </c>
      <c r="L86" s="25">
        <v>67055854</v>
      </c>
      <c r="M86">
        <v>67055854</v>
      </c>
    </row>
    <row r="87" spans="1:13" x14ac:dyDescent="0.45">
      <c r="A87" s="50" t="s">
        <v>266</v>
      </c>
      <c r="B87" s="25">
        <v>266455</v>
      </c>
      <c r="C87" s="25">
        <v>267698</v>
      </c>
      <c r="D87" s="25">
        <v>268998</v>
      </c>
      <c r="E87" s="25">
        <v>270328</v>
      </c>
      <c r="F87" s="25">
        <v>271705</v>
      </c>
      <c r="G87" s="25">
        <v>273124</v>
      </c>
      <c r="H87" s="25">
        <v>274575</v>
      </c>
      <c r="I87" s="25">
        <v>276103</v>
      </c>
      <c r="J87" s="25">
        <v>277679</v>
      </c>
      <c r="K87" s="25">
        <v>279287</v>
      </c>
      <c r="L87" s="25">
        <v>279287</v>
      </c>
      <c r="M87">
        <v>279287</v>
      </c>
    </row>
    <row r="88" spans="1:13" x14ac:dyDescent="0.45">
      <c r="A88" s="50" t="s">
        <v>267</v>
      </c>
      <c r="B88" s="25">
        <v>1624140</v>
      </c>
      <c r="C88" s="25">
        <v>1684635</v>
      </c>
      <c r="D88" s="25">
        <v>1749682</v>
      </c>
      <c r="E88" s="25">
        <v>1817071</v>
      </c>
      <c r="F88" s="25">
        <v>1883800</v>
      </c>
      <c r="G88" s="25">
        <v>1947686</v>
      </c>
      <c r="H88" s="25">
        <v>2007873</v>
      </c>
      <c r="I88" s="25">
        <v>2064823</v>
      </c>
      <c r="J88" s="25">
        <v>2119275</v>
      </c>
      <c r="K88" s="25">
        <v>2172579</v>
      </c>
      <c r="L88" s="25">
        <v>2172579</v>
      </c>
      <c r="M88">
        <v>2172579</v>
      </c>
    </row>
    <row r="89" spans="1:13" x14ac:dyDescent="0.45">
      <c r="A89" s="50" t="s">
        <v>268</v>
      </c>
      <c r="B89" s="25">
        <v>1793196</v>
      </c>
      <c r="C89" s="25">
        <v>1848147</v>
      </c>
      <c r="D89" s="25">
        <v>1905011</v>
      </c>
      <c r="E89" s="25">
        <v>1963711</v>
      </c>
      <c r="F89" s="25">
        <v>2024042</v>
      </c>
      <c r="G89" s="25">
        <v>2085860</v>
      </c>
      <c r="H89" s="25">
        <v>2149139</v>
      </c>
      <c r="I89" s="25">
        <v>2213894</v>
      </c>
      <c r="J89" s="25">
        <v>2280102</v>
      </c>
      <c r="K89" s="25">
        <v>2347706</v>
      </c>
      <c r="L89" s="25">
        <v>2347706</v>
      </c>
      <c r="M89">
        <v>2347706</v>
      </c>
    </row>
    <row r="90" spans="1:13" x14ac:dyDescent="0.45">
      <c r="A90" s="50" t="s">
        <v>269</v>
      </c>
      <c r="B90" s="25">
        <v>3786695</v>
      </c>
      <c r="C90" s="25">
        <v>3756441</v>
      </c>
      <c r="D90" s="25">
        <v>3728874</v>
      </c>
      <c r="E90" s="25">
        <v>3717668</v>
      </c>
      <c r="F90" s="25">
        <v>3719414</v>
      </c>
      <c r="G90" s="25">
        <v>3725276</v>
      </c>
      <c r="H90" s="25">
        <v>3727505</v>
      </c>
      <c r="I90" s="25">
        <v>3728004</v>
      </c>
      <c r="J90" s="25">
        <v>3726549</v>
      </c>
      <c r="K90" s="25">
        <v>3720161</v>
      </c>
      <c r="L90" s="25">
        <v>3720161</v>
      </c>
      <c r="M90">
        <v>3720161</v>
      </c>
    </row>
    <row r="91" spans="1:13" x14ac:dyDescent="0.45">
      <c r="A91" s="50" t="s">
        <v>158</v>
      </c>
      <c r="B91" s="25">
        <v>81776930</v>
      </c>
      <c r="C91" s="25">
        <v>80274983</v>
      </c>
      <c r="D91" s="25">
        <v>80425823</v>
      </c>
      <c r="E91" s="25">
        <v>80645605</v>
      </c>
      <c r="F91" s="25">
        <v>80982500</v>
      </c>
      <c r="G91" s="25">
        <v>81686611</v>
      </c>
      <c r="H91" s="25">
        <v>82348669</v>
      </c>
      <c r="I91" s="25">
        <v>82657002</v>
      </c>
      <c r="J91" s="25">
        <v>82905782</v>
      </c>
      <c r="K91" s="25">
        <v>83092962</v>
      </c>
      <c r="L91" s="25">
        <v>83092962</v>
      </c>
      <c r="M91">
        <v>83092962</v>
      </c>
    </row>
    <row r="92" spans="1:13" x14ac:dyDescent="0.45">
      <c r="A92" s="50" t="s">
        <v>270</v>
      </c>
      <c r="B92" s="25">
        <v>24779619</v>
      </c>
      <c r="C92" s="25">
        <v>25387710</v>
      </c>
      <c r="D92" s="25">
        <v>25996449</v>
      </c>
      <c r="E92" s="25">
        <v>26607642</v>
      </c>
      <c r="F92" s="25">
        <v>27224472</v>
      </c>
      <c r="G92" s="25">
        <v>27849205</v>
      </c>
      <c r="H92" s="25">
        <v>28481946</v>
      </c>
      <c r="I92" s="25">
        <v>29121471</v>
      </c>
      <c r="J92" s="25">
        <v>29767108</v>
      </c>
      <c r="K92" s="25">
        <v>30417856</v>
      </c>
      <c r="L92" s="25">
        <v>30417856</v>
      </c>
      <c r="M92">
        <v>30417856</v>
      </c>
    </row>
    <row r="93" spans="1:13" x14ac:dyDescent="0.45">
      <c r="A93" s="50" t="s">
        <v>271</v>
      </c>
      <c r="B93" s="25">
        <v>33585</v>
      </c>
      <c r="C93" s="25">
        <v>33612</v>
      </c>
      <c r="D93" s="25">
        <v>33646</v>
      </c>
      <c r="E93" s="25">
        <v>33692</v>
      </c>
      <c r="F93" s="25">
        <v>33725</v>
      </c>
      <c r="G93" s="25">
        <v>33736</v>
      </c>
      <c r="H93" s="25">
        <v>33737</v>
      </c>
      <c r="I93" s="25">
        <v>33728</v>
      </c>
      <c r="J93" s="25">
        <v>33718</v>
      </c>
      <c r="K93" s="25">
        <v>33701</v>
      </c>
      <c r="L93" s="25">
        <v>33701</v>
      </c>
      <c r="M93">
        <v>33701</v>
      </c>
    </row>
    <row r="94" spans="1:13" x14ac:dyDescent="0.45">
      <c r="A94" s="50" t="s">
        <v>149</v>
      </c>
      <c r="B94" s="25">
        <v>11121341</v>
      </c>
      <c r="C94" s="25">
        <v>11104899</v>
      </c>
      <c r="D94" s="25">
        <v>11045011</v>
      </c>
      <c r="E94" s="25">
        <v>10965211</v>
      </c>
      <c r="F94" s="25">
        <v>10892413</v>
      </c>
      <c r="G94" s="25">
        <v>10820883</v>
      </c>
      <c r="H94" s="25">
        <v>10775971</v>
      </c>
      <c r="I94" s="25">
        <v>10754679</v>
      </c>
      <c r="J94" s="25">
        <v>10732882</v>
      </c>
      <c r="K94" s="25">
        <v>10717169</v>
      </c>
      <c r="L94" s="25">
        <v>10717169</v>
      </c>
      <c r="M94">
        <v>10717169</v>
      </c>
    </row>
    <row r="95" spans="1:13" x14ac:dyDescent="0.45">
      <c r="A95" s="50" t="s">
        <v>272</v>
      </c>
      <c r="B95" s="25">
        <v>56905</v>
      </c>
      <c r="C95" s="25">
        <v>56890</v>
      </c>
      <c r="D95" s="25">
        <v>56810</v>
      </c>
      <c r="E95" s="25">
        <v>56483</v>
      </c>
      <c r="F95" s="25">
        <v>56295</v>
      </c>
      <c r="G95" s="25">
        <v>56114</v>
      </c>
      <c r="H95" s="25">
        <v>56186</v>
      </c>
      <c r="I95" s="25">
        <v>56172</v>
      </c>
      <c r="J95" s="25">
        <v>56023</v>
      </c>
      <c r="K95" s="25">
        <v>56225</v>
      </c>
      <c r="L95" s="25">
        <v>56225</v>
      </c>
      <c r="M95">
        <v>56225</v>
      </c>
    </row>
    <row r="96" spans="1:13" x14ac:dyDescent="0.45">
      <c r="A96" s="50" t="s">
        <v>273</v>
      </c>
      <c r="B96" s="25">
        <v>106233</v>
      </c>
      <c r="C96" s="25">
        <v>106796</v>
      </c>
      <c r="D96" s="25">
        <v>107446</v>
      </c>
      <c r="E96" s="25">
        <v>108170</v>
      </c>
      <c r="F96" s="25">
        <v>108902</v>
      </c>
      <c r="G96" s="25">
        <v>109599</v>
      </c>
      <c r="H96" s="25">
        <v>110261</v>
      </c>
      <c r="I96" s="25">
        <v>110874</v>
      </c>
      <c r="J96" s="25">
        <v>111454</v>
      </c>
      <c r="K96" s="25">
        <v>112003</v>
      </c>
      <c r="L96" s="25">
        <v>112003</v>
      </c>
      <c r="M96">
        <v>112003</v>
      </c>
    </row>
    <row r="97" spans="1:13" x14ac:dyDescent="0.45">
      <c r="A97" s="50" t="s">
        <v>274</v>
      </c>
      <c r="B97" s="25">
        <v>159444</v>
      </c>
      <c r="C97" s="25">
        <v>159692</v>
      </c>
      <c r="D97" s="25">
        <v>159996</v>
      </c>
      <c r="E97" s="25">
        <v>160407</v>
      </c>
      <c r="F97" s="25">
        <v>161016</v>
      </c>
      <c r="G97" s="25">
        <v>161853</v>
      </c>
      <c r="H97" s="25">
        <v>162951</v>
      </c>
      <c r="I97" s="25">
        <v>164281</v>
      </c>
      <c r="J97" s="25">
        <v>165768</v>
      </c>
      <c r="K97" s="25">
        <v>167294</v>
      </c>
      <c r="L97" s="25">
        <v>167294</v>
      </c>
      <c r="M97">
        <v>167294</v>
      </c>
    </row>
    <row r="98" spans="1:13" x14ac:dyDescent="0.45">
      <c r="A98" s="50" t="s">
        <v>275</v>
      </c>
      <c r="B98" s="25">
        <v>14259687</v>
      </c>
      <c r="C98" s="25">
        <v>14521515</v>
      </c>
      <c r="D98" s="25">
        <v>14781942</v>
      </c>
      <c r="E98" s="25">
        <v>15043981</v>
      </c>
      <c r="F98" s="25">
        <v>15306316</v>
      </c>
      <c r="G98" s="25">
        <v>15567419</v>
      </c>
      <c r="H98" s="25">
        <v>15827690</v>
      </c>
      <c r="I98" s="25">
        <v>16087418</v>
      </c>
      <c r="J98" s="25">
        <v>16346950</v>
      </c>
      <c r="K98" s="25">
        <v>16604026</v>
      </c>
      <c r="L98" s="25">
        <v>16604026</v>
      </c>
      <c r="M98">
        <v>16604026</v>
      </c>
    </row>
    <row r="99" spans="1:13" x14ac:dyDescent="0.45">
      <c r="A99" s="50" t="s">
        <v>276</v>
      </c>
      <c r="B99" s="25">
        <v>10192176</v>
      </c>
      <c r="C99" s="25">
        <v>10420471</v>
      </c>
      <c r="D99" s="25">
        <v>10652029</v>
      </c>
      <c r="E99" s="25">
        <v>10892810</v>
      </c>
      <c r="F99" s="25">
        <v>11150977</v>
      </c>
      <c r="G99" s="25">
        <v>11432088</v>
      </c>
      <c r="H99" s="25">
        <v>11738441</v>
      </c>
      <c r="I99" s="25">
        <v>12067539</v>
      </c>
      <c r="J99" s="25">
        <v>12414318</v>
      </c>
      <c r="K99" s="25">
        <v>12771246</v>
      </c>
      <c r="L99" s="25">
        <v>12771246</v>
      </c>
      <c r="M99">
        <v>12771246</v>
      </c>
    </row>
    <row r="100" spans="1:13" x14ac:dyDescent="0.45">
      <c r="A100" s="50" t="s">
        <v>277</v>
      </c>
      <c r="B100" s="25">
        <v>1522599</v>
      </c>
      <c r="C100" s="25">
        <v>1562989</v>
      </c>
      <c r="D100" s="25">
        <v>1604979</v>
      </c>
      <c r="E100" s="25">
        <v>1648257</v>
      </c>
      <c r="F100" s="25">
        <v>1692439</v>
      </c>
      <c r="G100" s="25">
        <v>1737202</v>
      </c>
      <c r="H100" s="25">
        <v>1782437</v>
      </c>
      <c r="I100" s="25">
        <v>1828146</v>
      </c>
      <c r="J100" s="25">
        <v>1874309</v>
      </c>
      <c r="K100" s="25">
        <v>1920922</v>
      </c>
      <c r="L100" s="25">
        <v>1920922</v>
      </c>
      <c r="M100">
        <v>1920922</v>
      </c>
    </row>
    <row r="101" spans="1:13" x14ac:dyDescent="0.45">
      <c r="A101" s="50" t="s">
        <v>278</v>
      </c>
      <c r="B101" s="25">
        <v>749436</v>
      </c>
      <c r="C101" s="25">
        <v>752028</v>
      </c>
      <c r="D101" s="25">
        <v>755399</v>
      </c>
      <c r="E101" s="25">
        <v>759285</v>
      </c>
      <c r="F101" s="25">
        <v>763380</v>
      </c>
      <c r="G101" s="25">
        <v>767432</v>
      </c>
      <c r="H101" s="25">
        <v>771366</v>
      </c>
      <c r="I101" s="25">
        <v>775221</v>
      </c>
      <c r="J101" s="25">
        <v>779004</v>
      </c>
      <c r="K101" s="25">
        <v>782766</v>
      </c>
      <c r="L101" s="25">
        <v>782766</v>
      </c>
      <c r="M101">
        <v>782766</v>
      </c>
    </row>
    <row r="102" spans="1:13" x14ac:dyDescent="0.45">
      <c r="A102" s="50" t="s">
        <v>279</v>
      </c>
      <c r="B102" s="25">
        <v>9949322</v>
      </c>
      <c r="C102" s="25">
        <v>10100320</v>
      </c>
      <c r="D102" s="25">
        <v>10250930</v>
      </c>
      <c r="E102" s="25">
        <v>10400673</v>
      </c>
      <c r="F102" s="25">
        <v>10549008</v>
      </c>
      <c r="G102" s="25">
        <v>10695542</v>
      </c>
      <c r="H102" s="25">
        <v>10839970</v>
      </c>
      <c r="I102" s="25">
        <v>10982366</v>
      </c>
      <c r="J102" s="25">
        <v>11123176</v>
      </c>
      <c r="K102" s="25">
        <v>11263077</v>
      </c>
      <c r="L102" s="25">
        <v>11263077</v>
      </c>
      <c r="M102">
        <v>11263077</v>
      </c>
    </row>
    <row r="103" spans="1:13" x14ac:dyDescent="0.45">
      <c r="A103" s="50" t="s">
        <v>280</v>
      </c>
      <c r="B103" s="25">
        <v>624219326</v>
      </c>
      <c r="C103" s="25">
        <v>641921311</v>
      </c>
      <c r="D103" s="25">
        <v>660193774</v>
      </c>
      <c r="E103" s="25">
        <v>679012664</v>
      </c>
      <c r="F103" s="25">
        <v>698336451</v>
      </c>
      <c r="G103" s="25">
        <v>718128416</v>
      </c>
      <c r="H103" s="25">
        <v>738387254</v>
      </c>
      <c r="I103" s="25">
        <v>759106221</v>
      </c>
      <c r="J103" s="25">
        <v>780234406</v>
      </c>
      <c r="K103" s="25">
        <v>801708035</v>
      </c>
      <c r="L103" s="25">
        <v>801708035</v>
      </c>
      <c r="M103">
        <v>801708035</v>
      </c>
    </row>
    <row r="104" spans="1:13" x14ac:dyDescent="0.45">
      <c r="A104" s="50" t="s">
        <v>281</v>
      </c>
      <c r="B104" s="25">
        <v>1179329057</v>
      </c>
      <c r="C104" s="25">
        <v>1184722240</v>
      </c>
      <c r="D104" s="25">
        <v>1191504218</v>
      </c>
      <c r="E104" s="25">
        <v>1198364435</v>
      </c>
      <c r="F104" s="25">
        <v>1205411609</v>
      </c>
      <c r="G104" s="25">
        <v>1212266072</v>
      </c>
      <c r="H104" s="25">
        <v>1219073149</v>
      </c>
      <c r="I104" s="25">
        <v>1225052725</v>
      </c>
      <c r="J104" s="25">
        <v>1230582283</v>
      </c>
      <c r="K104" s="25">
        <v>1235991090</v>
      </c>
      <c r="L104" s="25">
        <v>1235991090</v>
      </c>
      <c r="M104">
        <v>1235991090</v>
      </c>
    </row>
    <row r="105" spans="1:13" x14ac:dyDescent="0.45">
      <c r="A105" s="50" t="s">
        <v>282</v>
      </c>
      <c r="B105" s="25">
        <v>8317470</v>
      </c>
      <c r="C105" s="25">
        <v>8480671</v>
      </c>
      <c r="D105" s="25">
        <v>8640691</v>
      </c>
      <c r="E105" s="25">
        <v>8798521</v>
      </c>
      <c r="F105" s="25">
        <v>8955589</v>
      </c>
      <c r="G105" s="25">
        <v>9112916</v>
      </c>
      <c r="H105" s="25">
        <v>9270795</v>
      </c>
      <c r="I105" s="25">
        <v>9429013</v>
      </c>
      <c r="J105" s="25">
        <v>9587522</v>
      </c>
      <c r="K105" s="25">
        <v>9746117</v>
      </c>
      <c r="L105" s="25">
        <v>9746117</v>
      </c>
      <c r="M105">
        <v>9746117</v>
      </c>
    </row>
    <row r="106" spans="1:13" x14ac:dyDescent="0.45">
      <c r="A106" s="50" t="s">
        <v>283</v>
      </c>
      <c r="B106" s="25">
        <v>7024200</v>
      </c>
      <c r="C106" s="25">
        <v>7071600</v>
      </c>
      <c r="D106" s="25">
        <v>7150100</v>
      </c>
      <c r="E106" s="25">
        <v>7178900</v>
      </c>
      <c r="F106" s="25">
        <v>7229500</v>
      </c>
      <c r="G106" s="25">
        <v>7291300</v>
      </c>
      <c r="H106" s="25">
        <v>7336600</v>
      </c>
      <c r="I106" s="25">
        <v>7391700</v>
      </c>
      <c r="J106" s="25">
        <v>7451000</v>
      </c>
      <c r="K106" s="25">
        <v>7507400</v>
      </c>
      <c r="L106" s="25">
        <v>7507400</v>
      </c>
      <c r="M106">
        <v>7507400</v>
      </c>
    </row>
    <row r="107" spans="1:13" x14ac:dyDescent="0.45">
      <c r="A107" s="50" t="s">
        <v>143</v>
      </c>
      <c r="B107" s="25">
        <v>10000023</v>
      </c>
      <c r="C107" s="25">
        <v>9971727</v>
      </c>
      <c r="D107" s="25">
        <v>9920362</v>
      </c>
      <c r="E107" s="25">
        <v>9893082</v>
      </c>
      <c r="F107" s="25">
        <v>9866468</v>
      </c>
      <c r="G107" s="25">
        <v>9843028</v>
      </c>
      <c r="H107" s="25">
        <v>9814023</v>
      </c>
      <c r="I107" s="25">
        <v>9787966</v>
      </c>
      <c r="J107" s="25">
        <v>9775564</v>
      </c>
      <c r="K107" s="25">
        <v>9771141</v>
      </c>
      <c r="L107" s="25">
        <v>9771141</v>
      </c>
      <c r="M107">
        <v>9771141</v>
      </c>
    </row>
    <row r="108" spans="1:13" x14ac:dyDescent="0.45">
      <c r="A108" s="50" t="s">
        <v>284</v>
      </c>
      <c r="B108" s="25">
        <v>4427061904</v>
      </c>
      <c r="C108" s="25">
        <v>4471055505</v>
      </c>
      <c r="D108" s="25">
        <v>4515489549</v>
      </c>
      <c r="E108" s="25">
        <v>4560252706</v>
      </c>
      <c r="F108" s="25">
        <v>4604832021</v>
      </c>
      <c r="G108" s="25">
        <v>4648915923</v>
      </c>
      <c r="H108" s="25">
        <v>4692797108</v>
      </c>
      <c r="I108" s="25">
        <v>4736179484</v>
      </c>
      <c r="J108" s="25">
        <v>4777272280</v>
      </c>
      <c r="K108" s="25">
        <v>4816229000</v>
      </c>
      <c r="L108" s="25">
        <v>4816229000</v>
      </c>
      <c r="M108">
        <v>4816229000</v>
      </c>
    </row>
    <row r="109" spans="1:13" x14ac:dyDescent="0.45">
      <c r="A109" s="50" t="s">
        <v>285</v>
      </c>
      <c r="B109" s="25">
        <v>5792408546</v>
      </c>
      <c r="C109" s="25">
        <v>5867931709</v>
      </c>
      <c r="D109" s="25">
        <v>5943959246</v>
      </c>
      <c r="E109" s="25">
        <v>6020875761</v>
      </c>
      <c r="F109" s="25">
        <v>6098333683</v>
      </c>
      <c r="G109" s="25">
        <v>6176134811</v>
      </c>
      <c r="H109" s="25">
        <v>6254601838</v>
      </c>
      <c r="I109" s="25">
        <v>6333396248</v>
      </c>
      <c r="J109" s="25">
        <v>6410753795</v>
      </c>
      <c r="K109" s="25">
        <v>6486921530</v>
      </c>
      <c r="L109" s="25">
        <v>6486921530</v>
      </c>
      <c r="M109">
        <v>6486921530</v>
      </c>
    </row>
    <row r="110" spans="1:13" x14ac:dyDescent="0.45">
      <c r="A110" s="50" t="s">
        <v>286</v>
      </c>
      <c r="B110" s="25">
        <v>456049562</v>
      </c>
      <c r="C110" s="25">
        <v>467268096</v>
      </c>
      <c r="D110" s="25">
        <v>478336539</v>
      </c>
      <c r="E110" s="25">
        <v>489626543</v>
      </c>
      <c r="F110" s="25">
        <v>501147849</v>
      </c>
      <c r="G110" s="25">
        <v>512877243</v>
      </c>
      <c r="H110" s="25">
        <v>524790731</v>
      </c>
      <c r="I110" s="25">
        <v>536862922</v>
      </c>
      <c r="J110" s="25">
        <v>549115214</v>
      </c>
      <c r="K110" s="25">
        <v>561571902</v>
      </c>
      <c r="L110" s="25">
        <v>561571902</v>
      </c>
      <c r="M110">
        <v>561571902</v>
      </c>
    </row>
    <row r="111" spans="1:13" x14ac:dyDescent="0.45">
      <c r="A111" s="50" t="s">
        <v>287</v>
      </c>
      <c r="B111" s="25">
        <v>909297080</v>
      </c>
      <c r="C111" s="25">
        <v>929608108</v>
      </c>
      <c r="D111" s="25">
        <v>950133158</v>
      </c>
      <c r="E111" s="25">
        <v>970996512</v>
      </c>
      <c r="F111" s="25">
        <v>992353813</v>
      </c>
      <c r="G111" s="25">
        <v>1014341645</v>
      </c>
      <c r="H111" s="25">
        <v>1037013999</v>
      </c>
      <c r="I111" s="25">
        <v>1060353842</v>
      </c>
      <c r="J111" s="25">
        <v>1084366301</v>
      </c>
      <c r="K111" s="25">
        <v>1109120628</v>
      </c>
      <c r="L111" s="25">
        <v>1109120628</v>
      </c>
      <c r="M111">
        <v>1109120628</v>
      </c>
    </row>
    <row r="112" spans="1:13" x14ac:dyDescent="0.45">
      <c r="A112" s="50" t="s">
        <v>288</v>
      </c>
      <c r="B112" s="25">
        <v>1365346642</v>
      </c>
      <c r="C112" s="25">
        <v>1396876204</v>
      </c>
      <c r="D112" s="25">
        <v>1428469697</v>
      </c>
      <c r="E112" s="25">
        <v>1460623055</v>
      </c>
      <c r="F112" s="25">
        <v>1493501662</v>
      </c>
      <c r="G112" s="25">
        <v>1527218888</v>
      </c>
      <c r="H112" s="25">
        <v>1561804730</v>
      </c>
      <c r="I112" s="25">
        <v>1597216764</v>
      </c>
      <c r="J112" s="25">
        <v>1633481515</v>
      </c>
      <c r="K112" s="25">
        <v>1670692530</v>
      </c>
      <c r="L112" s="25">
        <v>1670692530</v>
      </c>
      <c r="M112">
        <v>1670692530</v>
      </c>
    </row>
    <row r="113" spans="1:13" x14ac:dyDescent="0.45">
      <c r="A113" s="50" t="s">
        <v>165</v>
      </c>
      <c r="B113" s="25">
        <v>318041</v>
      </c>
      <c r="C113" s="25">
        <v>319014</v>
      </c>
      <c r="D113" s="25">
        <v>320716</v>
      </c>
      <c r="E113" s="25">
        <v>323764</v>
      </c>
      <c r="F113" s="25">
        <v>327386</v>
      </c>
      <c r="G113" s="25">
        <v>330815</v>
      </c>
      <c r="H113" s="25">
        <v>335439</v>
      </c>
      <c r="I113" s="25">
        <v>343400</v>
      </c>
      <c r="J113" s="25">
        <v>352721</v>
      </c>
      <c r="K113" s="25">
        <v>360563</v>
      </c>
      <c r="L113" s="25">
        <v>360563</v>
      </c>
      <c r="M113">
        <v>360563</v>
      </c>
    </row>
    <row r="114" spans="1:13" x14ac:dyDescent="0.45">
      <c r="A114" s="50" t="s">
        <v>289</v>
      </c>
      <c r="B114" s="25">
        <v>1234281170</v>
      </c>
      <c r="C114" s="25">
        <v>1250288729</v>
      </c>
      <c r="D114" s="25">
        <v>1265782790</v>
      </c>
      <c r="E114" s="25">
        <v>1280846129</v>
      </c>
      <c r="F114" s="25">
        <v>1295604184</v>
      </c>
      <c r="G114" s="25">
        <v>1310152403</v>
      </c>
      <c r="H114" s="25">
        <v>1324509589</v>
      </c>
      <c r="I114" s="25">
        <v>1338658835</v>
      </c>
      <c r="J114" s="25">
        <v>1352617328</v>
      </c>
      <c r="K114" s="25">
        <v>1366417754</v>
      </c>
      <c r="L114" s="25">
        <v>1366417754</v>
      </c>
      <c r="M114">
        <v>1366417754</v>
      </c>
    </row>
    <row r="115" spans="1:13" x14ac:dyDescent="0.45">
      <c r="A115" s="50" t="s">
        <v>290</v>
      </c>
      <c r="B115" s="25">
        <v>241834215</v>
      </c>
      <c r="C115" s="25">
        <v>245116206</v>
      </c>
      <c r="D115" s="25">
        <v>248452413</v>
      </c>
      <c r="E115" s="25">
        <v>251806402</v>
      </c>
      <c r="F115" s="25">
        <v>255129004</v>
      </c>
      <c r="G115" s="25">
        <v>258383256</v>
      </c>
      <c r="H115" s="25">
        <v>261554226</v>
      </c>
      <c r="I115" s="25">
        <v>264645886</v>
      </c>
      <c r="J115" s="25">
        <v>267663435</v>
      </c>
      <c r="K115" s="25">
        <v>270625568</v>
      </c>
      <c r="L115" s="25">
        <v>270625568</v>
      </c>
      <c r="M115">
        <v>270625568</v>
      </c>
    </row>
    <row r="116" spans="1:13" x14ac:dyDescent="0.45">
      <c r="A116" s="50" t="s">
        <v>291</v>
      </c>
      <c r="B116" s="25">
        <v>73762519</v>
      </c>
      <c r="C116" s="25">
        <v>74634956</v>
      </c>
      <c r="D116" s="25">
        <v>75539862</v>
      </c>
      <c r="E116" s="25">
        <v>76481943</v>
      </c>
      <c r="F116" s="25">
        <v>77465753</v>
      </c>
      <c r="G116" s="25">
        <v>78492215</v>
      </c>
      <c r="H116" s="25">
        <v>79564016</v>
      </c>
      <c r="I116" s="25">
        <v>80673951</v>
      </c>
      <c r="J116" s="25">
        <v>81800269</v>
      </c>
      <c r="K116" s="25">
        <v>82913906</v>
      </c>
      <c r="L116" s="25">
        <v>82913906</v>
      </c>
      <c r="M116">
        <v>82913906</v>
      </c>
    </row>
    <row r="117" spans="1:13" x14ac:dyDescent="0.45">
      <c r="A117" s="50" t="s">
        <v>292</v>
      </c>
      <c r="B117" s="25">
        <v>29741976</v>
      </c>
      <c r="C117" s="25">
        <v>30725300</v>
      </c>
      <c r="D117" s="25">
        <v>31890011</v>
      </c>
      <c r="E117" s="25">
        <v>33157050</v>
      </c>
      <c r="F117" s="25">
        <v>34411951</v>
      </c>
      <c r="G117" s="25">
        <v>35572261</v>
      </c>
      <c r="H117" s="25">
        <v>36610632</v>
      </c>
      <c r="I117" s="25">
        <v>37552781</v>
      </c>
      <c r="J117" s="25">
        <v>38433600</v>
      </c>
      <c r="K117" s="25">
        <v>39309783</v>
      </c>
      <c r="L117" s="25">
        <v>39309783</v>
      </c>
      <c r="M117">
        <v>39309783</v>
      </c>
    </row>
    <row r="118" spans="1:13" x14ac:dyDescent="0.45">
      <c r="A118" s="50" t="s">
        <v>293</v>
      </c>
      <c r="B118" s="25">
        <v>4560155</v>
      </c>
      <c r="C118" s="25">
        <v>4580084</v>
      </c>
      <c r="D118" s="25">
        <v>4599533</v>
      </c>
      <c r="E118" s="25">
        <v>4623816</v>
      </c>
      <c r="F118" s="25">
        <v>4657740</v>
      </c>
      <c r="G118" s="25">
        <v>4701957</v>
      </c>
      <c r="H118" s="25">
        <v>4755335</v>
      </c>
      <c r="I118" s="25">
        <v>4807388</v>
      </c>
      <c r="J118" s="25">
        <v>4867316</v>
      </c>
      <c r="K118" s="25">
        <v>4934040</v>
      </c>
      <c r="L118" s="25">
        <v>4934040</v>
      </c>
      <c r="M118">
        <v>4934040</v>
      </c>
    </row>
    <row r="119" spans="1:13" x14ac:dyDescent="0.45">
      <c r="A119" s="50" t="s">
        <v>294</v>
      </c>
      <c r="B119" s="25">
        <v>84857</v>
      </c>
      <c r="C119" s="25">
        <v>84886</v>
      </c>
      <c r="D119" s="25">
        <v>84533</v>
      </c>
      <c r="E119" s="25">
        <v>83976</v>
      </c>
      <c r="F119" s="25">
        <v>83488</v>
      </c>
      <c r="G119" s="25">
        <v>83234</v>
      </c>
      <c r="H119" s="25">
        <v>83287</v>
      </c>
      <c r="I119" s="25">
        <v>83598</v>
      </c>
      <c r="J119" s="25">
        <v>84077</v>
      </c>
      <c r="K119" s="25">
        <v>84584</v>
      </c>
      <c r="L119" s="25">
        <v>84584</v>
      </c>
      <c r="M119">
        <v>84584</v>
      </c>
    </row>
    <row r="120" spans="1:13" x14ac:dyDescent="0.45">
      <c r="A120" s="50" t="s">
        <v>295</v>
      </c>
      <c r="B120" s="25">
        <v>7623600</v>
      </c>
      <c r="C120" s="25">
        <v>7765800</v>
      </c>
      <c r="D120" s="25">
        <v>7910500</v>
      </c>
      <c r="E120" s="25">
        <v>8059500</v>
      </c>
      <c r="F120" s="25">
        <v>8215700</v>
      </c>
      <c r="G120" s="25">
        <v>8380100</v>
      </c>
      <c r="H120" s="25">
        <v>8546000</v>
      </c>
      <c r="I120" s="25">
        <v>8713300</v>
      </c>
      <c r="J120" s="25">
        <v>8882800</v>
      </c>
      <c r="K120" s="25">
        <v>9054000</v>
      </c>
      <c r="L120" s="25">
        <v>9054000</v>
      </c>
      <c r="M120">
        <v>9054000</v>
      </c>
    </row>
    <row r="121" spans="1:13" x14ac:dyDescent="0.45">
      <c r="A121" s="50" t="s">
        <v>163</v>
      </c>
      <c r="B121" s="25">
        <v>59277417</v>
      </c>
      <c r="C121" s="25">
        <v>59379449</v>
      </c>
      <c r="D121" s="25">
        <v>59539717</v>
      </c>
      <c r="E121" s="25">
        <v>60233948</v>
      </c>
      <c r="F121" s="25">
        <v>60789140</v>
      </c>
      <c r="G121" s="25">
        <v>60730582</v>
      </c>
      <c r="H121" s="25">
        <v>60627498</v>
      </c>
      <c r="I121" s="25">
        <v>60536709</v>
      </c>
      <c r="J121" s="25">
        <v>60421760</v>
      </c>
      <c r="K121" s="25">
        <v>60302093</v>
      </c>
      <c r="L121" s="25">
        <v>60302093</v>
      </c>
      <c r="M121">
        <v>60302093</v>
      </c>
    </row>
    <row r="122" spans="1:13" x14ac:dyDescent="0.45">
      <c r="A122" s="50" t="s">
        <v>296</v>
      </c>
      <c r="B122" s="25">
        <v>2810460</v>
      </c>
      <c r="C122" s="25">
        <v>2825929</v>
      </c>
      <c r="D122" s="25">
        <v>2842132</v>
      </c>
      <c r="E122" s="25">
        <v>2858709</v>
      </c>
      <c r="F122" s="25">
        <v>2875136</v>
      </c>
      <c r="G122" s="25">
        <v>2891021</v>
      </c>
      <c r="H122" s="25">
        <v>2906238</v>
      </c>
      <c r="I122" s="25">
        <v>2920853</v>
      </c>
      <c r="J122" s="25">
        <v>2934855</v>
      </c>
      <c r="K122" s="25">
        <v>2948279</v>
      </c>
      <c r="L122" s="25">
        <v>2948279</v>
      </c>
      <c r="M122">
        <v>2948279</v>
      </c>
    </row>
    <row r="123" spans="1:13" x14ac:dyDescent="0.45">
      <c r="A123" s="50" t="s">
        <v>297</v>
      </c>
      <c r="B123" s="25">
        <v>128070000</v>
      </c>
      <c r="C123" s="25">
        <v>127833000</v>
      </c>
      <c r="D123" s="25">
        <v>127629000</v>
      </c>
      <c r="E123" s="25">
        <v>127445000</v>
      </c>
      <c r="F123" s="25">
        <v>127276000</v>
      </c>
      <c r="G123" s="25">
        <v>127141000</v>
      </c>
      <c r="H123" s="25">
        <v>126994511</v>
      </c>
      <c r="I123" s="25">
        <v>126785797</v>
      </c>
      <c r="J123" s="25">
        <v>126529100</v>
      </c>
      <c r="K123" s="25">
        <v>126264931</v>
      </c>
      <c r="L123" s="25">
        <v>126264931</v>
      </c>
      <c r="M123">
        <v>126264931</v>
      </c>
    </row>
    <row r="124" spans="1:13" x14ac:dyDescent="0.45">
      <c r="A124" s="50" t="s">
        <v>298</v>
      </c>
      <c r="B124" s="25">
        <v>7261539</v>
      </c>
      <c r="C124" s="25">
        <v>7663131</v>
      </c>
      <c r="D124" s="25">
        <v>8090872</v>
      </c>
      <c r="E124" s="25">
        <v>8520420</v>
      </c>
      <c r="F124" s="25">
        <v>8920049</v>
      </c>
      <c r="G124" s="25">
        <v>9266575</v>
      </c>
      <c r="H124" s="25">
        <v>9551467</v>
      </c>
      <c r="I124" s="25">
        <v>9779173</v>
      </c>
      <c r="J124" s="25">
        <v>9956011</v>
      </c>
      <c r="K124" s="25">
        <v>10101694</v>
      </c>
      <c r="L124" s="25">
        <v>10101694</v>
      </c>
      <c r="M124">
        <v>10101694</v>
      </c>
    </row>
    <row r="125" spans="1:13" x14ac:dyDescent="0.45">
      <c r="A125" s="50" t="s">
        <v>299</v>
      </c>
      <c r="B125" s="25">
        <v>16321872</v>
      </c>
      <c r="C125" s="25">
        <v>16557202</v>
      </c>
      <c r="D125" s="25">
        <v>16792090</v>
      </c>
      <c r="E125" s="25">
        <v>17035551</v>
      </c>
      <c r="F125" s="25">
        <v>17288285</v>
      </c>
      <c r="G125" s="25">
        <v>17542806</v>
      </c>
      <c r="H125" s="25">
        <v>17794055</v>
      </c>
      <c r="I125" s="25">
        <v>18037776</v>
      </c>
      <c r="J125" s="25">
        <v>18276452</v>
      </c>
      <c r="K125" s="25">
        <v>18513673</v>
      </c>
      <c r="L125" s="25">
        <v>18513673</v>
      </c>
      <c r="M125">
        <v>18513673</v>
      </c>
    </row>
    <row r="126" spans="1:13" x14ac:dyDescent="0.45">
      <c r="A126" s="50" t="s">
        <v>300</v>
      </c>
      <c r="B126" s="25">
        <v>42030676</v>
      </c>
      <c r="C126" s="25">
        <v>43178257</v>
      </c>
      <c r="D126" s="25">
        <v>44343410</v>
      </c>
      <c r="E126" s="25">
        <v>45519889</v>
      </c>
      <c r="F126" s="25">
        <v>46699981</v>
      </c>
      <c r="G126" s="25">
        <v>47878336</v>
      </c>
      <c r="H126" s="25">
        <v>49051686</v>
      </c>
      <c r="I126" s="25">
        <v>50221473</v>
      </c>
      <c r="J126" s="25">
        <v>51393010</v>
      </c>
      <c r="K126" s="25">
        <v>52573973</v>
      </c>
      <c r="L126" s="25">
        <v>52573973</v>
      </c>
      <c r="M126">
        <v>52573973</v>
      </c>
    </row>
    <row r="127" spans="1:13" x14ac:dyDescent="0.45">
      <c r="A127" s="50" t="s">
        <v>301</v>
      </c>
      <c r="B127" s="25">
        <v>102927</v>
      </c>
      <c r="C127" s="25">
        <v>104728</v>
      </c>
      <c r="D127" s="25">
        <v>106370</v>
      </c>
      <c r="E127" s="25">
        <v>107890</v>
      </c>
      <c r="F127" s="25">
        <v>109391</v>
      </c>
      <c r="G127" s="25">
        <v>110930</v>
      </c>
      <c r="H127" s="25">
        <v>112524</v>
      </c>
      <c r="I127" s="25">
        <v>114158</v>
      </c>
      <c r="J127" s="25">
        <v>115847</v>
      </c>
      <c r="K127" s="25">
        <v>117606</v>
      </c>
      <c r="L127" s="25">
        <v>117606</v>
      </c>
      <c r="M127">
        <v>117606</v>
      </c>
    </row>
    <row r="128" spans="1:13" x14ac:dyDescent="0.45">
      <c r="A128" s="50" t="s">
        <v>794</v>
      </c>
      <c r="B128" s="25">
        <v>24548836</v>
      </c>
      <c r="C128" s="25">
        <v>24673385</v>
      </c>
      <c r="D128" s="25">
        <v>24800612</v>
      </c>
      <c r="E128" s="25">
        <v>24929452</v>
      </c>
      <c r="F128" s="25">
        <v>25057752</v>
      </c>
      <c r="G128" s="25">
        <v>25183833</v>
      </c>
      <c r="H128" s="25">
        <v>25307744</v>
      </c>
      <c r="I128" s="25">
        <v>25429985</v>
      </c>
      <c r="J128" s="25">
        <v>25549819</v>
      </c>
      <c r="K128" s="25">
        <v>25666161</v>
      </c>
      <c r="L128" s="25">
        <v>25666161</v>
      </c>
      <c r="M128">
        <v>25666161</v>
      </c>
    </row>
    <row r="129" spans="1:13" x14ac:dyDescent="0.45">
      <c r="A129" s="50" t="s">
        <v>302</v>
      </c>
      <c r="B129" s="25">
        <v>49554112</v>
      </c>
      <c r="C129" s="25">
        <v>49936638</v>
      </c>
      <c r="D129" s="25">
        <v>50199853</v>
      </c>
      <c r="E129" s="25">
        <v>50428893</v>
      </c>
      <c r="F129" s="25">
        <v>50746659</v>
      </c>
      <c r="G129" s="25">
        <v>51014947</v>
      </c>
      <c r="H129" s="25">
        <v>51217803</v>
      </c>
      <c r="I129" s="25">
        <v>51361911</v>
      </c>
      <c r="J129" s="25">
        <v>51606633</v>
      </c>
      <c r="K129" s="25">
        <v>51709098</v>
      </c>
      <c r="L129" s="25">
        <v>51709098</v>
      </c>
      <c r="M129">
        <v>51709098</v>
      </c>
    </row>
    <row r="130" spans="1:13" x14ac:dyDescent="0.45">
      <c r="A130" s="50" t="s">
        <v>303</v>
      </c>
      <c r="B130" s="25">
        <v>1775680</v>
      </c>
      <c r="C130" s="25">
        <v>1791000</v>
      </c>
      <c r="D130" s="25">
        <v>1807106</v>
      </c>
      <c r="E130" s="25">
        <v>1818117</v>
      </c>
      <c r="F130" s="25">
        <v>1812771</v>
      </c>
      <c r="G130" s="25">
        <v>1788196</v>
      </c>
      <c r="H130" s="25">
        <v>1777557</v>
      </c>
      <c r="I130" s="25">
        <v>1791003</v>
      </c>
      <c r="J130" s="25">
        <v>1797085</v>
      </c>
      <c r="K130" s="25">
        <v>1788878</v>
      </c>
      <c r="L130" s="25">
        <v>1788878</v>
      </c>
      <c r="M130">
        <v>1788878</v>
      </c>
    </row>
    <row r="131" spans="1:13" x14ac:dyDescent="0.45">
      <c r="A131" s="50" t="s">
        <v>304</v>
      </c>
      <c r="B131" s="25">
        <v>2991884</v>
      </c>
      <c r="C131" s="25">
        <v>3168060</v>
      </c>
      <c r="D131" s="25">
        <v>3348853</v>
      </c>
      <c r="E131" s="25">
        <v>3526376</v>
      </c>
      <c r="F131" s="25">
        <v>3690941</v>
      </c>
      <c r="G131" s="25">
        <v>3835591</v>
      </c>
      <c r="H131" s="25">
        <v>3956875</v>
      </c>
      <c r="I131" s="25">
        <v>4056099</v>
      </c>
      <c r="J131" s="25">
        <v>4137312</v>
      </c>
      <c r="K131" s="25">
        <v>4207083</v>
      </c>
      <c r="L131" s="25">
        <v>4207083</v>
      </c>
      <c r="M131">
        <v>4207083</v>
      </c>
    </row>
    <row r="132" spans="1:13" x14ac:dyDescent="0.45">
      <c r="A132" s="50" t="s">
        <v>305</v>
      </c>
      <c r="B132" s="25">
        <v>5447900</v>
      </c>
      <c r="C132" s="25">
        <v>5514600</v>
      </c>
      <c r="D132" s="25">
        <v>5607200</v>
      </c>
      <c r="E132" s="25">
        <v>5719600</v>
      </c>
      <c r="F132" s="25">
        <v>5835500</v>
      </c>
      <c r="G132" s="25">
        <v>5956900</v>
      </c>
      <c r="H132" s="25">
        <v>6079500</v>
      </c>
      <c r="I132" s="25">
        <v>6198200</v>
      </c>
      <c r="J132" s="25">
        <v>6322800</v>
      </c>
      <c r="K132" s="25">
        <v>6456200</v>
      </c>
      <c r="L132" s="25">
        <v>6456200</v>
      </c>
      <c r="M132">
        <v>6456200</v>
      </c>
    </row>
    <row r="133" spans="1:13" x14ac:dyDescent="0.45">
      <c r="A133" s="50" t="s">
        <v>306</v>
      </c>
      <c r="B133" s="25">
        <v>6249165</v>
      </c>
      <c r="C133" s="25">
        <v>6347567</v>
      </c>
      <c r="D133" s="25">
        <v>6444530</v>
      </c>
      <c r="E133" s="25">
        <v>6541304</v>
      </c>
      <c r="F133" s="25">
        <v>6639756</v>
      </c>
      <c r="G133" s="25">
        <v>6741164</v>
      </c>
      <c r="H133" s="25">
        <v>6845846</v>
      </c>
      <c r="I133" s="25">
        <v>6953035</v>
      </c>
      <c r="J133" s="25">
        <v>7061507</v>
      </c>
      <c r="K133" s="25">
        <v>7169455</v>
      </c>
      <c r="L133" s="25">
        <v>7169455</v>
      </c>
      <c r="M133">
        <v>7169455</v>
      </c>
    </row>
    <row r="134" spans="1:13" x14ac:dyDescent="0.45">
      <c r="A134" s="50" t="s">
        <v>307</v>
      </c>
      <c r="B134" s="25">
        <v>2180828822</v>
      </c>
      <c r="C134" s="25">
        <v>2193830153</v>
      </c>
      <c r="D134" s="25">
        <v>2206931625</v>
      </c>
      <c r="E134" s="25">
        <v>2220297518</v>
      </c>
      <c r="F134" s="25">
        <v>2233867634</v>
      </c>
      <c r="G134" s="25">
        <v>2247409052</v>
      </c>
      <c r="H134" s="25">
        <v>2261412987</v>
      </c>
      <c r="I134" s="25">
        <v>2275534172</v>
      </c>
      <c r="J134" s="25">
        <v>2287848296</v>
      </c>
      <c r="K134" s="25">
        <v>2298506687</v>
      </c>
      <c r="L134" s="25">
        <v>2298506687</v>
      </c>
      <c r="M134">
        <v>2298506687</v>
      </c>
    </row>
    <row r="135" spans="1:13" x14ac:dyDescent="0.45">
      <c r="A135" s="50" t="s">
        <v>308</v>
      </c>
      <c r="B135" s="25">
        <v>589932553</v>
      </c>
      <c r="C135" s="25">
        <v>596538550</v>
      </c>
      <c r="D135" s="25">
        <v>603096247</v>
      </c>
      <c r="E135" s="25">
        <v>609598310</v>
      </c>
      <c r="F135" s="25">
        <v>616001188</v>
      </c>
      <c r="G135" s="25">
        <v>622301085</v>
      </c>
      <c r="H135" s="25">
        <v>628488534</v>
      </c>
      <c r="I135" s="25">
        <v>634554069</v>
      </c>
      <c r="J135" s="25">
        <v>640466734</v>
      </c>
      <c r="K135" s="25">
        <v>646430784</v>
      </c>
      <c r="L135" s="25">
        <v>646430784</v>
      </c>
      <c r="M135">
        <v>646430784</v>
      </c>
    </row>
    <row r="136" spans="1:13" x14ac:dyDescent="0.45">
      <c r="A136" s="50" t="s">
        <v>309</v>
      </c>
      <c r="B136" s="25">
        <v>559496778</v>
      </c>
      <c r="C136" s="25">
        <v>565881766</v>
      </c>
      <c r="D136" s="25">
        <v>572223264</v>
      </c>
      <c r="E136" s="25">
        <v>578500250</v>
      </c>
      <c r="F136" s="25">
        <v>584677997</v>
      </c>
      <c r="G136" s="25">
        <v>590731803</v>
      </c>
      <c r="H136" s="25">
        <v>596647568</v>
      </c>
      <c r="I136" s="25">
        <v>602435369</v>
      </c>
      <c r="J136" s="25">
        <v>608125444</v>
      </c>
      <c r="K136" s="25">
        <v>613773119</v>
      </c>
      <c r="L136" s="25">
        <v>613773119</v>
      </c>
      <c r="M136">
        <v>613773119</v>
      </c>
    </row>
    <row r="137" spans="1:13" x14ac:dyDescent="0.45">
      <c r="A137" s="50" t="s">
        <v>310</v>
      </c>
      <c r="B137" s="25">
        <v>573800630</v>
      </c>
      <c r="C137" s="25">
        <v>580428962</v>
      </c>
      <c r="D137" s="25">
        <v>587001215</v>
      </c>
      <c r="E137" s="25">
        <v>593509457</v>
      </c>
      <c r="F137" s="25">
        <v>599937483</v>
      </c>
      <c r="G137" s="25">
        <v>606271969</v>
      </c>
      <c r="H137" s="25">
        <v>612506457</v>
      </c>
      <c r="I137" s="25">
        <v>618641500</v>
      </c>
      <c r="J137" s="25">
        <v>624681220</v>
      </c>
      <c r="K137" s="25">
        <v>630644772</v>
      </c>
      <c r="L137" s="25">
        <v>630644772</v>
      </c>
      <c r="M137">
        <v>630644772</v>
      </c>
    </row>
    <row r="138" spans="1:13" x14ac:dyDescent="0.45">
      <c r="A138" s="50" t="s">
        <v>176</v>
      </c>
      <c r="B138" s="25">
        <v>2097555</v>
      </c>
      <c r="C138" s="25">
        <v>2059709</v>
      </c>
      <c r="D138" s="25">
        <v>2034319</v>
      </c>
      <c r="E138" s="25">
        <v>2012647</v>
      </c>
      <c r="F138" s="25">
        <v>1993782</v>
      </c>
      <c r="G138" s="25">
        <v>1977527</v>
      </c>
      <c r="H138" s="25">
        <v>1959537</v>
      </c>
      <c r="I138" s="25">
        <v>1942248</v>
      </c>
      <c r="J138" s="25">
        <v>1927174</v>
      </c>
      <c r="K138" s="25">
        <v>1913822</v>
      </c>
      <c r="L138" s="25">
        <v>1913822</v>
      </c>
      <c r="M138">
        <v>1913822</v>
      </c>
    </row>
    <row r="139" spans="1:13" x14ac:dyDescent="0.45">
      <c r="A139" s="50" t="s">
        <v>311</v>
      </c>
      <c r="B139" s="25">
        <v>836614860</v>
      </c>
      <c r="C139" s="25">
        <v>856472234</v>
      </c>
      <c r="D139" s="25">
        <v>876869863</v>
      </c>
      <c r="E139" s="25">
        <v>897797478</v>
      </c>
      <c r="F139" s="25">
        <v>919226401</v>
      </c>
      <c r="G139" s="25">
        <v>941131317</v>
      </c>
      <c r="H139" s="25">
        <v>963511276</v>
      </c>
      <c r="I139" s="25">
        <v>986365080</v>
      </c>
      <c r="J139" s="25">
        <v>1009662578</v>
      </c>
      <c r="K139" s="25">
        <v>1033388876</v>
      </c>
      <c r="L139" s="25">
        <v>1033388876</v>
      </c>
      <c r="M139">
        <v>1033388876</v>
      </c>
    </row>
    <row r="140" spans="1:13" x14ac:dyDescent="0.45">
      <c r="A140" s="50" t="s">
        <v>312</v>
      </c>
      <c r="B140" s="25">
        <v>4953061</v>
      </c>
      <c r="C140" s="25">
        <v>5202343</v>
      </c>
      <c r="D140" s="25">
        <v>5538634</v>
      </c>
      <c r="E140" s="25">
        <v>5914621</v>
      </c>
      <c r="F140" s="25">
        <v>6262410</v>
      </c>
      <c r="G140" s="25">
        <v>6532678</v>
      </c>
      <c r="H140" s="25">
        <v>6711121</v>
      </c>
      <c r="I140" s="25">
        <v>6811873</v>
      </c>
      <c r="J140" s="25">
        <v>6848925</v>
      </c>
      <c r="K140" s="25">
        <v>6855713</v>
      </c>
      <c r="L140" s="25">
        <v>6855713</v>
      </c>
      <c r="M140">
        <v>6855713</v>
      </c>
    </row>
    <row r="141" spans="1:13" x14ac:dyDescent="0.45">
      <c r="A141" s="50" t="s">
        <v>313</v>
      </c>
      <c r="B141" s="25">
        <v>1995581</v>
      </c>
      <c r="C141" s="25">
        <v>2003787</v>
      </c>
      <c r="D141" s="25">
        <v>2014990</v>
      </c>
      <c r="E141" s="25">
        <v>2028519</v>
      </c>
      <c r="F141" s="25">
        <v>2043437</v>
      </c>
      <c r="G141" s="25">
        <v>2059021</v>
      </c>
      <c r="H141" s="25">
        <v>2075001</v>
      </c>
      <c r="I141" s="25">
        <v>2091412</v>
      </c>
      <c r="J141" s="25">
        <v>2108132</v>
      </c>
      <c r="K141" s="25">
        <v>2125268</v>
      </c>
      <c r="L141" s="25">
        <v>2125268</v>
      </c>
      <c r="M141">
        <v>2125268</v>
      </c>
    </row>
    <row r="142" spans="1:13" x14ac:dyDescent="0.45">
      <c r="A142" s="50" t="s">
        <v>314</v>
      </c>
      <c r="B142" s="25">
        <v>3891356</v>
      </c>
      <c r="C142" s="25">
        <v>4017443</v>
      </c>
      <c r="D142" s="25">
        <v>4135659</v>
      </c>
      <c r="E142" s="25">
        <v>4248334</v>
      </c>
      <c r="F142" s="25">
        <v>4359505</v>
      </c>
      <c r="G142" s="25">
        <v>4472230</v>
      </c>
      <c r="H142" s="25">
        <v>4586788</v>
      </c>
      <c r="I142" s="25">
        <v>4702228</v>
      </c>
      <c r="J142" s="25">
        <v>4818977</v>
      </c>
      <c r="K142" s="25">
        <v>4937374</v>
      </c>
      <c r="L142" s="25">
        <v>4937374</v>
      </c>
      <c r="M142">
        <v>4937374</v>
      </c>
    </row>
    <row r="143" spans="1:13" x14ac:dyDescent="0.45">
      <c r="A143" s="50" t="s">
        <v>315</v>
      </c>
      <c r="B143" s="25">
        <v>6197663</v>
      </c>
      <c r="C143" s="25">
        <v>6247439</v>
      </c>
      <c r="D143" s="25">
        <v>6285750</v>
      </c>
      <c r="E143" s="25">
        <v>6320359</v>
      </c>
      <c r="F143" s="25">
        <v>6362037</v>
      </c>
      <c r="G143" s="25">
        <v>6418315</v>
      </c>
      <c r="H143" s="25">
        <v>6492164</v>
      </c>
      <c r="I143" s="25">
        <v>6580724</v>
      </c>
      <c r="J143" s="25">
        <v>6678567</v>
      </c>
      <c r="K143" s="25">
        <v>6777452</v>
      </c>
      <c r="L143" s="25">
        <v>6777452</v>
      </c>
      <c r="M143">
        <v>6777452</v>
      </c>
    </row>
    <row r="144" spans="1:13" x14ac:dyDescent="0.45">
      <c r="A144" s="50" t="s">
        <v>316</v>
      </c>
      <c r="B144" s="25">
        <v>35994</v>
      </c>
      <c r="C144" s="25">
        <v>36293</v>
      </c>
      <c r="D144" s="25">
        <v>36615</v>
      </c>
      <c r="E144" s="25">
        <v>36934</v>
      </c>
      <c r="F144" s="25">
        <v>37223</v>
      </c>
      <c r="G144" s="25">
        <v>37470</v>
      </c>
      <c r="H144" s="25">
        <v>37658</v>
      </c>
      <c r="I144" s="25">
        <v>37800</v>
      </c>
      <c r="J144" s="25">
        <v>37910</v>
      </c>
      <c r="K144" s="25">
        <v>38019</v>
      </c>
      <c r="L144" s="25">
        <v>38019</v>
      </c>
      <c r="M144">
        <v>38019</v>
      </c>
    </row>
    <row r="145" spans="1:13" x14ac:dyDescent="0.45">
      <c r="A145" s="50" t="s">
        <v>177</v>
      </c>
      <c r="B145" s="25">
        <v>3097282</v>
      </c>
      <c r="C145" s="25">
        <v>3028115</v>
      </c>
      <c r="D145" s="25">
        <v>2987773</v>
      </c>
      <c r="E145" s="25">
        <v>2957689</v>
      </c>
      <c r="F145" s="25">
        <v>2932367</v>
      </c>
      <c r="G145" s="25">
        <v>2904910</v>
      </c>
      <c r="H145" s="25">
        <v>2868231</v>
      </c>
      <c r="I145" s="25">
        <v>2828403</v>
      </c>
      <c r="J145" s="25">
        <v>2801543</v>
      </c>
      <c r="K145" s="25">
        <v>2794137</v>
      </c>
      <c r="L145" s="25">
        <v>2794137</v>
      </c>
      <c r="M145">
        <v>2794137</v>
      </c>
    </row>
    <row r="146" spans="1:13" x14ac:dyDescent="0.45">
      <c r="A146" s="50" t="s">
        <v>317</v>
      </c>
      <c r="B146" s="25">
        <v>5742542548</v>
      </c>
      <c r="C146" s="25">
        <v>5818137591</v>
      </c>
      <c r="D146" s="25">
        <v>5894256711</v>
      </c>
      <c r="E146" s="25">
        <v>5971271820</v>
      </c>
      <c r="F146" s="25">
        <v>6048820263</v>
      </c>
      <c r="G146" s="25">
        <v>6126712586</v>
      </c>
      <c r="H146" s="25">
        <v>6205237895</v>
      </c>
      <c r="I146" s="25">
        <v>6284052740</v>
      </c>
      <c r="J146" s="25">
        <v>6361444576</v>
      </c>
      <c r="K146" s="25">
        <v>6437665782</v>
      </c>
      <c r="L146" s="25">
        <v>6437665782</v>
      </c>
      <c r="M146">
        <v>6437665782</v>
      </c>
    </row>
    <row r="147" spans="1:13" x14ac:dyDescent="0.45">
      <c r="A147" s="50" t="s">
        <v>318</v>
      </c>
      <c r="B147" s="25">
        <v>531260028</v>
      </c>
      <c r="C147" s="25">
        <v>545266258</v>
      </c>
      <c r="D147" s="25">
        <v>559335524</v>
      </c>
      <c r="E147" s="25">
        <v>573583598</v>
      </c>
      <c r="F147" s="25">
        <v>588174709</v>
      </c>
      <c r="G147" s="25">
        <v>603234541</v>
      </c>
      <c r="H147" s="25">
        <v>618780841</v>
      </c>
      <c r="I147" s="25">
        <v>634796692</v>
      </c>
      <c r="J147" s="25">
        <v>651327587</v>
      </c>
      <c r="K147" s="25">
        <v>668454965</v>
      </c>
      <c r="L147" s="25">
        <v>668454965</v>
      </c>
      <c r="M147">
        <v>668454965</v>
      </c>
    </row>
    <row r="148" spans="1:13" x14ac:dyDescent="0.45">
      <c r="A148" s="50" t="s">
        <v>319</v>
      </c>
      <c r="B148" s="25">
        <v>2548154994</v>
      </c>
      <c r="C148" s="25">
        <v>2588455505</v>
      </c>
      <c r="D148" s="25">
        <v>2628465458</v>
      </c>
      <c r="E148" s="25">
        <v>2668772179</v>
      </c>
      <c r="F148" s="25">
        <v>2709173404</v>
      </c>
      <c r="G148" s="25">
        <v>2749824313</v>
      </c>
      <c r="H148" s="25">
        <v>2790617791</v>
      </c>
      <c r="I148" s="25">
        <v>2831466703</v>
      </c>
      <c r="J148" s="25">
        <v>2872399930</v>
      </c>
      <c r="K148" s="25">
        <v>2913369053</v>
      </c>
      <c r="L148" s="25">
        <v>2913369053</v>
      </c>
      <c r="M148">
        <v>2913369053</v>
      </c>
    </row>
    <row r="149" spans="1:13" x14ac:dyDescent="0.45">
      <c r="A149" s="50" t="s">
        <v>155</v>
      </c>
      <c r="B149" s="25">
        <v>506953</v>
      </c>
      <c r="C149" s="25">
        <v>518347</v>
      </c>
      <c r="D149" s="25">
        <v>530946</v>
      </c>
      <c r="E149" s="25">
        <v>543360</v>
      </c>
      <c r="F149" s="25">
        <v>556319</v>
      </c>
      <c r="G149" s="25">
        <v>569604</v>
      </c>
      <c r="H149" s="25">
        <v>582014</v>
      </c>
      <c r="I149" s="25">
        <v>596336</v>
      </c>
      <c r="J149" s="25">
        <v>607950</v>
      </c>
      <c r="K149" s="25">
        <v>620001</v>
      </c>
      <c r="L149" s="25">
        <v>620001</v>
      </c>
      <c r="M149">
        <v>620001</v>
      </c>
    </row>
    <row r="150" spans="1:13" x14ac:dyDescent="0.45">
      <c r="A150" s="50" t="s">
        <v>320</v>
      </c>
      <c r="B150" s="25">
        <v>538219</v>
      </c>
      <c r="C150" s="25">
        <v>550832</v>
      </c>
      <c r="D150" s="25">
        <v>564039</v>
      </c>
      <c r="E150" s="25">
        <v>577372</v>
      </c>
      <c r="F150" s="25">
        <v>590208</v>
      </c>
      <c r="G150" s="25">
        <v>602085</v>
      </c>
      <c r="H150" s="25">
        <v>612836</v>
      </c>
      <c r="I150" s="25">
        <v>622585</v>
      </c>
      <c r="J150" s="25">
        <v>631636</v>
      </c>
      <c r="K150" s="25">
        <v>640445</v>
      </c>
      <c r="L150" s="25">
        <v>640445</v>
      </c>
      <c r="M150">
        <v>640445</v>
      </c>
    </row>
    <row r="151" spans="1:13" x14ac:dyDescent="0.45">
      <c r="A151" s="50" t="s">
        <v>321</v>
      </c>
      <c r="B151" s="25">
        <v>21151640</v>
      </c>
      <c r="C151" s="25">
        <v>21743967</v>
      </c>
      <c r="D151" s="25">
        <v>22346641</v>
      </c>
      <c r="E151" s="25">
        <v>22961253</v>
      </c>
      <c r="F151" s="25">
        <v>23589887</v>
      </c>
      <c r="G151" s="25">
        <v>24234088</v>
      </c>
      <c r="H151" s="25">
        <v>24894380</v>
      </c>
      <c r="I151" s="25">
        <v>25570540</v>
      </c>
      <c r="J151" s="25">
        <v>26262368</v>
      </c>
      <c r="K151" s="25">
        <v>26969307</v>
      </c>
      <c r="L151" s="25">
        <v>26969307</v>
      </c>
      <c r="M151">
        <v>26969307</v>
      </c>
    </row>
    <row r="152" spans="1:13" x14ac:dyDescent="0.45">
      <c r="A152" s="50" t="s">
        <v>322</v>
      </c>
      <c r="B152" s="25">
        <v>14539612</v>
      </c>
      <c r="C152" s="25">
        <v>14962112</v>
      </c>
      <c r="D152" s="25">
        <v>15396005</v>
      </c>
      <c r="E152" s="25">
        <v>15839269</v>
      </c>
      <c r="F152" s="25">
        <v>16289540</v>
      </c>
      <c r="G152" s="25">
        <v>16745303</v>
      </c>
      <c r="H152" s="25">
        <v>17205289</v>
      </c>
      <c r="I152" s="25">
        <v>17670260</v>
      </c>
      <c r="J152" s="25">
        <v>18143315</v>
      </c>
      <c r="K152" s="25">
        <v>18628747</v>
      </c>
      <c r="L152" s="25">
        <v>18628747</v>
      </c>
      <c r="M152">
        <v>18628747</v>
      </c>
    </row>
    <row r="153" spans="1:13" x14ac:dyDescent="0.45">
      <c r="A153" s="50" t="s">
        <v>323</v>
      </c>
      <c r="B153" s="25">
        <v>28208035</v>
      </c>
      <c r="C153" s="25">
        <v>28650955</v>
      </c>
      <c r="D153" s="25">
        <v>29068159</v>
      </c>
      <c r="E153" s="25">
        <v>29468872</v>
      </c>
      <c r="F153" s="25">
        <v>29866559</v>
      </c>
      <c r="G153" s="25">
        <v>30270962</v>
      </c>
      <c r="H153" s="25">
        <v>30684804</v>
      </c>
      <c r="I153" s="25">
        <v>31105028</v>
      </c>
      <c r="J153" s="25">
        <v>31528585</v>
      </c>
      <c r="K153" s="25">
        <v>31949777</v>
      </c>
      <c r="L153" s="25">
        <v>31949777</v>
      </c>
      <c r="M153">
        <v>31949777</v>
      </c>
    </row>
    <row r="154" spans="1:13" x14ac:dyDescent="0.45">
      <c r="A154" s="50" t="s">
        <v>324</v>
      </c>
      <c r="B154" s="25">
        <v>365734</v>
      </c>
      <c r="C154" s="25">
        <v>380495</v>
      </c>
      <c r="D154" s="25">
        <v>397237</v>
      </c>
      <c r="E154" s="25">
        <v>415593</v>
      </c>
      <c r="F154" s="25">
        <v>435015</v>
      </c>
      <c r="G154" s="25">
        <v>454915</v>
      </c>
      <c r="H154" s="25">
        <v>475513</v>
      </c>
      <c r="I154" s="25">
        <v>496402</v>
      </c>
      <c r="J154" s="25">
        <v>515696</v>
      </c>
      <c r="K154" s="25">
        <v>530953</v>
      </c>
      <c r="L154" s="25">
        <v>530953</v>
      </c>
      <c r="M154">
        <v>530953</v>
      </c>
    </row>
    <row r="155" spans="1:13" x14ac:dyDescent="0.45">
      <c r="A155" s="50" t="s">
        <v>325</v>
      </c>
      <c r="B155" s="25">
        <v>15049353</v>
      </c>
      <c r="C155" s="25">
        <v>15514591</v>
      </c>
      <c r="D155" s="25">
        <v>15979499</v>
      </c>
      <c r="E155" s="25">
        <v>16449864</v>
      </c>
      <c r="F155" s="25">
        <v>16934220</v>
      </c>
      <c r="G155" s="25">
        <v>17438778</v>
      </c>
      <c r="H155" s="25">
        <v>17965429</v>
      </c>
      <c r="I155" s="25">
        <v>18512394</v>
      </c>
      <c r="J155" s="25">
        <v>19077690</v>
      </c>
      <c r="K155" s="25">
        <v>19658031</v>
      </c>
      <c r="L155" s="25">
        <v>19658031</v>
      </c>
      <c r="M155">
        <v>19658031</v>
      </c>
    </row>
    <row r="156" spans="1:13" x14ac:dyDescent="0.45">
      <c r="A156" s="50" t="s">
        <v>326</v>
      </c>
      <c r="B156" s="25">
        <v>414508</v>
      </c>
      <c r="C156" s="25">
        <v>416268</v>
      </c>
      <c r="D156" s="25">
        <v>420028</v>
      </c>
      <c r="E156" s="25">
        <v>425967</v>
      </c>
      <c r="F156" s="25">
        <v>434558</v>
      </c>
      <c r="G156" s="25">
        <v>445053</v>
      </c>
      <c r="H156" s="25">
        <v>455356</v>
      </c>
      <c r="I156" s="25">
        <v>467999</v>
      </c>
      <c r="J156" s="25">
        <v>484630</v>
      </c>
      <c r="K156" s="25">
        <v>504062</v>
      </c>
      <c r="L156" s="25">
        <v>504062</v>
      </c>
      <c r="M156">
        <v>504062</v>
      </c>
    </row>
    <row r="157" spans="1:13" x14ac:dyDescent="0.45">
      <c r="A157" s="50" t="s">
        <v>327</v>
      </c>
      <c r="B157" s="25">
        <v>56366</v>
      </c>
      <c r="C157" s="25">
        <v>56531</v>
      </c>
      <c r="D157" s="25">
        <v>56717</v>
      </c>
      <c r="E157" s="25">
        <v>56938</v>
      </c>
      <c r="F157" s="25">
        <v>57179</v>
      </c>
      <c r="G157" s="25">
        <v>57439</v>
      </c>
      <c r="H157" s="25">
        <v>57735</v>
      </c>
      <c r="I157" s="25">
        <v>58058</v>
      </c>
      <c r="J157" s="25">
        <v>58413</v>
      </c>
      <c r="K157" s="25">
        <v>58791</v>
      </c>
      <c r="L157" s="25">
        <v>58791</v>
      </c>
      <c r="M157">
        <v>58791</v>
      </c>
    </row>
    <row r="158" spans="1:13" x14ac:dyDescent="0.45">
      <c r="A158" s="50" t="s">
        <v>328</v>
      </c>
      <c r="B158" s="25">
        <v>3494195</v>
      </c>
      <c r="C158" s="25">
        <v>3598648</v>
      </c>
      <c r="D158" s="25">
        <v>3706554</v>
      </c>
      <c r="E158" s="25">
        <v>3817494</v>
      </c>
      <c r="F158" s="25">
        <v>3930896</v>
      </c>
      <c r="G158" s="25">
        <v>4046301</v>
      </c>
      <c r="H158" s="25">
        <v>4163534</v>
      </c>
      <c r="I158" s="25">
        <v>4282574</v>
      </c>
      <c r="J158" s="25">
        <v>4403319</v>
      </c>
      <c r="K158" s="25">
        <v>4525696</v>
      </c>
      <c r="L158" s="25">
        <v>4525696</v>
      </c>
      <c r="M158">
        <v>4525696</v>
      </c>
    </row>
    <row r="159" spans="1:13" x14ac:dyDescent="0.45">
      <c r="A159" s="50" t="s">
        <v>329</v>
      </c>
      <c r="B159" s="25">
        <v>1250400</v>
      </c>
      <c r="C159" s="25">
        <v>1252404</v>
      </c>
      <c r="D159" s="25">
        <v>1255882</v>
      </c>
      <c r="E159" s="25">
        <v>1258653</v>
      </c>
      <c r="F159" s="25">
        <v>1260934</v>
      </c>
      <c r="G159" s="25">
        <v>1262605</v>
      </c>
      <c r="H159" s="25">
        <v>1263473</v>
      </c>
      <c r="I159" s="25">
        <v>1264613</v>
      </c>
      <c r="J159" s="25">
        <v>1265303</v>
      </c>
      <c r="K159" s="25">
        <v>1265711</v>
      </c>
      <c r="L159" s="25">
        <v>1265711</v>
      </c>
      <c r="M159">
        <v>1265711</v>
      </c>
    </row>
    <row r="160" spans="1:13" x14ac:dyDescent="0.45">
      <c r="A160" s="50" t="s">
        <v>330</v>
      </c>
      <c r="B160" s="25">
        <v>114092963</v>
      </c>
      <c r="C160" s="25">
        <v>115695473</v>
      </c>
      <c r="D160" s="25">
        <v>117274155</v>
      </c>
      <c r="E160" s="25">
        <v>118827161</v>
      </c>
      <c r="F160" s="25">
        <v>120355128</v>
      </c>
      <c r="G160" s="25">
        <v>121858258</v>
      </c>
      <c r="H160" s="25">
        <v>123333376</v>
      </c>
      <c r="I160" s="25">
        <v>124777324</v>
      </c>
      <c r="J160" s="25">
        <v>126190788</v>
      </c>
      <c r="K160" s="25">
        <v>127575529</v>
      </c>
      <c r="L160" s="25">
        <v>127575529</v>
      </c>
      <c r="M160">
        <v>127575529</v>
      </c>
    </row>
    <row r="161" spans="1:13" x14ac:dyDescent="0.45">
      <c r="A161" s="50" t="s">
        <v>331</v>
      </c>
      <c r="B161" s="25">
        <v>102911</v>
      </c>
      <c r="C161" s="25">
        <v>103450</v>
      </c>
      <c r="D161" s="25">
        <v>104506</v>
      </c>
      <c r="E161" s="25">
        <v>105926</v>
      </c>
      <c r="F161" s="25">
        <v>107446</v>
      </c>
      <c r="G161" s="25">
        <v>108895</v>
      </c>
      <c r="H161" s="25">
        <v>110215</v>
      </c>
      <c r="I161" s="25">
        <v>111459</v>
      </c>
      <c r="J161" s="25">
        <v>112640</v>
      </c>
      <c r="K161" s="25">
        <v>113815</v>
      </c>
      <c r="L161" s="25">
        <v>113815</v>
      </c>
      <c r="M161">
        <v>113815</v>
      </c>
    </row>
    <row r="162" spans="1:13" x14ac:dyDescent="0.45">
      <c r="A162" s="50" t="s">
        <v>332</v>
      </c>
      <c r="B162" s="25">
        <v>385917886</v>
      </c>
      <c r="C162" s="25">
        <v>393944527</v>
      </c>
      <c r="D162" s="25">
        <v>401974219</v>
      </c>
      <c r="E162" s="25">
        <v>409977872</v>
      </c>
      <c r="F162" s="25">
        <v>417932241</v>
      </c>
      <c r="G162" s="25">
        <v>425821770</v>
      </c>
      <c r="H162" s="25">
        <v>433597628</v>
      </c>
      <c r="I162" s="25">
        <v>441255236</v>
      </c>
      <c r="J162" s="25">
        <v>448912962</v>
      </c>
      <c r="K162" s="25">
        <v>456709513</v>
      </c>
      <c r="L162" s="25">
        <v>456709513</v>
      </c>
      <c r="M162">
        <v>456709513</v>
      </c>
    </row>
    <row r="163" spans="1:13" x14ac:dyDescent="0.45">
      <c r="A163" s="50" t="s">
        <v>333</v>
      </c>
      <c r="B163" s="25">
        <v>328991663</v>
      </c>
      <c r="C163" s="25">
        <v>334931821</v>
      </c>
      <c r="D163" s="25">
        <v>341024011</v>
      </c>
      <c r="E163" s="25">
        <v>347222485</v>
      </c>
      <c r="F163" s="25">
        <v>353463942</v>
      </c>
      <c r="G163" s="25">
        <v>359705458</v>
      </c>
      <c r="H163" s="25">
        <v>365909373</v>
      </c>
      <c r="I163" s="25">
        <v>372091950</v>
      </c>
      <c r="J163" s="25">
        <v>378327628</v>
      </c>
      <c r="K163" s="25">
        <v>384771780</v>
      </c>
      <c r="L163" s="25">
        <v>384771780</v>
      </c>
      <c r="M163">
        <v>384771780</v>
      </c>
    </row>
    <row r="164" spans="1:13" x14ac:dyDescent="0.45">
      <c r="A164" s="50" t="s">
        <v>334</v>
      </c>
      <c r="B164" s="25">
        <v>332777824</v>
      </c>
      <c r="C164" s="25">
        <v>338814807</v>
      </c>
      <c r="D164" s="25">
        <v>345004009</v>
      </c>
      <c r="E164" s="25">
        <v>351299193</v>
      </c>
      <c r="F164" s="25">
        <v>357637340</v>
      </c>
      <c r="G164" s="25">
        <v>363975550</v>
      </c>
      <c r="H164" s="25">
        <v>370276461</v>
      </c>
      <c r="I164" s="25">
        <v>376546755</v>
      </c>
      <c r="J164" s="25">
        <v>382896715</v>
      </c>
      <c r="K164" s="25">
        <v>389457086</v>
      </c>
      <c r="L164" s="25">
        <v>389457086</v>
      </c>
      <c r="M164">
        <v>389457086</v>
      </c>
    </row>
    <row r="165" spans="1:13" x14ac:dyDescent="0.45">
      <c r="A165" s="50" t="s">
        <v>335</v>
      </c>
      <c r="B165" s="25">
        <v>5211282520</v>
      </c>
      <c r="C165" s="25">
        <v>5272871333</v>
      </c>
      <c r="D165" s="25">
        <v>5334921187</v>
      </c>
      <c r="E165" s="25">
        <v>5397688222</v>
      </c>
      <c r="F165" s="25">
        <v>5460645554</v>
      </c>
      <c r="G165" s="25">
        <v>5523478045</v>
      </c>
      <c r="H165" s="25">
        <v>5586457054</v>
      </c>
      <c r="I165" s="25">
        <v>5649256048</v>
      </c>
      <c r="J165" s="25">
        <v>5710116989</v>
      </c>
      <c r="K165" s="25">
        <v>5769210817</v>
      </c>
      <c r="L165" s="25">
        <v>5769210817</v>
      </c>
      <c r="M165">
        <v>5769210817</v>
      </c>
    </row>
    <row r="166" spans="1:13" x14ac:dyDescent="0.45">
      <c r="A166" s="50" t="s">
        <v>336</v>
      </c>
      <c r="B166" s="25">
        <v>2861487</v>
      </c>
      <c r="C166" s="25">
        <v>2859833</v>
      </c>
      <c r="D166" s="25">
        <v>2859458</v>
      </c>
      <c r="E166" s="25">
        <v>2858692</v>
      </c>
      <c r="F166" s="25">
        <v>2856950</v>
      </c>
      <c r="G166" s="25">
        <v>2834530</v>
      </c>
      <c r="H166" s="25">
        <v>2802170</v>
      </c>
      <c r="I166" s="25">
        <v>2755158</v>
      </c>
      <c r="J166" s="25">
        <v>2708214</v>
      </c>
      <c r="K166" s="25">
        <v>2663251</v>
      </c>
      <c r="L166" s="25">
        <v>2663251</v>
      </c>
      <c r="M166">
        <v>2663251</v>
      </c>
    </row>
    <row r="167" spans="1:13" x14ac:dyDescent="0.45">
      <c r="A167" s="50" t="s">
        <v>337</v>
      </c>
      <c r="B167" s="25">
        <v>35612</v>
      </c>
      <c r="C167" s="25">
        <v>36024</v>
      </c>
      <c r="D167" s="25">
        <v>36460</v>
      </c>
      <c r="E167" s="25">
        <v>36901</v>
      </c>
      <c r="F167" s="25">
        <v>37322</v>
      </c>
      <c r="G167" s="25">
        <v>37718</v>
      </c>
      <c r="H167" s="25">
        <v>38070</v>
      </c>
      <c r="I167" s="25">
        <v>38392</v>
      </c>
      <c r="J167" s="25">
        <v>38682</v>
      </c>
      <c r="K167" s="25">
        <v>38964</v>
      </c>
      <c r="L167" s="25">
        <v>38964</v>
      </c>
      <c r="M167">
        <v>38964</v>
      </c>
    </row>
    <row r="168" spans="1:13" x14ac:dyDescent="0.45">
      <c r="A168" s="50" t="s">
        <v>338</v>
      </c>
      <c r="B168" s="25">
        <v>2719896</v>
      </c>
      <c r="C168" s="25">
        <v>2770362</v>
      </c>
      <c r="D168" s="25">
        <v>2824699</v>
      </c>
      <c r="E168" s="25">
        <v>2881792</v>
      </c>
      <c r="F168" s="25">
        <v>2940108</v>
      </c>
      <c r="G168" s="25">
        <v>2998439</v>
      </c>
      <c r="H168" s="25">
        <v>3056359</v>
      </c>
      <c r="I168" s="25">
        <v>3113779</v>
      </c>
      <c r="J168" s="25">
        <v>3170208</v>
      </c>
      <c r="K168" s="25">
        <v>3225167</v>
      </c>
      <c r="L168" s="25">
        <v>3225167</v>
      </c>
      <c r="M168">
        <v>3225167</v>
      </c>
    </row>
    <row r="169" spans="1:13" x14ac:dyDescent="0.45">
      <c r="A169" s="50" t="s">
        <v>339</v>
      </c>
      <c r="B169" s="25">
        <v>619428</v>
      </c>
      <c r="C169" s="25">
        <v>620079</v>
      </c>
      <c r="D169" s="25">
        <v>620601</v>
      </c>
      <c r="E169" s="25">
        <v>621207</v>
      </c>
      <c r="F169" s="25">
        <v>621810</v>
      </c>
      <c r="G169" s="25">
        <v>622159</v>
      </c>
      <c r="H169" s="25">
        <v>622303</v>
      </c>
      <c r="I169" s="25">
        <v>622373</v>
      </c>
      <c r="J169" s="25">
        <v>622227</v>
      </c>
      <c r="K169" s="25">
        <v>622028</v>
      </c>
      <c r="L169" s="25">
        <v>622028</v>
      </c>
      <c r="M169">
        <v>622028</v>
      </c>
    </row>
    <row r="170" spans="1:13" x14ac:dyDescent="0.45">
      <c r="A170" s="50" t="s">
        <v>340</v>
      </c>
      <c r="B170" s="25">
        <v>32343389</v>
      </c>
      <c r="C170" s="25">
        <v>32781850</v>
      </c>
      <c r="D170" s="25">
        <v>33241898</v>
      </c>
      <c r="E170" s="25">
        <v>33715693</v>
      </c>
      <c r="F170" s="25">
        <v>34192347</v>
      </c>
      <c r="G170" s="25">
        <v>34663603</v>
      </c>
      <c r="H170" s="25">
        <v>35126296</v>
      </c>
      <c r="I170" s="25">
        <v>35581294</v>
      </c>
      <c r="J170" s="25">
        <v>36029138</v>
      </c>
      <c r="K170" s="25">
        <v>36471769</v>
      </c>
      <c r="L170" s="25">
        <v>36471769</v>
      </c>
      <c r="M170">
        <v>36471769</v>
      </c>
    </row>
    <row r="171" spans="1:13" x14ac:dyDescent="0.45">
      <c r="A171" s="50" t="s">
        <v>341</v>
      </c>
      <c r="B171" s="25">
        <v>23531574</v>
      </c>
      <c r="C171" s="25">
        <v>24187487</v>
      </c>
      <c r="D171" s="25">
        <v>24862648</v>
      </c>
      <c r="E171" s="25">
        <v>25560725</v>
      </c>
      <c r="F171" s="25">
        <v>26286163</v>
      </c>
      <c r="G171" s="25">
        <v>27042002</v>
      </c>
      <c r="H171" s="25">
        <v>27829942</v>
      </c>
      <c r="I171" s="25">
        <v>28649007</v>
      </c>
      <c r="J171" s="25">
        <v>29495962</v>
      </c>
      <c r="K171" s="25">
        <v>30366036</v>
      </c>
      <c r="L171" s="25">
        <v>30366036</v>
      </c>
      <c r="M171">
        <v>30366036</v>
      </c>
    </row>
    <row r="172" spans="1:13" x14ac:dyDescent="0.45">
      <c r="A172" s="50" t="s">
        <v>342</v>
      </c>
      <c r="B172" s="25">
        <v>50600818</v>
      </c>
      <c r="C172" s="25">
        <v>50990615</v>
      </c>
      <c r="D172" s="25">
        <v>51413698</v>
      </c>
      <c r="E172" s="25">
        <v>51852451</v>
      </c>
      <c r="F172" s="25">
        <v>52280807</v>
      </c>
      <c r="G172" s="25">
        <v>52680726</v>
      </c>
      <c r="H172" s="25">
        <v>53045226</v>
      </c>
      <c r="I172" s="25">
        <v>53382581</v>
      </c>
      <c r="J172" s="25">
        <v>53708395</v>
      </c>
      <c r="K172" s="25">
        <v>54045420</v>
      </c>
      <c r="L172" s="25">
        <v>54045420</v>
      </c>
      <c r="M172">
        <v>54045420</v>
      </c>
    </row>
    <row r="173" spans="1:13" x14ac:dyDescent="0.45">
      <c r="A173" s="50" t="s">
        <v>343</v>
      </c>
      <c r="B173" s="25">
        <v>2118874</v>
      </c>
      <c r="C173" s="25">
        <v>2156701</v>
      </c>
      <c r="D173" s="25">
        <v>2194784</v>
      </c>
      <c r="E173" s="25">
        <v>2233510</v>
      </c>
      <c r="F173" s="25">
        <v>2273430</v>
      </c>
      <c r="G173" s="25">
        <v>2314904</v>
      </c>
      <c r="H173" s="25">
        <v>2358041</v>
      </c>
      <c r="I173" s="25">
        <v>2402603</v>
      </c>
      <c r="J173" s="25">
        <v>2448255</v>
      </c>
      <c r="K173" s="25">
        <v>2494530</v>
      </c>
      <c r="L173" s="25">
        <v>2494530</v>
      </c>
      <c r="M173">
        <v>2494530</v>
      </c>
    </row>
    <row r="174" spans="1:13" x14ac:dyDescent="0.45">
      <c r="A174" s="50" t="s">
        <v>344</v>
      </c>
      <c r="B174" s="25">
        <v>10005</v>
      </c>
      <c r="C174" s="25">
        <v>10057</v>
      </c>
      <c r="D174" s="25">
        <v>10279</v>
      </c>
      <c r="E174" s="25">
        <v>10821</v>
      </c>
      <c r="F174" s="25">
        <v>11853</v>
      </c>
      <c r="G174" s="25">
        <v>12475</v>
      </c>
      <c r="H174" s="25">
        <v>13049</v>
      </c>
      <c r="I174" s="25">
        <v>12876</v>
      </c>
      <c r="J174" s="25">
        <v>12704</v>
      </c>
      <c r="K174" s="25">
        <v>12581</v>
      </c>
      <c r="L174" s="25">
        <v>12581</v>
      </c>
      <c r="M174">
        <v>12581</v>
      </c>
    </row>
    <row r="175" spans="1:13" x14ac:dyDescent="0.45">
      <c r="A175" s="50" t="s">
        <v>345</v>
      </c>
      <c r="B175" s="25">
        <v>27013212</v>
      </c>
      <c r="C175" s="25">
        <v>27041437</v>
      </c>
      <c r="D175" s="25">
        <v>26989862</v>
      </c>
      <c r="E175" s="25">
        <v>26917906</v>
      </c>
      <c r="F175" s="25">
        <v>26906926</v>
      </c>
      <c r="G175" s="25">
        <v>27015031</v>
      </c>
      <c r="H175" s="25">
        <v>27261131</v>
      </c>
      <c r="I175" s="25">
        <v>27627124</v>
      </c>
      <c r="J175" s="25">
        <v>28087871</v>
      </c>
      <c r="K175" s="25">
        <v>28608710</v>
      </c>
      <c r="L175" s="25">
        <v>28608710</v>
      </c>
      <c r="M175">
        <v>28608710</v>
      </c>
    </row>
    <row r="176" spans="1:13" x14ac:dyDescent="0.45">
      <c r="A176" s="50" t="s">
        <v>156</v>
      </c>
      <c r="B176" s="25">
        <v>16615394</v>
      </c>
      <c r="C176" s="25">
        <v>16693074</v>
      </c>
      <c r="D176" s="25">
        <v>16754962</v>
      </c>
      <c r="E176" s="25">
        <v>16804432</v>
      </c>
      <c r="F176" s="25">
        <v>16865008</v>
      </c>
      <c r="G176" s="25">
        <v>16939923</v>
      </c>
      <c r="H176" s="25">
        <v>17030314</v>
      </c>
      <c r="I176" s="25">
        <v>17131296</v>
      </c>
      <c r="J176" s="25">
        <v>17231624</v>
      </c>
      <c r="K176" s="25">
        <v>17344874</v>
      </c>
      <c r="L176" s="25">
        <v>17344874</v>
      </c>
      <c r="M176">
        <v>17344874</v>
      </c>
    </row>
    <row r="177" spans="1:13" x14ac:dyDescent="0.45">
      <c r="A177" s="50" t="s">
        <v>346</v>
      </c>
      <c r="B177" s="25">
        <v>249750</v>
      </c>
      <c r="C177" s="25">
        <v>254350</v>
      </c>
      <c r="D177" s="25">
        <v>259000</v>
      </c>
      <c r="E177" s="25">
        <v>263650</v>
      </c>
      <c r="F177" s="25">
        <v>268050</v>
      </c>
      <c r="G177" s="25">
        <v>272400</v>
      </c>
      <c r="H177" s="25">
        <v>276550</v>
      </c>
      <c r="I177" s="25">
        <v>280350</v>
      </c>
      <c r="J177" s="25">
        <v>284060</v>
      </c>
      <c r="K177" s="25">
        <v>287800</v>
      </c>
      <c r="L177" s="25">
        <v>287800</v>
      </c>
      <c r="M177">
        <v>287800</v>
      </c>
    </row>
    <row r="178" spans="1:13" x14ac:dyDescent="0.45">
      <c r="A178" s="50" t="s">
        <v>347</v>
      </c>
      <c r="B178" s="25">
        <v>4350700</v>
      </c>
      <c r="C178" s="25">
        <v>4384000</v>
      </c>
      <c r="D178" s="25">
        <v>4408100</v>
      </c>
      <c r="E178" s="25">
        <v>4442100</v>
      </c>
      <c r="F178" s="25">
        <v>4516500</v>
      </c>
      <c r="G178" s="25">
        <v>4609400</v>
      </c>
      <c r="H178" s="25">
        <v>4714100</v>
      </c>
      <c r="I178" s="25">
        <v>4813600</v>
      </c>
      <c r="J178" s="25">
        <v>4900600</v>
      </c>
      <c r="K178" s="25">
        <v>4979300</v>
      </c>
      <c r="L178" s="25">
        <v>4979300</v>
      </c>
      <c r="M178">
        <v>4979300</v>
      </c>
    </row>
    <row r="179" spans="1:13" x14ac:dyDescent="0.45">
      <c r="A179" s="50" t="s">
        <v>348</v>
      </c>
      <c r="B179" s="25">
        <v>5824065</v>
      </c>
      <c r="C179" s="25">
        <v>5903039</v>
      </c>
      <c r="D179" s="25">
        <v>5982526</v>
      </c>
      <c r="E179" s="25">
        <v>6062454</v>
      </c>
      <c r="F179" s="25">
        <v>6142733</v>
      </c>
      <c r="G179" s="25">
        <v>6223240</v>
      </c>
      <c r="H179" s="25">
        <v>6303974</v>
      </c>
      <c r="I179" s="25">
        <v>6384855</v>
      </c>
      <c r="J179" s="25">
        <v>6465513</v>
      </c>
      <c r="K179" s="25">
        <v>6545502</v>
      </c>
      <c r="L179" s="25">
        <v>6545502</v>
      </c>
      <c r="M179">
        <v>6545502</v>
      </c>
    </row>
    <row r="180" spans="1:13" x14ac:dyDescent="0.45">
      <c r="A180" s="50" t="s">
        <v>349</v>
      </c>
      <c r="B180" s="25">
        <v>16464025</v>
      </c>
      <c r="C180" s="25">
        <v>17114761</v>
      </c>
      <c r="D180" s="25">
        <v>17795191</v>
      </c>
      <c r="E180" s="25">
        <v>18504255</v>
      </c>
      <c r="F180" s="25">
        <v>19240157</v>
      </c>
      <c r="G180" s="25">
        <v>20001663</v>
      </c>
      <c r="H180" s="25">
        <v>20788838</v>
      </c>
      <c r="I180" s="25">
        <v>21602472</v>
      </c>
      <c r="J180" s="25">
        <v>22442948</v>
      </c>
      <c r="K180" s="25">
        <v>23310715</v>
      </c>
      <c r="L180" s="25">
        <v>23310715</v>
      </c>
      <c r="M180">
        <v>23310715</v>
      </c>
    </row>
    <row r="181" spans="1:13" x14ac:dyDescent="0.45">
      <c r="A181" s="50" t="s">
        <v>350</v>
      </c>
      <c r="B181" s="25">
        <v>158503197</v>
      </c>
      <c r="C181" s="25">
        <v>162805071</v>
      </c>
      <c r="D181" s="25">
        <v>167228767</v>
      </c>
      <c r="E181" s="25">
        <v>171765769</v>
      </c>
      <c r="F181" s="25">
        <v>176404902</v>
      </c>
      <c r="G181" s="25">
        <v>181137448</v>
      </c>
      <c r="H181" s="25">
        <v>185960289</v>
      </c>
      <c r="I181" s="25">
        <v>190873311</v>
      </c>
      <c r="J181" s="25">
        <v>195874740</v>
      </c>
      <c r="K181" s="25">
        <v>200963599</v>
      </c>
      <c r="L181" s="25">
        <v>200963599</v>
      </c>
      <c r="M181">
        <v>200963599</v>
      </c>
    </row>
    <row r="182" spans="1:13" x14ac:dyDescent="0.45">
      <c r="A182" s="50" t="s">
        <v>351</v>
      </c>
      <c r="B182" s="25">
        <v>343391679</v>
      </c>
      <c r="C182" s="25">
        <v>345960766</v>
      </c>
      <c r="D182" s="25">
        <v>348610010</v>
      </c>
      <c r="E182" s="25">
        <v>351141670</v>
      </c>
      <c r="F182" s="25">
        <v>353803581</v>
      </c>
      <c r="G182" s="25">
        <v>356403308</v>
      </c>
      <c r="H182" s="25">
        <v>359115352</v>
      </c>
      <c r="I182" s="25">
        <v>361594707</v>
      </c>
      <c r="J182" s="25">
        <v>363816599</v>
      </c>
      <c r="K182" s="25">
        <v>365896934</v>
      </c>
      <c r="L182" s="25">
        <v>365896934</v>
      </c>
      <c r="M182">
        <v>365896934</v>
      </c>
    </row>
    <row r="183" spans="1:13" x14ac:dyDescent="0.45">
      <c r="A183" s="50" t="s">
        <v>352</v>
      </c>
      <c r="B183" s="25">
        <v>2070741</v>
      </c>
      <c r="C183" s="25">
        <v>2072487</v>
      </c>
      <c r="D183" s="25">
        <v>2074278</v>
      </c>
      <c r="E183" s="25">
        <v>2076067</v>
      </c>
      <c r="F183" s="25">
        <v>2077775</v>
      </c>
      <c r="G183" s="25">
        <v>2079328</v>
      </c>
      <c r="H183" s="25">
        <v>2080745</v>
      </c>
      <c r="I183" s="25">
        <v>2081996</v>
      </c>
      <c r="J183" s="25">
        <v>2082958</v>
      </c>
      <c r="K183" s="25">
        <v>2083459</v>
      </c>
      <c r="L183" s="25">
        <v>2083459</v>
      </c>
      <c r="M183">
        <v>2083459</v>
      </c>
    </row>
    <row r="184" spans="1:13" x14ac:dyDescent="0.45">
      <c r="A184" s="50" t="s">
        <v>353</v>
      </c>
      <c r="B184" s="25">
        <v>53971</v>
      </c>
      <c r="C184" s="25">
        <v>54012</v>
      </c>
      <c r="D184" s="25">
        <v>54311</v>
      </c>
      <c r="E184" s="25">
        <v>54784</v>
      </c>
      <c r="F184" s="25">
        <v>55305</v>
      </c>
      <c r="G184" s="25">
        <v>55780</v>
      </c>
      <c r="H184" s="25">
        <v>56188</v>
      </c>
      <c r="I184" s="25">
        <v>56562</v>
      </c>
      <c r="J184" s="25">
        <v>56882</v>
      </c>
      <c r="K184" s="25">
        <v>57216</v>
      </c>
      <c r="L184" s="25">
        <v>57216</v>
      </c>
      <c r="M184">
        <v>57216</v>
      </c>
    </row>
    <row r="185" spans="1:13" x14ac:dyDescent="0.45">
      <c r="A185" s="50" t="s">
        <v>159</v>
      </c>
      <c r="B185" s="25">
        <v>4889252</v>
      </c>
      <c r="C185" s="25">
        <v>4953088</v>
      </c>
      <c r="D185" s="25">
        <v>5018573</v>
      </c>
      <c r="E185" s="25">
        <v>5079623</v>
      </c>
      <c r="F185" s="25">
        <v>5137232</v>
      </c>
      <c r="G185" s="25">
        <v>5188607</v>
      </c>
      <c r="H185" s="25">
        <v>5234519</v>
      </c>
      <c r="I185" s="25">
        <v>5276968</v>
      </c>
      <c r="J185" s="25">
        <v>5311916</v>
      </c>
      <c r="K185" s="25">
        <v>5347896</v>
      </c>
      <c r="L185" s="25">
        <v>5347896</v>
      </c>
      <c r="M185">
        <v>5347896</v>
      </c>
    </row>
    <row r="186" spans="1:13" x14ac:dyDescent="0.45">
      <c r="A186" s="50" t="s">
        <v>354</v>
      </c>
      <c r="B186" s="25">
        <v>1287527865</v>
      </c>
      <c r="C186" s="25">
        <v>1294064030</v>
      </c>
      <c r="D186" s="25">
        <v>1302075111</v>
      </c>
      <c r="E186" s="25">
        <v>1310419162</v>
      </c>
      <c r="F186" s="25">
        <v>1319156767</v>
      </c>
      <c r="G186" s="25">
        <v>1327835747</v>
      </c>
      <c r="H186" s="25">
        <v>1336665971</v>
      </c>
      <c r="I186" s="25">
        <v>1344893694</v>
      </c>
      <c r="J186" s="25">
        <v>1352712891</v>
      </c>
      <c r="K186" s="25">
        <v>1360092863</v>
      </c>
      <c r="L186" s="25">
        <v>1360092863</v>
      </c>
      <c r="M186">
        <v>1360092863</v>
      </c>
    </row>
    <row r="187" spans="1:13" x14ac:dyDescent="0.45">
      <c r="A187" s="50" t="s">
        <v>355</v>
      </c>
      <c r="B187" s="25">
        <v>3041434</v>
      </c>
      <c r="C187" s="25">
        <v>3251108</v>
      </c>
      <c r="D187" s="25">
        <v>3498029</v>
      </c>
      <c r="E187" s="25">
        <v>3764805</v>
      </c>
      <c r="F187" s="25">
        <v>4027260</v>
      </c>
      <c r="G187" s="25">
        <v>4267348</v>
      </c>
      <c r="H187" s="25">
        <v>4479219</v>
      </c>
      <c r="I187" s="25">
        <v>4665935</v>
      </c>
      <c r="J187" s="25">
        <v>4829483</v>
      </c>
      <c r="K187" s="25">
        <v>4974986</v>
      </c>
      <c r="L187" s="25">
        <v>4974986</v>
      </c>
      <c r="M187">
        <v>4974986</v>
      </c>
    </row>
    <row r="188" spans="1:13" x14ac:dyDescent="0.45">
      <c r="A188" s="50" t="s">
        <v>356</v>
      </c>
      <c r="B188" s="25">
        <v>26050942</v>
      </c>
      <c r="C188" s="25">
        <v>26647962</v>
      </c>
      <c r="D188" s="25">
        <v>27227319</v>
      </c>
      <c r="E188" s="25">
        <v>27794595</v>
      </c>
      <c r="F188" s="25">
        <v>28364410</v>
      </c>
      <c r="G188" s="25">
        <v>28948869</v>
      </c>
      <c r="H188" s="25">
        <v>29542879</v>
      </c>
      <c r="I188" s="25">
        <v>30148800</v>
      </c>
      <c r="J188" s="25">
        <v>30760211</v>
      </c>
      <c r="K188" s="25">
        <v>31361265</v>
      </c>
      <c r="L188" s="25">
        <v>31361265</v>
      </c>
      <c r="M188">
        <v>31361265</v>
      </c>
    </row>
    <row r="189" spans="1:13" x14ac:dyDescent="0.45">
      <c r="A189" s="50" t="s">
        <v>357</v>
      </c>
      <c r="B189" s="25">
        <v>2214519</v>
      </c>
      <c r="C189" s="25">
        <v>2241798</v>
      </c>
      <c r="D189" s="25">
        <v>2268708</v>
      </c>
      <c r="E189" s="25">
        <v>2296101</v>
      </c>
      <c r="F189" s="25">
        <v>2325136</v>
      </c>
      <c r="G189" s="25">
        <v>2355672</v>
      </c>
      <c r="H189" s="25">
        <v>2388307</v>
      </c>
      <c r="I189" s="25">
        <v>2422086</v>
      </c>
      <c r="J189" s="25">
        <v>2457367</v>
      </c>
      <c r="K189" s="25">
        <v>2493696</v>
      </c>
      <c r="L189" s="25">
        <v>2493696</v>
      </c>
      <c r="M189">
        <v>2493696</v>
      </c>
    </row>
    <row r="190" spans="1:13" x14ac:dyDescent="0.45">
      <c r="A190" s="50" t="s">
        <v>358</v>
      </c>
      <c r="B190" s="25">
        <v>179424641</v>
      </c>
      <c r="C190" s="25">
        <v>183340592</v>
      </c>
      <c r="D190" s="25">
        <v>187281475</v>
      </c>
      <c r="E190" s="25">
        <v>191262919</v>
      </c>
      <c r="F190" s="25">
        <v>195306825</v>
      </c>
      <c r="G190" s="25">
        <v>199426964</v>
      </c>
      <c r="H190" s="25">
        <v>203627284</v>
      </c>
      <c r="I190" s="25">
        <v>207896686</v>
      </c>
      <c r="J190" s="25">
        <v>212215030</v>
      </c>
      <c r="K190" s="25">
        <v>216565318</v>
      </c>
      <c r="L190" s="25">
        <v>216565318</v>
      </c>
      <c r="M190">
        <v>216565318</v>
      </c>
    </row>
    <row r="191" spans="1:13" x14ac:dyDescent="0.45">
      <c r="A191" s="50" t="s">
        <v>359</v>
      </c>
      <c r="B191" s="25">
        <v>17955</v>
      </c>
      <c r="C191" s="25">
        <v>17745</v>
      </c>
      <c r="D191" s="25">
        <v>17640</v>
      </c>
      <c r="E191" s="25">
        <v>17606</v>
      </c>
      <c r="F191" s="25">
        <v>17626</v>
      </c>
      <c r="G191" s="25">
        <v>17665</v>
      </c>
      <c r="H191" s="25">
        <v>17725</v>
      </c>
      <c r="I191" s="25">
        <v>17808</v>
      </c>
      <c r="J191" s="25">
        <v>17907</v>
      </c>
      <c r="K191" s="25">
        <v>18008</v>
      </c>
      <c r="L191" s="25">
        <v>18008</v>
      </c>
      <c r="M191">
        <v>18008</v>
      </c>
    </row>
    <row r="192" spans="1:13" x14ac:dyDescent="0.45">
      <c r="A192" s="50" t="s">
        <v>360</v>
      </c>
      <c r="B192" s="25">
        <v>3642687</v>
      </c>
      <c r="C192" s="25">
        <v>3706483</v>
      </c>
      <c r="D192" s="25">
        <v>3770624</v>
      </c>
      <c r="E192" s="25">
        <v>3835437</v>
      </c>
      <c r="F192" s="25">
        <v>3901315</v>
      </c>
      <c r="G192" s="25">
        <v>3968487</v>
      </c>
      <c r="H192" s="25">
        <v>4037078</v>
      </c>
      <c r="I192" s="25">
        <v>4106771</v>
      </c>
      <c r="J192" s="25">
        <v>4176873</v>
      </c>
      <c r="K192" s="25">
        <v>4246439</v>
      </c>
      <c r="L192" s="25">
        <v>4246439</v>
      </c>
      <c r="M192">
        <v>4246439</v>
      </c>
    </row>
    <row r="193" spans="1:13" x14ac:dyDescent="0.45">
      <c r="A193" s="50" t="s">
        <v>361</v>
      </c>
      <c r="B193" s="25">
        <v>7310507</v>
      </c>
      <c r="C193" s="25">
        <v>7472200</v>
      </c>
      <c r="D193" s="25">
        <v>7631002</v>
      </c>
      <c r="E193" s="25">
        <v>7788379</v>
      </c>
      <c r="F193" s="25">
        <v>7946731</v>
      </c>
      <c r="G193" s="25">
        <v>8107775</v>
      </c>
      <c r="H193" s="25">
        <v>8271760</v>
      </c>
      <c r="I193" s="25">
        <v>8438029</v>
      </c>
      <c r="J193" s="25">
        <v>8606316</v>
      </c>
      <c r="K193" s="25">
        <v>8776109</v>
      </c>
      <c r="L193" s="25">
        <v>8776109</v>
      </c>
      <c r="M193">
        <v>8776109</v>
      </c>
    </row>
    <row r="194" spans="1:13" x14ac:dyDescent="0.45">
      <c r="A194" s="50" t="s">
        <v>362</v>
      </c>
      <c r="B194" s="25">
        <v>6248020</v>
      </c>
      <c r="C194" s="25">
        <v>6333976</v>
      </c>
      <c r="D194" s="25">
        <v>6421512</v>
      </c>
      <c r="E194" s="25">
        <v>6510276</v>
      </c>
      <c r="F194" s="25">
        <v>6599526</v>
      </c>
      <c r="G194" s="25">
        <v>6688746</v>
      </c>
      <c r="H194" s="25">
        <v>6777872</v>
      </c>
      <c r="I194" s="25">
        <v>6867062</v>
      </c>
      <c r="J194" s="25">
        <v>6956071</v>
      </c>
      <c r="K194" s="25">
        <v>7044636</v>
      </c>
      <c r="L194" s="25">
        <v>7044636</v>
      </c>
      <c r="M194">
        <v>7044636</v>
      </c>
    </row>
    <row r="195" spans="1:13" x14ac:dyDescent="0.45">
      <c r="A195" s="50" t="s">
        <v>363</v>
      </c>
      <c r="B195" s="25">
        <v>29027674</v>
      </c>
      <c r="C195" s="25">
        <v>29264318</v>
      </c>
      <c r="D195" s="25">
        <v>29506788</v>
      </c>
      <c r="E195" s="25">
        <v>29773987</v>
      </c>
      <c r="F195" s="25">
        <v>30090359</v>
      </c>
      <c r="G195" s="25">
        <v>30470734</v>
      </c>
      <c r="H195" s="25">
        <v>30926032</v>
      </c>
      <c r="I195" s="25">
        <v>31444297</v>
      </c>
      <c r="J195" s="25">
        <v>31989256</v>
      </c>
      <c r="K195" s="25">
        <v>32510453</v>
      </c>
      <c r="L195" s="25">
        <v>32510453</v>
      </c>
      <c r="M195">
        <v>32510453</v>
      </c>
    </row>
    <row r="196" spans="1:13" x14ac:dyDescent="0.45">
      <c r="A196" s="50" t="s">
        <v>364</v>
      </c>
      <c r="B196" s="25">
        <v>93966780</v>
      </c>
      <c r="C196" s="25">
        <v>95570047</v>
      </c>
      <c r="D196" s="25">
        <v>97212638</v>
      </c>
      <c r="E196" s="25">
        <v>98871552</v>
      </c>
      <c r="F196" s="25">
        <v>100513138</v>
      </c>
      <c r="G196" s="25">
        <v>102113212</v>
      </c>
      <c r="H196" s="25">
        <v>103663927</v>
      </c>
      <c r="I196" s="25">
        <v>105173264</v>
      </c>
      <c r="J196" s="25">
        <v>106651922</v>
      </c>
      <c r="K196" s="25">
        <v>108116615</v>
      </c>
      <c r="L196" s="25">
        <v>108116615</v>
      </c>
      <c r="M196">
        <v>108116615</v>
      </c>
    </row>
    <row r="197" spans="1:13" x14ac:dyDescent="0.45">
      <c r="A197" s="50" t="s">
        <v>172</v>
      </c>
      <c r="B197" s="25">
        <v>38042794</v>
      </c>
      <c r="C197" s="25">
        <v>38063255</v>
      </c>
      <c r="D197" s="25">
        <v>38063164</v>
      </c>
      <c r="E197" s="25">
        <v>38040196</v>
      </c>
      <c r="F197" s="25">
        <v>38011735</v>
      </c>
      <c r="G197" s="25">
        <v>37986412</v>
      </c>
      <c r="H197" s="25">
        <v>37970087</v>
      </c>
      <c r="I197" s="25">
        <v>37974826</v>
      </c>
      <c r="J197" s="25">
        <v>37974750</v>
      </c>
      <c r="K197" s="25">
        <v>37965475</v>
      </c>
      <c r="L197" s="25">
        <v>37965475</v>
      </c>
      <c r="M197">
        <v>37965475</v>
      </c>
    </row>
    <row r="198" spans="1:13" x14ac:dyDescent="0.45">
      <c r="A198" s="50" t="s">
        <v>178</v>
      </c>
      <c r="B198" s="25">
        <v>10573100</v>
      </c>
      <c r="C198" s="25">
        <v>10557560</v>
      </c>
      <c r="D198" s="25">
        <v>10514844</v>
      </c>
      <c r="E198" s="25">
        <v>10457295</v>
      </c>
      <c r="F198" s="25">
        <v>10401062</v>
      </c>
      <c r="G198" s="25">
        <v>10358076</v>
      </c>
      <c r="H198" s="25">
        <v>10325452</v>
      </c>
      <c r="I198" s="25">
        <v>10300300</v>
      </c>
      <c r="J198" s="25">
        <v>10283822</v>
      </c>
      <c r="K198" s="25">
        <v>10286263</v>
      </c>
      <c r="L198" s="25">
        <v>10286263</v>
      </c>
      <c r="M198">
        <v>10286263</v>
      </c>
    </row>
    <row r="199" spans="1:13" x14ac:dyDescent="0.45">
      <c r="A199" s="50" t="s">
        <v>365</v>
      </c>
      <c r="B199" s="25">
        <v>1074865103</v>
      </c>
      <c r="C199" s="25">
        <v>1077815367</v>
      </c>
      <c r="D199" s="25">
        <v>1082327434</v>
      </c>
      <c r="E199" s="25">
        <v>1087064112</v>
      </c>
      <c r="F199" s="25">
        <v>1092002906</v>
      </c>
      <c r="G199" s="25">
        <v>1096873760</v>
      </c>
      <c r="H199" s="25">
        <v>1101735921</v>
      </c>
      <c r="I199" s="25">
        <v>1105793276</v>
      </c>
      <c r="J199" s="25">
        <v>1109508487</v>
      </c>
      <c r="K199" s="25">
        <v>1113006461</v>
      </c>
      <c r="L199" s="25">
        <v>1113006461</v>
      </c>
      <c r="M199">
        <v>1113006461</v>
      </c>
    </row>
    <row r="200" spans="1:13" x14ac:dyDescent="0.45">
      <c r="A200" s="50" t="s">
        <v>366</v>
      </c>
      <c r="B200" s="25">
        <v>731868772</v>
      </c>
      <c r="C200" s="25">
        <v>753326798</v>
      </c>
      <c r="D200" s="25">
        <v>775573001</v>
      </c>
      <c r="E200" s="25">
        <v>798495530</v>
      </c>
      <c r="F200" s="25">
        <v>821931240</v>
      </c>
      <c r="G200" s="25">
        <v>845759344</v>
      </c>
      <c r="H200" s="25">
        <v>869943914</v>
      </c>
      <c r="I200" s="25">
        <v>894512725</v>
      </c>
      <c r="J200" s="25">
        <v>919485393</v>
      </c>
      <c r="K200" s="25">
        <v>944902749</v>
      </c>
      <c r="L200" s="25">
        <v>944902749</v>
      </c>
      <c r="M200">
        <v>944902749</v>
      </c>
    </row>
    <row r="201" spans="1:13" x14ac:dyDescent="0.45">
      <c r="A201" s="50" t="s">
        <v>367</v>
      </c>
      <c r="B201" s="25">
        <v>3721525</v>
      </c>
      <c r="C201" s="25">
        <v>3678732</v>
      </c>
      <c r="D201" s="25">
        <v>3634488</v>
      </c>
      <c r="E201" s="25">
        <v>3593077</v>
      </c>
      <c r="F201" s="25">
        <v>3534874</v>
      </c>
      <c r="G201" s="25">
        <v>3473232</v>
      </c>
      <c r="H201" s="25">
        <v>3406672</v>
      </c>
      <c r="I201" s="25">
        <v>3325286</v>
      </c>
      <c r="J201" s="25">
        <v>3193354</v>
      </c>
      <c r="K201" s="25">
        <v>3193694</v>
      </c>
      <c r="L201" s="25">
        <v>3193694</v>
      </c>
      <c r="M201">
        <v>3193694</v>
      </c>
    </row>
    <row r="202" spans="1:13" x14ac:dyDescent="0.45">
      <c r="A202" s="50" t="s">
        <v>368</v>
      </c>
      <c r="B202" s="25">
        <v>1856327</v>
      </c>
      <c r="C202" s="25">
        <v>2035871</v>
      </c>
      <c r="D202" s="25">
        <v>2196074</v>
      </c>
      <c r="E202" s="25">
        <v>2336574</v>
      </c>
      <c r="F202" s="25">
        <v>2459198</v>
      </c>
      <c r="G202" s="25">
        <v>2565710</v>
      </c>
      <c r="H202" s="25">
        <v>2654374</v>
      </c>
      <c r="I202" s="25">
        <v>2724724</v>
      </c>
      <c r="J202" s="25">
        <v>2781677</v>
      </c>
      <c r="K202" s="25">
        <v>2832067</v>
      </c>
      <c r="L202" s="25">
        <v>2832067</v>
      </c>
      <c r="M202">
        <v>2832067</v>
      </c>
    </row>
    <row r="203" spans="1:13" x14ac:dyDescent="0.45">
      <c r="A203" s="50" t="s">
        <v>369</v>
      </c>
      <c r="B203" s="25">
        <v>20246871</v>
      </c>
      <c r="C203" s="25">
        <v>20147528</v>
      </c>
      <c r="D203" s="25">
        <v>20058035</v>
      </c>
      <c r="E203" s="25">
        <v>19983693</v>
      </c>
      <c r="F203" s="25">
        <v>19908979</v>
      </c>
      <c r="G203" s="25">
        <v>19815616</v>
      </c>
      <c r="H203" s="25">
        <v>19702267</v>
      </c>
      <c r="I203" s="25">
        <v>19587290</v>
      </c>
      <c r="J203" s="25">
        <v>19472545</v>
      </c>
      <c r="K203" s="25">
        <v>19366221</v>
      </c>
      <c r="L203" s="25">
        <v>19366221</v>
      </c>
      <c r="M203">
        <v>19366221</v>
      </c>
    </row>
    <row r="204" spans="1:13" x14ac:dyDescent="0.45">
      <c r="A204" s="50" t="s">
        <v>370</v>
      </c>
      <c r="B204" s="25">
        <v>142849468</v>
      </c>
      <c r="C204" s="25">
        <v>142960908</v>
      </c>
      <c r="D204" s="25">
        <v>143201721</v>
      </c>
      <c r="E204" s="25">
        <v>143506995</v>
      </c>
      <c r="F204" s="25">
        <v>143819667</v>
      </c>
      <c r="G204" s="25">
        <v>144096870</v>
      </c>
      <c r="H204" s="25">
        <v>144342397</v>
      </c>
      <c r="I204" s="25">
        <v>144496739</v>
      </c>
      <c r="J204" s="25">
        <v>144477859</v>
      </c>
      <c r="K204" s="25">
        <v>144406261</v>
      </c>
      <c r="L204" s="25">
        <v>144406261</v>
      </c>
      <c r="M204">
        <v>144406261</v>
      </c>
    </row>
    <row r="205" spans="1:13" x14ac:dyDescent="0.45">
      <c r="A205" s="50" t="s">
        <v>371</v>
      </c>
      <c r="B205" s="25">
        <v>10039338</v>
      </c>
      <c r="C205" s="25">
        <v>10293331</v>
      </c>
      <c r="D205" s="25">
        <v>10549678</v>
      </c>
      <c r="E205" s="25">
        <v>10811543</v>
      </c>
      <c r="F205" s="25">
        <v>11083635</v>
      </c>
      <c r="G205" s="25">
        <v>11369071</v>
      </c>
      <c r="H205" s="25">
        <v>11668818</v>
      </c>
      <c r="I205" s="25">
        <v>11980937</v>
      </c>
      <c r="J205" s="25">
        <v>12301939</v>
      </c>
      <c r="K205" s="25">
        <v>12626950</v>
      </c>
      <c r="L205" s="25">
        <v>12626950</v>
      </c>
      <c r="M205">
        <v>12626950</v>
      </c>
    </row>
    <row r="206" spans="1:13" x14ac:dyDescent="0.45">
      <c r="A206" s="50" t="s">
        <v>372</v>
      </c>
      <c r="B206" s="25">
        <v>185949</v>
      </c>
      <c r="C206" s="25">
        <v>187469</v>
      </c>
      <c r="D206" s="25">
        <v>189088</v>
      </c>
      <c r="E206" s="25">
        <v>190717</v>
      </c>
      <c r="F206" s="25">
        <v>192221</v>
      </c>
      <c r="G206" s="25">
        <v>193513</v>
      </c>
      <c r="H206" s="25">
        <v>194535</v>
      </c>
      <c r="I206" s="25">
        <v>195352</v>
      </c>
      <c r="J206" s="25">
        <v>196130</v>
      </c>
      <c r="K206" s="25">
        <v>197097</v>
      </c>
      <c r="L206" s="25">
        <v>197097</v>
      </c>
      <c r="M206">
        <v>197097</v>
      </c>
    </row>
    <row r="207" spans="1:13" x14ac:dyDescent="0.45">
      <c r="A207" s="50" t="s">
        <v>373</v>
      </c>
      <c r="B207" s="25">
        <v>31229</v>
      </c>
      <c r="C207" s="25">
        <v>31661</v>
      </c>
      <c r="D207" s="25">
        <v>32105</v>
      </c>
      <c r="E207" s="25">
        <v>32553</v>
      </c>
      <c r="F207" s="25">
        <v>32948</v>
      </c>
      <c r="G207" s="25">
        <v>33272</v>
      </c>
      <c r="H207" s="25">
        <v>33504</v>
      </c>
      <c r="I207" s="25">
        <v>33671</v>
      </c>
      <c r="J207" s="25">
        <v>33785</v>
      </c>
      <c r="K207" s="25">
        <v>33860</v>
      </c>
      <c r="L207" s="25">
        <v>33860</v>
      </c>
      <c r="M207">
        <v>33860</v>
      </c>
    </row>
    <row r="208" spans="1:13" x14ac:dyDescent="0.45">
      <c r="A208" s="50" t="s">
        <v>374</v>
      </c>
      <c r="B208" s="25">
        <v>180371</v>
      </c>
      <c r="C208" s="25">
        <v>184524</v>
      </c>
      <c r="D208" s="25">
        <v>188404</v>
      </c>
      <c r="E208" s="25">
        <v>192087</v>
      </c>
      <c r="F208" s="25">
        <v>195727</v>
      </c>
      <c r="G208" s="25">
        <v>199432</v>
      </c>
      <c r="H208" s="25">
        <v>203227</v>
      </c>
      <c r="I208" s="25">
        <v>207089</v>
      </c>
      <c r="J208" s="25">
        <v>211028</v>
      </c>
      <c r="K208" s="25">
        <v>215056</v>
      </c>
      <c r="L208" s="25">
        <v>215056</v>
      </c>
      <c r="M208">
        <v>215056</v>
      </c>
    </row>
    <row r="209" spans="1:13" x14ac:dyDescent="0.45">
      <c r="A209" s="50" t="s">
        <v>375</v>
      </c>
      <c r="B209" s="25">
        <v>27421461</v>
      </c>
      <c r="C209" s="25">
        <v>28267685</v>
      </c>
      <c r="D209" s="25">
        <v>29155187</v>
      </c>
      <c r="E209" s="25">
        <v>30052518</v>
      </c>
      <c r="F209" s="25">
        <v>30916994</v>
      </c>
      <c r="G209" s="25">
        <v>31717667</v>
      </c>
      <c r="H209" s="25">
        <v>32442572</v>
      </c>
      <c r="I209" s="25">
        <v>33099147</v>
      </c>
      <c r="J209" s="25">
        <v>33699947</v>
      </c>
      <c r="K209" s="25">
        <v>34268528</v>
      </c>
      <c r="L209" s="25">
        <v>34268528</v>
      </c>
      <c r="M209">
        <v>34268528</v>
      </c>
    </row>
    <row r="210" spans="1:13" x14ac:dyDescent="0.45">
      <c r="A210" s="50" t="s">
        <v>376</v>
      </c>
      <c r="B210" s="25">
        <v>12678148</v>
      </c>
      <c r="C210" s="25">
        <v>13033809</v>
      </c>
      <c r="D210" s="25">
        <v>13401991</v>
      </c>
      <c r="E210" s="25">
        <v>13782420</v>
      </c>
      <c r="F210" s="25">
        <v>14174731</v>
      </c>
      <c r="G210" s="25">
        <v>14578459</v>
      </c>
      <c r="H210" s="25">
        <v>14993528</v>
      </c>
      <c r="I210" s="25">
        <v>15419381</v>
      </c>
      <c r="J210" s="25">
        <v>15854360</v>
      </c>
      <c r="K210" s="25">
        <v>16296364</v>
      </c>
      <c r="L210" s="25">
        <v>16296364</v>
      </c>
      <c r="M210">
        <v>16296364</v>
      </c>
    </row>
    <row r="211" spans="1:13" x14ac:dyDescent="0.45">
      <c r="A211" s="50" t="s">
        <v>171</v>
      </c>
      <c r="B211" s="25">
        <v>7291436</v>
      </c>
      <c r="C211" s="25">
        <v>7234099</v>
      </c>
      <c r="D211" s="25">
        <v>7199077</v>
      </c>
      <c r="E211" s="25">
        <v>7164132</v>
      </c>
      <c r="F211" s="25">
        <v>7130576</v>
      </c>
      <c r="G211" s="25">
        <v>7095383</v>
      </c>
      <c r="H211" s="25">
        <v>7058322</v>
      </c>
      <c r="I211" s="25">
        <v>7020858</v>
      </c>
      <c r="J211" s="25">
        <v>6982604</v>
      </c>
      <c r="K211" s="25">
        <v>6945235</v>
      </c>
      <c r="L211" s="25">
        <v>6945235</v>
      </c>
      <c r="M211">
        <v>6945235</v>
      </c>
    </row>
    <row r="212" spans="1:13" x14ac:dyDescent="0.45">
      <c r="A212" s="50" t="s">
        <v>377</v>
      </c>
      <c r="B212" s="25">
        <v>89770</v>
      </c>
      <c r="C212" s="25">
        <v>87441</v>
      </c>
      <c r="D212" s="25">
        <v>88303</v>
      </c>
      <c r="E212" s="25">
        <v>89949</v>
      </c>
      <c r="F212" s="25">
        <v>91359</v>
      </c>
      <c r="G212" s="25">
        <v>93419</v>
      </c>
      <c r="H212" s="25">
        <v>94677</v>
      </c>
      <c r="I212" s="25">
        <v>95843</v>
      </c>
      <c r="J212" s="25">
        <v>96762</v>
      </c>
      <c r="K212" s="25">
        <v>97625</v>
      </c>
      <c r="L212" s="25">
        <v>97625</v>
      </c>
      <c r="M212">
        <v>97625</v>
      </c>
    </row>
    <row r="213" spans="1:13" x14ac:dyDescent="0.45">
      <c r="A213" s="50" t="s">
        <v>378</v>
      </c>
      <c r="B213" s="25">
        <v>6415634</v>
      </c>
      <c r="C213" s="25">
        <v>6563240</v>
      </c>
      <c r="D213" s="25">
        <v>6712581</v>
      </c>
      <c r="E213" s="25">
        <v>6863980</v>
      </c>
      <c r="F213" s="25">
        <v>7017144</v>
      </c>
      <c r="G213" s="25">
        <v>7171914</v>
      </c>
      <c r="H213" s="25">
        <v>7328838</v>
      </c>
      <c r="I213" s="25">
        <v>7488431</v>
      </c>
      <c r="J213" s="25">
        <v>7650154</v>
      </c>
      <c r="K213" s="25">
        <v>7813215</v>
      </c>
      <c r="L213" s="25">
        <v>7813215</v>
      </c>
      <c r="M213">
        <v>7813215</v>
      </c>
    </row>
    <row r="214" spans="1:13" x14ac:dyDescent="0.45">
      <c r="A214" s="50" t="s">
        <v>379</v>
      </c>
      <c r="B214" s="25">
        <v>5076732</v>
      </c>
      <c r="C214" s="25">
        <v>5183688</v>
      </c>
      <c r="D214" s="25">
        <v>5312437</v>
      </c>
      <c r="E214" s="25">
        <v>5399162</v>
      </c>
      <c r="F214" s="25">
        <v>5469724</v>
      </c>
      <c r="G214" s="25">
        <v>5535002</v>
      </c>
      <c r="H214" s="25">
        <v>5607283</v>
      </c>
      <c r="I214" s="25">
        <v>5612253</v>
      </c>
      <c r="J214" s="25">
        <v>5638676</v>
      </c>
      <c r="K214" s="25">
        <v>5703569</v>
      </c>
      <c r="L214" s="25">
        <v>5703569</v>
      </c>
      <c r="M214">
        <v>5703569</v>
      </c>
    </row>
    <row r="215" spans="1:13" x14ac:dyDescent="0.45">
      <c r="A215" s="50" t="s">
        <v>380</v>
      </c>
      <c r="B215" s="25">
        <v>34056</v>
      </c>
      <c r="C215" s="25">
        <v>33435</v>
      </c>
      <c r="D215" s="25">
        <v>34640</v>
      </c>
      <c r="E215" s="25">
        <v>36607</v>
      </c>
      <c r="F215" s="25">
        <v>37685</v>
      </c>
      <c r="G215" s="25">
        <v>38825</v>
      </c>
      <c r="H215" s="25">
        <v>39969</v>
      </c>
      <c r="I215" s="25">
        <v>40574</v>
      </c>
      <c r="J215" s="25">
        <v>40654</v>
      </c>
      <c r="K215" s="25">
        <v>40733</v>
      </c>
      <c r="L215" s="25">
        <v>40733</v>
      </c>
      <c r="M215">
        <v>40733</v>
      </c>
    </row>
    <row r="216" spans="1:13" x14ac:dyDescent="0.45">
      <c r="A216" s="50" t="s">
        <v>152</v>
      </c>
      <c r="B216" s="25">
        <v>5391428</v>
      </c>
      <c r="C216" s="25">
        <v>5398384</v>
      </c>
      <c r="D216" s="25">
        <v>5407579</v>
      </c>
      <c r="E216" s="25">
        <v>5413393</v>
      </c>
      <c r="F216" s="25">
        <v>5418649</v>
      </c>
      <c r="G216" s="25">
        <v>5423801</v>
      </c>
      <c r="H216" s="25">
        <v>5430798</v>
      </c>
      <c r="I216" s="25">
        <v>5439232</v>
      </c>
      <c r="J216" s="25">
        <v>5446771</v>
      </c>
      <c r="K216" s="25">
        <v>5454147</v>
      </c>
      <c r="L216" s="25">
        <v>5454147</v>
      </c>
      <c r="M216">
        <v>5454147</v>
      </c>
    </row>
    <row r="217" spans="1:13" x14ac:dyDescent="0.45">
      <c r="A217" s="50" t="s">
        <v>169</v>
      </c>
      <c r="B217" s="25">
        <v>2048583</v>
      </c>
      <c r="C217" s="25">
        <v>2052843</v>
      </c>
      <c r="D217" s="25">
        <v>2057159</v>
      </c>
      <c r="E217" s="25">
        <v>2059953</v>
      </c>
      <c r="F217" s="25">
        <v>2061980</v>
      </c>
      <c r="G217" s="25">
        <v>2063531</v>
      </c>
      <c r="H217" s="25">
        <v>2065042</v>
      </c>
      <c r="I217" s="25">
        <v>2066388</v>
      </c>
      <c r="J217" s="25">
        <v>2073894</v>
      </c>
      <c r="K217" s="25">
        <v>2088385</v>
      </c>
      <c r="L217" s="25">
        <v>2088385</v>
      </c>
      <c r="M217">
        <v>2088385</v>
      </c>
    </row>
    <row r="218" spans="1:13" x14ac:dyDescent="0.45">
      <c r="A218" s="50" t="s">
        <v>381</v>
      </c>
      <c r="B218" s="25">
        <v>35238657</v>
      </c>
      <c r="C218" s="25">
        <v>35912140</v>
      </c>
      <c r="D218" s="25">
        <v>36568688</v>
      </c>
      <c r="E218" s="25">
        <v>37214029</v>
      </c>
      <c r="F218" s="25">
        <v>37862988</v>
      </c>
      <c r="G218" s="25">
        <v>38526747</v>
      </c>
      <c r="H218" s="25">
        <v>39200571</v>
      </c>
      <c r="I218" s="25">
        <v>39885872</v>
      </c>
      <c r="J218" s="25">
        <v>40576536</v>
      </c>
      <c r="K218" s="25">
        <v>41256344</v>
      </c>
      <c r="L218" s="25">
        <v>41256344</v>
      </c>
      <c r="M218">
        <v>41256344</v>
      </c>
    </row>
    <row r="219" spans="1:13" x14ac:dyDescent="0.45">
      <c r="A219" s="50" t="s">
        <v>382</v>
      </c>
      <c r="B219" s="25">
        <v>527861</v>
      </c>
      <c r="C219" s="25">
        <v>541521</v>
      </c>
      <c r="D219" s="25">
        <v>556064</v>
      </c>
      <c r="E219" s="25">
        <v>571335</v>
      </c>
      <c r="F219" s="25">
        <v>587079</v>
      </c>
      <c r="G219" s="25">
        <v>603118</v>
      </c>
      <c r="H219" s="25">
        <v>619437</v>
      </c>
      <c r="I219" s="25">
        <v>636038</v>
      </c>
      <c r="J219" s="25">
        <v>652858</v>
      </c>
      <c r="K219" s="25">
        <v>669823</v>
      </c>
      <c r="L219" s="25">
        <v>669823</v>
      </c>
      <c r="M219">
        <v>669823</v>
      </c>
    </row>
    <row r="220" spans="1:13" x14ac:dyDescent="0.45">
      <c r="A220" s="50" t="s">
        <v>383</v>
      </c>
      <c r="B220" s="25">
        <v>12043883</v>
      </c>
      <c r="C220" s="25">
        <v>12376302</v>
      </c>
      <c r="D220" s="25">
        <v>12715510</v>
      </c>
      <c r="E220" s="25">
        <v>13063706</v>
      </c>
      <c r="F220" s="25">
        <v>13423576</v>
      </c>
      <c r="G220" s="25">
        <v>13797201</v>
      </c>
      <c r="H220" s="25">
        <v>14185613</v>
      </c>
      <c r="I220" s="25">
        <v>14589119</v>
      </c>
      <c r="J220" s="25">
        <v>15008154</v>
      </c>
      <c r="K220" s="25">
        <v>15442905</v>
      </c>
      <c r="L220" s="25">
        <v>15442905</v>
      </c>
      <c r="M220">
        <v>15442905</v>
      </c>
    </row>
    <row r="221" spans="1:13" x14ac:dyDescent="0.45">
      <c r="A221" s="50" t="s">
        <v>384</v>
      </c>
      <c r="B221" s="25">
        <v>51216967</v>
      </c>
      <c r="C221" s="25">
        <v>52003759</v>
      </c>
      <c r="D221" s="25">
        <v>52832659</v>
      </c>
      <c r="E221" s="25">
        <v>53687125</v>
      </c>
      <c r="F221" s="25">
        <v>54544184</v>
      </c>
      <c r="G221" s="25">
        <v>55386369</v>
      </c>
      <c r="H221" s="25">
        <v>56207649</v>
      </c>
      <c r="I221" s="25">
        <v>57009751</v>
      </c>
      <c r="J221" s="25">
        <v>57792520</v>
      </c>
      <c r="K221" s="25">
        <v>58558267</v>
      </c>
      <c r="L221" s="25">
        <v>58558267</v>
      </c>
      <c r="M221">
        <v>58558267</v>
      </c>
    </row>
    <row r="222" spans="1:13" x14ac:dyDescent="0.45">
      <c r="A222" s="50" t="s">
        <v>385</v>
      </c>
      <c r="B222" s="25">
        <v>1638792934</v>
      </c>
      <c r="C222" s="25">
        <v>1661534412</v>
      </c>
      <c r="D222" s="25">
        <v>1683747130</v>
      </c>
      <c r="E222" s="25">
        <v>1705772050</v>
      </c>
      <c r="F222" s="25">
        <v>1727640967</v>
      </c>
      <c r="G222" s="25">
        <v>1749417068</v>
      </c>
      <c r="H222" s="25">
        <v>1771167194</v>
      </c>
      <c r="I222" s="25">
        <v>1792835608</v>
      </c>
      <c r="J222" s="25">
        <v>1814388744</v>
      </c>
      <c r="K222" s="25">
        <v>1835776742</v>
      </c>
      <c r="L222" s="25">
        <v>1835776742</v>
      </c>
      <c r="M222">
        <v>1835776742</v>
      </c>
    </row>
    <row r="223" spans="1:13" x14ac:dyDescent="0.45">
      <c r="A223" s="50" t="s">
        <v>386</v>
      </c>
      <c r="B223" s="25">
        <v>1638792934</v>
      </c>
      <c r="C223" s="25">
        <v>1661534412</v>
      </c>
      <c r="D223" s="25">
        <v>1683747130</v>
      </c>
      <c r="E223" s="25">
        <v>1705772050</v>
      </c>
      <c r="F223" s="25">
        <v>1727640967</v>
      </c>
      <c r="G223" s="25">
        <v>1749417068</v>
      </c>
      <c r="H223" s="25">
        <v>1771167194</v>
      </c>
      <c r="I223" s="25">
        <v>1792835608</v>
      </c>
      <c r="J223" s="25">
        <v>1814388744</v>
      </c>
      <c r="K223" s="25">
        <v>1835776742</v>
      </c>
      <c r="L223" s="25">
        <v>1835776742</v>
      </c>
      <c r="M223">
        <v>1835776742</v>
      </c>
    </row>
    <row r="224" spans="1:13" x14ac:dyDescent="0.45">
      <c r="A224" s="50" t="s">
        <v>387</v>
      </c>
      <c r="B224" s="25">
        <v>9508364</v>
      </c>
      <c r="C224" s="25">
        <v>9830698</v>
      </c>
      <c r="D224" s="25">
        <v>10113647</v>
      </c>
      <c r="E224" s="25">
        <v>10355036</v>
      </c>
      <c r="F224" s="25">
        <v>10554883</v>
      </c>
      <c r="G224" s="25">
        <v>10715658</v>
      </c>
      <c r="H224" s="25">
        <v>10832512</v>
      </c>
      <c r="I224" s="25">
        <v>10910759</v>
      </c>
      <c r="J224" s="25">
        <v>10975920</v>
      </c>
      <c r="K224" s="25">
        <v>11062113</v>
      </c>
      <c r="L224" s="25">
        <v>11062113</v>
      </c>
      <c r="M224">
        <v>11062113</v>
      </c>
    </row>
    <row r="225" spans="1:13" x14ac:dyDescent="0.45">
      <c r="A225" s="50" t="s">
        <v>179</v>
      </c>
      <c r="B225" s="25">
        <v>46576897</v>
      </c>
      <c r="C225" s="25">
        <v>46742697</v>
      </c>
      <c r="D225" s="25">
        <v>46773055</v>
      </c>
      <c r="E225" s="25">
        <v>46620045</v>
      </c>
      <c r="F225" s="25">
        <v>46480882</v>
      </c>
      <c r="G225" s="25">
        <v>46444832</v>
      </c>
      <c r="H225" s="25">
        <v>46484062</v>
      </c>
      <c r="I225" s="25">
        <v>46593236</v>
      </c>
      <c r="J225" s="25">
        <v>46797754</v>
      </c>
      <c r="K225" s="25">
        <v>47133521</v>
      </c>
      <c r="L225" s="25">
        <v>47133521</v>
      </c>
      <c r="M225">
        <v>47133521</v>
      </c>
    </row>
    <row r="226" spans="1:13" x14ac:dyDescent="0.45">
      <c r="A226" s="50" t="s">
        <v>388</v>
      </c>
      <c r="B226" s="25">
        <v>20261737</v>
      </c>
      <c r="C226" s="25">
        <v>20398670</v>
      </c>
      <c r="D226" s="25">
        <v>20425000</v>
      </c>
      <c r="E226" s="25">
        <v>20585000</v>
      </c>
      <c r="F226" s="25">
        <v>20778000</v>
      </c>
      <c r="G226" s="25">
        <v>20970000</v>
      </c>
      <c r="H226" s="25">
        <v>21203000</v>
      </c>
      <c r="I226" s="25">
        <v>21444000</v>
      </c>
      <c r="J226" s="25">
        <v>21670000</v>
      </c>
      <c r="K226" s="25">
        <v>21803000</v>
      </c>
      <c r="L226" s="25">
        <v>21803000</v>
      </c>
      <c r="M226">
        <v>21803000</v>
      </c>
    </row>
    <row r="227" spans="1:13" x14ac:dyDescent="0.45">
      <c r="A227" s="50" t="s">
        <v>389</v>
      </c>
      <c r="B227" s="25">
        <v>49011</v>
      </c>
      <c r="C227" s="25">
        <v>49442</v>
      </c>
      <c r="D227" s="25">
        <v>49881</v>
      </c>
      <c r="E227" s="25">
        <v>50328</v>
      </c>
      <c r="F227" s="25">
        <v>50776</v>
      </c>
      <c r="G227" s="25">
        <v>51204</v>
      </c>
      <c r="H227" s="25">
        <v>51629</v>
      </c>
      <c r="I227" s="25">
        <v>52036</v>
      </c>
      <c r="J227" s="25">
        <v>52438</v>
      </c>
      <c r="K227" s="25">
        <v>52834</v>
      </c>
      <c r="L227" s="25">
        <v>52834</v>
      </c>
      <c r="M227">
        <v>52834</v>
      </c>
    </row>
    <row r="228" spans="1:13" x14ac:dyDescent="0.45">
      <c r="A228" s="50" t="s">
        <v>390</v>
      </c>
      <c r="B228" s="25">
        <v>174085</v>
      </c>
      <c r="C228" s="25">
        <v>175544</v>
      </c>
      <c r="D228" s="25">
        <v>176646</v>
      </c>
      <c r="E228" s="25">
        <v>177513</v>
      </c>
      <c r="F228" s="25">
        <v>178296</v>
      </c>
      <c r="G228" s="25">
        <v>179126</v>
      </c>
      <c r="H228" s="25">
        <v>180024</v>
      </c>
      <c r="I228" s="25">
        <v>180955</v>
      </c>
      <c r="J228" s="25">
        <v>181889</v>
      </c>
      <c r="K228" s="25">
        <v>182790</v>
      </c>
      <c r="L228" s="25">
        <v>182790</v>
      </c>
      <c r="M228">
        <v>182790</v>
      </c>
    </row>
    <row r="229" spans="1:13" x14ac:dyDescent="0.45">
      <c r="A229" s="50" t="s">
        <v>391</v>
      </c>
      <c r="B229" s="25">
        <v>37582</v>
      </c>
      <c r="C229" s="25">
        <v>37446</v>
      </c>
      <c r="D229" s="25">
        <v>37009</v>
      </c>
      <c r="E229" s="25">
        <v>36453</v>
      </c>
      <c r="F229" s="25">
        <v>36015</v>
      </c>
      <c r="G229" s="25">
        <v>35858</v>
      </c>
      <c r="H229" s="25">
        <v>36065</v>
      </c>
      <c r="I229" s="25">
        <v>36560</v>
      </c>
      <c r="J229" s="25">
        <v>37264</v>
      </c>
      <c r="K229" s="25">
        <v>38002</v>
      </c>
      <c r="L229" s="25">
        <v>38002</v>
      </c>
      <c r="M229">
        <v>38002</v>
      </c>
    </row>
    <row r="230" spans="1:13" x14ac:dyDescent="0.45">
      <c r="A230" s="50" t="s">
        <v>392</v>
      </c>
      <c r="B230" s="25">
        <v>108255</v>
      </c>
      <c r="C230" s="25">
        <v>108316</v>
      </c>
      <c r="D230" s="25">
        <v>108435</v>
      </c>
      <c r="E230" s="25">
        <v>108622</v>
      </c>
      <c r="F230" s="25">
        <v>108861</v>
      </c>
      <c r="G230" s="25">
        <v>109148</v>
      </c>
      <c r="H230" s="25">
        <v>109459</v>
      </c>
      <c r="I230" s="25">
        <v>109827</v>
      </c>
      <c r="J230" s="25">
        <v>110210</v>
      </c>
      <c r="K230" s="25">
        <v>110589</v>
      </c>
      <c r="L230" s="25">
        <v>110589</v>
      </c>
      <c r="M230">
        <v>110589</v>
      </c>
    </row>
    <row r="231" spans="1:13" x14ac:dyDescent="0.45">
      <c r="A231" s="50" t="s">
        <v>393</v>
      </c>
      <c r="B231" s="25">
        <v>869025109</v>
      </c>
      <c r="C231" s="25">
        <v>893045759</v>
      </c>
      <c r="D231" s="25">
        <v>917725627</v>
      </c>
      <c r="E231" s="25">
        <v>943038959</v>
      </c>
      <c r="F231" s="25">
        <v>968957980</v>
      </c>
      <c r="G231" s="25">
        <v>995458480</v>
      </c>
      <c r="H231" s="25">
        <v>1022530536</v>
      </c>
      <c r="I231" s="25">
        <v>1050162972</v>
      </c>
      <c r="J231" s="25">
        <v>1078319418</v>
      </c>
      <c r="K231" s="25">
        <v>1106957895</v>
      </c>
      <c r="L231" s="25">
        <v>1106957895</v>
      </c>
      <c r="M231">
        <v>1106957895</v>
      </c>
    </row>
    <row r="232" spans="1:13" x14ac:dyDescent="0.45">
      <c r="A232" s="50" t="s">
        <v>394</v>
      </c>
      <c r="B232" s="25">
        <v>869025109</v>
      </c>
      <c r="C232" s="25">
        <v>893045759</v>
      </c>
      <c r="D232" s="25">
        <v>917725627</v>
      </c>
      <c r="E232" s="25">
        <v>943038959</v>
      </c>
      <c r="F232" s="25">
        <v>968957980</v>
      </c>
      <c r="G232" s="25">
        <v>995458480</v>
      </c>
      <c r="H232" s="25">
        <v>1022530536</v>
      </c>
      <c r="I232" s="25">
        <v>1050162972</v>
      </c>
      <c r="J232" s="25">
        <v>1078319418</v>
      </c>
      <c r="K232" s="25">
        <v>1106957895</v>
      </c>
      <c r="L232" s="25">
        <v>1106957895</v>
      </c>
      <c r="M232">
        <v>1106957895</v>
      </c>
    </row>
    <row r="233" spans="1:13" x14ac:dyDescent="0.45">
      <c r="A233" s="50" t="s">
        <v>395</v>
      </c>
      <c r="B233" s="25">
        <v>867684939</v>
      </c>
      <c r="C233" s="25">
        <v>891705914</v>
      </c>
      <c r="D233" s="25">
        <v>916381442</v>
      </c>
      <c r="E233" s="25">
        <v>941690357</v>
      </c>
      <c r="F233" s="25">
        <v>967605687</v>
      </c>
      <c r="G233" s="25">
        <v>994102456</v>
      </c>
      <c r="H233" s="25">
        <v>1021172386</v>
      </c>
      <c r="I233" s="25">
        <v>1048802516</v>
      </c>
      <c r="J233" s="25">
        <v>1076957353</v>
      </c>
      <c r="K233" s="25">
        <v>1105594559</v>
      </c>
      <c r="L233" s="25">
        <v>1105594559</v>
      </c>
      <c r="M233">
        <v>1105594559</v>
      </c>
    </row>
    <row r="234" spans="1:13" x14ac:dyDescent="0.45">
      <c r="A234" s="50" t="s">
        <v>396</v>
      </c>
      <c r="B234" s="25">
        <v>34545013</v>
      </c>
      <c r="C234" s="25">
        <v>35349681</v>
      </c>
      <c r="D234" s="25">
        <v>36193783</v>
      </c>
      <c r="E234" s="25">
        <v>37072550</v>
      </c>
      <c r="F234" s="25">
        <v>37977655</v>
      </c>
      <c r="G234" s="25">
        <v>38902950</v>
      </c>
      <c r="H234" s="25">
        <v>39847440</v>
      </c>
      <c r="I234" s="25">
        <v>40813396</v>
      </c>
      <c r="J234" s="25">
        <v>41801533</v>
      </c>
      <c r="K234" s="25">
        <v>42813238</v>
      </c>
      <c r="L234" s="25">
        <v>42813238</v>
      </c>
      <c r="M234">
        <v>42813238</v>
      </c>
    </row>
    <row r="235" spans="1:13" x14ac:dyDescent="0.45">
      <c r="A235" s="50" t="s">
        <v>397</v>
      </c>
      <c r="B235" s="25">
        <v>529126</v>
      </c>
      <c r="C235" s="25">
        <v>535177</v>
      </c>
      <c r="D235" s="25">
        <v>541247</v>
      </c>
      <c r="E235" s="25">
        <v>547295</v>
      </c>
      <c r="F235" s="25">
        <v>553278</v>
      </c>
      <c r="G235" s="25">
        <v>559136</v>
      </c>
      <c r="H235" s="25">
        <v>564883</v>
      </c>
      <c r="I235" s="25">
        <v>570501</v>
      </c>
      <c r="J235" s="25">
        <v>575987</v>
      </c>
      <c r="K235" s="25">
        <v>581363</v>
      </c>
      <c r="L235" s="25">
        <v>581363</v>
      </c>
      <c r="M235">
        <v>581363</v>
      </c>
    </row>
    <row r="236" spans="1:13" x14ac:dyDescent="0.45">
      <c r="A236" s="50" t="s">
        <v>146</v>
      </c>
      <c r="B236" s="25">
        <v>9378126</v>
      </c>
      <c r="C236" s="25">
        <v>9449213</v>
      </c>
      <c r="D236" s="25">
        <v>9519374</v>
      </c>
      <c r="E236" s="25">
        <v>9600379</v>
      </c>
      <c r="F236" s="25">
        <v>9696110</v>
      </c>
      <c r="G236" s="25">
        <v>9799186</v>
      </c>
      <c r="H236" s="25">
        <v>9923085</v>
      </c>
      <c r="I236" s="25">
        <v>10057698</v>
      </c>
      <c r="J236" s="25">
        <v>10175214</v>
      </c>
      <c r="K236" s="25">
        <v>10278887</v>
      </c>
      <c r="L236" s="25">
        <v>10278887</v>
      </c>
      <c r="M236">
        <v>10278887</v>
      </c>
    </row>
    <row r="237" spans="1:13" x14ac:dyDescent="0.45">
      <c r="A237" s="50" t="s">
        <v>398</v>
      </c>
      <c r="B237" s="25">
        <v>7824909</v>
      </c>
      <c r="C237" s="25">
        <v>7912398</v>
      </c>
      <c r="D237" s="25">
        <v>7996861</v>
      </c>
      <c r="E237" s="25">
        <v>8089346</v>
      </c>
      <c r="F237" s="25">
        <v>8188649</v>
      </c>
      <c r="G237" s="25">
        <v>8282396</v>
      </c>
      <c r="H237" s="25">
        <v>8373338</v>
      </c>
      <c r="I237" s="25">
        <v>8451840</v>
      </c>
      <c r="J237" s="25">
        <v>8514329</v>
      </c>
      <c r="K237" s="25">
        <v>8575280</v>
      </c>
      <c r="L237" s="25">
        <v>8575280</v>
      </c>
      <c r="M237">
        <v>8575280</v>
      </c>
    </row>
    <row r="238" spans="1:13" x14ac:dyDescent="0.45">
      <c r="A238" s="50" t="s">
        <v>399</v>
      </c>
      <c r="B238" s="25">
        <v>21362529</v>
      </c>
      <c r="C238" s="25">
        <v>21082966</v>
      </c>
      <c r="D238" s="25">
        <v>20442541</v>
      </c>
      <c r="E238" s="25">
        <v>19584274</v>
      </c>
      <c r="F238" s="25">
        <v>18715672</v>
      </c>
      <c r="G238" s="25">
        <v>17997408</v>
      </c>
      <c r="H238" s="25">
        <v>17453933</v>
      </c>
      <c r="I238" s="25">
        <v>17068002</v>
      </c>
      <c r="J238" s="25">
        <v>16906283</v>
      </c>
      <c r="K238" s="25">
        <v>17070135</v>
      </c>
      <c r="L238" s="25">
        <v>17070135</v>
      </c>
      <c r="M238">
        <v>17070135</v>
      </c>
    </row>
    <row r="239" spans="1:13" x14ac:dyDescent="0.45">
      <c r="A239" s="50" t="s">
        <v>400</v>
      </c>
      <c r="B239" s="25">
        <v>7527394</v>
      </c>
      <c r="C239" s="25">
        <v>7697510</v>
      </c>
      <c r="D239" s="25">
        <v>7874835</v>
      </c>
      <c r="E239" s="25">
        <v>8059769</v>
      </c>
      <c r="F239" s="25">
        <v>8252833</v>
      </c>
      <c r="G239" s="25">
        <v>8454028</v>
      </c>
      <c r="H239" s="25">
        <v>8663579</v>
      </c>
      <c r="I239" s="25">
        <v>8880268</v>
      </c>
      <c r="J239" s="25">
        <v>9100837</v>
      </c>
      <c r="K239" s="25">
        <v>9321018</v>
      </c>
      <c r="L239" s="25">
        <v>9321018</v>
      </c>
      <c r="M239">
        <v>9321018</v>
      </c>
    </row>
    <row r="240" spans="1:13" x14ac:dyDescent="0.45">
      <c r="A240" s="50" t="s">
        <v>401</v>
      </c>
      <c r="B240" s="25">
        <v>44346525</v>
      </c>
      <c r="C240" s="25">
        <v>45673338</v>
      </c>
      <c r="D240" s="25">
        <v>47052481</v>
      </c>
      <c r="E240" s="25">
        <v>48482266</v>
      </c>
      <c r="F240" s="25">
        <v>49959822</v>
      </c>
      <c r="G240" s="25">
        <v>51482633</v>
      </c>
      <c r="H240" s="25">
        <v>53050790</v>
      </c>
      <c r="I240" s="25">
        <v>54663906</v>
      </c>
      <c r="J240" s="25">
        <v>56318348</v>
      </c>
      <c r="K240" s="25">
        <v>58005463</v>
      </c>
      <c r="L240" s="25">
        <v>58005463</v>
      </c>
      <c r="M240">
        <v>58005463</v>
      </c>
    </row>
    <row r="241" spans="1:13" x14ac:dyDescent="0.45">
      <c r="A241" s="50" t="s">
        <v>402</v>
      </c>
      <c r="B241" s="25">
        <v>67195028</v>
      </c>
      <c r="C241" s="25">
        <v>67518382</v>
      </c>
      <c r="D241" s="25">
        <v>67835957</v>
      </c>
      <c r="E241" s="25">
        <v>68144501</v>
      </c>
      <c r="F241" s="25">
        <v>68438730</v>
      </c>
      <c r="G241" s="25">
        <v>68714511</v>
      </c>
      <c r="H241" s="25">
        <v>68971331</v>
      </c>
      <c r="I241" s="25">
        <v>69209858</v>
      </c>
      <c r="J241" s="25">
        <v>69428524</v>
      </c>
      <c r="K241" s="25">
        <v>69625582</v>
      </c>
      <c r="L241" s="25">
        <v>69625582</v>
      </c>
      <c r="M241">
        <v>69625582</v>
      </c>
    </row>
    <row r="242" spans="1:13" x14ac:dyDescent="0.45">
      <c r="A242" s="50" t="s">
        <v>403</v>
      </c>
      <c r="B242" s="25">
        <v>1093523</v>
      </c>
      <c r="C242" s="25">
        <v>1113151</v>
      </c>
      <c r="D242" s="25">
        <v>1132994</v>
      </c>
      <c r="E242" s="25">
        <v>1153295</v>
      </c>
      <c r="F242" s="25">
        <v>1174331</v>
      </c>
      <c r="G242" s="25">
        <v>1196302</v>
      </c>
      <c r="H242" s="25">
        <v>1219288</v>
      </c>
      <c r="I242" s="25">
        <v>1243261</v>
      </c>
      <c r="J242" s="25">
        <v>1267972</v>
      </c>
      <c r="K242" s="25">
        <v>1293119</v>
      </c>
      <c r="L242" s="25">
        <v>1293119</v>
      </c>
      <c r="M242">
        <v>1293119</v>
      </c>
    </row>
    <row r="243" spans="1:13" x14ac:dyDescent="0.45">
      <c r="A243" s="50" t="s">
        <v>404</v>
      </c>
      <c r="B243" s="25">
        <v>6421679</v>
      </c>
      <c r="C243" s="25">
        <v>6595943</v>
      </c>
      <c r="D243" s="25">
        <v>6773807</v>
      </c>
      <c r="E243" s="25">
        <v>6954721</v>
      </c>
      <c r="F243" s="25">
        <v>7137997</v>
      </c>
      <c r="G243" s="25">
        <v>7323158</v>
      </c>
      <c r="H243" s="25">
        <v>7509952</v>
      </c>
      <c r="I243" s="25">
        <v>7698475</v>
      </c>
      <c r="J243" s="25">
        <v>7889094</v>
      </c>
      <c r="K243" s="25">
        <v>8082366</v>
      </c>
      <c r="L243" s="25">
        <v>8082366</v>
      </c>
      <c r="M243">
        <v>8082366</v>
      </c>
    </row>
    <row r="244" spans="1:13" x14ac:dyDescent="0.45">
      <c r="A244" s="50" t="s">
        <v>405</v>
      </c>
      <c r="B244" s="25">
        <v>103986</v>
      </c>
      <c r="C244" s="25">
        <v>103562</v>
      </c>
      <c r="D244" s="25">
        <v>102737</v>
      </c>
      <c r="E244" s="25">
        <v>101768</v>
      </c>
      <c r="F244" s="25">
        <v>101028</v>
      </c>
      <c r="G244" s="25">
        <v>100781</v>
      </c>
      <c r="H244" s="25">
        <v>101133</v>
      </c>
      <c r="I244" s="25">
        <v>101998</v>
      </c>
      <c r="J244" s="25">
        <v>103197</v>
      </c>
      <c r="K244" s="25">
        <v>104494</v>
      </c>
      <c r="L244" s="25">
        <v>104494</v>
      </c>
      <c r="M244">
        <v>104494</v>
      </c>
    </row>
    <row r="245" spans="1:13" x14ac:dyDescent="0.45">
      <c r="A245" s="50" t="s">
        <v>406</v>
      </c>
      <c r="B245" s="25">
        <v>1328147</v>
      </c>
      <c r="C245" s="25">
        <v>1336178</v>
      </c>
      <c r="D245" s="25">
        <v>1344817</v>
      </c>
      <c r="E245" s="25">
        <v>1353700</v>
      </c>
      <c r="F245" s="25">
        <v>1362342</v>
      </c>
      <c r="G245" s="25">
        <v>1370328</v>
      </c>
      <c r="H245" s="25">
        <v>1377564</v>
      </c>
      <c r="I245" s="25">
        <v>1384072</v>
      </c>
      <c r="J245" s="25">
        <v>1389858</v>
      </c>
      <c r="K245" s="25">
        <v>1394973</v>
      </c>
      <c r="L245" s="25">
        <v>1394973</v>
      </c>
      <c r="M245">
        <v>1394973</v>
      </c>
    </row>
    <row r="246" spans="1:13" x14ac:dyDescent="0.45">
      <c r="A246" s="50" t="s">
        <v>407</v>
      </c>
      <c r="B246" s="25">
        <v>10635244</v>
      </c>
      <c r="C246" s="25">
        <v>10741880</v>
      </c>
      <c r="D246" s="25">
        <v>10847002</v>
      </c>
      <c r="E246" s="25">
        <v>10952951</v>
      </c>
      <c r="F246" s="25">
        <v>11063201</v>
      </c>
      <c r="G246" s="25">
        <v>11179949</v>
      </c>
      <c r="H246" s="25">
        <v>11303946</v>
      </c>
      <c r="I246" s="25">
        <v>11433443</v>
      </c>
      <c r="J246" s="25">
        <v>11565204</v>
      </c>
      <c r="K246" s="25">
        <v>11694719</v>
      </c>
      <c r="L246" s="25">
        <v>11694719</v>
      </c>
      <c r="M246">
        <v>11694719</v>
      </c>
    </row>
    <row r="247" spans="1:13" x14ac:dyDescent="0.45">
      <c r="A247" s="50" t="s">
        <v>173</v>
      </c>
      <c r="B247" s="25">
        <v>72326988</v>
      </c>
      <c r="C247" s="25">
        <v>73443863</v>
      </c>
      <c r="D247" s="25">
        <v>74653016</v>
      </c>
      <c r="E247" s="25">
        <v>75928564</v>
      </c>
      <c r="F247" s="25">
        <v>77231907</v>
      </c>
      <c r="G247" s="25">
        <v>78529409</v>
      </c>
      <c r="H247" s="25">
        <v>79821724</v>
      </c>
      <c r="I247" s="25">
        <v>81101892</v>
      </c>
      <c r="J247" s="25">
        <v>82319724</v>
      </c>
      <c r="K247" s="25">
        <v>83429615</v>
      </c>
      <c r="L247" s="25">
        <v>83429615</v>
      </c>
      <c r="M247">
        <v>83429615</v>
      </c>
    </row>
    <row r="248" spans="1:13" x14ac:dyDescent="0.45">
      <c r="A248" s="50" t="s">
        <v>408</v>
      </c>
      <c r="B248" s="25">
        <v>5087213</v>
      </c>
      <c r="C248" s="25">
        <v>5174085</v>
      </c>
      <c r="D248" s="25">
        <v>5267900</v>
      </c>
      <c r="E248" s="25">
        <v>5366375</v>
      </c>
      <c r="F248" s="25">
        <v>5466328</v>
      </c>
      <c r="G248" s="25">
        <v>5565287</v>
      </c>
      <c r="H248" s="25">
        <v>5662372</v>
      </c>
      <c r="I248" s="25">
        <v>5757669</v>
      </c>
      <c r="J248" s="25">
        <v>5850908</v>
      </c>
      <c r="K248" s="25">
        <v>5942089</v>
      </c>
      <c r="L248" s="25">
        <v>5942089</v>
      </c>
      <c r="M248">
        <v>5942089</v>
      </c>
    </row>
    <row r="249" spans="1:13" x14ac:dyDescent="0.45">
      <c r="A249" s="50" t="s">
        <v>409</v>
      </c>
      <c r="B249" s="25">
        <v>32660</v>
      </c>
      <c r="C249" s="25">
        <v>33377</v>
      </c>
      <c r="D249" s="25">
        <v>34066</v>
      </c>
      <c r="E249" s="25">
        <v>34731</v>
      </c>
      <c r="F249" s="25">
        <v>35369</v>
      </c>
      <c r="G249" s="25">
        <v>35981</v>
      </c>
      <c r="H249" s="25">
        <v>36559</v>
      </c>
      <c r="I249" s="25">
        <v>37115</v>
      </c>
      <c r="J249" s="25">
        <v>37665</v>
      </c>
      <c r="K249" s="25">
        <v>38191</v>
      </c>
      <c r="L249" s="25">
        <v>38191</v>
      </c>
      <c r="M249">
        <v>38191</v>
      </c>
    </row>
    <row r="250" spans="1:13" x14ac:dyDescent="0.45">
      <c r="A250" s="50" t="s">
        <v>410</v>
      </c>
      <c r="B250" s="25">
        <v>10530</v>
      </c>
      <c r="C250" s="25">
        <v>10633</v>
      </c>
      <c r="D250" s="25">
        <v>10739</v>
      </c>
      <c r="E250" s="25">
        <v>10857</v>
      </c>
      <c r="F250" s="25">
        <v>10972</v>
      </c>
      <c r="G250" s="25">
        <v>11099</v>
      </c>
      <c r="H250" s="25">
        <v>11225</v>
      </c>
      <c r="I250" s="25">
        <v>11370</v>
      </c>
      <c r="J250" s="25">
        <v>11508</v>
      </c>
      <c r="K250" s="25">
        <v>11646</v>
      </c>
      <c r="L250" s="25">
        <v>11646</v>
      </c>
      <c r="M250">
        <v>11646</v>
      </c>
    </row>
    <row r="251" spans="1:13" x14ac:dyDescent="0.45">
      <c r="A251" s="50" t="s">
        <v>411</v>
      </c>
      <c r="B251" s="25">
        <v>32428167</v>
      </c>
      <c r="C251" s="25">
        <v>33476919</v>
      </c>
      <c r="D251" s="25">
        <v>34559168</v>
      </c>
      <c r="E251" s="25">
        <v>35695246</v>
      </c>
      <c r="F251" s="25">
        <v>36912148</v>
      </c>
      <c r="G251" s="25">
        <v>38225453</v>
      </c>
      <c r="H251" s="25">
        <v>39647506</v>
      </c>
      <c r="I251" s="25">
        <v>41162465</v>
      </c>
      <c r="J251" s="25">
        <v>42723139</v>
      </c>
      <c r="K251" s="25">
        <v>44269594</v>
      </c>
      <c r="L251" s="25">
        <v>44269594</v>
      </c>
      <c r="M251">
        <v>44269594</v>
      </c>
    </row>
    <row r="252" spans="1:13" x14ac:dyDescent="0.45">
      <c r="A252" s="50" t="s">
        <v>164</v>
      </c>
      <c r="B252" s="25">
        <v>45870741</v>
      </c>
      <c r="C252" s="25">
        <v>45706086</v>
      </c>
      <c r="D252" s="25">
        <v>45593342</v>
      </c>
      <c r="E252" s="25">
        <v>45489648</v>
      </c>
      <c r="F252" s="25">
        <v>45272155</v>
      </c>
      <c r="G252" s="25">
        <v>45154036</v>
      </c>
      <c r="H252" s="25">
        <v>45004673</v>
      </c>
      <c r="I252" s="25">
        <v>44831135</v>
      </c>
      <c r="J252" s="25">
        <v>44622518</v>
      </c>
      <c r="K252" s="25">
        <v>44386203</v>
      </c>
      <c r="L252" s="25">
        <v>44386203</v>
      </c>
      <c r="M252">
        <v>44386203</v>
      </c>
    </row>
    <row r="253" spans="1:13" x14ac:dyDescent="0.45">
      <c r="A253" s="50" t="s">
        <v>412</v>
      </c>
      <c r="B253" s="25">
        <v>8549988</v>
      </c>
      <c r="C253" s="25">
        <v>8946777</v>
      </c>
      <c r="D253" s="25">
        <v>9141596</v>
      </c>
      <c r="E253" s="25">
        <v>9197910</v>
      </c>
      <c r="F253" s="25">
        <v>9214175</v>
      </c>
      <c r="G253" s="25">
        <v>9262900</v>
      </c>
      <c r="H253" s="25">
        <v>9360980</v>
      </c>
      <c r="I253" s="25">
        <v>9487203</v>
      </c>
      <c r="J253" s="25">
        <v>9630959</v>
      </c>
      <c r="K253" s="25">
        <v>9770529</v>
      </c>
      <c r="L253" s="25">
        <v>9770529</v>
      </c>
      <c r="M253">
        <v>9770529</v>
      </c>
    </row>
    <row r="254" spans="1:13" x14ac:dyDescent="0.45">
      <c r="A254" s="50" t="s">
        <v>413</v>
      </c>
      <c r="B254" s="25">
        <v>62766365</v>
      </c>
      <c r="C254" s="25">
        <v>63258810</v>
      </c>
      <c r="D254" s="25">
        <v>63700215</v>
      </c>
      <c r="E254" s="25">
        <v>64128273</v>
      </c>
      <c r="F254" s="25">
        <v>64602298</v>
      </c>
      <c r="G254" s="25">
        <v>65116219</v>
      </c>
      <c r="H254" s="25">
        <v>65611593</v>
      </c>
      <c r="I254" s="25">
        <v>66058859</v>
      </c>
      <c r="J254" s="25">
        <v>66460344</v>
      </c>
      <c r="K254" s="25">
        <v>66836327</v>
      </c>
      <c r="L254" s="25">
        <v>66836327</v>
      </c>
      <c r="M254">
        <v>66836327</v>
      </c>
    </row>
    <row r="255" spans="1:13" x14ac:dyDescent="0.45">
      <c r="A255" s="50" t="s">
        <v>414</v>
      </c>
      <c r="B255" s="25">
        <v>309321666</v>
      </c>
      <c r="C255" s="25">
        <v>311556874</v>
      </c>
      <c r="D255" s="25">
        <v>313830990</v>
      </c>
      <c r="E255" s="25">
        <v>315993715</v>
      </c>
      <c r="F255" s="25">
        <v>318301008</v>
      </c>
      <c r="G255" s="25">
        <v>320635163</v>
      </c>
      <c r="H255" s="25">
        <v>322941311</v>
      </c>
      <c r="I255" s="25">
        <v>324985539</v>
      </c>
      <c r="J255" s="25">
        <v>326687501</v>
      </c>
      <c r="K255" s="25">
        <v>328239523</v>
      </c>
      <c r="L255" s="25">
        <v>328239523</v>
      </c>
      <c r="M255">
        <v>328239523</v>
      </c>
    </row>
    <row r="256" spans="1:13" x14ac:dyDescent="0.45">
      <c r="A256" s="50" t="s">
        <v>415</v>
      </c>
      <c r="B256" s="25">
        <v>2663127526</v>
      </c>
      <c r="C256" s="25">
        <v>2684415828</v>
      </c>
      <c r="D256" s="25">
        <v>2706455729</v>
      </c>
      <c r="E256" s="25">
        <v>2728916043</v>
      </c>
      <c r="F256" s="25">
        <v>2751472150</v>
      </c>
      <c r="G256" s="25">
        <v>2773653732</v>
      </c>
      <c r="H256" s="25">
        <v>2795839263</v>
      </c>
      <c r="I256" s="25">
        <v>2817789345</v>
      </c>
      <c r="J256" s="25">
        <v>2837717059</v>
      </c>
      <c r="K256" s="25">
        <v>2855841764</v>
      </c>
      <c r="L256" s="25">
        <v>2855841764</v>
      </c>
      <c r="M256">
        <v>2855841764</v>
      </c>
    </row>
    <row r="257" spans="1:13" x14ac:dyDescent="0.45">
      <c r="A257" s="50" t="s">
        <v>416</v>
      </c>
      <c r="B257" s="25">
        <v>3359275</v>
      </c>
      <c r="C257" s="25">
        <v>3368934</v>
      </c>
      <c r="D257" s="25">
        <v>3378974</v>
      </c>
      <c r="E257" s="25">
        <v>3389439</v>
      </c>
      <c r="F257" s="25">
        <v>3400434</v>
      </c>
      <c r="G257" s="25">
        <v>3412009</v>
      </c>
      <c r="H257" s="25">
        <v>3424132</v>
      </c>
      <c r="I257" s="25">
        <v>3436646</v>
      </c>
      <c r="J257" s="25">
        <v>3449299</v>
      </c>
      <c r="K257" s="25">
        <v>3461734</v>
      </c>
      <c r="L257" s="25">
        <v>3461734</v>
      </c>
      <c r="M257">
        <v>3461734</v>
      </c>
    </row>
    <row r="258" spans="1:13" x14ac:dyDescent="0.45">
      <c r="A258" s="50" t="s">
        <v>417</v>
      </c>
      <c r="B258" s="25">
        <v>28562400</v>
      </c>
      <c r="C258" s="25">
        <v>29339400</v>
      </c>
      <c r="D258" s="25">
        <v>29774500</v>
      </c>
      <c r="E258" s="25">
        <v>30243200</v>
      </c>
      <c r="F258" s="25">
        <v>30757700</v>
      </c>
      <c r="G258" s="25">
        <v>31298900</v>
      </c>
      <c r="H258" s="25">
        <v>31847900</v>
      </c>
      <c r="I258" s="25">
        <v>32388600</v>
      </c>
      <c r="J258" s="25">
        <v>32956100</v>
      </c>
      <c r="K258" s="25">
        <v>33580350</v>
      </c>
      <c r="L258" s="25">
        <v>33580350</v>
      </c>
      <c r="M258">
        <v>33580350</v>
      </c>
    </row>
    <row r="259" spans="1:13" x14ac:dyDescent="0.45">
      <c r="A259" s="50" t="s">
        <v>418</v>
      </c>
      <c r="B259" s="25">
        <v>236211</v>
      </c>
      <c r="C259" s="25">
        <v>242653</v>
      </c>
      <c r="D259" s="25">
        <v>249499</v>
      </c>
      <c r="E259" s="25">
        <v>256635</v>
      </c>
      <c r="F259" s="25">
        <v>263888</v>
      </c>
      <c r="G259" s="25">
        <v>271130</v>
      </c>
      <c r="H259" s="25">
        <v>278330</v>
      </c>
      <c r="I259" s="25">
        <v>285510</v>
      </c>
      <c r="J259" s="25">
        <v>292680</v>
      </c>
      <c r="K259" s="25">
        <v>299882</v>
      </c>
      <c r="L259" s="25">
        <v>299882</v>
      </c>
      <c r="M259">
        <v>299882</v>
      </c>
    </row>
    <row r="260" spans="1:13" x14ac:dyDescent="0.45">
      <c r="A260" s="50" t="s">
        <v>419</v>
      </c>
      <c r="B260" s="25">
        <v>28439940</v>
      </c>
      <c r="C260" s="25">
        <v>28888369</v>
      </c>
      <c r="D260" s="25">
        <v>29362449</v>
      </c>
      <c r="E260" s="25">
        <v>29783571</v>
      </c>
      <c r="F260" s="25">
        <v>30045134</v>
      </c>
      <c r="G260" s="25">
        <v>30081829</v>
      </c>
      <c r="H260" s="25">
        <v>29846179</v>
      </c>
      <c r="I260" s="25">
        <v>29390409</v>
      </c>
      <c r="J260" s="25">
        <v>28870195</v>
      </c>
      <c r="K260" s="25">
        <v>28515829</v>
      </c>
      <c r="L260" s="25">
        <v>28515829</v>
      </c>
      <c r="M260">
        <v>28515829</v>
      </c>
    </row>
    <row r="261" spans="1:13" x14ac:dyDescent="0.45">
      <c r="A261" s="50" t="s">
        <v>420</v>
      </c>
      <c r="B261" s="25">
        <v>87967651</v>
      </c>
      <c r="C261" s="25">
        <v>88871561</v>
      </c>
      <c r="D261" s="25">
        <v>89802487</v>
      </c>
      <c r="E261" s="25">
        <v>90753472</v>
      </c>
      <c r="F261" s="25">
        <v>91714595</v>
      </c>
      <c r="G261" s="25">
        <v>92677076</v>
      </c>
      <c r="H261" s="25">
        <v>93638724</v>
      </c>
      <c r="I261" s="25">
        <v>94596642</v>
      </c>
      <c r="J261" s="25">
        <v>95540395</v>
      </c>
      <c r="K261" s="25">
        <v>96462106</v>
      </c>
      <c r="L261" s="25">
        <v>96462106</v>
      </c>
      <c r="M261">
        <v>96462106</v>
      </c>
    </row>
    <row r="262" spans="1:13" x14ac:dyDescent="0.45">
      <c r="A262" s="50" t="s">
        <v>421</v>
      </c>
      <c r="B262" s="25">
        <v>108357</v>
      </c>
      <c r="C262" s="25">
        <v>108290</v>
      </c>
      <c r="D262" s="25">
        <v>108188</v>
      </c>
      <c r="E262" s="25">
        <v>108041</v>
      </c>
      <c r="F262" s="25">
        <v>107882</v>
      </c>
      <c r="G262" s="25">
        <v>107712</v>
      </c>
      <c r="H262" s="25">
        <v>107516</v>
      </c>
      <c r="I262" s="25">
        <v>107281</v>
      </c>
      <c r="J262" s="25">
        <v>107001</v>
      </c>
      <c r="K262" s="25">
        <v>106669</v>
      </c>
      <c r="L262" s="25">
        <v>106669</v>
      </c>
      <c r="M262">
        <v>106669</v>
      </c>
    </row>
    <row r="263" spans="1:13" x14ac:dyDescent="0.45">
      <c r="A263" s="50" t="s">
        <v>422</v>
      </c>
      <c r="B263" s="25">
        <v>3786161</v>
      </c>
      <c r="C263" s="25">
        <v>3882986</v>
      </c>
      <c r="D263" s="25">
        <v>3979998</v>
      </c>
      <c r="E263" s="25">
        <v>4076708</v>
      </c>
      <c r="F263" s="25">
        <v>4173398</v>
      </c>
      <c r="G263" s="25">
        <v>4270092</v>
      </c>
      <c r="H263" s="25">
        <v>4367088</v>
      </c>
      <c r="I263" s="25">
        <v>4454805</v>
      </c>
      <c r="J263" s="25">
        <v>4569087</v>
      </c>
      <c r="K263" s="25">
        <v>4685306</v>
      </c>
      <c r="L263" s="25">
        <v>4685306</v>
      </c>
      <c r="M263">
        <v>4685306</v>
      </c>
    </row>
    <row r="264" spans="1:13" x14ac:dyDescent="0.45">
      <c r="A264" s="50" t="s">
        <v>423</v>
      </c>
      <c r="B264" s="25">
        <v>6921871605</v>
      </c>
      <c r="C264" s="25">
        <v>7002859831</v>
      </c>
      <c r="D264" s="25">
        <v>7085760929</v>
      </c>
      <c r="E264" s="25">
        <v>7169636255</v>
      </c>
      <c r="F264" s="25">
        <v>7254231872</v>
      </c>
      <c r="G264" s="25">
        <v>7338978658</v>
      </c>
      <c r="H264" s="25">
        <v>7424311044</v>
      </c>
      <c r="I264" s="25">
        <v>7509105465</v>
      </c>
      <c r="J264" s="25">
        <v>7592026859</v>
      </c>
      <c r="K264" s="25">
        <v>7673656872</v>
      </c>
      <c r="L264" s="25">
        <v>7673656872</v>
      </c>
      <c r="M264">
        <v>7673656872</v>
      </c>
    </row>
    <row r="265" spans="1:13" x14ac:dyDescent="0.45">
      <c r="A265" s="50" t="s">
        <v>424</v>
      </c>
      <c r="B265" s="25">
        <v>23154855</v>
      </c>
      <c r="C265" s="25">
        <v>23807588</v>
      </c>
      <c r="D265" s="25">
        <v>24473178</v>
      </c>
      <c r="E265" s="25">
        <v>25147109</v>
      </c>
      <c r="F265" s="25">
        <v>25823485</v>
      </c>
      <c r="G265" s="25">
        <v>26497889</v>
      </c>
      <c r="H265" s="25">
        <v>27168210</v>
      </c>
      <c r="I265" s="25">
        <v>27834821</v>
      </c>
      <c r="J265" s="25">
        <v>28498687</v>
      </c>
      <c r="K265" s="25">
        <v>29161922</v>
      </c>
      <c r="L265" s="25">
        <v>29161922</v>
      </c>
      <c r="M265">
        <v>29161922</v>
      </c>
    </row>
    <row r="266" spans="1:13" x14ac:dyDescent="0.45">
      <c r="A266" s="50" t="s">
        <v>425</v>
      </c>
      <c r="B266" s="25">
        <v>13605984</v>
      </c>
      <c r="C266" s="25">
        <v>14023193</v>
      </c>
      <c r="D266" s="25">
        <v>14465121</v>
      </c>
      <c r="E266" s="25">
        <v>14926504</v>
      </c>
      <c r="F266" s="25">
        <v>15399753</v>
      </c>
      <c r="G266" s="25">
        <v>15879361</v>
      </c>
      <c r="H266" s="25">
        <v>16363507</v>
      </c>
      <c r="I266" s="25">
        <v>16853688</v>
      </c>
      <c r="J266" s="25">
        <v>17351822</v>
      </c>
      <c r="K266" s="25">
        <v>17861030</v>
      </c>
      <c r="L266" s="25">
        <v>17861030</v>
      </c>
      <c r="M266">
        <v>17861030</v>
      </c>
    </row>
    <row r="267" spans="1:13" x14ac:dyDescent="0.45">
      <c r="A267" s="50" t="s">
        <v>426</v>
      </c>
      <c r="B267" s="25">
        <v>12697723</v>
      </c>
      <c r="C267" s="25">
        <v>12894316</v>
      </c>
      <c r="D267" s="25">
        <v>13115131</v>
      </c>
      <c r="E267" s="25">
        <v>13350356</v>
      </c>
      <c r="F267" s="25">
        <v>13586681</v>
      </c>
      <c r="G267" s="25">
        <v>13814629</v>
      </c>
      <c r="H267" s="25">
        <v>14030390</v>
      </c>
      <c r="I267" s="25">
        <v>14236745</v>
      </c>
      <c r="J267" s="25">
        <v>14439018</v>
      </c>
      <c r="K267" s="25">
        <v>14645468</v>
      </c>
      <c r="L267" s="25">
        <v>14645468</v>
      </c>
      <c r="M267" s="25">
        <v>14645468</v>
      </c>
    </row>
  </sheetData>
  <phoneticPr fontId="23" type="noConversion"/>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d 9 a f 8 a 0 8 - f 6 2 9 - 4 d d 0 - b 9 1 a - 3 4 2 7 2 6 f 0 4 0 a a "   x m l n s = " h t t p : / / s c h e m a s . m i c r o s o f t . c o m / D a t a M a s h u p " > A A A A A K g Q A A B Q S w M E F A A C A A g A U I 3 9 U p k M v o C k A A A A 9 Q A A A B I A H A B D b 2 5 m a W c v U G F j a 2 F n Z S 5 4 b W w g o h g A K K A U A A A A A A A A A A A A A A A A A A A A A A A A A A A A h Y + x D o I w G I R f h X S n r e h A y E 9 J d H C R x M T E u D a l Q i P 8 G F o s 7 + b g I / k K Y h R 1 c 7 z 7 7 p K 7 + / U G 2 d D U w U V 3 1 r S Y k h n l J N C o 2 s J g m Z L e H c O Y Z A K 2 U p 1 k q Y M x j D Y Z r E l J 5 d w 5 Y c x 7 T / 2 c t l 3 J I s 5 n 7 J B v d q r S j Q w N W i d R a f J p F f 9 b R M D + N U Z E N F 7 Q m I + T g E 0 e 5 A a / P B r Z k / 6 Y s O p r 1 3 d a a A z X S 2 C T B P a + I B 5 Q S w M E F A A C A A g A U I 3 9 U 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C N / V L 4 b x 7 B o g 0 A A J h k A A A T A B w A R m 9 y b X V s Y X M v U 2 V j d G l v b j E u b S C i G A A o o B Q A A A A A A A A A A A A A A A A A A A A A A A A A A A D t X e t u 2 8 g V / h 8 g 7 z B g / k h b R j b l J C j a e g F b d r J u L n b s u E E h G A Q l j S 3 C v C 0 5 t K 0 Y f p q + S Z + s M 8 P b X E m K Y h L v 1 v t j 1 5 r L u c 2 Z c 7 6 5 c R M 4 R 2 4 Y g L P s v 9 b f n z 9 7 / i x Z O j F c g C P 7 3 9 C J w S 7 w I H r + D O B / z s I 0 n k N c c n g 3 h 9 5 o k s Y x D N D X M L 6 e h e H 1 Y H g / / e T 4 c N f I e h o X D 9 N J G C D c 5 M L M C L w w J k s n u M L E v 6 w i a G B K X 5 y Z B 0 d f Y i d I L s P Y n 4 R e 6 g e k M h l k 3 M z 7 e 2 N F q J n g K E B v X o 1 I 5 c P D 8 P k z N 1 A S 5 V X 4 i A V Y d t O B d m W V q F h m R H h O e 7 d O v K j h V L L 4 C m e j n G Q y M J Y I R c n f t r b C y 3 n o p 9 c j S i 8 K 3 Q C N c M F W 4 i K Y b O 1 5 l 9 b 4 6 p U 1 9 r d u M Z m t s b W 9 D T 7 + 9 g 2 Q X w m K o e N v H c 7 D I P T d B A E 3 i F I E i j Z b e x / e l j + I D W E c O G S w H Q 9 k M h 8 4 y B n d e Y l v D E 0 Q p J 5 n A h S n c J g P W q 6 a T Y c K q 5 P p d T 8 9 Q t A n d q K 1 h v n e D R a 7 B m 1 E j E a I d h p 2 j h 0 Z f Y f + d D E L g H A L g O A d e j D B v T E P 0 w D F K 6 l 8 5 g R y 4 4 z K w k G w q C J / 0 y r P n c M g g V D u 4 x M O t r / 8 x n s f q V u k M b W i T Z w z k e u 9 e S r R W 0 J n 4 b k B t K M Y s y y q g 9 S f w T h j 6 F 0 q S m O Y w P h G 3 y t B T o z U q s F A o X P r y X N y c q J 0 6 E l y M z o I 5 6 m P X f i H u z N x r K 2 v + 0 S 4 0 T y 5 w T 4 7 P Y C e 6 2 P K 8 a 5 h Y k 0 z b 0 p 2 3 7 w x w W E w D x d u c L X 7 5 v X 2 t m W C z 2 m I 4 B l a e X C 3 + n P 0 K Q z g x b D 0 1 l P o h z f E J G E E T s P b p P L Y s 2 s 3 K g L T q 6 r D S R z 6 m N g C / I Z H G M Z M h 7 w m L x 8 o a J t g m j f a 8 7 y z u e N h d 9 o l 8 0 8 h U K 5 Z R T 6 r y I s H C k H M e 2 O S T R P c e U H 8 w D g K F u 7 c Q W E M S K T j S 2 i b h 4 r x e R C 5 N 5 T g M V r C W B Y g b 0 B r K z F E e Y k r F m J Q p t g 5 j T 2 E Y n e W U u c 0 / u V 4 K T S G X Q K G X k o S P V g u X A I p W b 1 1 P e w 6 u L M w 1 N D D S Z G U D Q R x T A C d + R J M S 9 I X 4 N d d M N 6 2 t t X y W 4 0 K 8 C I Q s T N 7 8 H O d k f k k 1 z c j w 7 g b K R + I 7 E 3 w A U + k 0 Q H + l x v M 5 f r p C 3 5 0 s O c B v q Q c o Z z U W e p X w n y E M a H 1 O Y W x C x k L f o I J l v G f e P I P J I m J R 1 R D g 9 0 h w w y k m G Z 7 4 i A 5 j D A B I U H S y + j U v V q i Y 9 w j r r g f 3 k U 4 3 p d 4 p W K f V d C / M 6 Y D S V S W S c W 4 + E s 7 / y z 9 B B S l M T k 1 K 4 p n Y Y x k l 8 O F 8 u y x D A Y D H c d 4 W o / 2 E p y x S F g T / N j D v Q 7 C W 8 Y h S C E p G f A s z b w 6 Y 0 G G O B F a D B u D g N U U B V i B u I G t E r c 0 7 3 k 3 s U T P 7 h I G i P 9 X B q w y M p E E B i / f 7 R P Y w 0 + Q 7 8 R m S i r p 5 M p b 1 U y q U x h 5 z h w z y Z o w D k f L a a k 0 r b A M x p k X 3 j j X A L d L Z x j Z l C W u Y 5 h 5 5 7 i g 8 g U L a F Z A i g c G g g Q C N A i j 1 K M A 6 B E j h F L G J 6 D w B B Q 6 A g U i U T F L f y B + a E r w A m K Q E j x f / 5 T g G x J 8 X T q W U 3 q b b N w e M n B 5 W Q M X m n K 7 D B l U + V 1 q 9 Z T k n 5 J 8 T Z K f n B z Z 5 + 8 f a Y I / / n R G B c R h A 9 4 1 J P g x k 9 + t 8 e t x r + n 9 r 0 w Y i T w X 5 V z B b A V K c Z i e p E k Z r h R J 3 i h H G d C 2 u H f W i Y z j / q o k O T C A w e o x w k M y z P I n 7 T + y G G K j M R f t d G J a O j n 1 i n E 8 G k X + X C / y W B C a F 3 u t V F + j I w n g r J H 6 T e u D K a P N B f j H r 3 R L F e A U A q Q a g 4 3 A H E N L w 1 H M + x m S K L X p d y d C N h U T 8 S R 4 I E G + S e j P 3 I D J d M K u h M 5 V 8 c 8 H M + 8 c F 1 S a v J 9 M 3 a F p + H T T X q 3 9 u F F 7 Q Z N K + 7 F + K + Y U B j i 9 K i E 3 q V B r P x Z o G z S K G S o A o c H T m V e w S J o X A 1 s 3 s 0 V F f E 1 A p x a A T N e M M M V 0 9 J C E K y t P T t r D u q z 9 2 r i u Y M M w z / 8 k H t Q e P E m S Y N t J J m u 9 s u I A U S m a 1 l 8 s v c N I i 6 P 7 S j 1 s g J w y R z o k g F Q t J a 3 S + o u l d B g e K Y j E W b A w s S f h g f 1 1 b z L p d t h W 9 P 6 e h 4 b Z m d H C j m K I n D s b Y w x P c Z r i B p f Z p o E d M w c n T A O G B I Y n i g a U e E 3 f M E H 6 z m w L j Y S 3 z n x e L w H b o p a I n l E X 1 + f T 4 b 0 R h N m a P a G D w k 6 C v Q W Z b 5 M 0 Q V j + k h 4 u l Z B R F X c M W 6 E W z X / u J Z i K d V X m x e E r U N V D L 4 F g Y I G / 8 J X Y o h d D s J X X 8 N 6 A K 1 4 C S 6 2 G p d a D 0 7 R S g j e 8 o A V T q V a D a 0 D 1 m E r G u Q C / E B 1 e g m n h j x f D L s t T X k d T 6 V w K b + q S I Z U b 3 6 p R l 2 W g P q 2 0 r U o 2 D a h s h k d y l u 1 p s u l O Z C 1 F l K 0 c V b 0 0 K 4 N p N y x R h F B 2 B V 8 s Z Y X Y t 8 a J l A 5 N i B t X 6 n b T X B a 6 r m b k k m J x f 5 t X x U b G o 9 u 3 4 s F N 6 + C s O J m S j 7 m 6 T d R y S y w D J h n Z f n B J K S a m e x 6 4 Z I y w w a 8 W W T D d w 1 E p J n s e e P X w D e I Y W m 2 I A O M d j H 0 n o G 5 y h B x v 1 f 7 4 T Z T 2 J 5 + / 5 Y T P I 5 7 s e S R t v 6 m I s i 2 a 9 / t a b v d h W b g Z U b t F 3 x 7 x t t 2 f r z a z 2 O 1 5 K T q J A F Y Q g 4 + s 5 + 8 7 B t f m j Y I 8 o h b 7 A 0 U s w 0 1 F n 1 Z k 6 J b r P / E K Q Y u Q v e E q 8 C l A P r Y A q R / q n x 7 v p G W T T K g 5 v i m I s B O 8 o s P P b D J b O f T 1 w 2 F T L T z + O c h J B U m f w N O f N z b 8 m c D T 9 8 B O / + f Q S b l I X g 8 9 d Q 6 z j x x A 1 Q b v J w z 1 J 4 u T t a P 9 0 y O f a i u p G 5 J S 0 W k D p s 7 f H / 5 u L z A C c 9 X z O 3 + + s S G G Y t 5 8 s K C F e 8 T B v t v g n 2 r I j z P y 5 x j y C 4 z 8 y Q X 7 h q L T N r U 4 t X N R 8 + G n c e s A E x + R W T G Y V n q w e 7 J r n W / z + 8 r l M x n V U 6 n 1 g p V w p s 0 R x u F B s V D m w p a i n o 1 h H + C l N o S p u q 4 Z z 9 T c 5 X U D K U u v 7 b Z r Y 0 t j q 1 r R N b a T 0 q R s P q n J W h a U e 6 9 h R M u o E 0 I Z N n J b r p E m x 6 3 M q R Z A i g a V c W W v F J d i m Y W 7 e m d 3 1 x w b a s Z q x w w c 1 N o z d 5 p N q e S q N a L S P d V 2 3 M B N N / L R H U P L X u u g x K a 1 H t r i K K 9 W f t V h R H m s J 4 + o e K 6 n a p E d 7 E l h 6 k K d M Z o P r 8 S T v I a j b I 1 x X q m N I 7 4 4 y g 9 9 R U d e x y h k 0 I z M C j j A G G p x x m p x e I k 1 + x 2 c K I 1 H r 5 p G 5 S j J d V 2 v I f H 6 V W e M r U 7 r 2 c 6 v m 8 d q z I z V x j b S j l j r B Q Q v v a n K 0 i Z Q p x s T q C J n X t p 6 7 u / U 4 z w G 4 S 2 g 5 6 w w i F t V 9 / A q F H l B D t 5 Z m K d 0 h Z 2 1 X G G H u g L H t t W T + B 0 F h J + E f v Q j 8 L t i E X m Q R h 5 5 R c I i 0 M Z t T G E v Q q I k a q j V r / E m U t Z X e Q + p 6 3 6 w H 5 V L G f x n s X y R F y n 8 I s Z L b o g H 2 1 e z q P M t W M 3 y 5 J 6 V S n x U X 4 n I v y V v e v F e 9 1 q e 1 U W 3 O m l e b A l L k 0 x W z R K r 1 E O 3 w l o v X 1 Y 2 6 3 e F Z R m l 0 f 9 A q 4 R u i 4 S m L Y c m A a U d R 2 q 2 J F W f 1 D Z M 9 M l 3 n e j y T E Y h 4 p N O T / O Y 4 y T e O 6 o Y t 7 1 v p N r t 6 R 5 N q 1 z T 3 7 3 O R o X T a / i 7 H h 6 V D 1 4 O 4 z i M O S R C K 2 g x 3 R Z X X P C / 5 z g Q 3 N P p J r g o g / C V k 9 K R R J V Y R 2 I D Z x R B O m / I 7 F x J 9 + 8 H 9 4 o N T 3 4 C 8 f 4 g 0 O M 9 4 i Q O 7 1 Z 2 4 v g R / R h M h w T L U q i d f f u e E 1 y 3 P B Q I Q p Q d X x 4 l h 3 6 E V g P 6 I 6 P 0 0 U H z p R t c k Q / W J I N T O A / j x e i t C 7 1 F P s 4 2 f Y R S j O h w q A Q b j D Q K i 3 T H G 2 X 3 / q a I L r d H 1 P K K i p m T Q L G 8 d Y w o F e g e i u t t s H E 0 J t M m g j G N G f 1 H Y J Z 6 x z C 7 5 3 m b h d j v m s x + n v n W C X F C q B b 8 c p 0 I 5 7 j k j 2 6 T m f b t b y b P Y D B f + k 5 8 r Z q 1 b o B o B L e 0 N W O p B r l Q 8 S q C L r J F Q o q l W 0 N E V j + I 6 z c 0 t z y L k + Q l 1 s y V F w / j a A T k D S 2 f 1 7 H u w 7 L m f Y e s Y 5 1 g 3 j E z F r 0 f s f 8 U N T u b e B Z T s f P k c h u 5 3 P H G g G z S D M i a V u Y F E j M + h L c 4 u u + T t 6 7 / / Y 8 P c F g n 7 7 W L U f l E w / r o F O P 3 x W D K x H 3 b u g B b R f U J o T G w t k 3 w B g + E 1 d v 5 q F a 2 F v u o m g M B c T / i P I o 6 q T / W q j / u Z f M i 2 + z X S t f C A J p d d m n T / 5 T s E I G M E w o B t b l a f 7 q X Z I / x 0 O u 1 7 L J T r p G g z 6 d t h B G L p Q 3 O l c U C u s F e a t v b T Z g i q j J + b Z Q b e G P e G x v u c o k B p T P + m d T h n 2 4 w V A i S B n L i K 4 j s / B O f G U q t f p S n l H n Y N W a u k 9 i x m 1 y X P 5 K 5 4 8 H y 1 w K L S 7 9 8 y w + S M I T p d f f v E D T s w E r f K m 2 5 Z j j e C G p M 6 q H G H 2 W o V v a d e q h U 6 3 d e G f 5 D J / s F 7 2 6 4 r e z e I 3 B j r C G s 1 Y s a + 4 b u 6 3 X 5 K v J + a d 4 N F M 6 G p 1 + N i y F X q E y r N t W 5 d K I N 9 K 4 c s V / d W Q d X 6 I + d W I G v a R V O q G J d S 7 O 8 s 0 9 h k n o o U d q j y A X t 7 w G U S N C H a B k u i t R v 5 H l h r Q W 9 e I R f h T z V d m 7 9 F 5 Q E d i b 9 y r V R B k H p m 0 m 0 H / k i Q q b G m l c C O Z H y A I U h F 7 P N 0 Q A I c R Q j z 7 c l S P i y X 0 g s y 6 W B S d 0 u D l Y x j N 5 w L q O k V M e F 0 J a H W G y X t S 8 9 s 9 z E i K o I s t 3 v B S p Z Z U G u s g n 9 L d f y c X Y 9 s 2 R 9 1 r 3 3 J z C U A q 8 q G H e / 5 K f m V k X B y k B l m b q V H J j X M 1 b V b 9 0 r f Q r G f L R m 4 7 M U y r n K b j f R F A J U L P J k m V 1 N 4 T y a B J c p P 5 B V E e n a 4 x 0 z U Z z m w / + 2 i 8 3 K f B 0 1 p X 1 7 v K U l C d S s q + a 6 k X R D i 5 z Q l B q + k C I 3 v W 7 E W b r H G 0 c 5 7 3 Y n G / x l o 8 N a f F G i D + n / r P E / U E s B A i 0 A F A A C A A g A U I 3 9 U p k M v o C k A A A A 9 Q A A A B I A A A A A A A A A A A A A A A A A A A A A A E N v b m Z p Z y 9 Q Y W N r Y W d l L n h t b F B L A Q I t A B Q A A g A I A F C N / V I P y u m r p A A A A O k A A A A T A A A A A A A A A A A A A A A A A P A A A A B b Q 2 9 u d G V u d F 9 U e X B l c 1 0 u e G 1 s U E s B A i 0 A F A A C A A g A U I 3 9 U v h v H s G i D Q A A m G Q A A B M A A A A A A A A A A A A A A A A A 4 Q E A A E Z v c m 1 1 b G F z L 1 N l Y 3 R p b 2 4 x L m 1 Q S w U G A A A A A A M A A w D C A A A A 0 A 8 A A A A A R Q 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x X b 3 J r Y m 9 v a 0 d y b 3 V w V H l w Z T 5 P c m d h b m l 6 Y X R p b 2 5 h b D w v V 2 9 y a 2 J v b 2 t H c m 9 1 c F R 5 c G U + P C 9 Q Z X J t a X N z a W 9 u T G l z d D 4 U b g E A A A A A A P J t A Q 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J X 1 B Q U D 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O Y X Z p Z 2 F 0 a W 9 u U 3 R l c E 5 h b W U i I F Z h b H V l P S J z T m F 2 a W d h d G l v b i I g L z 4 8 R W 5 0 c n k g V H l w Z T 0 i T m F t Z V V w Z G F 0 Z W R B Z n R l c k Z p b G w i I F Z h b H V l P S J s M C I g L z 4 8 R W 5 0 c n k g V H l w Z T 0 i U m V z d W x 0 V H l w Z S I g V m F s d W U 9 I n N U Y W J s Z S I g L z 4 8 R W 5 0 c n k g V H l w Z T 0 i Q n V m Z m V y T m V 4 d F J l Z n J l c 2 g i I F Z h b H V l P S J s M S I g L z 4 8 R W 5 0 c n k g V H l w Z T 0 i U m V j b 3 Z l c n l U Y X J n Z X R T a G V l d C I g V m F s d W U 9 I n N J X 1 B Q U C I g L z 4 8 R W 5 0 c n k g V H l w Z T 0 i U m V j b 3 Z l c n l U Y X J n Z X R D b 2 x 1 b W 4 i I F Z h b H V l P S J s M S I g L z 4 8 R W 5 0 c n k g V H l w Z T 0 i U m V j b 3 Z l c n l U Y X J n Z X R S b 3 c i I F Z h b H V l P S J s N C I g L z 4 8 R W 5 0 c n k g V H l w Z T 0 i R m l s b F R h c m d l d C I g V m F s d W U 9 I n N J X 1 B Q U C I g L z 4 8 R W 5 0 c n k g V H l w Z T 0 i R m l s b G V k Q 2 9 t c G x l d G V S Z X N 1 b H R U b 1 d v c m t z a G V l d C I g V m F s d W U 9 I m w x I i A v P j x F b n R y e S B U e X B l P S J R d W V y e U l E I i B W Y W x 1 Z T 0 i c 2 Q w N G I 5 N W R m L T F h N T E t N D h h O C 0 4 N T Q 2 L W U 4 Y z A 1 M D F l O D l l Y y I g L z 4 8 R W 5 0 c n k g V H l w Z T 0 i R m l s b E V y c m 9 y Q 2 9 1 b n Q i I F Z h b H V l P S J s M C I g L z 4 8 R W 5 0 c n k g V H l w Z T 0 i R m l s b E x h c 3 R V c G R h d G V k I i B W Y W x 1 Z T 0 i Z D I w M j E t M D c t M j l U M T Y 6 M z Q 6 M z Q u M j E w M z E 5 M 1 o i I C 8 + P E V u d H J 5 I F R 5 c G U 9 I k Z p b G x F c n J v c k N v Z G U i I F Z h b H V l P S J z V W 5 r b m 9 3 b i I g L z 4 8 R W 5 0 c n k g V H l w Z T 0 i R m l s b E N v b H V t b l R 5 c G V z I i B W Y W x 1 Z T 0 i c 0 J n V U Z C U V V G Q l F V R k J R V U Z C U T 0 9 I i A v P j x F b n R y e S B U e X B l P S J G a W x s Q 2 9 1 b n Q i I F Z h b H V l P S J s M j A w I i A v P j x F b n R y e S B U e X B l P S J G a W x s Q 2 9 s d W 1 u T m F t Z X M i I F Z h b H V l P S J z W y Z x d W 9 0 O 2 N v d W 5 0 c n k m c X V v d D s s J n F 1 b 3 Q 7 M j A x M C Z x d W 9 0 O y w m c X V v d D s y M D E x J n F 1 b 3 Q 7 L C Z x d W 9 0 O z I w M T I m c X V v d D s s J n F 1 b 3 Q 7 M j A x M y Z x d W 9 0 O y w m c X V v d D s y M D E 0 J n F 1 b 3 Q 7 L C Z x d W 9 0 O z I w M T U m c X V v d D s s J n F 1 b 3 Q 7 M j A x N i Z x d W 9 0 O y w m c X V v d D s y M D E 3 J n F 1 b 3 Q 7 L C Z x d W 9 0 O z I w M T g m c X V v d D s s J n F 1 b 3 Q 7 M j A x O S Z x d W 9 0 O y w m c X V v d D s y M D I w J n F 1 b 3 Q 7 L C Z x d W 9 0 O z I w M j E m c X V v d D t d I i A v P j x F b n R y e S B U e X B l P S J G a W x s U 3 R h d H V z I i B W Y W x 1 Z T 0 i c 0 N v b X B s Z X R l I i A v P j x F b n R y e S B U e X B l P S J S Z W x h d G l v b n N o a X B J b m Z v Q 2 9 u d G F p b m V y I i B W Y W x 1 Z T 0 i c 3 s m c X V v d D t j b 2 x 1 b W 5 D b 3 V u d C Z x d W 9 0 O z o x M y w m c X V v d D t r Z X l D b 2 x 1 b W 5 O Y W 1 l c y Z x d W 9 0 O z p b X S w m c X V v d D t x d W V y e V J l b G F 0 a W 9 u c 2 h p c H M m c X V v d D s 6 W 1 0 s J n F 1 b 3 Q 7 Y 2 9 s d W 1 u S W R l b n R p d G l l c y Z x d W 9 0 O z p b J n F 1 b 3 Q 7 U 2 V j d G l v b j E v S V 9 Q U F A v U m V w b G F j Z W Q g V m F s d W U u e 2 N v d W 5 0 c n k s M H 0 m c X V v d D s s J n F 1 b 3 Q 7 U 2 V j d G l v b j E v S V 9 Q U F A v U G l 2 b 3 R l Z C B D b 2 x 1 b W 4 x L n s y M D E w L D F 9 J n F 1 b 3 Q 7 L C Z x d W 9 0 O 1 N l Y 3 R p b 2 4 x L 0 l f U F B Q L 1 B p d m 9 0 Z W Q g Q 2 9 s d W 1 u M S 5 7 M j A x M S w y f S Z x d W 9 0 O y w m c X V v d D t T Z W N 0 a W 9 u M S 9 J X 1 B Q U C 9 Q a X Z v d G V k I E N v b H V t b j E u e z I w M T I s M 3 0 m c X V v d D s s J n F 1 b 3 Q 7 U 2 V j d G l v b j E v S V 9 Q U F A v U G l 2 b 3 R l Z C B D b 2 x 1 b W 4 x L n s y M D E z L D R 9 J n F 1 b 3 Q 7 L C Z x d W 9 0 O 1 N l Y 3 R p b 2 4 x L 0 l f U F B Q L 1 B p d m 9 0 Z W Q g Q 2 9 s d W 1 u M S 5 7 M j A x N C w 1 f S Z x d W 9 0 O y w m c X V v d D t T Z W N 0 a W 9 u M S 9 J X 1 B Q U C 9 Q a X Z v d G V k I E N v b H V t b j E u e z I w M T U s N n 0 m c X V v d D s s J n F 1 b 3 Q 7 U 2 V j d G l v b j E v S V 9 Q U F A v U G l 2 b 3 R l Z C B D b 2 x 1 b W 4 x L n s y M D E 2 L D d 9 J n F 1 b 3 Q 7 L C Z x d W 9 0 O 1 N l Y 3 R p b 2 4 x L 0 l f U F B Q L 1 B p d m 9 0 Z W Q g Q 2 9 s d W 1 u M S 5 7 M j A x N y w 4 f S Z x d W 9 0 O y w m c X V v d D t T Z W N 0 a W 9 u M S 9 J X 1 B Q U C 9 Q a X Z v d G V k I E N v b H V t b j E u e z I w M T g s O X 0 m c X V v d D s s J n F 1 b 3 Q 7 U 2 V j d G l v b j E v S V 9 Q U F A v U G l 2 b 3 R l Z C B D b 2 x 1 b W 4 x L n s y M D E 5 L D E w f S Z x d W 9 0 O y w m c X V v d D t T Z W N 0 a W 9 u M S 9 J X 1 B Q U C 9 Q a X Z v d G V k I E N v b H V t b j E u e z I w M j A s M T F 9 J n F 1 b 3 Q 7 L C Z x d W 9 0 O 1 N l Y 3 R p b 2 4 x L 0 l f U F B Q L 1 B p d m 9 0 Z W Q g Q 2 9 s d W 1 u M S 5 7 M j A y M S w x M n 0 m c X V v d D t d L C Z x d W 9 0 O 0 N v b H V t b k N v d W 5 0 J n F 1 b 3 Q 7 O j E z L C Z x d W 9 0 O 0 t l e U N v b H V t b k 5 h b W V z J n F 1 b 3 Q 7 O l t d L C Z x d W 9 0 O 0 N v b H V t b k l k Z W 5 0 a X R p Z X M m c X V v d D s 6 W y Z x d W 9 0 O 1 N l Y 3 R p b 2 4 x L 0 l f U F B Q L 1 J l c G x h Y 2 V k I F Z h b H V l L n t j b 3 V u d H J 5 L D B 9 J n F 1 b 3 Q 7 L C Z x d W 9 0 O 1 N l Y 3 R p b 2 4 x L 0 l f U F B Q L 1 B p d m 9 0 Z W Q g Q 2 9 s d W 1 u M S 5 7 M j A x M C w x f S Z x d W 9 0 O y w m c X V v d D t T Z W N 0 a W 9 u M S 9 J X 1 B Q U C 9 Q a X Z v d G V k I E N v b H V t b j E u e z I w M T E s M n 0 m c X V v d D s s J n F 1 b 3 Q 7 U 2 V j d G l v b j E v S V 9 Q U F A v U G l 2 b 3 R l Z C B D b 2 x 1 b W 4 x L n s y M D E y L D N 9 J n F 1 b 3 Q 7 L C Z x d W 9 0 O 1 N l Y 3 R p b 2 4 x L 0 l f U F B Q L 1 B p d m 9 0 Z W Q g Q 2 9 s d W 1 u M S 5 7 M j A x M y w 0 f S Z x d W 9 0 O y w m c X V v d D t T Z W N 0 a W 9 u M S 9 J X 1 B Q U C 9 Q a X Z v d G V k I E N v b H V t b j E u e z I w M T Q s N X 0 m c X V v d D s s J n F 1 b 3 Q 7 U 2 V j d G l v b j E v S V 9 Q U F A v U G l 2 b 3 R l Z C B D b 2 x 1 b W 4 x L n s y M D E 1 L D Z 9 J n F 1 b 3 Q 7 L C Z x d W 9 0 O 1 N l Y 3 R p b 2 4 x L 0 l f U F B Q L 1 B p d m 9 0 Z W Q g Q 2 9 s d W 1 u M S 5 7 M j A x N i w 3 f S Z x d W 9 0 O y w m c X V v d D t T Z W N 0 a W 9 u M S 9 J X 1 B Q U C 9 Q a X Z v d G V k I E N v b H V t b j E u e z I w M T c s O H 0 m c X V v d D s s J n F 1 b 3 Q 7 U 2 V j d G l v b j E v S V 9 Q U F A v U G l 2 b 3 R l Z C B D b 2 x 1 b W 4 x L n s y M D E 4 L D l 9 J n F 1 b 3 Q 7 L C Z x d W 9 0 O 1 N l Y 3 R p b 2 4 x L 0 l f U F B Q L 1 B p d m 9 0 Z W Q g Q 2 9 s d W 1 u M S 5 7 M j A x O S w x M H 0 m c X V v d D s s J n F 1 b 3 Q 7 U 2 V j d G l v b j E v S V 9 Q U F A v U G l 2 b 3 R l Z C B D b 2 x 1 b W 4 x L n s y M D I w L D E x f S Z x d W 9 0 O y w m c X V v d D t T Z W N 0 a W 9 u M S 9 J X 1 B Q U C 9 Q a X Z v d G V k I E N v b H V t b j E u e z I w M j E s M T J 9 J n F 1 b 3 Q 7 X S w m c X V v d D t S Z W x h d G l v b n N o a X B J b m Z v J n F 1 b 3 Q 7 O l t d f S I g L z 4 8 R W 5 0 c n k g V H l w Z T 0 i Q W R k Z W R U b 0 R h d G F N b 2 R l b C I g V m F s d W U 9 I m w w I i A v P j w v U 3 R h Y m x l R W 5 0 c m l l c z 4 8 L 0 l 0 Z W 0 + P E l 0 Z W 0 + P E l 0 Z W 1 M b 2 N h d G l v b j 4 8 S X R l b V R 5 c G U + R m 9 y b X V s Y T w v S X R l b V R 5 c G U + P E l 0 Z W 1 Q Y X R o P l N l Y 3 R p b 2 4 x L 0 l f U F B Q L 1 N v d X J j Z T w v S X R l b V B h d G g + P C 9 J d G V t T G 9 j Y X R p b 2 4 + P F N 0 Y W J s Z U V u d H J p Z X M g L z 4 8 L 0 l 0 Z W 0 + P E l 0 Z W 0 + P E l 0 Z W 1 M b 2 N h d G l v b j 4 8 S X R l b V R 5 c G U + R m 9 y b X V s Y T w v S X R l b V R 5 c G U + P E l 0 Z W 1 Q Y X R o P l N l Y 3 R p b 2 4 x L 0 l f U F B Q L 1 J l b W 9 2 Z W Q l M j B U b 3 A l M j B S b 3 d z P C 9 J d G V t U G F 0 a D 4 8 L 0 l 0 Z W 1 M b 2 N h d G l v b j 4 8 U 3 R h Y m x l R W 5 0 c m l l c y A v P j w v S X R l b T 4 8 S X R l b T 4 8 S X R l b U x v Y 2 F 0 a W 9 u P j x J d G V t V H l w Z T 5 G b 3 J t d W x h P C 9 J d G V t V H l w Z T 4 8 S X R l b V B h d G g + U 2 V j d G l v b j E v S V 9 Q U F A v U H J v b W 9 0 Z W Q l M j B I Z W F k Z X J z P C 9 J d G V t U G F 0 a D 4 8 L 0 l 0 Z W 1 M b 2 N h d G l v b j 4 8 U 3 R h Y m x l R W 5 0 c m l l c y A v P j w v S X R l b T 4 8 S X R l b T 4 8 S X R l b U x v Y 2 F 0 a W 9 u P j x J d G V t V H l w Z T 5 G b 3 J t d W x h P C 9 J d G V t V H l w Z T 4 8 S X R l b V B h d G g + U 2 V j d G l v b j E v S V 9 Q U F A v U m V t b 3 Z l Z C U y M E N v b H V t b n M 8 L 0 l 0 Z W 1 Q Y X R o P j w v S X R l b U x v Y 2 F 0 a W 9 u P j x T d G F i b G V F b n R y a W V z I C 8 + P C 9 J d G V t P j x J d G V t P j x J d G V t T G 9 j Y X R p b 2 4 + P E l 0 Z W 1 U e X B l P k Z v c m 1 1 b G E 8 L 0 l 0 Z W 1 U e X B l P j x J d G V t U G F 0 a D 5 T Z W N 0 a W 9 u M S 9 J X 1 B Q U C 9 V b n B p d m 9 0 Z W Q l M j B P d G h l c i U y M E N v b H V t b n M 8 L 0 l 0 Z W 1 Q Y X R o P j w v S X R l b U x v Y 2 F 0 a W 9 u P j x T d G F i b G V F b n R y a W V z I C 8 + P C 9 J d G V t P j x J d G V t P j x J d G V t T G 9 j Y X R p b 2 4 + P E l 0 Z W 1 U e X B l P k Z v c m 1 1 b G E 8 L 0 l 0 Z W 1 U e X B l P j x J d G V t U G F 0 a D 5 T Z W N 0 a W 9 u M S 9 J X 1 B Q U C 9 D a G F u Z 2 V k J T I w V H l w Z T w v S X R l b V B h d G g + P C 9 J d G V t T G 9 j Y X R p b 2 4 + P F N 0 Y W J s Z U V u d H J p Z X M g L z 4 8 L 0 l 0 Z W 0 + P E l 0 Z W 0 + P E l 0 Z W 1 M b 2 N h d G l v b j 4 8 S X R l b V R 5 c G U + R m 9 y b X V s Y T w v S X R l b V R 5 c G U + P E l 0 Z W 1 Q Y X R o P l N l Y 3 R p b 2 4 x L 0 l f U F B Q L 0 Z p b H R l c m V k J T I w U m 9 3 c z w v S X R l b V B h d G g + P C 9 J d G V t T G 9 j Y X R p b 2 4 + P F N 0 Y W J s Z U V u d H J p Z X M g L z 4 8 L 0 l 0 Z W 0 + P E l 0 Z W 0 + P E l 0 Z W 1 M b 2 N h d G l v b j 4 8 S X R l b V R 5 c G U + R m 9 y b X V s Y T w v S X R l b V R 5 c G U + P E l 0 Z W 1 Q Y X R o P l N l Y 3 R p b 2 4 x L 0 l f U F B Q L 0 N o Y W 5 n Z W Q l M j B U e X B l M T w v S X R l b V B h d G g + P C 9 J d G V t T G 9 j Y X R p b 2 4 + P F N 0 Y W J s Z U V u d H J p Z X M g L z 4 8 L 0 l 0 Z W 0 + P E l 0 Z W 0 + P E l 0 Z W 1 M b 2 N h d G l v b j 4 8 S X R l b V R 5 c G U + R m 9 y b X V s Y T w v S X R l b V R 5 c G U + P E l 0 Z W 1 Q Y X R o P l N l Y 3 R p b 2 4 x L 0 l f Q 1 B J X 1 V L 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S Z W N v d m V y e V R h c m d l d F N o Z W V 0 I i B W Y W x 1 Z T 0 i c 0 l f Q 1 B J X 1 V L I i A v P j x F b n R y e S B U e X B l P S J S Z W N v d m V y e V R h c m d l d E N v b H V t b i I g V m F s d W U 9 I m w x I i A v P j x F b n R y e S B U e X B l P S J S Z W N v d m V y e V R h c m d l d F J v d y I g V m F s d W U 9 I m w 0 I i A v P j x F b n R y e S B U e X B l P S J G a W x s V G F y Z 2 V 0 I i B W Y W x 1 Z T 0 i c 0 l f Q 1 B J X 1 V L I i A v P j x F b n R y e S B U e X B l P S J G a W x s Z W R D b 2 1 w b G V 0 Z V J l c 3 V s d F R v V 2 9 y a 3 N o Z W V 0 I i B W Y W x 1 Z T 0 i b D E i I C 8 + P E V u d H J 5 I F R 5 c G U 9 I l F 1 Z X J 5 S U Q i I F Z h b H V l P S J z Y T Q w M m U 0 M j Q t N j g 4 O C 0 0 Z G I 0 L W J i M j I t N T E w O T Y x O D Y y M j A 2 I i A v P j x F b n R y e S B U e X B l P S J G a W x s T G F z d F V w Z G F 0 Z W Q i I F Z h b H V l P S J k M j A y M S 0 w N y 0 y O V Q x N j o z N D o 0 M S 4 z M j Y z N D Y y W i I g L z 4 8 R W 5 0 c n k g V H l w Z T 0 i R m l s b E N v b H V t b l R 5 c G V z I i B W Y W x 1 Z T 0 i c 0 F B V T 0 i I C 8 + P E V u d H J 5 I F R 5 c G U 9 I k Z p b G x D b 2 x 1 b W 5 O Y W 1 l c y I g V m F s d W U 9 I n N b J n F 1 b 3 Q 7 b W 9 u d G g m c X V v d D s s J n F 1 b 3 Q 7 a W 5 k Z X g m c X V v d D t d I i A v P j x F b n R y e S B U e X B l P S J G a W x s R X J y b 3 J D b 3 V u d C I g V m F s d W U 9 I m w w I i A v P j x F b n R y e S B U e X B l P S J G a W x s R X J y b 3 J D b 2 R l I i B W Y W x 1 Z T 0 i c 1 V u a 2 5 v d 2 4 i I C 8 + P E V u d H J 5 I F R 5 c G U 9 I k Z p b G x T d G F 0 d X M i I F Z h b H V l P S J z Q 2 9 t c G x l d G U i I C 8 + P E V u d H J 5 I F R 5 c G U 9 I k Z p b G x D b 3 V u d C I g V m F s d W U 9 I m w x M z Y i I C 8 + P E V u d H J 5 I F R 5 c G U 9 I l J l b G F 0 a W 9 u c 2 h p c E l u Z m 9 D b 2 5 0 Y W l u Z X I i I F Z h b H V l P S J z e y Z x d W 9 0 O 2 N v b H V t b k N v d W 5 0 J n F 1 b 3 Q 7 O j I s J n F 1 b 3 Q 7 a 2 V 5 Q 2 9 s d W 1 u T m F t Z X M m c X V v d D s 6 W 1 0 s J n F 1 b 3 Q 7 c X V l c n l S Z W x h d G l v b n N o a X B z J n F 1 b 3 Q 7 O l t d L C Z x d W 9 0 O 2 N v b H V t b k l k Z W 5 0 a X R p Z X M m c X V v d D s 6 W y Z x d W 9 0 O 1 N l Y 3 R p b 2 4 x L 0 l f Q 1 B J X 1 V L L 0 Z p b G x l Z C B E b 3 d u L n t t b 2 5 0 a C 4 x L D J 9 J n F 1 b 3 Q 7 L C Z x d W 9 0 O 1 N l Y 3 R p b 2 4 x L 0 l f Q 1 B J X 1 V L L 0 Z p b G x l Z C B E b 3 d u L n t p b m R l e C w x f S Z x d W 9 0 O 1 0 s J n F 1 b 3 Q 7 Q 2 9 s d W 1 u Q 2 9 1 b n Q m c X V v d D s 6 M i w m c X V v d D t L Z X l D b 2 x 1 b W 5 O Y W 1 l c y Z x d W 9 0 O z p b X S w m c X V v d D t D b 2 x 1 b W 5 J Z G V u d G l 0 a W V z J n F 1 b 3 Q 7 O l s m c X V v d D t T Z W N 0 a W 9 u M S 9 J X 0 N Q S V 9 V S y 9 G a W x s Z W Q g R G 9 3 b i 5 7 b W 9 u d G g u M S w y f S Z x d W 9 0 O y w m c X V v d D t T Z W N 0 a W 9 u M S 9 J X 0 N Q S V 9 V S y 9 G a W x s Z W Q g R G 9 3 b i 5 7 a W 5 k Z X g s M X 0 m c X V v d D t d L C Z x d W 9 0 O 1 J l b G F 0 a W 9 u c 2 h p c E l u Z m 8 m c X V v d D s 6 W 1 1 9 I i A v P j x F b n R y e S B U e X B l P S J B Z G R l Z F R v R G F 0 Y U 1 v Z G V s I i B W Y W x 1 Z T 0 i b D A i I C 8 + P C 9 T d G F i b G V F b n R y a W V z P j w v S X R l b T 4 8 S X R l b T 4 8 S X R l b U x v Y 2 F 0 a W 9 u P j x J d G V t V H l w Z T 5 G b 3 J t d W x h P C 9 J d G V t V H l w Z T 4 8 S X R l b V B h d G g + U 2 V j d G l v b j E v S V 9 D U E l f V U s v U 2 9 1 c m N l P C 9 J d G V t U G F 0 a D 4 8 L 0 l 0 Z W 1 M b 2 N h d G l v b j 4 8 U 3 R h Y m x l R W 5 0 c m l l c y A v P j w v S X R l b T 4 8 S X R l b T 4 8 S X R l b U x v Y 2 F 0 a W 9 u P j x J d G V t V H l w Z T 5 G b 3 J t d W x h P C 9 J d G V t V H l w Z T 4 8 S X R l b V B h d G g + U 2 V j d G l v b j E v S V 9 D U E l f V U s v U m V t b 3 Z l Z C U y M F R v c C U y M F J v d 3 M 8 L 0 l 0 Z W 1 Q Y X R o P j w v S X R l b U x v Y 2 F 0 a W 9 u P j x T d G F i b G V F b n R y a W V z I C 8 + P C 9 J d G V t P j x J d G V t P j x J d G V t T G 9 j Y X R p b 2 4 + P E l 0 Z W 1 U e X B l P k Z v c m 1 1 b G E 8 L 0 l 0 Z W 1 U e X B l P j x J d G V t U G F 0 a D 5 T Z W N 0 a W 9 u M S 9 J X 0 N Q S V 9 V S y 9 T c G x p d C U y M E N v b H V t b i U y M G J 5 J T I w R G V s a W 1 p d G V y P C 9 J d G V t U G F 0 a D 4 8 L 0 l 0 Z W 1 M b 2 N h d G l v b j 4 8 U 3 R h Y m x l R W 5 0 c m l l c y A v P j w v S X R l b T 4 8 S X R l b T 4 8 S X R l b U x v Y 2 F 0 a W 9 u P j x J d G V t V H l w Z T 5 G b 3 J t d W x h P C 9 J d G V t V H l w Z T 4 8 S X R l b V B h d G g + U 2 V j d G l v b j E v S V 9 D U E l f V U s v U 3 B s a X Q l M j B D b 2 x 1 b W 4 l M j B i e S U y M E R l b G l t a X R l c j E 8 L 0 l 0 Z W 1 Q Y X R o P j w v S X R l b U x v Y 2 F 0 a W 9 u P j x T d G F i b G V F b n R y a W V z I C 8 + P C 9 J d G V t P j x J d G V t P j x J d G V t T G 9 j Y X R p b 2 4 + P E l 0 Z W 1 U e X B l P k Z v c m 1 1 b G E 8 L 0 l 0 Z W 1 U e X B l P j x J d G V t U G F 0 a D 5 T Z W N 0 a W 9 u M S 9 J X 0 N Q S V 9 V S y 9 D a G F u Z 2 V k J T I w V H l w Z T w v S X R l b V B h d G g + P C 9 J d G V t T G 9 j Y X R p b 2 4 + P F N 0 Y W J s Z U V u d H J p Z X M g L z 4 8 L 0 l 0 Z W 0 + P E l 0 Z W 0 + P E l 0 Z W 1 M b 2 N h d G l v b j 4 8 S X R l b V R 5 c G U + R m 9 y b X V s Y T w v S X R l b V R 5 c G U + P E l 0 Z W 1 Q Y X R o P l N l Y 3 R p b 2 4 x L 0 l f Q 1 B J X 1 V L L 0 Z p b H R l c m V k J T I w U m 9 3 c z w v S X R l b V B h d G g + P C 9 J d G V t T G 9 j Y X R p b 2 4 + P F N 0 Y W J s Z U V u d H J p Z X M g L z 4 8 L 0 l 0 Z W 0 + P E l 0 Z W 0 + P E l 0 Z W 1 M b 2 N h d G l v b j 4 8 S X R l b V R 5 c G U + R m 9 y b X V s Y T w v S X R l b V R 5 c G U + P E l 0 Z W 1 Q Y X R o P l N l Y 3 R p b 2 4 x L 0 l f Q 1 B J X 1 V L L 0 Z p b H R l c m V k J T I w U m 9 3 c z E 8 L 0 l 0 Z W 1 Q Y X R o P j w v S X R l b U x v Y 2 F 0 a W 9 u P j x T d G F i b G V F b n R y a W V z I C 8 + P C 9 J d G V t P j x J d G V t P j x J d G V t T G 9 j Y X R p b 2 4 + P E l 0 Z W 1 U e X B l P k Z v c m 1 1 b G E 8 L 0 l 0 Z W 1 U e X B l P j x J d G V t U G F 0 a D 5 T Z W N 0 a W 9 u M S 9 J X 0 N Q S V 9 V S y 9 D a G F u Z 2 V k J T I w V H l w Z T E 8 L 0 l 0 Z W 1 Q Y X R o P j w v S X R l b U x v Y 2 F 0 a W 9 u P j x T d G F i b G V F b n R y a W V z I C 8 + P C 9 J d G V t P j x J d G V t P j x J d G V t T G 9 j Y X R p b 2 4 + P E l 0 Z W 1 U e X B l P k Z v c m 1 1 b G E 8 L 0 l 0 Z W 1 U e X B l P j x J d G V t U G F 0 a D 5 T Z W N 0 a W 9 u M S 9 J X 0 N Q S V 9 V S y 9 N Z X J n Z W Q l M j B D b 2 x 1 b W 5 z P C 9 J d G V t U G F 0 a D 4 8 L 0 l 0 Z W 1 M b 2 N h d G l v b j 4 8 U 3 R h Y m x l R W 5 0 c m l l c y A v P j w v S X R l b T 4 8 S X R l b T 4 8 S X R l b U x v Y 2 F 0 a W 9 u P j x J d G V t V H l w Z T 5 G b 3 J t d W x h P C 9 J d G V t V H l w Z T 4 8 S X R l b V B h d G g + U 2 V j d G l v b j E v S V 9 D U E l f V U s v Q 2 h h b m d l Z C U y M F R 5 c G U y P C 9 J d G V t U G F 0 a D 4 8 L 0 l 0 Z W 1 M b 2 N h d G l v b j 4 8 U 3 R h Y m x l R W 5 0 c m l l c y A v P j w v S X R l b T 4 8 S X R l b T 4 8 S X R l b U x v Y 2 F 0 a W 9 u P j x J d G V t V H l w Z T 5 G b 3 J t d W x h P C 9 J d G V t V H l w Z T 4 8 S X R l b V B h d G g + U 2 V j d G l v b j E v S V 9 D U E l f V U s v U m V u Y W 1 l Z C U y M E N v b H V t b n M 8 L 0 l 0 Z W 1 Q Y X R o P j w v S X R l b U x v Y 2 F 0 a W 9 u P j x T d G F i b G V F b n R y a W V z I C 8 + P C 9 J d G V t P j x J d G V t P j x J d G V t T G 9 j Y X R p b 2 4 + P E l 0 Z W 1 U e X B l P k Z v c m 1 1 b G E 8 L 0 l 0 Z W 1 U e X B l P j x J d G V t U G F 0 a D 5 T Z W N 0 a W 9 u M S 9 J X 0 N Q S V 9 V S y 9 S Z W 1 v d m V k J T I w T 3 R o Z X I l M j B D b 2 x 1 b W 5 z P C 9 J d G V t U G F 0 a D 4 8 L 0 l 0 Z W 1 M b 2 N h d G l v b j 4 8 U 3 R h Y m x l R W 5 0 c m l l c y A v P j w v S X R l b T 4 8 S X R l b T 4 8 S X R l b U x v Y 2 F 0 a W 9 u P j x J d G V t V H l w Z T 5 G b 3 J t d W x h P C 9 J d G V t V H l w Z T 4 8 S X R l b V B h d G g + U 2 V j d G l v b j E v S V 9 Q b 3 B 1 b G F 0 a W 9 u 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S Z W N v d m V y e V R h c m d l d F N o Z W V 0 I i B W Y W x 1 Z T 0 i c 0 l f U G 9 w d W x h d G l v b i I g L z 4 8 R W 5 0 c n k g V H l w Z T 0 i U m V j b 3 Z l c n l U Y X J n Z X R D b 2 x 1 b W 4 i I F Z h b H V l P S J s M S I g L z 4 8 R W 5 0 c n k g V H l w Z T 0 i U m V j b 3 Z l c n l U Y X J n Z X R S b 3 c i I F Z h b H V l P S J s N C I g L z 4 8 R W 5 0 c n k g V H l w Z T 0 i R m l s b F R h c m d l d C I g V m F s d W U 9 I n N J X 1 B v c H V s Y X R p b 2 4 i I C 8 + P E V u d H J 5 I F R 5 c G U 9 I k Z p b G x l Z E N v b X B s Z X R l U m V z d W x 0 V G 9 X b 3 J r c 2 h l Z X Q i I F Z h b H V l P S J s M S I g L z 4 8 R W 5 0 c n k g V H l w Z T 0 i U X V l c n l J R C I g V m F s d W U 9 I n N k M D R i Z G Z i N S 0 z Z W Q 0 L T Q 0 Y j E t Y j Q 2 Z i 1 h Y T V i N G M x M m F k N z Q i I C 8 + P E V u d H J 5 I F R 5 c G U 9 I k Z p b G x M Y X N 0 V X B k Y X R l Z C I g V m F s d W U 9 I m Q y M D I x L T A 3 L T I 5 V D E 2 O j M 0 O j Q x L j U 3 M T Y x O T h a I i A v P j x F b n R y e S B U e X B l P S J G a W x s Q 2 9 s d W 1 u V H l w Z X M i I F Z h b H V l P S J z Q m d N R E F 3 T U R B d 0 1 E Q X d N R E F 3 P T 0 i I C 8 + P E V u d H J 5 I F R 5 c G U 9 I k Z p b G x F c n J v c k N v d W 5 0 I i B W Y W x 1 Z T 0 i b D A i I C 8 + P E V u d H J 5 I F R 5 c G U 9 I k Z p b G x D b 2 x 1 b W 5 O Y W 1 l c y I g V m F s d W U 9 I n N b J n F 1 b 3 Q 7 Y 2 9 1 b n R y e S Z x d W 9 0 O y w m c X V v d D s y M D E w J n F 1 b 3 Q 7 L C Z x d W 9 0 O z I w M T E m c X V v d D s s J n F 1 b 3 Q 7 M j A x M i Z x d W 9 0 O y w m c X V v d D s y M D E z J n F 1 b 3 Q 7 L C Z x d W 9 0 O z I w M T Q m c X V v d D s s J n F 1 b 3 Q 7 M j A x N S Z x d W 9 0 O y w m c X V v d D s y M D E 2 J n F 1 b 3 Q 7 L C Z x d W 9 0 O z I w M T c m c X V v d D s s J n F 1 b 3 Q 7 M j A x O C Z x d W 9 0 O y w m c X V v d D s y M D E 5 J n F 1 b 3 Q 7 L C Z x d W 9 0 O z I w M j A m c X V v d D s s J n F 1 b 3 Q 7 M j A y M S Z x d W 9 0 O 1 0 i I C 8 + P E V u d H J 5 I F R 5 c G U 9 I k Z p b G x F c n J v c k N v Z G U i I F Z h b H V l P S J z V W 5 r b m 9 3 b i I g L z 4 8 R W 5 0 c n k g V H l w Z T 0 i R m l s b F N 0 Y X R 1 c y I g V m F s d W U 9 I n N D b 2 1 w b G V 0 Z S I g L z 4 8 R W 5 0 c n k g V H l w Z T 0 i R m l s b E N v d W 5 0 I i B W Y W x 1 Z T 0 i b D I 2 M y I g L z 4 8 R W 5 0 c n k g V H l w Z T 0 i U m V s Y X R p b 2 5 z a G l w S W 5 m b 0 N v b n R h a W 5 l c i I g V m F s d W U 9 I n N 7 J n F 1 b 3 Q 7 Y 2 9 s d W 1 u Q 2 9 1 b n Q m c X V v d D s 6 M T M s J n F 1 b 3 Q 7 a 2 V 5 Q 2 9 s d W 1 u T m F t Z X M m c X V v d D s 6 W 1 0 s J n F 1 b 3 Q 7 c X V l c n l S Z W x h d G l v b n N o a X B z J n F 1 b 3 Q 7 O l t d L C Z x d W 9 0 O 2 N v b H V t b k l k Z W 5 0 a X R p Z X M m c X V v d D s 6 W y Z x d W 9 0 O 1 N l Y 3 R p b 2 4 x L 0 l f U G 9 w d W x h d G l v b i 9 S Z X B s Y W N l Z C B W Y W x 1 Z S 5 7 Y 2 9 1 b n R y e S w w f S Z x d W 9 0 O y w m c X V v d D t T Z W N 0 a W 9 u M S 9 J X 1 B v c H V s Y X R p b 2 4 v U G l 2 b 3 R l Z C B D b 2 x 1 b W 4 x L n s y M D E w L D F 9 J n F 1 b 3 Q 7 L C Z x d W 9 0 O 1 N l Y 3 R p b 2 4 x L 0 l f U G 9 w d W x h d G l v b i 9 Q a X Z v d G V k I E N v b H V t b j E u e z I w M T E s M n 0 m c X V v d D s s J n F 1 b 3 Q 7 U 2 V j d G l v b j E v S V 9 Q b 3 B 1 b G F 0 a W 9 u L 1 B p d m 9 0 Z W Q g Q 2 9 s d W 1 u M S 5 7 M j A x M i w z f S Z x d W 9 0 O y w m c X V v d D t T Z W N 0 a W 9 u M S 9 J X 1 B v c H V s Y X R p b 2 4 v U G l 2 b 3 R l Z C B D b 2 x 1 b W 4 x L n s y M D E z L D R 9 J n F 1 b 3 Q 7 L C Z x d W 9 0 O 1 N l Y 3 R p b 2 4 x L 0 l f U G 9 w d W x h d G l v b i 9 Q a X Z v d G V k I E N v b H V t b j E u e z I w M T Q s N X 0 m c X V v d D s s J n F 1 b 3 Q 7 U 2 V j d G l v b j E v S V 9 Q b 3 B 1 b G F 0 a W 9 u L 1 B p d m 9 0 Z W Q g Q 2 9 s d W 1 u M S 5 7 M j A x N S w 2 f S Z x d W 9 0 O y w m c X V v d D t T Z W N 0 a W 9 u M S 9 J X 1 B v c H V s Y X R p b 2 4 v U G l 2 b 3 R l Z C B D b 2 x 1 b W 4 x L n s y M D E 2 L D d 9 J n F 1 b 3 Q 7 L C Z x d W 9 0 O 1 N l Y 3 R p b 2 4 x L 0 l f U G 9 w d W x h d G l v b i 9 Q a X Z v d G V k I E N v b H V t b j E u e z I w M T c s O H 0 m c X V v d D s s J n F 1 b 3 Q 7 U 2 V j d G l v b j E v S V 9 Q b 3 B 1 b G F 0 a W 9 u L 1 B p d m 9 0 Z W Q g Q 2 9 s d W 1 u M S 5 7 M j A x O C w 5 f S Z x d W 9 0 O y w m c X V v d D t T Z W N 0 a W 9 u M S 9 J X 1 B v c H V s Y X R p b 2 4 v U G l 2 b 3 R l Z C B D b 2 x 1 b W 4 x L n s y M D E 5 L D E w f S Z x d W 9 0 O y w m c X V v d D t T Z W N 0 a W 9 u M S 9 J X 1 B v c H V s Y X R p b 2 4 v U G l 2 b 3 R l Z C B D b 2 x 1 b W 4 x L n s y M D I w L D E x f S Z x d W 9 0 O y w m c X V v d D t T Z W N 0 a W 9 u M S 9 J X 1 B v c H V s Y X R p b 2 4 v U G l 2 b 3 R l Z C B D b 2 x 1 b W 4 x L n s y M D I x L D E y f S Z x d W 9 0 O 1 0 s J n F 1 b 3 Q 7 Q 2 9 s d W 1 u Q 2 9 1 b n Q m c X V v d D s 6 M T M s J n F 1 b 3 Q 7 S 2 V 5 Q 2 9 s d W 1 u T m F t Z X M m c X V v d D s 6 W 1 0 s J n F 1 b 3 Q 7 Q 2 9 s d W 1 u S W R l b n R p d G l l c y Z x d W 9 0 O z p b J n F 1 b 3 Q 7 U 2 V j d G l v b j E v S V 9 Q b 3 B 1 b G F 0 a W 9 u L 1 J l c G x h Y 2 V k I F Z h b H V l L n t j b 3 V u d H J 5 L D B 9 J n F 1 b 3 Q 7 L C Z x d W 9 0 O 1 N l Y 3 R p b 2 4 x L 0 l f U G 9 w d W x h d G l v b i 9 Q a X Z v d G V k I E N v b H V t b j E u e z I w M T A s M X 0 m c X V v d D s s J n F 1 b 3 Q 7 U 2 V j d G l v b j E v S V 9 Q b 3 B 1 b G F 0 a W 9 u L 1 B p d m 9 0 Z W Q g Q 2 9 s d W 1 u M S 5 7 M j A x M S w y f S Z x d W 9 0 O y w m c X V v d D t T Z W N 0 a W 9 u M S 9 J X 1 B v c H V s Y X R p b 2 4 v U G l 2 b 3 R l Z C B D b 2 x 1 b W 4 x L n s y M D E y L D N 9 J n F 1 b 3 Q 7 L C Z x d W 9 0 O 1 N l Y 3 R p b 2 4 x L 0 l f U G 9 w d W x h d G l v b i 9 Q a X Z v d G V k I E N v b H V t b j E u e z I w M T M s N H 0 m c X V v d D s s J n F 1 b 3 Q 7 U 2 V j d G l v b j E v S V 9 Q b 3 B 1 b G F 0 a W 9 u L 1 B p d m 9 0 Z W Q g Q 2 9 s d W 1 u M S 5 7 M j A x N C w 1 f S Z x d W 9 0 O y w m c X V v d D t T Z W N 0 a W 9 u M S 9 J X 1 B v c H V s Y X R p b 2 4 v U G l 2 b 3 R l Z C B D b 2 x 1 b W 4 x L n s y M D E 1 L D Z 9 J n F 1 b 3 Q 7 L C Z x d W 9 0 O 1 N l Y 3 R p b 2 4 x L 0 l f U G 9 w d W x h d G l v b i 9 Q a X Z v d G V k I E N v b H V t b j E u e z I w M T Y s N 3 0 m c X V v d D s s J n F 1 b 3 Q 7 U 2 V j d G l v b j E v S V 9 Q b 3 B 1 b G F 0 a W 9 u L 1 B p d m 9 0 Z W Q g Q 2 9 s d W 1 u M S 5 7 M j A x N y w 4 f S Z x d W 9 0 O y w m c X V v d D t T Z W N 0 a W 9 u M S 9 J X 1 B v c H V s Y X R p b 2 4 v U G l 2 b 3 R l Z C B D b 2 x 1 b W 4 x L n s y M D E 4 L D l 9 J n F 1 b 3 Q 7 L C Z x d W 9 0 O 1 N l Y 3 R p b 2 4 x L 0 l f U G 9 w d W x h d G l v b i 9 Q a X Z v d G V k I E N v b H V t b j E u e z I w M T k s M T B 9 J n F 1 b 3 Q 7 L C Z x d W 9 0 O 1 N l Y 3 R p b 2 4 x L 0 l f U G 9 w d W x h d G l v b i 9 Q a X Z v d G V k I E N v b H V t b j E u e z I w M j A s M T F 9 J n F 1 b 3 Q 7 L C Z x d W 9 0 O 1 N l Y 3 R p b 2 4 x L 0 l f U G 9 w d W x h d G l v b i 9 Q a X Z v d G V k I E N v b H V t b j E u e z I w M j E s M T J 9 J n F 1 b 3 Q 7 X S w m c X V v d D t S Z W x h d G l v b n N o a X B J b m Z v J n F 1 b 3 Q 7 O l t d f S I g L z 4 8 R W 5 0 c n k g V H l w Z T 0 i Q W R k Z W R U b 0 R h d G F N b 2 R l b C I g V m F s d W U 9 I m w w I i A v P j w v U 3 R h Y m x l R W 5 0 c m l l c z 4 8 L 0 l 0 Z W 0 + P E l 0 Z W 0 + P E l 0 Z W 1 M b 2 N h d G l v b j 4 8 S X R l b V R 5 c G U + R m 9 y b X V s Y T w v S X R l b V R 5 c G U + P E l 0 Z W 1 Q Y X R o P l N l Y 3 R p b 2 4 x L 0 l f U G 9 w d W x h d G l v b i 9 T b 3 V y Y 2 U 8 L 0 l 0 Z W 1 Q Y X R o P j w v S X R l b U x v Y 2 F 0 a W 9 u P j x T d G F i b G V F b n R y a W V z I C 8 + P C 9 J d G V t P j x J d G V t P j x J d G V t T G 9 j Y X R p b 2 4 + P E l 0 Z W 1 U e X B l P k Z v c m 1 1 b G E 8 L 0 l 0 Z W 1 U e X B l P j x J d G V t U G F 0 a D 5 T Z W N 0 a W 9 u M S 9 J X 1 B v c H V s Y X R p b 2 4 v U m V t b 3 Z l Z C U y M F R v c C U y M F J v d 3 M 8 L 0 l 0 Z W 1 Q Y X R o P j w v S X R l b U x v Y 2 F 0 a W 9 u P j x T d G F i b G V F b n R y a W V z I C 8 + P C 9 J d G V t P j x J d G V t P j x J d G V t T G 9 j Y X R p b 2 4 + P E l 0 Z W 1 U e X B l P k Z v c m 1 1 b G E 8 L 0 l 0 Z W 1 U e X B l P j x J d G V t U G F 0 a D 5 T Z W N 0 a W 9 u M S 9 J X 1 B v c H V s Y X R p b 2 4 v U H J v b W 9 0 Z W Q l M j B I Z W F k Z X J z P C 9 J d G V t U G F 0 a D 4 8 L 0 l 0 Z W 1 M b 2 N h d G l v b j 4 8 U 3 R h Y m x l R W 5 0 c m l l c y A v P j w v S X R l b T 4 8 S X R l b T 4 8 S X R l b U x v Y 2 F 0 a W 9 u P j x J d G V t V H l w Z T 5 G b 3 J t d W x h P C 9 J d G V t V H l w Z T 4 8 S X R l b V B h d G g + U 2 V j d G l v b j E v S V 9 Q b 3 B 1 b G F 0 a W 9 u L 1 J l b W 9 2 Z W Q l M j B D b 2 x 1 b W 5 z P C 9 J d G V t U G F 0 a D 4 8 L 0 l 0 Z W 1 M b 2 N h d G l v b j 4 8 U 3 R h Y m x l R W 5 0 c m l l c y A v P j w v S X R l b T 4 8 S X R l b T 4 8 S X R l b U x v Y 2 F 0 a W 9 u P j x J d G V t V H l w Z T 5 G b 3 J t d W x h P C 9 J d G V t V H l w Z T 4 8 S X R l b V B h d G g + U 2 V j d G l v b j E v S V 9 Q b 3 B 1 b G F 0 a W 9 u L 1 V u c G l 2 b 3 R l Z C U y M E 9 0 a G V y J T I w Q 2 9 s d W 1 u c z w v S X R l b V B h d G g + P C 9 J d G V t T G 9 j Y X R p b 2 4 + P F N 0 Y W J s Z U V u d H J p Z X M g L z 4 8 L 0 l 0 Z W 0 + P E l 0 Z W 0 + P E l 0 Z W 1 M b 2 N h d G l v b j 4 8 S X R l b V R 5 c G U + R m 9 y b X V s Y T w v S X R l b V R 5 c G U + P E l 0 Z W 1 Q Y X R o P l N l Y 3 R p b 2 4 x L 0 l f U G 9 w d W x h d G l v b i 9 D a G F u Z 2 V k J T I w V H l w Z T w v S X R l b V B h d G g + P C 9 J d G V t T G 9 j Y X R p b 2 4 + P F N 0 Y W J s Z U V u d H J p Z X M g L z 4 8 L 0 l 0 Z W 0 + P E l 0 Z W 0 + P E l 0 Z W 1 M b 2 N h d G l v b j 4 8 S X R l b V R 5 c G U + R m 9 y b X V s Y T w v S X R l b V R 5 c G U + P E l 0 Z W 1 Q Y X R o P l N l Y 3 R p b 2 4 x L 0 l f U G 9 w d W x h d G l v b i 9 G a W x 0 Z X J l Z C U y M F J v d 3 M 8 L 0 l 0 Z W 1 Q Y X R o P j w v S X R l b U x v Y 2 F 0 a W 9 u P j x T d G F i b G V F b n R y a W V z I C 8 + P C 9 J d G V t P j x J d G V t P j x J d G V t T G 9 j Y X R p b 2 4 + P E l 0 Z W 1 U e X B l P k Z v c m 1 1 b G E 8 L 0 l 0 Z W 1 U e X B l P j x J d G V t U G F 0 a D 5 T Z W N 0 a W 9 u M S 9 J X 0 F 3 Y X J k 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5 h d m l n Y X R p b 2 5 T d G V w T m F t Z S I g V m F s d W U 9 I n N O Y X Z p Z 2 F 0 a W 9 u I i A v P j x F b n R y e S B U e X B l P S J O Y W 1 l V X B k Y X R l Z E F m d G V y R m l s b C I g V m F s d W U 9 I m w w I i A v P j x F b n R y e S B U e X B l P S J S Z X N 1 b H R U e X B l I i B W Y W x 1 Z T 0 i c 1 R h Y m x l I i A v P j x F b n R y e S B U e X B l P S J C d W Z m Z X J O Z X h 0 U m V m c m V z a C I g V m F s d W U 9 I m w x I i A v P j x F b n R y e S B U e X B l P S J G a W x s Z W R D b 2 1 w b G V 0 Z V J l c 3 V s d F R v V 2 9 y a 3 N o Z W V 0 I i B W Y W x 1 Z T 0 i b D E i I C 8 + P E V u d H J 5 I F R 5 c G U 9 I l J l Y 2 9 2 Z X J 5 V G F y Z 2 V 0 U 2 h l Z X Q i I F Z h b H V l P S J z S V 9 B d 2 F y Z C I g L z 4 8 R W 5 0 c n k g V H l w Z T 0 i U m V j b 3 Z l c n l U Y X J n Z X R D b 2 x 1 b W 4 i I F Z h b H V l P S J s M S I g L z 4 8 R W 5 0 c n k g V H l w Z T 0 i U m V j b 3 Z l c n l U Y X J n Z X R S b 3 c i I F Z h b H V l P S J s N C I g L z 4 8 R W 5 0 c n k g V H l w Z T 0 i R m l s b F R h c m d l d C I g V m F s d W U 9 I n N J X 0 F 3 Y X J k I i A v P j x F b n R y e S B U e X B l P S J R d W V y e U l E I i B W Y W x 1 Z T 0 i c 2 U 3 M D d j M j R j L T M 2 M z E t N D h i O S 1 i M W E z L T Z j Z T N m N z Y 2 Y z k 1 Z C I g L z 4 8 R W 5 0 c n k g V H l w Z T 0 i R m l s b E x h c 3 R V c G R h d G V k I i B W Y W x 1 Z T 0 i Z D I w M j E t M D c t M j l U M T Y 6 M z M 6 N T g u M T M x M z c z M l o i I C 8 + P E V u d H J 5 I F R 5 c G U 9 I k Z p b G x F c n J v c k N v d W 5 0 I i B W Y W x 1 Z T 0 i b D A i I C 8 + P E V u d H J 5 I F R 5 c G U 9 I k Z p b G x D b 2 x 1 b W 5 U e X B l c y I g V m F s d W U 9 I n N C Z 1 l H Q 1 F Z R E F 3 W U Z C U V V K Q 1 E 9 P S I g L z 4 8 R W 5 0 c n k g V H l w Z T 0 i R m l s b E N v b H V t b k 5 h b W V z I i B W Y W x 1 Z T 0 i c 1 s m c X V v d D t h d 2 F y Z F 9 p Z C Z x d W 9 0 O y w m c X V v d D t j b 3 V u d H J 5 J n F 1 b 3 Q 7 L C Z x d W 9 0 O 2 J h b m Q m c X V v d D s s J n F 1 b 3 Q 7 Y X d h c m R f Z G F 0 Z S Z x d W 9 0 O y w m c X V v d D t s a W N l b n N l Z S Z x d W 9 0 O y w m c X V v d D t h b W 9 1 b n R f b W h 6 J n F 1 b 3 Q 7 L C Z x d W 9 0 O 2 R 1 c m F 0 a W 9 u X 3 l l Y X J z J n F 1 b 3 Q 7 L C Z x d W 9 0 O 2 x j d S Z x d W 9 0 O y w m c X V v d D t o Z W F k b G l u Z V 9 w c m l j Z S Z x d W 9 0 O y w m c X V v d D t h b G Y m c X V v d D s s J n F 1 b 3 Q 7 c m V z Z X J 2 Z V 9 w c m l j Z S Z x d W 9 0 O y w m c X V v d D t z d G F y d F 9 k Y X R l J n F 1 b 3 Q 7 L C Z x d W 9 0 O 2 V u Z F 9 k Y X R l J n F 1 b 3 Q 7 X S I g L z 4 8 R W 5 0 c n k g V H l w Z T 0 i R m l s b E V y c m 9 y Q 2 9 k Z S I g V m F s d W U 9 I n N V b m t u b 3 d u I i A v P j x F b n R y e S B U e X B l P S J G a W x s Q 2 9 1 b n Q i I F Z h b H V l P S J s M T I 5 I i A v P j x F b n R y e S B U e X B l P S J G a W x s U 3 R h d H V z I i B W Y W x 1 Z T 0 i c 0 N v b X B s Z X R l I i A v P j x F b n R y e S B U e X B l P S J B Z G R l Z F R v R G F 0 Y U 1 v Z G V s I i B W Y W x 1 Z T 0 i b D A i I C 8 + P E V u d H J 5 I F R 5 c G U 9 I l J l b G F 0 a W 9 u c 2 h p c E l u Z m 9 D b 2 5 0 Y W l u Z X I i I F Z h b H V l P S J z e y Z x d W 9 0 O 2 N v b H V t b k N v d W 5 0 J n F 1 b 3 Q 7 O j E z L C Z x d W 9 0 O 2 t l e U N v b H V t b k 5 h b W V z J n F 1 b 3 Q 7 O l t d L C Z x d W 9 0 O 3 F 1 Z X J 5 U m V s Y X R p b 2 5 z a G l w c y Z x d W 9 0 O z p b X S w m c X V v d D t j b 2 x 1 b W 5 J Z G V u d G l 0 a W V z J n F 1 b 3 Q 7 O l s m c X V v d D t T Z W N 0 a W 9 u M S 9 J X 0 F 3 Y X J k L 0 N o Y W 5 n Z W Q g V H l w Z S 5 7 Y X d h c m R f a W Q s M H 0 m c X V v d D s s J n F 1 b 3 Q 7 U 2 V j d G l v b j E v S V 9 B d 2 F y Z C 9 D a G F u Z 2 V k I F R 5 c G U u e 2 N v d W 5 0 c n k s M X 0 m c X V v d D s s J n F 1 b 3 Q 7 U 2 V j d G l v b j E v S V 9 B d 2 F y Z C 9 D a G F u Z 2 V k I F R 5 c G U u e 2 J h b m Q s M n 0 m c X V v d D s s J n F 1 b 3 Q 7 U 2 V j d G l v b j E v S V 9 B d 2 F y Z C 9 D a G F u Z 2 V k I F R 5 c G U u e 2 F 3 Y X J k X 2 R h d G U s M 3 0 m c X V v d D s s J n F 1 b 3 Q 7 U 2 V j d G l v b j E v S V 9 B d 2 F y Z C 9 D a G F u Z 2 V k I F R 5 c G U u e 2 x p Y 2 V u c 2 V l L D R 9 J n F 1 b 3 Q 7 L C Z x d W 9 0 O 1 N l Y 3 R p b 2 4 x L 0 l f Q X d h c m Q v Q 2 h h b m d l Z C B U e X B l L n t h b W 9 1 b n R f b W h 6 L D V 9 J n F 1 b 3 Q 7 L C Z x d W 9 0 O 1 N l Y 3 R p b 2 4 x L 0 l f Q X d h c m Q v Q 2 h h b m d l Z C B U e X B l L n t k d X J h d G l v b l 9 5 Z W F y c y w 2 f S Z x d W 9 0 O y w m c X V v d D t T Z W N 0 a W 9 u M S 9 J X 0 F 3 Y X J k L 0 N o Y W 5 n Z W Q g V H l w Z S 5 7 b G N 1 L D d 9 J n F 1 b 3 Q 7 L C Z x d W 9 0 O 1 N l Y 3 R p b 2 4 x L 0 l f Q X d h c m Q v Q 2 h h b m d l Z C B U e X B l L n t o Z W F k b G l u Z V 9 w c m l j Z S w 4 f S Z x d W 9 0 O y w m c X V v d D t T Z W N 0 a W 9 u M S 9 J X 0 F 3 Y X J k L 0 N o Y W 5 n Z W Q g V H l w Z S 5 7 Y W x m L D l 9 J n F 1 b 3 Q 7 L C Z x d W 9 0 O 1 N l Y 3 R p b 2 4 x L 0 l f Q X d h c m Q v Q 2 h h b m d l Z C B U e X B l L n t y Z X N l c n Z l X 3 B y a W N l L D E w f S Z x d W 9 0 O y w m c X V v d D t T Z W N 0 a W 9 u M S 9 J X 0 F 3 Y X J k L 0 N o Y W 5 n Z W Q g V H l w Z S 5 7 c 3 R h c n R f Z G F 0 Z S w x M X 0 m c X V v d D s s J n F 1 b 3 Q 7 U 2 V j d G l v b j E v S V 9 B d 2 F y Z C 9 D a G F u Z 2 V k I F R 5 c G U u e 2 V u Z F 9 k Y X R l L D E y f S Z x d W 9 0 O 1 0 s J n F 1 b 3 Q 7 Q 2 9 s d W 1 u Q 2 9 1 b n Q m c X V v d D s 6 M T M s J n F 1 b 3 Q 7 S 2 V 5 Q 2 9 s d W 1 u T m F t Z X M m c X V v d D s 6 W 1 0 s J n F 1 b 3 Q 7 Q 2 9 s d W 1 u S W R l b n R p d G l l c y Z x d W 9 0 O z p b J n F 1 b 3 Q 7 U 2 V j d G l v b j E v S V 9 B d 2 F y Z C 9 D a G F u Z 2 V k I F R 5 c G U u e 2 F 3 Y X J k X 2 l k L D B 9 J n F 1 b 3 Q 7 L C Z x d W 9 0 O 1 N l Y 3 R p b 2 4 x L 0 l f Q X d h c m Q v Q 2 h h b m d l Z C B U e X B l L n t j b 3 V u d H J 5 L D F 9 J n F 1 b 3 Q 7 L C Z x d W 9 0 O 1 N l Y 3 R p b 2 4 x L 0 l f Q X d h c m Q v Q 2 h h b m d l Z C B U e X B l L n t i Y W 5 k L D J 9 J n F 1 b 3 Q 7 L C Z x d W 9 0 O 1 N l Y 3 R p b 2 4 x L 0 l f Q X d h c m Q v Q 2 h h b m d l Z C B U e X B l L n t h d 2 F y Z F 9 k Y X R l L D N 9 J n F 1 b 3 Q 7 L C Z x d W 9 0 O 1 N l Y 3 R p b 2 4 x L 0 l f Q X d h c m Q v Q 2 h h b m d l Z C B U e X B l L n t s a W N l b n N l Z S w 0 f S Z x d W 9 0 O y w m c X V v d D t T Z W N 0 a W 9 u M S 9 J X 0 F 3 Y X J k L 0 N o Y W 5 n Z W Q g V H l w Z S 5 7 Y W 1 v d W 5 0 X 2 1 o e i w 1 f S Z x d W 9 0 O y w m c X V v d D t T Z W N 0 a W 9 u M S 9 J X 0 F 3 Y X J k L 0 N o Y W 5 n Z W Q g V H l w Z S 5 7 Z H V y Y X R p b 2 5 f e W V h c n M s N n 0 m c X V v d D s s J n F 1 b 3 Q 7 U 2 V j d G l v b j E v S V 9 B d 2 F y Z C 9 D a G F u Z 2 V k I F R 5 c G U u e 2 x j d S w 3 f S Z x d W 9 0 O y w m c X V v d D t T Z W N 0 a W 9 u M S 9 J X 0 F 3 Y X J k L 0 N o Y W 5 n Z W Q g V H l w Z S 5 7 a G V h Z G x p b m V f c H J p Y 2 U s O H 0 m c X V v d D s s J n F 1 b 3 Q 7 U 2 V j d G l v b j E v S V 9 B d 2 F y Z C 9 D a G F u Z 2 V k I F R 5 c G U u e 2 F s Z i w 5 f S Z x d W 9 0 O y w m c X V v d D t T Z W N 0 a W 9 u M S 9 J X 0 F 3 Y X J k L 0 N o Y W 5 n Z W Q g V H l w Z S 5 7 c m V z Z X J 2 Z V 9 w c m l j Z S w x M H 0 m c X V v d D s s J n F 1 b 3 Q 7 U 2 V j d G l v b j E v S V 9 B d 2 F y Z C 9 D a G F u Z 2 V k I F R 5 c G U u e 3 N 0 Y X J 0 X 2 R h d G U s M T F 9 J n F 1 b 3 Q 7 L C Z x d W 9 0 O 1 N l Y 3 R p b 2 4 x L 0 l f Q X d h c m Q v Q 2 h h b m d l Z C B U e X B l L n t l b m R f Z G F 0 Z S w x M n 0 m c X V v d D t d L C Z x d W 9 0 O 1 J l b G F 0 a W 9 u c 2 h p c E l u Z m 8 m c X V v d D s 6 W 1 1 9 I i A v P j w v U 3 R h Y m x l R W 5 0 c m l l c z 4 8 L 0 l 0 Z W 0 + P E l 0 Z W 0 + P E l 0 Z W 1 M b 2 N h d G l v b j 4 8 S X R l b V R 5 c G U + R m 9 y b X V s Y T w v S X R l b V R 5 c G U + P E l 0 Z W 1 Q Y X R o P l N l Y 3 R p b 2 4 x L 0 l f Q X d h c m Q v U 2 9 1 c m N l P C 9 J d G V t U G F 0 a D 4 8 L 0 l 0 Z W 1 M b 2 N h d G l v b j 4 8 U 3 R h Y m x l R W 5 0 c m l l c y A v P j w v S X R l b T 4 8 S X R l b T 4 8 S X R l b U x v Y 2 F 0 a W 9 u P j x J d G V t V H l w Z T 5 G b 3 J t d W x h P C 9 J d G V t V H l w Z T 4 8 S X R l b V B h d G g + U 2 V j d G l v b j E v S V 9 Q b 3 B 1 b G F 0 a W 9 u L 0 Z p b G x l Z C U y M E R v d 2 4 8 L 0 l 0 Z W 1 Q Y X R o P j w v S X R l b U x v Y 2 F 0 a W 9 u P j x T d G F i b G V F b n R y a W V z I C 8 + P C 9 J d G V t P j x J d G V t P j x J d G V t T G 9 j Y X R p b 2 4 + P E l 0 Z W 1 U e X B l P k Z v c m 1 1 b G E 8 L 0 l 0 Z W 1 U e X B l P j x J d G V t U G F 0 a D 5 T Z W N 0 a W 9 u M S 9 J X 1 B Q U C 9 G a W x s Z W Q l M j B E b 3 d u P C 9 J d G V t U G F 0 a D 4 8 L 0 l 0 Z W 1 M b 2 N h d G l v b j 4 8 U 3 R h Y m x l R W 5 0 c m l l c y A v P j w v S X R l b T 4 8 S X R l b T 4 8 S X R l b U x v Y 2 F 0 a W 9 u P j x J d G V t V H l w Z T 5 G b 3 J t d W x h P C 9 J d G V t V H l w Z T 4 8 S X R l b V B h d G g + U 2 V j d G l v b j E v Q 1 9 V S 0 V x X 2 R l d G F p b D w v S X R l b V B h d G g + P C 9 J d G V t T G 9 j Y X R p b 2 4 + P F N 0 Y W J s Z U V u d H J p Z X M + P E V u d H J 5 I F R 5 c G U 9 I k Z p b G x F b m F i b G V k I i B W Y W x 1 Z T 0 i b D E i I C 8 + P E V u d H J 5 I F R 5 c G U 9 I k Z p b G x P Y m p l Y 3 R U e X B l I i B W Y W x 1 Z T 0 i c 1 R h Y m x l I i A v P j x F b n R y e S B U e X B l P S J G a W x s V G 9 E Y X R h T W 9 k Z W x F b m F i b G V k I i B W Y W x 1 Z T 0 i b D A i I C 8 + P E V u d H J 5 I F R 5 c G U 9 I k l z U H J p d m F 0 Z S 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G V k Q 2 9 t c G x l d G V S Z X N 1 b H R U b 1 d v c m t z a G V l d C I g V m F s d W U 9 I m w x I i A v P j x F b n R y e S B U e X B l P S J G a W x s V G F y Z 2 V 0 I i B W Y W x 1 Z T 0 i c 0 N f V U t F c V 9 k Z X R h a W w i I C 8 + P E V u d H J 5 I F R 5 c G U 9 I l J l Y 2 9 2 Z X J 5 V G F y Z 2 V 0 U 2 h l Z X Q i I F Z h b H V l P S J z Q 1 9 V S 0 V x X 2 R l d G F p b C I g L z 4 8 R W 5 0 c n k g V H l w Z T 0 i U m V j b 3 Z l c n l U Y X J n Z X R D b 2 x 1 b W 4 i I F Z h b H V l P S J s M S I g L z 4 8 R W 5 0 c n k g V H l w Z T 0 i U m V j b 3 Z l c n l U Y X J n Z X R S b 3 c i I F Z h b H V l P S J s N C I g L z 4 8 R W 5 0 c n k g V H l w Z T 0 i U X V l c n l J R C I g V m F s d W U 9 I n M w N T B k M j E 1 M i 0 z M m U 1 L T Q 2 M T I t O T N i Z S 1 i O G E 0 N D d i O T J l Y z c i I C 8 + P E V u d H J 5 I F R 5 c G U 9 I k Z p b G x M Y X N 0 V X B k Y X R l Z C I g V m F s d W U 9 I m Q y M D I x L T A 3 L T I 5 V D E 2 O j M 2 O j A 4 L j Y 2 M j E 3 N D N a I i A v P j x F b n R y e S B U e X B l P S J G a W x s R X J y b 3 J D b 3 V u d C I g V m F s d W U 9 I m w w I i A v P j x F b n R y e S B U e X B l P S J G a W x s Q 2 9 s d W 1 u V H l w Z X M i I F Z h b H V l P S J z Q m d Z S k J n T U R C Z 1 V G Q 1 F N R k F B V U F B d z 0 9 I i A v P j x F b n R y e S B U e X B l P S J G a W x s R X J y b 3 J D b 2 R l I i B W Y W x 1 Z T 0 i c 1 V u a 2 5 v d 2 4 i I C 8 + P E V u d H J 5 I F R 5 c G U 9 I k Z p b G x D b 2 x 1 b W 5 O Y W 1 l c y I g V m F s d W U 9 I n N b J n F 1 b 3 Q 7 Y X d h c m R f a W Q m c X V v d D s s J n F 1 b 3 Q 7 Y 2 9 1 b n R y e S Z x d W 9 0 O y w m c X V v d D t h d 2 F y Z F 9 k Y X R l J n F 1 b 3 Q 7 L C Z x d W 9 0 O 2 x p Y 2 V u c 2 V l J n F 1 b 3 Q 7 L C Z x d W 9 0 O 2 F t b 3 V u d F 9 t a H o m c X V v d D s s J n F 1 b 3 Q 7 Z H V y Y X R p b 2 5 f e W V h c n M m c X V v d D s s J n F 1 b 3 Q 7 b G N 1 J n F 1 b 3 Q 7 L C Z x d W 9 0 O 2 h l Y W R s a W 5 l X 3 B y a W N l J n F 1 b 3 Q 7 L C Z x d W 9 0 O 2 F s Z i Z x d W 9 0 O y w m c X V v d D t z d G F y d F 9 k Y X R l J n F 1 b 3 Q 7 L C Z x d W 9 0 O 2 F 3 Y X J k X 3 l l Y X I m c X V v d D s s J n F 1 b 3 Q 7 Y 2 9 k X 3 B y Z X R h e F 9 u b 2 0 m c X V v d D s s J n F 1 b 3 Q 7 c 2 9 1 c m N l X 2 N v Z F 9 w c m V 0 Y X h f b m 9 t J n F 1 b 3 Q 7 L C Z x d W 9 0 O 3 d h Y 2 N f c G 9 z d H R h e F 9 y Z W F s J n F 1 b 3 Q 7 L C Z x d W 9 0 O 3 N v d X J j Z V 9 3 Y W N j X 3 B v c 3 R 0 Y X h f c m V h b C Z x d W 9 0 O y w m c X V v d D t k Z W x h e V 9 k Y X l z J n F 1 b 3 Q 7 X S I g L z 4 8 R W 5 0 c n k g V H l w Z T 0 i R m l s b F N 0 Y X R 1 c y I g V m F s d W U 9 I n N D b 2 1 w b G V 0 Z S I g L z 4 8 R W 5 0 c n k g V H l w Z T 0 i R m l s b E N v d W 5 0 I i B W Y W x 1 Z T 0 i b D E y O S I g L z 4 8 R W 5 0 c n k g V H l w Z T 0 i U m V s Y X R p b 2 5 z a G l w S W 5 m b 0 N v b n R h a W 5 l c i I g V m F s d W U 9 I n N 7 J n F 1 b 3 Q 7 Y 2 9 s d W 1 u Q 2 9 1 b n Q m c X V v d D s 6 M T Y s J n F 1 b 3 Q 7 a 2 V 5 Q 2 9 s d W 1 u T m F t Z X M m c X V v d D s 6 W 1 0 s J n F 1 b 3 Q 7 c X V l c n l S Z W x h d G l v b n N o a X B z J n F 1 b 3 Q 7 O l t 7 J n F 1 b 3 Q 7 a 2 V 5 Q 2 9 s d W 1 u Q 2 9 1 b n Q m c X V v d D s 6 M S w m c X V v d D t r Z X l D b 2 x 1 b W 4 m c X V v d D s 6 M T A s J n F 1 b 3 Q 7 b 3 R o Z X J L Z X l D b 2 x 1 b W 5 J Z G V u d G l 0 e S Z x d W 9 0 O z o m c X V v d D t T Z W N 0 a W 9 u M S 9 D X 1 V L X 0 N v R F 9 w c m V 0 Y X h f b m 9 t L 0 Z p b G x l Z C B V c C 5 7 e W V h c i w w f S Z x d W 9 0 O y w m c X V v d D t L Z X l D b 2 x 1 b W 5 D b 3 V u d C Z x d W 9 0 O z o x f S x 7 J n F 1 b 3 Q 7 a 2 V 5 Q 2 9 s d W 1 u Q 2 9 1 b n Q m c X V v d D s 6 M S w m c X V v d D t r Z X l D b 2 x 1 b W 4 m c X V v d D s 6 M T A s J n F 1 b 3 Q 7 b 3 R o Z X J L Z X l D b 2 x 1 b W 5 J Z G V u d G l 0 e S Z x d W 9 0 O z o m c X V v d D t T Z W N 0 a W 9 u M S 9 D X 1 V L X 1 d B Q 0 N f c G 9 z d H R h e F 9 y Z W F s L 0 Z p b G x l Z C B V c C 5 7 e W V h c i w w f S Z x d W 9 0 O y w m c X V v d D t L Z X l D b 2 x 1 b W 5 D b 3 V u d C Z x d W 9 0 O z o x f V 0 s J n F 1 b 3 Q 7 Y 2 9 s d W 1 u S W R l b n R p d G l l c y Z x d W 9 0 O z p b J n F 1 b 3 Q 7 U 2 V j d G l v b j E v S V 9 B d 2 F y Z C 9 D a G F u Z 2 V k I F R 5 c G U u e 2 F 3 Y X J k X 2 l k L D B 9 J n F 1 b 3 Q 7 L C Z x d W 9 0 O 1 N l Y 3 R p b 2 4 x L 0 l f Q X d h c m Q v Q 2 h h b m d l Z C B U e X B l L n t j b 3 V u d H J 5 L D F 9 J n F 1 b 3 Q 7 L C Z x d W 9 0 O 1 N l Y 3 R p b 2 4 x L 0 l f Q X d h c m Q v Q 2 h h b m d l Z C B U e X B l L n t h d 2 F y Z F 9 k Y X R l L D N 9 J n F 1 b 3 Q 7 L C Z x d W 9 0 O 1 N l Y 3 R p b 2 4 x L 0 l f Q X d h c m Q v Q 2 h h b m d l Z C B U e X B l L n t s a W N l b n N l Z S w 0 f S Z x d W 9 0 O y w m c X V v d D t T Z W N 0 a W 9 u M S 9 J X 0 F 3 Y X J k L 0 N o Y W 5 n Z W Q g V H l w Z S 5 7 Y W 1 v d W 5 0 X 2 1 o e i w 1 f S Z x d W 9 0 O y w m c X V v d D t T Z W N 0 a W 9 u M S 9 J X 0 F 3 Y X J k L 0 N o Y W 5 n Z W Q g V H l w Z S 5 7 Z H V y Y X R p b 2 5 f e W V h c n M s N n 0 m c X V v d D s s J n F 1 b 3 Q 7 U 2 V j d G l v b j E v S V 9 B d 2 F y Z C 9 D a G F u Z 2 V k I F R 5 c G U u e 2 x j d S w 3 f S Z x d W 9 0 O y w m c X V v d D t T Z W N 0 a W 9 u M S 9 J X 0 F 3 Y X J k L 0 N o Y W 5 n Z W Q g V H l w Z S 5 7 a G V h Z G x p b m V f c H J p Y 2 U s O H 0 m c X V v d D s s J n F 1 b 3 Q 7 U 2 V j d G l v b j E v S V 9 B d 2 F y Z C 9 D a G F u Z 2 V k I F R 5 c G U u e 2 F s Z i w 5 f S Z x d W 9 0 O y w m c X V v d D t T Z W N 0 a W 9 u M S 9 J X 0 F 3 Y X J k L 0 N o Y W 5 n Z W Q g V H l w Z S 5 7 c 3 R h c n R f Z G F 0 Z S w x M X 0 m c X V v d D s s J n F 1 b 3 Q 7 U 2 V j d G l v b j E v Q 1 9 V S 0 V x X 2 R l d G F p b C 9 D a G F u Z 2 V k I F R 5 c G U u e 2 F 3 Y X J k X 3 l l Y X I s M T B 9 J n F 1 b 3 Q 7 L C Z x d W 9 0 O 1 N l Y 3 R p b 2 4 x L 0 N f V U t F c V 9 k Z X R h a W w v Q 2 h h b m d l Z C B U e X B l M S 5 7 Y 2 9 k X 3 B y Z X R h e F 9 u b 2 0 s M T V 9 J n F 1 b 3 Q 7 L C Z x d W 9 0 O 1 N l Y 3 R p b 2 4 x L 0 N f V U t F c V 9 k Z X R h a W w v Q W R k Z W Q g Q 3 V z d G 9 t N C 5 7 c 2 9 1 c m N l X 2 N v Z F 9 w c m V 0 Y X h f b m 9 t L D E 2 f S Z x d W 9 0 O y w m c X V v d D t T Z W N 0 a W 9 u M S 9 D X 1 V L R X F f Z G V 0 Y W l s L 0 N o Y W 5 n Z W Q g V H l w Z T I u e 3 d h Y 2 N f c G 9 z d H R h e F 9 y Z W F s L D E 3 f S Z x d W 9 0 O y w m c X V v d D t T Z W N 0 a W 9 u M S 9 D X 1 V L R X F f Z G V 0 Y W l s L 0 F k Z G V k I E N 1 c 3 R v b T U u e 3 N v d X J j Z V 9 3 Y W N j X 3 B v c 3 R 0 Y X h f c m V h b C w x O H 0 m c X V v d D s s J n F 1 b 3 Q 7 U 2 V j d G l v b j E v Q 1 9 V S 0 V x X 2 R l d G F p b C 9 D a G F u Z 2 V k I F R 5 c G U z L n t k Z W x h e V 9 k Y X l z L D E 1 f S Z x d W 9 0 O 1 0 s J n F 1 b 3 Q 7 Q 2 9 s d W 1 u Q 2 9 1 b n Q m c X V v d D s 6 M T Y s J n F 1 b 3 Q 7 S 2 V 5 Q 2 9 s d W 1 u T m F t Z X M m c X V v d D s 6 W 1 0 s J n F 1 b 3 Q 7 Q 2 9 s d W 1 u S W R l b n R p d G l l c y Z x d W 9 0 O z p b J n F 1 b 3 Q 7 U 2 V j d G l v b j E v S V 9 B d 2 F y Z C 9 D a G F u Z 2 V k I F R 5 c G U u e 2 F 3 Y X J k X 2 l k L D B 9 J n F 1 b 3 Q 7 L C Z x d W 9 0 O 1 N l Y 3 R p b 2 4 x L 0 l f Q X d h c m Q v Q 2 h h b m d l Z C B U e X B l L n t j b 3 V u d H J 5 L D F 9 J n F 1 b 3 Q 7 L C Z x d W 9 0 O 1 N l Y 3 R p b 2 4 x L 0 l f Q X d h c m Q v Q 2 h h b m d l Z C B U e X B l L n t h d 2 F y Z F 9 k Y X R l L D N 9 J n F 1 b 3 Q 7 L C Z x d W 9 0 O 1 N l Y 3 R p b 2 4 x L 0 l f Q X d h c m Q v Q 2 h h b m d l Z C B U e X B l L n t s a W N l b n N l Z S w 0 f S Z x d W 9 0 O y w m c X V v d D t T Z W N 0 a W 9 u M S 9 J X 0 F 3 Y X J k L 0 N o Y W 5 n Z W Q g V H l w Z S 5 7 Y W 1 v d W 5 0 X 2 1 o e i w 1 f S Z x d W 9 0 O y w m c X V v d D t T Z W N 0 a W 9 u M S 9 J X 0 F 3 Y X J k L 0 N o Y W 5 n Z W Q g V H l w Z S 5 7 Z H V y Y X R p b 2 5 f e W V h c n M s N n 0 m c X V v d D s s J n F 1 b 3 Q 7 U 2 V j d G l v b j E v S V 9 B d 2 F y Z C 9 D a G F u Z 2 V k I F R 5 c G U u e 2 x j d S w 3 f S Z x d W 9 0 O y w m c X V v d D t T Z W N 0 a W 9 u M S 9 J X 0 F 3 Y X J k L 0 N o Y W 5 n Z W Q g V H l w Z S 5 7 a G V h Z G x p b m V f c H J p Y 2 U s O H 0 m c X V v d D s s J n F 1 b 3 Q 7 U 2 V j d G l v b j E v S V 9 B d 2 F y Z C 9 D a G F u Z 2 V k I F R 5 c G U u e 2 F s Z i w 5 f S Z x d W 9 0 O y w m c X V v d D t T Z W N 0 a W 9 u M S 9 J X 0 F 3 Y X J k L 0 N o Y W 5 n Z W Q g V H l w Z S 5 7 c 3 R h c n R f Z G F 0 Z S w x M X 0 m c X V v d D s s J n F 1 b 3 Q 7 U 2 V j d G l v b j E v Q 1 9 V S 0 V x X 2 R l d G F p b C 9 D a G F u Z 2 V k I F R 5 c G U u e 2 F 3 Y X J k X 3 l l Y X I s M T B 9 J n F 1 b 3 Q 7 L C Z x d W 9 0 O 1 N l Y 3 R p b 2 4 x L 0 N f V U t F c V 9 k Z X R h a W w v Q 2 h h b m d l Z C B U e X B l M S 5 7 Y 2 9 k X 3 B y Z X R h e F 9 u b 2 0 s M T V 9 J n F 1 b 3 Q 7 L C Z x d W 9 0 O 1 N l Y 3 R p b 2 4 x L 0 N f V U t F c V 9 k Z X R h a W w v Q W R k Z W Q g Q 3 V z d G 9 t N C 5 7 c 2 9 1 c m N l X 2 N v Z F 9 w c m V 0 Y X h f b m 9 t L D E 2 f S Z x d W 9 0 O y w m c X V v d D t T Z W N 0 a W 9 u M S 9 D X 1 V L R X F f Z G V 0 Y W l s L 0 N o Y W 5 n Z W Q g V H l w Z T I u e 3 d h Y 2 N f c G 9 z d H R h e F 9 y Z W F s L D E 3 f S Z x d W 9 0 O y w m c X V v d D t T Z W N 0 a W 9 u M S 9 D X 1 V L R X F f Z G V 0 Y W l s L 0 F k Z G V k I E N 1 c 3 R v b T U u e 3 N v d X J j Z V 9 3 Y W N j X 3 B v c 3 R 0 Y X h f c m V h b C w x O H 0 m c X V v d D s s J n F 1 b 3 Q 7 U 2 V j d G l v b j E v Q 1 9 V S 0 V x X 2 R l d G F p b C 9 D a G F u Z 2 V k I F R 5 c G U z L n t k Z W x h e V 9 k Y X l z L D E 1 f S Z x d W 9 0 O 1 0 s J n F 1 b 3 Q 7 U m V s Y X R p b 2 5 z a G l w S W 5 m b y Z x d W 9 0 O z p b e y Z x d W 9 0 O 2 t l e U N v b H V t b k N v d W 5 0 J n F 1 b 3 Q 7 O j E s J n F 1 b 3 Q 7 a 2 V 5 Q 2 9 s d W 1 u J n F 1 b 3 Q 7 O j E w L C Z x d W 9 0 O 2 9 0 a G V y S 2 V 5 Q 2 9 s d W 1 u S W R l b n R p d H k m c X V v d D s 6 J n F 1 b 3 Q 7 U 2 V j d G l v b j E v Q 1 9 V S 1 9 D b 0 R f c H J l d G F 4 X 2 5 v b S 9 G a W x s Z W Q g V X A u e 3 l l Y X I s M H 0 m c X V v d D s s J n F 1 b 3 Q 7 S 2 V 5 Q 2 9 s d W 1 u Q 2 9 1 b n Q m c X V v d D s 6 M X 0 s e y Z x d W 9 0 O 2 t l e U N v b H V t b k N v d W 5 0 J n F 1 b 3 Q 7 O j E s J n F 1 b 3 Q 7 a 2 V 5 Q 2 9 s d W 1 u J n F 1 b 3 Q 7 O j E w L C Z x d W 9 0 O 2 9 0 a G V y S 2 V 5 Q 2 9 s d W 1 u S W R l b n R p d H k m c X V v d D s 6 J n F 1 b 3 Q 7 U 2 V j d G l v b j E v Q 1 9 V S 1 9 X Q U N D X 3 B v c 3 R 0 Y X h f c m V h b C 9 G a W x s Z W Q g V X A u e 3 l l Y X I s M H 0 m c X V v d D s s J n F 1 b 3 Q 7 S 2 V 5 Q 2 9 s d W 1 u Q 2 9 1 b n Q m c X V v d D s 6 M X 1 d f S I g L z 4 8 R W 5 0 c n k g V H l w Z T 0 i Q W R k Z W R U b 0 R h d G F N b 2 R l b C I g V m F s d W U 9 I m w w I i A v P j w v U 3 R h Y m x l R W 5 0 c m l l c z 4 8 L 0 l 0 Z W 0 + P E l 0 Z W 0 + P E l 0 Z W 1 M b 2 N h d G l v b j 4 8 S X R l b V R 5 c G U + R m 9 y b X V s Y T w v S X R l b V R 5 c G U + P E l 0 Z W 1 Q Y X R o P l N l Y 3 R p b 2 4 x L 0 N f V U t F c V 9 k Z X R h a W w v U 2 9 1 c m N l P C 9 J d G V t U G F 0 a D 4 8 L 0 l 0 Z W 1 M b 2 N h d G l v b j 4 8 U 3 R h Y m x l R W 5 0 c m l l c y A v P j w v S X R l b T 4 8 S X R l b T 4 8 S X R l b U x v Y 2 F 0 a W 9 u P j x J d G V t V H l w Z T 5 G b 3 J t d W x h P C 9 J d G V t V H l w Z T 4 8 S X R l b V B h d G g + U 2 V j d G l v b j E v Q 1 9 V S 0 V x X 2 R l d G F p b C 9 S Z W 1 v d m V k J T I w T 3 R o Z X I l M j B D b 2 x 1 b W 5 z P C 9 J d G V t U G F 0 a D 4 8 L 0 l 0 Z W 1 M b 2 N h d G l v b j 4 8 U 3 R h Y m x l R W 5 0 c m l l c y A v P j w v S X R l b T 4 8 S X R l b T 4 8 S X R l b U x v Y 2 F 0 a W 9 u P j x J d G V t V H l w Z T 5 G b 3 J t d W x h P C 9 J d G V t V H l w Z T 4 8 S X R l b V B h d G g + U 2 V j d G l v b j E v Q 1 9 V S 0 V x X 2 R l d G F p b C 9 B Z G R l Z C U y M E N 1 c 3 R v b T w v S X R l b V B h d G g + P C 9 J d G V t T G 9 j Y X R p b 2 4 + P F N 0 Y W J s Z U V u d H J p Z X M g L z 4 8 L 0 l 0 Z W 0 + P E l 0 Z W 0 + P E l 0 Z W 1 M b 2 N h d G l v b j 4 8 S X R l b V R 5 c G U + R m 9 y b X V s Y T w v S X R l b V R 5 c G U + P E l 0 Z W 1 Q Y X R o P l N l Y 3 R p b 2 4 x L 0 N f V U t F c V 9 k Z X R h a W w v Q 2 h h b m d l Z C U y M F R 5 c G U 8 L 0 l 0 Z W 1 Q Y X R o P j w v S X R l b U x v Y 2 F 0 a W 9 u P j x T d G F i b G V F b n R y a W V z I C 8 + P C 9 J d G V t P j x J d G V t P j x J d G V t T G 9 j Y X R p b 2 4 + P E l 0 Z W 1 U e X B l P k Z v c m 1 1 b G E 8 L 0 l 0 Z W 1 U e X B l P j x J d G V t U G F 0 a D 5 T Z W N 0 a W 9 u M S 9 D X 0 N v R F 9 X Q U N D 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5 h d m l n Y X R p b 2 5 T d G V w T m F t Z S I g V m F s d W U 9 I n N O Y X Z p Z 2 F 0 a W 9 u I i A v P j x F b n R y e S B U e X B l P S J O Y W 1 l V X B k Y X R l Z E F m d G V y R m l s b C I g V m F s d W U 9 I m w x I i A v P j x F b n R y e S B U e X B l P S J S Z X N 1 b H R U e X B l I i B W Y W x 1 Z T 0 i c 1 R h Y m x l I i A v P j x F b n R y e S B U e X B l P S J C d W Z m Z X J O Z X h 0 U m V m c m V z a C I g V m F s d W U 9 I m w x I i A v P j x F b n R y e S B U e X B l P S J G a W x s Z W R D b 2 1 w b G V 0 Z V J l c 3 V s d F R v V 2 9 y a 3 N o Z W V 0 I i B W Y W x 1 Z T 0 i b D A i I C 8 + P E V u d H J 5 I F R 5 c G U 9 I k Z p b G x F c n J v c k N v Z G U i I F Z h b H V l P S J z V W 5 r b m 9 3 b i I g L z 4 8 R W 5 0 c n k g V H l w Z T 0 i Q W R k Z W R U b 0 R h d G F N b 2 R l b C I g V m F s d W U 9 I m w w I i A v P j x F b n R y e S B U e X B l P S J G a W x s T G F z d F V w Z G F 0 Z W Q i I F Z h b H V l P S J k M j A y M S 0 w N C 0 y N 1 Q w N z o w N z o 1 O S 4 x O T k 0 M D I z W i I g L z 4 8 R W 5 0 c n k g V H l w Z T 0 i R m l s b F N 0 Y X R 1 c y I g V m F s d W U 9 I n N D b 2 1 w b G V 0 Z S I g L z 4 8 L 1 N 0 Y W J s Z U V u d H J p Z X M + P C 9 J d G V t P j x J d G V t P j x J d G V t T G 9 j Y X R p b 2 4 + P E l 0 Z W 1 U e X B l P k Z v c m 1 1 b G E 8 L 0 l 0 Z W 1 U e X B l P j x J d G V t U G F 0 a D 5 T Z W N 0 a W 9 u M S 9 D X 0 N v R F 9 X Q U N D L 1 N v d X J j Z T w v S X R l b V B h d G g + P C 9 J d G V t T G 9 j Y X R p b 2 4 + P F N 0 Y W J s Z U V u d H J p Z X M g L z 4 8 L 0 l 0 Z W 0 + P E l 0 Z W 0 + P E l 0 Z W 1 M b 2 N h d G l v b j 4 8 S X R l b V R 5 c G U + R m 9 y b X V s Y T w v S X R l b V R 5 c G U + P E l 0 Z W 1 Q Y X R o P l N l Y 3 R p b 2 4 x L 0 N f Q 2 9 E X 1 d B Q 0 M v Q W R k Z W Q l M j B D d X N 0 b 2 0 8 L 0 l 0 Z W 1 Q Y X R o P j w v S X R l b U x v Y 2 F 0 a W 9 u P j x T d G F i b G V F b n R y a W V z I C 8 + P C 9 J d G V t P j x J d G V t P j x J d G V t T G 9 j Y X R p b 2 4 + P E l 0 Z W 1 U e X B l P k Z v c m 1 1 b G E 8 L 0 l 0 Z W 1 U e X B l P j x J d G V t U G F 0 a D 5 T Z W N 0 a W 9 u M S 9 D X 0 N v R F 9 X Q U N D L 0 F k Z G V k J T I w Q 3 V z d G 9 t M T w v S X R l b V B h d G g + P C 9 J d G V t T G 9 j Y X R p b 2 4 + P F N 0 Y W J s Z U V u d H J p Z X M g L z 4 8 L 0 l 0 Z W 0 + P E l 0 Z W 0 + P E l 0 Z W 1 M b 2 N h d G l v b j 4 8 S X R l b V R 5 c G U + R m 9 y b X V s Y T w v S X R l b V R 5 c G U + P E l 0 Z W 1 Q Y X R o P l N l Y 3 R p b 2 4 x L 0 N f Q 2 9 E X 1 d B Q 0 M v Q 2 h h b m d l Z C U y M F R 5 c G U 8 L 0 l 0 Z W 1 Q Y X R o P j w v S X R l b U x v Y 2 F 0 a W 9 u P j x T d G F i b G V F b n R y a W V z I C 8 + P C 9 J d G V t P j x J d G V t P j x J d G V t T G 9 j Y X R p b 2 4 + P E l 0 Z W 1 U e X B l P k Z v c m 1 1 b G E 8 L 0 l 0 Z W 1 U e X B l P j x J d G V t U G F 0 a D 5 T Z W N 0 a W 9 u M S 9 D X 0 N v R F 9 X Q U N D L 1 J l b W 9 2 Z W Q l M j B D b 2 x 1 b W 5 z P C 9 J d G V t U G F 0 a D 4 8 L 0 l 0 Z W 1 M b 2 N h d G l v b j 4 8 U 3 R h Y m x l R W 5 0 c m l l c y A v P j w v S X R l b T 4 8 S X R l b T 4 8 S X R l b U x v Y 2 F 0 a W 9 u P j x J d G V t V H l w Z T 5 G b 3 J t d W x h P C 9 J d G V t V H l w Z T 4 8 S X R l b V B h d G g + U 2 V j d G l v b j E v Q 1 9 D b 0 R f V 0 F D Q y 9 S Z W 1 v d m V k J T I w Q 2 9 s d W 1 u c z E 8 L 0 l 0 Z W 1 Q Y X R o P j w v S X R l b U x v Y 2 F 0 a W 9 u P j x T d G F i b G V F b n R y a W V z I C 8 + P C 9 J d G V t P j x J d G V t P j x J d G V t T G 9 j Y X R p b 2 4 + P E l 0 Z W 1 U e X B l P k Z v c m 1 1 b G E 8 L 0 l 0 Z W 1 U e X B l P j x J d G V t U G F 0 a D 5 T Z W N 0 a W 9 u M S 9 D X 0 N v R F 9 X Q U N D L 1 J l b m F t Z W Q l M j B D b 2 x 1 b W 5 z P C 9 J d G V t U G F 0 a D 4 8 L 0 l 0 Z W 1 M b 2 N h d G l v b j 4 8 U 3 R h Y m x l R W 5 0 c m l l c y A v P j w v S X R l b T 4 8 S X R l b T 4 8 S X R l b U x v Y 2 F 0 a W 9 u P j x J d G V t V H l w Z T 5 G b 3 J t d W x h P C 9 J d G V t V H l w Z T 4 8 S X R l b V B h d G g + U 2 V j d G l v b j E v S V 9 Q U F A v U m V w b G F j Z W Q l M j B W Y W x 1 Z T w v S X R l b V B h d G g + P C 9 J d G V t T G 9 j Y X R p b 2 4 + P F N 0 Y W J s Z U V u d H J p Z X M g L z 4 8 L 0 l 0 Z W 0 + P E l 0 Z W 0 + P E l 0 Z W 1 M b 2 N h d G l v b j 4 8 S X R l b V R 5 c G U + R m 9 y b X V s Y T w v S X R l b V R 5 c G U + P E l 0 Z W 1 Q Y X R o P l N l Y 3 R p b 2 4 x L 0 l f U G 9 w d W x h d G l v b i 9 S Z X B s Y W N l Z C U y M F Z h b H V l P C 9 J d G V t U G F 0 a D 4 8 L 0 l 0 Z W 1 M b 2 N h d G l v b j 4 8 U 3 R h Y m x l R W 5 0 c m l l c y A v P j w v S X R l b T 4 8 S X R l b T 4 8 S X R l b U x v Y 2 F 0 a W 9 u P j x J d G V t V H l w Z T 5 G b 3 J t d W x h P C 9 J d G V t V H l w Z T 4 8 S X R l b V B h d G g + U 2 V j d G l v b j E v Q 1 9 V S 1 9 j b 2 1 w X 3 N 1 b 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x I i A v P j x F b n R y e S B U e X B l P S J O Y X Z p Z 2 F 0 a W 9 u U 3 R l c E 5 h b W U i I F Z h b H V l P S J z T m F 2 a W d h d G l v b i I g L z 4 8 R W 5 0 c n k g V H l w Z T 0 i R m l s b G V k Q 2 9 t c G x l d G V S Z X N 1 b H R U b 1 d v c m t z a G V l d C I g V m F s d W U 9 I m w w I i A v P j x F b n R y e S B U e X B l P S J B Z G R l Z F R v R G F 0 Y U 1 v Z G V s I i B W Y W x 1 Z T 0 i b D A i I C 8 + P E V u d H J 5 I F R 5 c G U 9 I k Z p b G x F c n J v c k N v Z G U i I F Z h b H V l P S J z V W 5 r b m 9 3 b i I g L z 4 8 R W 5 0 c n k g V H l w Z T 0 i R m l s b E x h c 3 R V c G R h d G V k I i B W Y W x 1 Z T 0 i Z D I w M j E t M D U t M T B U M D g 6 N T Q 6 N D A u M z E 4 M z I 1 N F o i I C 8 + P E V u d H J 5 I F R 5 c G U 9 I k Z p b G x T d G F 0 d X M i I F Z h b H V l P S J z Q 2 9 t c G x l d G U i I C 8 + P C 9 T d G F i b G V F b n R y a W V z P j w v S X R l b T 4 8 S X R l b T 4 8 S X R l b U x v Y 2 F 0 a W 9 u P j x J d G V t V H l w Z T 5 G b 3 J t d W x h P C 9 J d G V t V H l w Z T 4 8 S X R l b V B h d G g + U 2 V j d G l v b j E v Q 1 9 V S 1 9 j b 2 1 w X 3 N 1 b S 9 T b 3 V y Y 2 U 8 L 0 l 0 Z W 1 Q Y X R o P j w v S X R l b U x v Y 2 F 0 a W 9 u P j x T d G F i b G V F b n R y a W V z I C 8 + P C 9 J d G V t P j x J d G V t P j x J d G V t T G 9 j Y X R p b 2 4 + P E l 0 Z W 1 U e X B l P k Z v c m 1 1 b G E 8 L 0 l 0 Z W 1 U e X B l P j x J d G V t U G F 0 a D 5 T Z W N 0 a W 9 u M S 9 D X 1 V L X 2 N v b X B f c 3 V t L 1 J l b W 9 2 Z W Q l M j B P d G h l c i U y M E N v b H V t b n M 8 L 0 l 0 Z W 1 Q Y X R o P j w v S X R l b U x v Y 2 F 0 a W 9 u P j x T d G F i b G V F b n R y a W V z I C 8 + P C 9 J d G V t P j x J d G V t P j x J d G V t T G 9 j Y X R p b 2 4 + P E l 0 Z W 1 U e X B l P k Z v c m 1 1 b G E 8 L 0 l 0 Z W 1 U e X B l P j x J d G V t U G F 0 a D 5 T Z W N 0 a W 9 u M S 9 D X 1 V L X 2 N v b X B f c 3 V t L 0 N o Y W 5 n Z W Q l M j B U e X B l P C 9 J d G V t U G F 0 a D 4 8 L 0 l 0 Z W 1 M b 2 N h d G l v b j 4 8 U 3 R h Y m x l R W 5 0 c m l l c y A v P j w v S X R l b T 4 8 S X R l b T 4 8 S X R l b U x v Y 2 F 0 a W 9 u P j x J d G V t V H l w Z T 5 G b 3 J t d W x h P C 9 J d G V t V H l w Z T 4 8 S X R l b V B h d G g + U 2 V j d G l v b j E v S V 9 Z Z W F y 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5 h d m l n Y X R p b 2 5 T d G V w T m F t Z S I g V m F s d W U 9 I n N O Y X Z p Z 2 F 0 a W 9 u I i A v P j x F b n R y e S B U e X B l P S J S Z X N 1 b H R U e X B l I i B W Y W x 1 Z T 0 i c 1 R h Y m x l I i A v P j x F b n R y e S B U e X B l P S J C d W Z m Z X J O Z X h 0 U m V m c m V z a C I g V m F s d W U 9 I m w x I i A v P j x F b n R y e S B U e X B l P S J G a W x s Z W R D b 2 1 w b G V 0 Z V J l c 3 V s d F R v V 2 9 y a 3 N o Z W V 0 I i B W Y W x 1 Z T 0 i b D A i I C 8 + P E V u d H J 5 I F R 5 c G U 9 I k F k Z G V k V G 9 E Y X R h T W 9 k Z W w i I F Z h b H V l P S J s M C I g L z 4 8 R W 5 0 c n k g V H l w Z T 0 i R m l s b E V y c m 9 y Q 2 9 k Z S I g V m F s d W U 9 I n N V b m t u b 3 d u I i A v P j x F b n R y e S B U e X B l P S J G a W x s T G F z d F V w Z G F 0 Z W Q i I F Z h b H V l P S J k M j A y M S 0 w N C 0 y N 1 Q w N j o z M j o y O S 4 3 M T c 1 N z U y W i I g L z 4 8 R W 5 0 c n k g V H l w Z T 0 i R m l s b F N 0 Y X R 1 c y I g V m F s d W U 9 I n N D b 2 1 w b G V 0 Z S I g L z 4 8 L 1 N 0 Y W J s Z U V u d H J p Z X M + P C 9 J d G V t P j x J d G V t P j x J d G V t T G 9 j Y X R p b 2 4 + P E l 0 Z W 1 U e X B l P k Z v c m 1 1 b G E 8 L 0 l 0 Z W 1 U e X B l P j x J d G V t U G F 0 a D 5 T Z W N 0 a W 9 u M S 9 J X 1 l l Y X I v U 2 9 1 c m N l P C 9 J d G V t U G F 0 a D 4 8 L 0 l 0 Z W 1 M b 2 N h d G l v b j 4 8 U 3 R h Y m x l R W 5 0 c m l l c y A v P j w v S X R l b T 4 8 S X R l b T 4 8 S X R l b U x v Y 2 F 0 a W 9 u P j x J d G V t V H l w Z T 5 G b 3 J t d W x h P C 9 J d G V t V H l w Z T 4 8 S X R l b V B h d G g + U 2 V j d G l v b j E v S V 9 Z Z W F y L 0 N o Y W 5 n Z W Q l M j B U e X B l P C 9 J d G V t U G F 0 a D 4 8 L 0 l 0 Z W 1 M b 2 N h d G l v b j 4 8 U 3 R h Y m x l R W 5 0 c m l l c y A v P j w v S X R l b T 4 8 S X R l b T 4 8 S X R l b U x v Y 2 F 0 a W 9 u P j x J d G V t V H l w Z T 5 G b 3 J t d W x h P C 9 J d G V t V H l w Z T 4 8 S X R l b V B h d G g + U 2 V j d G l v b j E v Q 1 9 D b 0 R f c H J l d G F 4 X 2 5 v b T w v S X R l b V B h d G g + P C 9 J d G V t T G 9 j Y X R p b 2 4 + P F N 0 Y W J s Z U V u d H J p Z X M + P E V u d H J 5 I F R 5 c G U 9 I k Z p b G x F b m F i b G V k I i B W Y W x 1 Z T 0 i b D A i I C 8 + P E V u d H J 5 I F R 5 c G U 9 I k Z p b G x P Y m p l Y 3 R U e X B l I i B W Y W x 1 Z T 0 i c 0 N v b m 5 l Y 3 R p b 2 5 P b m x 5 I i A v P j x F b n R y e S B U e X B l P S J G a W x s V G 9 E Y X R h T W 9 k Z W x F b m F i b G V k I i B W Y W x 1 Z T 0 i b D A i I C 8 + P E V u d H J 5 I F R 5 c G U 9 I k l z U H J p d m F 0 Z S I g V m F s d W U 9 I m w w I i A v P j x F b n R y e S B U e X B l P S J O Y X Z p Z 2 F 0 a W 9 u U 3 R l c E 5 h b W U i I F Z h b H V l P S J z T m F 2 a W d h d G l v b i I g L z 4 8 R W 5 0 c n k g V H l w Z T 0 i T m F t Z V V w Z G F 0 Z W R B Z n R l c k Z p b G w i I F Z h b H V l P S J s M S I g L z 4 8 R W 5 0 c n k g V H l w Z T 0 i U m V z d W x 0 V H l w Z S I g V m F s d W U 9 I n N U Y W J s Z S I g L z 4 8 R W 5 0 c n k g V H l w Z T 0 i Q n V m Z m V y T m V 4 d F J l Z n J l c 2 g i I F Z h b H V l P S J s M S I g L z 4 8 R W 5 0 c n k g V H l w Z T 0 i R m l s b G V k Q 2 9 t c G x l d G V S Z X N 1 b H R U b 1 d v c m t z a G V l d C I g V m F s d W U 9 I m w w I i A v P j x F b n R y e S B U e X B l P S J G a W x s U 3 R h d H V z I i B W Y W x 1 Z T 0 i c 0 N v b X B s Z X R l I i A v P j x F b n R y e S B U e X B l P S J G a W x s T G F z d F V w Z G F 0 Z W Q i I F Z h b H V l P S J k M j A y M S 0 w N S 0 w N V Q x M z o y M T o w M y 4 4 N D E y M D c 0 W i I g L z 4 8 R W 5 0 c n k g V H l w Z T 0 i R m l s b E V y c m 9 y Q 2 9 k Z S I g V m F s d W U 9 I n N V b m t u b 3 d u I i A v P j x F b n R y e S B U e X B l P S J B Z G R l Z F R v R G F 0 Y U 1 v Z G V s I i B W Y W x 1 Z T 0 i b D A i I C 8 + P C 9 T d G F i b G V F b n R y a W V z P j w v S X R l b T 4 8 S X R l b T 4 8 S X R l b U x v Y 2 F 0 a W 9 u P j x J d G V t V H l w Z T 5 G b 3 J t d W x h P C 9 J d G V t V H l w Z T 4 8 S X R l b V B h d G g + U 2 V j d G l v b j E v Q 1 9 D b 0 R f c H J l d G F 4 X 2 5 v b S 9 T b 3 V y Y 2 U 8 L 0 l 0 Z W 1 Q Y X R o P j w v S X R l b U x v Y 2 F 0 a W 9 u P j x T d G F i b G V F b n R y a W V z I C 8 + P C 9 J d G V t P j x J d G V t P j x J d G V t T G 9 j Y X R p b 2 4 + P E l 0 Z W 1 U e X B l P k Z v c m 1 1 b G E 8 L 0 l 0 Z W 1 U e X B l P j x J d G V t U G F 0 a D 5 T Z W N 0 a W 9 u M S 9 D X 0 N v R F 9 w c m V 0 Y X h f b m 9 t L 1 J l b W 9 2 Z W Q l M j B P d G h l c i U y M E N v b H V t b n M 8 L 0 l 0 Z W 1 Q Y X R o P j w v S X R l b U x v Y 2 F 0 a W 9 u P j x T d G F i b G V F b n R y a W V z I C 8 + P C 9 J d G V t P j x J d G V t P j x J d G V t T G 9 j Y X R p b 2 4 + P E l 0 Z W 1 U e X B l P k Z v c m 1 1 b G E 8 L 0 l 0 Z W 1 U e X B l P j x J d G V t U G F 0 a D 5 T Z W N 0 a W 9 u M S 9 D X 0 N v R F 9 w c m V 0 Y X h f b m 9 t L 1 B p d m 9 0 Z W Q l M j B D b 2 x 1 b W 4 8 L 0 l 0 Z W 1 Q Y X R o P j w v S X R l b U x v Y 2 F 0 a W 9 u P j x T d G F i b G V F b n R y a W V z I C 8 + P C 9 J d G V t P j x J d G V t P j x J d G V t T G 9 j Y X R p b 2 4 + P E l 0 Z W 1 U e X B l P k Z v c m 1 1 b G E 8 L 0 l 0 Z W 1 U e X B l P j x J d G V t U G F 0 a D 5 T Z W N 0 a W 9 u M S 9 D X 0 N v R F 9 w c m V 0 Y X h f b m 9 t L 0 1 l c m d l Z C U y M F F 1 Z X J p Z X M 8 L 0 l 0 Z W 1 Q Y X R o P j w v S X R l b U x v Y 2 F 0 a W 9 u P j x T d G F i b G V F b n R y a W V z I C 8 + P C 9 J d G V t P j x J d G V t P j x J d G V t T G 9 j Y X R p b 2 4 + P E l 0 Z W 1 U e X B l P k Z v c m 1 1 b G E 8 L 0 l 0 Z W 1 U e X B l P j x J d G V t U G F 0 a D 5 T Z W N 0 a W 9 u M S 9 D X 0 N v R F 9 w c m V 0 Y X h f b m 9 t L 0 V 4 c G F u Z G V k J T I w S V 9 Z Z W F y P C 9 J d G V t U G F 0 a D 4 8 L 0 l 0 Z W 1 M b 2 N h d G l v b j 4 8 U 3 R h Y m x l R W 5 0 c m l l c y A v P j w v S X R l b T 4 8 S X R l b T 4 8 S X R l b U x v Y 2 F 0 a W 9 u P j x J d G V t V H l w Z T 5 G b 3 J t d W x h P C 9 J d G V t V H l w Z T 4 8 S X R l b V B h d G g + U 2 V j d G l v b j E v Q 1 9 D b 0 R f c H J l d G F 4 X 2 5 v b S 9 S Z W 1 v d m V k J T I w Q 2 9 s d W 1 u c z w v S X R l b V B h d G g + P C 9 J d G V t T G 9 j Y X R p b 2 4 + P F N 0 Y W J s Z U V u d H J p Z X M g L z 4 8 L 0 l 0 Z W 0 + P E l 0 Z W 0 + P E l 0 Z W 1 M b 2 N h d G l v b j 4 8 S X R l b V R 5 c G U + R m 9 y b X V s Y T w v S X R l b V R 5 c G U + P E l 0 Z W 1 Q Y X R o P l N l Y 3 R p b 2 4 x L 0 N f Q 2 9 E X 3 B y Z X R h e F 9 u b 2 0 v U m V u Y W 1 l Z C U y M E N v b H V t b n M 8 L 0 l 0 Z W 1 Q Y X R o P j w v S X R l b U x v Y 2 F 0 a W 9 u P j x T d G F i b G V F b n R y a W V z I C 8 + P C 9 J d G V t P j x J d G V t P j x J d G V t T G 9 j Y X R p b 2 4 + P E l 0 Z W 1 U e X B l P k Z v c m 1 1 b G E 8 L 0 l 0 Z W 1 U e X B l P j x J d G V t U G F 0 a D 5 T Z W N 0 a W 9 u M S 9 D X 0 N v R F 9 w c m V 0 Y X h f b m 9 t L 1 J l b 3 J k Z X J l Z C U y M E N v b H V t b n M 8 L 0 l 0 Z W 1 Q Y X R o P j w v S X R l b U x v Y 2 F 0 a W 9 u P j x T d G F i b G V F b n R y a W V z I C 8 + P C 9 J d G V t P j x J d G V t P j x J d G V t T G 9 j Y X R p b 2 4 + P E l 0 Z W 1 U e X B l P k Z v c m 1 1 b G E 8 L 0 l 0 Z W 1 U e X B l P j x J d G V t U G F 0 a D 5 T Z W N 0 a W 9 u M S 9 D X 0 N v R F 9 w c m V 0 Y X h f b m 9 t L 1 V u c G l 2 b 3 R l Z C U y M E 9 0 a G V y J T I w Q 2 9 s d W 1 u c z w v S X R l b V B h d G g + P C 9 J d G V t T G 9 j Y X R p b 2 4 + P F N 0 Y W J s Z U V u d H J p Z X M g L z 4 8 L 0 l 0 Z W 0 + P E l 0 Z W 0 + P E l 0 Z W 1 M b 2 N h d G l v b j 4 8 S X R l b V R 5 c G U + R m 9 y b X V s Y T w v S X R l b V R 5 c G U + P E l 0 Z W 1 Q Y X R o P l N l Y 3 R p b 2 4 x L 0 N f Q 2 9 E X 3 B y Z X R h e F 9 u b 2 0 v U m V u Y W 1 l Z C U y M E N v b H V t b n M x P C 9 J d G V t U G F 0 a D 4 8 L 0 l 0 Z W 1 M b 2 N h d G l v b j 4 8 U 3 R h Y m x l R W 5 0 c m l l c y A v P j w v S X R l b T 4 8 S X R l b T 4 8 S X R l b U x v Y 2 F 0 a W 9 u P j x J d G V t V H l w Z T 5 G b 3 J t d W x h P C 9 J d G V t V H l w Z T 4 8 S X R l b V B h d G g + U 2 V j d G l v b j E v Q 1 9 V S 1 9 D b 0 R f c H J l d G F 4 X 2 5 v b T w v S X R l b V B h d G g + P C 9 J d G V t T G 9 j Y X R p b 2 4 + P F N 0 Y W J s Z U V u d H J p Z X M + P E V u d H J 5 I F R 5 c G U 9 I k Z p b G x F b m F i b G V k I i B W Y W x 1 Z T 0 i b D A i I C 8 + P E V u d H J 5 I F R 5 c G U 9 I k Z p b G x P Y m p l Y 3 R U e X B l I i B W Y W x 1 Z T 0 i c 0 N v b m 5 l Y 3 R p b 2 5 P b m x 5 I i A v P j x F b n R y e S B U e X B l P S J G a W x s V G 9 E Y X R h T W 9 k Z W x F b m F i b G V k I i B W Y W x 1 Z T 0 i b D A i I C 8 + P E V u d H J 5 I F R 5 c G U 9 I k l z U H J p d m F 0 Z S I g V m F s d W U 9 I m w w I i A v P j x F b n R y e S B U e X B l P S J C d W Z m Z X J O Z X h 0 U m V m c m V z a C I g V m F s d W U 9 I m w x I i A v P j x F b n R y e S B U e X B l P S J S Z X N 1 b H R U e X B l I i B W Y W x 1 Z T 0 i c 1 R h Y m x l I i A v P j x F b n R y e S B U e X B l P S J O Y W 1 l V X B k Y X R l Z E F m d G V y R m l s b C I g V m F s d W U 9 I m w x I i A v P j x F b n R y e S B U e X B l P S J O Y X Z p Z 2 F 0 a W 9 u U 3 R l c E 5 h b W U i I F Z h b H V l P S J z T m F 2 a W d h d G l v b i I g L z 4 8 R W 5 0 c n k g V H l w Z T 0 i R m l s b G V k Q 2 9 t c G x l d G V S Z X N 1 b H R U b 1 d v c m t z a G V l d C I g V m F s d W U 9 I m w w I i A v P j x F b n R y e S B U e X B l P S J G a W x s R X J y b 3 J D b 2 R l I i B W Y W x 1 Z T 0 i c 1 V u a 2 5 v d 2 4 i I C 8 + P E V u d H J 5 I F R 5 c G U 9 I k F k Z G V k V G 9 E Y X R h T W 9 k Z W w i I F Z h b H V l P S J s M C I g L z 4 8 R W 5 0 c n k g V H l w Z T 0 i R m l s b E x h c 3 R V c G R h d G V k I i B W Y W x 1 Z T 0 i Z D I w M j E t M D Q t M j d U M T A 6 N D E 6 M z Y u M j A y N j I x M V o i I C 8 + P E V u d H J 5 I F R 5 c G U 9 I k Z p b G x T d G F 0 d X M i I F Z h b H V l P S J z Q 2 9 t c G x l d G U i I C 8 + P C 9 T d G F i b G V F b n R y a W V z P j w v S X R l b T 4 8 S X R l b T 4 8 S X R l b U x v Y 2 F 0 a W 9 u P j x J d G V t V H l w Z T 5 G b 3 J t d W x h P C 9 J d G V t V H l w Z T 4 8 S X R l b V B h d G g + U 2 V j d G l v b j E v Q 1 9 V S 1 9 D b 0 R f c H J l d G F 4 X 2 5 v b S 9 T b 3 V y Y 2 U 8 L 0 l 0 Z W 1 Q Y X R o P j w v S X R l b U x v Y 2 F 0 a W 9 u P j x T d G F i b G V F b n R y a W V z I C 8 + P C 9 J d G V t P j x J d G V t P j x J d G V t T G 9 j Y X R p b 2 4 + P E l 0 Z W 1 U e X B l P k Z v c m 1 1 b G E 8 L 0 l 0 Z W 1 U e X B l P j x J d G V t U G F 0 a D 5 T Z W N 0 a W 9 u M S 9 D X 1 d B Q 0 N f c G 9 z d H R h e F 9 y Z W F s P C 9 J d G V t U G F 0 a D 4 8 L 0 l 0 Z W 1 M b 2 N h d G l v b j 4 8 U 3 R h Y m x l R W 5 0 c m l l c z 4 8 R W 5 0 c n k g V H l w Z T 0 i R m l s b E V u Y W J s Z W Q i I F Z h b H V l P S J s M C I g L z 4 8 R W 5 0 c n k g V H l w Z T 0 i R m l s b E 9 i a m V j d F R 5 c G U i I F Z h b H V l P S J z Q 2 9 u b m V j d G l v b k 9 u b H k i I C 8 + P E V u d H J 5 I F R 5 c G U 9 I k Z p b G x U b 0 R h d G F N b 2 R l b E V u Y W J s Z W Q i I F Z h b H V l P S J s M C I g L z 4 8 R W 5 0 c n k g V H l w Z T 0 i S X N Q c m l 2 Y X R l I i B W Y W x 1 Z T 0 i b D A i I C 8 + P E V u d H J 5 I F R 5 c G U 9 I k J 1 Z m Z l c k 5 l e H R S Z W Z y Z X N o I i B W Y W x 1 Z T 0 i b D E i I C 8 + P E V u d H J 5 I F R 5 c G U 9 I l J l c 3 V s d F R 5 c G U i I F Z h b H V l P S J z V G F i b G U i I C 8 + P E V u d H J 5 I F R 5 c G U 9 I k 5 h b W V V c G R h d G V k Q W Z 0 Z X J G a W x s I i B W Y W x 1 Z T 0 i b D E i I C 8 + P E V u d H J 5 I F R 5 c G U 9 I k 5 h d m l n Y X R p b 2 5 T d G V w T m F t Z S I g V m F s d W U 9 I n N O Y X Z p Z 2 F 0 a W 9 u I i A v P j x F b n R y e S B U e X B l P S J G a W x s Z W R D b 2 1 w b G V 0 Z V J l c 3 V s d F R v V 2 9 y a 3 N o Z W V 0 I i B W Y W x 1 Z T 0 i b D A i I C 8 + P E V u d H J 5 I F R 5 c G U 9 I k Z p b G x T d G F 0 d X M i I F Z h b H V l P S J z Q 2 9 t c G x l d G U i I C 8 + P E V u d H J 5 I F R 5 c G U 9 I k Z p b G x M Y X N 0 V X B k Y X R l Z C I g V m F s d W U 9 I m Q y M D I x L T A 1 L T A 1 V D E 0 O j A 4 O j Q 5 L j M z O T E z M T J a I i A v P j x F b n R y e S B U e X B l P S J G a W x s R X J y b 3 J D b 2 R l I i B W Y W x 1 Z T 0 i c 1 V u a 2 5 v d 2 4 i I C 8 + P E V u d H J 5 I F R 5 c G U 9 I k F k Z G V k V G 9 E Y X R h T W 9 k Z W w i I F Z h b H V l P S J s M C I g L z 4 8 L 1 N 0 Y W J s Z U V u d H J p Z X M + P C 9 J d G V t P j x J d G V t P j x J d G V t T G 9 j Y X R p b 2 4 + P E l 0 Z W 1 U e X B l P k Z v c m 1 1 b G E 8 L 0 l 0 Z W 1 U e X B l P j x J d G V t U G F 0 a D 5 T Z W N 0 a W 9 u M S 9 D X 1 d B Q 0 N f c G 9 z d H R h e F 9 y Z W F s L 1 N v d X J j Z T w v S X R l b V B h d G g + P C 9 J d G V t T G 9 j Y X R p b 2 4 + P F N 0 Y W J s Z U V u d H J p Z X M g L z 4 8 L 0 l 0 Z W 0 + P E l 0 Z W 0 + P E l 0 Z W 1 M b 2 N h d G l v b j 4 8 S X R l b V R 5 c G U + R m 9 y b X V s Y T w v S X R l b V R 5 c G U + P E l 0 Z W 1 Q Y X R o P l N l Y 3 R p b 2 4 x L 0 N f V 0 F D Q 1 9 w b 3 N 0 d G F 4 X 3 J l Y W w v U m V t b 3 Z l Z C U y M E 9 0 a G V y J T I w Q 2 9 s d W 1 u c z w v S X R l b V B h d G g + P C 9 J d G V t T G 9 j Y X R p b 2 4 + P F N 0 Y W J s Z U V u d H J p Z X M g L z 4 8 L 0 l 0 Z W 0 + P E l 0 Z W 0 + P E l 0 Z W 1 M b 2 N h d G l v b j 4 8 S X R l b V R 5 c G U + R m 9 y b X V s Y T w v S X R l b V R 5 c G U + P E l 0 Z W 1 Q Y X R o P l N l Y 3 R p b 2 4 x L 0 N f Q 2 9 E X 1 d B Q 0 M v Q 2 h h b m d l Z C U y M F R 5 c G U x P C 9 J d G V t U G F 0 a D 4 8 L 0 l 0 Z W 1 M b 2 N h d G l v b j 4 8 U 3 R h Y m x l R W 5 0 c m l l c y A v P j w v S X R l b T 4 8 S X R l b T 4 8 S X R l b U x v Y 2 F 0 a W 9 u P j x J d G V t V H l w Z T 5 G b 3 J t d W x h P C 9 J d G V t V H l w Z T 4 8 S X R l b V B h d G g + U 2 V j d G l v b j E v Q 1 9 X Q U N D X 3 B v c 3 R 0 Y X h f c m V h b C 9 Q a X Z v d G V k J T I w Q 2 9 s d W 1 u P C 9 J d G V t U G F 0 a D 4 8 L 0 l 0 Z W 1 M b 2 N h d G l v b j 4 8 U 3 R h Y m x l R W 5 0 c m l l c y A v P j w v S X R l b T 4 8 S X R l b T 4 8 S X R l b U x v Y 2 F 0 a W 9 u P j x J d G V t V H l w Z T 5 G b 3 J t d W x h P C 9 J d G V t V H l w Z T 4 8 S X R l b V B h d G g + U 2 V j d G l v b j E v Q 1 9 X Q U N D X 3 B v c 3 R 0 Y X h f c m V h b C 9 N Z X J n Z W Q l M j B R d W V y a W V z P C 9 J d G V t U G F 0 a D 4 8 L 0 l 0 Z W 1 M b 2 N h d G l v b j 4 8 U 3 R h Y m x l R W 5 0 c m l l c y A v P j w v S X R l b T 4 8 S X R l b T 4 8 S X R l b U x v Y 2 F 0 a W 9 u P j x J d G V t V H l w Z T 5 G b 3 J t d W x h P C 9 J d G V t V H l w Z T 4 8 S X R l b V B h d G g + U 2 V j d G l v b j E v Q 1 9 X Q U N D X 3 B v c 3 R 0 Y X h f c m V h b C 9 F e H B h b m R l Z C U y M E l f W W V h c j w v S X R l b V B h d G g + P C 9 J d G V t T G 9 j Y X R p b 2 4 + P F N 0 Y W J s Z U V u d H J p Z X M g L z 4 8 L 0 l 0 Z W 0 + P E l 0 Z W 0 + P E l 0 Z W 1 M b 2 N h d G l v b j 4 8 S X R l b V R 5 c G U + R m 9 y b X V s Y T w v S X R l b V R 5 c G U + P E l 0 Z W 1 Q Y X R o P l N l Y 3 R p b 2 4 x L 0 N f V 0 F D Q 1 9 w b 3 N 0 d G F 4 X 3 J l Y W w v U m V t b 3 Z l Z C U y M E N v b H V t b n M 8 L 0 l 0 Z W 1 Q Y X R o P j w v S X R l b U x v Y 2 F 0 a W 9 u P j x T d G F i b G V F b n R y a W V z I C 8 + P C 9 J d G V t P j x J d G V t P j x J d G V t T G 9 j Y X R p b 2 4 + P E l 0 Z W 1 U e X B l P k Z v c m 1 1 b G E 8 L 0 l 0 Z W 1 U e X B l P j x J d G V t U G F 0 a D 5 T Z W N 0 a W 9 u M S 9 D X 1 d B Q 0 N f c G 9 z d H R h e F 9 y Z W F s L 1 J l b m F t Z W Q l M j B D b 2 x 1 b W 5 z P C 9 J d G V t U G F 0 a D 4 8 L 0 l 0 Z W 1 M b 2 N h d G l v b j 4 8 U 3 R h Y m x l R W 5 0 c m l l c y A v P j w v S X R l b T 4 8 S X R l b T 4 8 S X R l b U x v Y 2 F 0 a W 9 u P j x J d G V t V H l w Z T 5 G b 3 J t d W x h P C 9 J d G V t V H l w Z T 4 8 S X R l b V B h d G g + U 2 V j d G l v b j E v Q 1 9 X Q U N D X 3 B v c 3 R 0 Y X h f c m V h b C 9 S Z W 9 y Z G V y Z W Q l M j B D b 2 x 1 b W 5 z P C 9 J d G V t U G F 0 a D 4 8 L 0 l 0 Z W 1 M b 2 N h d G l v b j 4 8 U 3 R h Y m x l R W 5 0 c m l l c y A v P j w v S X R l b T 4 8 S X R l b T 4 8 S X R l b U x v Y 2 F 0 a W 9 u P j x J d G V t V H l w Z T 5 G b 3 J t d W x h P C 9 J d G V t V H l w Z T 4 8 S X R l b V B h d G g + U 2 V j d G l v b j E v Q 1 9 X Q U N D X 3 B v c 3 R 0 Y X h f c m V h b C 9 T b 3 J 0 Z W Q l M j B S b 3 d z P C 9 J d G V t U G F 0 a D 4 8 L 0 l 0 Z W 1 M b 2 N h d G l v b j 4 8 U 3 R h Y m x l R W 5 0 c m l l c y A v P j w v S X R l b T 4 8 S X R l b T 4 8 S X R l b U x v Y 2 F 0 a W 9 u P j x J d G V t V H l w Z T 5 G b 3 J t d W x h P C 9 J d G V t V H l w Z T 4 8 S X R l b V B h d G g + U 2 V j d G l v b j E v Q 1 9 X Q U N D X 3 B v c 3 R 0 Y X h f c m V h b C 9 V b n B p d m 9 0 Z W Q l M j B P d G h l c i U y M E N v b H V t b n M 8 L 0 l 0 Z W 1 Q Y X R o P j w v S X R l b U x v Y 2 F 0 a W 9 u P j x T d G F i b G V F b n R y a W V z I C 8 + P C 9 J d G V t P j x J d G V t P j x J d G V t T G 9 j Y X R p b 2 4 + P E l 0 Z W 1 U e X B l P k Z v c m 1 1 b G E 8 L 0 l 0 Z W 1 U e X B l P j x J d G V t U G F 0 a D 5 T Z W N 0 a W 9 u M S 9 D X 1 d B Q 0 N f c G 9 z d H R h e F 9 y Z W F s L 1 J l b m F t Z W Q l M j B D b 2 x 1 b W 5 z M T w v S X R l b V B h d G g + P C 9 J d G V t T G 9 j Y X R p b 2 4 + P F N 0 Y W J s Z U V u d H J p Z X M g L z 4 8 L 0 l 0 Z W 0 + P E l 0 Z W 0 + P E l 0 Z W 1 M b 2 N h d G l v b j 4 8 S X R l b V R 5 c G U + R m 9 y b X V s Y T w v S X R l b V R 5 c G U + P E l 0 Z W 1 Q Y X R o P l N l Y 3 R p b 2 4 x L 0 N f Q 2 9 E X 3 B y Z X R h e F 9 u b 2 0 v U 2 9 y d G V k J T I w U m 9 3 c z w v S X R l b V B h d G g + P C 9 J d G V t T G 9 j Y X R p b 2 4 + P F N 0 Y W J s Z U V u d H J p Z X M g L z 4 8 L 0 l 0 Z W 0 + P E l 0 Z W 0 + P E l 0 Z W 1 M b 2 N h d G l v b j 4 8 S X R l b V R 5 c G U + R m 9 y b X V s Y T w v S X R l b V R 5 c G U + P E l 0 Z W 1 Q Y X R o P l N l Y 3 R p b 2 4 x L 0 N f V U t f V 0 F D Q 1 9 w b 3 N 0 d G F 4 X 3 J l Y W w 8 L 0 l 0 Z W 1 Q Y X R o P j w v S X R l b U x v Y 2 F 0 a W 9 u P j x T d G F i b G V F b n R y a W V z P j x F b n R y e S B U e X B l P S J G a W x s R W 5 h Y m x l Z C I g V m F s d W U 9 I m w w I i A v P j x F b n R y e S B U e X B l P S J G a W x s T 2 J q Z W N 0 V H l w Z S I g V m F s d W U 9 I n N D b 2 5 u Z W N 0 a W 9 u T 2 5 s e S I g L z 4 8 R W 5 0 c n k g V H l w Z T 0 i R m l s b F R v R G F 0 Y U 1 v Z G V s R W 5 h Y m x l Z C I g V m F s d W U 9 I m w w I i A v P j x F b n R y e S B U e X B l P S J J c 1 B y a X Z h d G U i I F Z h b H V l P S J s M C I g L z 4 8 R W 5 0 c n k g V H l w Z T 0 i Q n V m Z m V y T m V 4 d F J l Z n J l c 2 g i I F Z h b H V l P S J s M S I g L z 4 8 R W 5 0 c n k g V H l w Z T 0 i U m V z d W x 0 V H l w Z S I g V m F s d W U 9 I n N U Y W J s Z S I g L z 4 8 R W 5 0 c n k g V H l w Z T 0 i T m F t Z V V w Z G F 0 Z W R B Z n R l c k Z p b G w i I F Z h b H V l P S J s M S I g L z 4 8 R W 5 0 c n k g V H l w Z T 0 i T m F 2 a W d h d G l v b l N 0 Z X B O Y W 1 l I i B W Y W x 1 Z T 0 i c 0 5 h d m l n Y X R p b 2 4 i I C 8 + P E V u d H J 5 I F R 5 c G U 9 I k Z p b G x l Z E N v b X B s Z X R l U m V z d W x 0 V G 9 X b 3 J r c 2 h l Z X Q i I F Z h b H V l P S J s M C I g L z 4 8 R W 5 0 c n k g V H l w Z T 0 i R m l s b E V y c m 9 y Q 2 9 k Z S I g V m F s d W U 9 I n N V b m t u b 3 d u I i A v P j x F b n R y e S B U e X B l P S J B Z G R l Z F R v R G F 0 Y U 1 v Z G V s I i B W Y W x 1 Z T 0 i b D A i I C 8 + P E V u d H J 5 I F R 5 c G U 9 I k Z p b G x M Y X N 0 V X B k Y X R l Z C I g V m F s d W U 9 I m Q y M D I x L T A 0 L T I 3 V D E w O j Q x O j M 2 L j U z M z g y M D d a I i A v P j x F b n R y e S B U e X B l P S J G a W x s U 3 R h d H V z I i B W Y W x 1 Z T 0 i c 0 N v b X B s Z X R l I i A v P j w v U 3 R h Y m x l R W 5 0 c m l l c z 4 8 L 0 l 0 Z W 0 + P E l 0 Z W 0 + P E l 0 Z W 1 M b 2 N h d G l v b j 4 8 S X R l b V R 5 c G U + R m 9 y b X V s Y T w v S X R l b V R 5 c G U + P E l 0 Z W 1 Q Y X R o P l N l Y 3 R p b 2 4 x L 0 N f V U t f V 0 F D Q 1 9 w b 3 N 0 d G F 4 X 3 J l Y W w v U 2 9 1 c m N l P C 9 J d G V t U G F 0 a D 4 8 L 0 l 0 Z W 1 M b 2 N h d G l v b j 4 8 U 3 R h Y m x l R W 5 0 c m l l c y A v P j w v S X R l b T 4 8 S X R l b T 4 8 S X R l b U x v Y 2 F 0 a W 9 u P j x J d G V t V H l w Z T 5 G b 3 J t d W x h P C 9 J d G V t V H l w Z T 4 8 S X R l b V B h d G g + U 2 V j d G l v b j E v Q 1 9 Q c m 9 4 e V 9 z Y W 1 w b G U 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T m F 2 a W d h d G l v b l N 0 Z X B O Y W 1 l I i B W Y W x 1 Z T 0 i c 0 5 h d m l n Y X R p b 2 4 i I C 8 + P E V u d H J 5 I F R 5 c G U 9 I k 5 h b W V V c G R h d G V k Q W Z 0 Z X J G a W x s I i B W Y W x 1 Z T 0 i b D A i I C 8 + P E V u d H J 5 I F R 5 c G U 9 I l J l c 3 V s d F R 5 c G U i I F Z h b H V l P S J z V G F i b G U i I C 8 + P E V u d H J 5 I F R 5 c G U 9 I k J 1 Z m Z l c k 5 l e H R S Z W Z y Z X N o I i B W Y W x 1 Z T 0 i b D E i I C 8 + P E V u d H J 5 I F R 5 c G U 9 I k Z p b G x l Z E N v b X B s Z X R l U m V z d W x 0 V G 9 X b 3 J r c 2 h l Z X Q i I F Z h b H V l P S J s M S I g L z 4 8 R W 5 0 c n k g V H l w Z T 0 i U m V j b 3 Z l c n l U Y X J n Z X R T a G V l d C I g V m F s d W U 9 I n N D X 1 B y b 3 h 5 I i A v P j x F b n R y e S B U e X B l P S J S Z W N v d m V y e V R h c m d l d E N v b H V t b i I g V m F s d W U 9 I m w x I i A v P j x F b n R y e S B U e X B l P S J S Z W N v d m V y e V R h c m d l d F J v d y I g V m F s d W U 9 I m w 0 I i A v P j x F b n R y e S B U e X B l P S J G a W x s V G F y Z 2 V 0 I i B W Y W x 1 Z T 0 i c 0 N f U H J v e H l f c 2 F t c G x l I i A v P j x F b n R y e S B U e X B l P S J R d W V y e U l E I i B W Y W x 1 Z T 0 i c 2 J l O G E z Z D g 5 L T N l O G I t N G I y M C 1 i Z m F i L T U 0 M W I z M 2 E 3 N T A 3 N C I g L z 4 8 R W 5 0 c n k g V H l w Z T 0 i R m l s b E x h c 3 R V c G R h d G V k I i B W Y W x 1 Z T 0 i Z D I w M j E t M D c t M j l U M T Y 6 M z Y 6 M z Q u M z k x N z Q 1 N l o i I C 8 + P E V u d H J 5 I F R 5 c G U 9 I k Z p b G x D b 2 x 1 b W 5 U e X B l c y I g V m F s d W U 9 I n N B Q U F B I i A v P j x F b n R y e S B U e X B l P S J G a W x s Q 2 9 s d W 1 u T m F t Z X M i I F Z h b H V l P S J z W y Z x d W 9 0 O 3 B y b 3 h 5 X 2 l k J n F 1 b 3 Q 7 L C Z x d W 9 0 O 2 N v b X A x J n F 1 b 3 Q 7 L C Z x d W 9 0 O 2 N v b X A y J n F 1 b 3 Q 7 X S I g L z 4 8 R W 5 0 c n k g V H l w Z T 0 i R m l s b E V y c m 9 y Q 2 9 1 b n Q i I F Z h b H V l P S J s M C I g L z 4 8 R W 5 0 c n k g V H l w Z T 0 i R m l s b E V y c m 9 y Q 2 9 k Z S I g V m F s d W U 9 I n N V b m t u b 3 d u I i A v P j x F b n R y e S B U e X B l P S J G a W x s U 3 R h d H V z I i B W Y W x 1 Z T 0 i c 0 N v b X B s Z X R l I i A v P j x F b n R y e S B U e X B l P S J G a W x s Q 2 9 1 b n Q i I F Z h b H V l P S J s M j E i I C 8 + P E V u d H J 5 I F R 5 c G U 9 I l J l b G F 0 a W 9 u c 2 h p c E l u Z m 9 D b 2 5 0 Y W l u Z X I i I F Z h b H V l P S J z e y Z x d W 9 0 O 2 N v b H V t b k N v d W 5 0 J n F 1 b 3 Q 7 O j M s J n F 1 b 3 Q 7 a 2 V 5 Q 2 9 s d W 1 u T m F t Z X M m c X V v d D s 6 W 1 0 s J n F 1 b 3 Q 7 c X V l c n l S Z W x h d G l v b n N o a X B z J n F 1 b 3 Q 7 O l t d L C Z x d W 9 0 O 2 N v b H V t b k l k Z W 5 0 a X R p Z X M m c X V v d D s 6 W y Z x d W 9 0 O 1 N l Y 3 R p b 2 4 x L 0 N f U H J v e H l f c 2 F t c G x l L 1 N v d X J j Z S 5 7 c H J v e H l f a W Q s M H 0 m c X V v d D s s J n F 1 b 3 Q 7 U 2 V j d G l v b j E v Q 1 9 Q c m 9 4 e V 9 z Y W 1 w b G U v U 2 9 1 c m N l L n t j b 2 1 w M S w x f S Z x d W 9 0 O y w m c X V v d D t T Z W N 0 a W 9 u M S 9 D X 1 B y b 3 h 5 X 3 N h b X B s Z S 9 T b 3 V y Y 2 U u e 2 N v b X A y L D J 9 J n F 1 b 3 Q 7 X S w m c X V v d D t D b 2 x 1 b W 5 D b 3 V u d C Z x d W 9 0 O z o z L C Z x d W 9 0 O 0 t l e U N v b H V t b k 5 h b W V z J n F 1 b 3 Q 7 O l t d L C Z x d W 9 0 O 0 N v b H V t b k l k Z W 5 0 a X R p Z X M m c X V v d D s 6 W y Z x d W 9 0 O 1 N l Y 3 R p b 2 4 x L 0 N f U H J v e H l f c 2 F t c G x l L 1 N v d X J j Z S 5 7 c H J v e H l f a W Q s M H 0 m c X V v d D s s J n F 1 b 3 Q 7 U 2 V j d G l v b j E v Q 1 9 Q c m 9 4 e V 9 z Y W 1 w b G U v U 2 9 1 c m N l L n t j b 2 1 w M S w x f S Z x d W 9 0 O y w m c X V v d D t T Z W N 0 a W 9 u M S 9 D X 1 B y b 3 h 5 X 3 N h b X B s Z S 9 T b 3 V y Y 2 U u e 2 N v b X A y L D J 9 J n F 1 b 3 Q 7 X S w m c X V v d D t S Z W x h d G l v b n N o a X B J b m Z v J n F 1 b 3 Q 7 O l t d f S I g L z 4 8 R W 5 0 c n k g V H l w Z T 0 i Q W R k Z W R U b 0 R h d G F N b 2 R l b C I g V m F s d W U 9 I m w w I i A v P j w v U 3 R h Y m x l R W 5 0 c m l l c z 4 8 L 0 l 0 Z W 0 + P E l 0 Z W 0 + P E l 0 Z W 1 M b 2 N h d G l v b j 4 8 S X R l b V R 5 c G U + R m 9 y b X V s Y T w v S X R l b V R 5 c G U + P E l 0 Z W 1 Q Y X R o P l N l Y 3 R p b 2 4 x L 0 N f U H J v e H l f c 2 F t c G x l L 1 N v d X J j Z T w v S X R l b V B h d G g + P C 9 J d G V t T G 9 j Y X R p b 2 4 + P F N 0 Y W J s Z U V u d H J p Z X M g L z 4 8 L 0 l 0 Z W 0 + P E l 0 Z W 0 + P E l 0 Z W 1 M b 2 N h d G l v b j 4 8 S X R l b V R 5 c G U + R m 9 y b X V s Y T w v S X R l b V R 5 c G U + P E l 0 Z W 1 Q Y X R o P l N l Y 3 R p b 2 4 x L 0 N f U H J v e H l f c 2 F t c G x l L 1 J l b W 9 2 Z W Q l M j B C b G F u a y U y M F J v d 3 M 8 L 0 l 0 Z W 1 Q Y X R o P j w v S X R l b U x v Y 2 F 0 a W 9 u P j x T d G F i b G V F b n R y a W V z I C 8 + P C 9 J d G V t P j x J d G V t P j x J d G V t T G 9 j Y X R p b 2 4 + P E l 0 Z W 1 U e X B l P k Z v c m 1 1 b G E 8 L 0 l 0 Z W 1 U e X B l P j x J d G V t U G F 0 a D 5 T Z W N 0 a W 9 u M S 9 D X 1 V L R X F f Z G V 0 Y W l s L 0 1 l c m d l Z C U y M F F 1 Z X J p Z X M 8 L 0 l 0 Z W 1 Q Y X R o P j w v S X R l b U x v Y 2 F 0 a W 9 u P j x T d G F i b G V F b n R y a W V z I C 8 + P C 9 J d G V t P j x J d G V t P j x J d G V t T G 9 j Y X R p b 2 4 + P E l 0 Z W 1 U e X B l P k Z v c m 1 1 b G E 8 L 0 l 0 Z W 1 U e X B l P j x J d G V t U G F 0 a D 5 T Z W N 0 a W 9 u M S 9 D X 1 V L R X F f Z G V 0 Y W l s L 0 V 4 c G F u Z G V k J T I w Q 1 9 V S 1 9 D b 0 R f c H J l d G F 4 X 2 5 v b T w v S X R l b V B h d G g + P C 9 J d G V t T G 9 j Y X R p b 2 4 + P F N 0 Y W J s Z U V u d H J p Z X M g L z 4 8 L 0 l 0 Z W 0 + P E l 0 Z W 0 + P E l 0 Z W 1 M b 2 N h d G l v b j 4 8 S X R l b V R 5 c G U + R m 9 y b X V s Y T w v S X R l b V R 5 c G U + P E l 0 Z W 1 Q Y X R o P l N l Y 3 R p b 2 4 x L 0 N f V U t F c V 9 k Z X R h a W w v T W V y Z 2 V k J T I w U X V l c m l l c z E 8 L 0 l 0 Z W 1 Q Y X R o P j w v S X R l b U x v Y 2 F 0 a W 9 u P j x T d G F i b G V F b n R y a W V z I C 8 + P C 9 J d G V t P j x J d G V t P j x J d G V t T G 9 j Y X R p b 2 4 + P E l 0 Z W 1 U e X B l P k Z v c m 1 1 b G E 8 L 0 l 0 Z W 1 U e X B l P j x J d G V t U G F 0 a D 5 T Z W N 0 a W 9 u M S 9 D X 1 V L R X F f Z G V 0 Y W l s L 0 V 4 c G F u Z G V k J T I w Q 1 9 V S 1 9 X Q U N D X 3 B v c 3 R 0 Y X h f c m V h b D w v S X R l b V B h d G g + P C 9 J d G V t T G 9 j Y X R p b 2 4 + P F N 0 Y W J s Z U V u d H J p Z X M g L z 4 8 L 0 l 0 Z W 0 + P E l 0 Z W 0 + P E l 0 Z W 1 M b 2 N h d G l v b j 4 8 S X R l b V R 5 c G U + R m 9 y b X V s Y T w v S X R l b V R 5 c G U + P E l 0 Z W 1 Q Y X R o P l N l Y 3 R p b 2 4 x L 0 9 f R G l z d G F u Y 2 U 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l Z E N v b X B s Z X R l U m V z d W x 0 V G 9 X b 3 J r c 2 h l Z X Q i I F Z h b H V l P S J s M S I g L z 4 8 R W 5 0 c n k g V H l w Z T 0 i U m V j b 3 Z l c n l U Y X J n Z X R T a G V l d C I g V m F s d W U 9 I n N P X 0 R p c 3 R h b m N l I i A v P j x F b n R y e S B U e X B l P S J S Z W N v d m V y e V R h c m d l d E N v b H V t b i I g V m F s d W U 9 I m w x I i A v P j x F b n R y e S B U e X B l P S J S Z W N v d m V y e V R h c m d l d F J v d y I g V m F s d W U 9 I m w 0 I i A v P j x F b n R y e S B U e X B l P S J G a W x s V G F y Z 2 V 0 I i B W Y W x 1 Z T 0 i c 0 9 f R G l z d G F u Y 2 U i I C 8 + P E V u d H J 5 I F R 5 c G U 9 I l F 1 Z X J 5 S U Q i I F Z h b H V l P S J z Y T F i Z j I 1 N D M t O D R j N y 0 0 N T I z L W E z Z D Q t Y j g z Z T c z M z c x Z G I y I i A v P j x F b n R y e S B U e X B l P S J G a W x s T G F z d F V w Z G F 0 Z W Q i I F Z h b H V l P S J k M j A y M S 0 w N y 0 y O V Q x N j o z N z o w N S 4 4 O T c x N z A y W i I g L z 4 8 R W 5 0 c n k g V H l w Z T 0 i R m l s b E N v b H V t b l R 5 c G V z I i B W Y W x 1 Z T 0 i c 0 F B Q U F B Q U F B Q U F B Q U F B P T 0 i I C 8 + P E V u d H J 5 I F R 5 c G U 9 I k Z p b G x D b 2 x 1 b W 5 O Y W 1 l c y I g V m F s d W U 9 I n N b J n F 1 b 3 Q 7 Y m V u Y 2 h t Y X J r X 2 l k J n F 1 b 3 Q 7 L C Z x d W 9 0 O 3 R h c m d l d F 9 i Y W 5 k J n F 1 b 3 Q 7 L C Z x d W 9 0 O 2 N v b X B f Y m F u Z C Z x d W 9 0 O y w m c X V v d D t j b 3 V u d H J 5 J n F 1 b 3 Q 7 L C Z x d W 9 0 O 3 R p Z X I m c X V v d D s s J n F 1 b 3 Q 7 Y m l h c 1 9 y a X N r J n F 1 b 3 Q 7 L C Z x d W 9 0 O 2 J p Y X N f c 2 N h b G U m c X V v d D s s J n F 1 b 3 Q 7 Y m l h c 1 9 k a X J l Y 3 R p b 2 4 m c X V v d D s s J n F 1 b 3 Q 7 c m F 0 a W 9 f e V 9 4 J n F 1 b 3 Q 7 L C Z x d W 9 0 O 2 x z d l 9 w Z X J f b W h 6 X 3 V r M i Z x d W 9 0 O 1 0 i I C 8 + P E V u d H J 5 I F R 5 c G U 9 I k Z p b G x F c n J v c k N v d W 5 0 I i B W Y W x 1 Z T 0 i b D A i I C 8 + P E V u d H J 5 I F R 5 c G U 9 I k Z p b G x T d G F 0 d X M i I F Z h b H V l P S J z Q 2 9 t c G x l d G U i I C 8 + P E V u d H J 5 I F R 5 c G U 9 I k Z p b G x F c n J v c k N v Z G U i I F Z h b H V l P S J z V W 5 r b m 9 3 b i I g L z 4 8 R W 5 0 c n k g V H l w Z T 0 i R m l s b E N v d W 5 0 I i B W Y W x 1 Z T 0 i b D Q y I i A v P j x F b n R y e S B U e X B l P S J S Z W x h d G l v b n N o a X B J b m Z v Q 2 9 u d G F p b m V y I i B W Y W x 1 Z T 0 i c 3 s m c X V v d D t j b 2 x 1 b W 5 D b 3 V u d C Z x d W 9 0 O z o x M C w m c X V v d D t r Z X l D b 2 x 1 b W 5 O Y W 1 l c y Z x d W 9 0 O z p b X S w m c X V v d D t x d W V y e V J l b G F 0 a W 9 u c 2 h p c H M m c X V v d D s 6 W 1 0 s J n F 1 b 3 Q 7 Y 2 9 s d W 1 u S W R l b n R p d G l l c y Z x d W 9 0 O z p b J n F 1 b 3 Q 7 U 2 V j d G l v b j E v T 1 9 E a X N 0 Y W 5 j Z S 9 T b 3 V y Y 2 U u e 2 J l b m N o b W F y a 1 9 p Z C w w f S Z x d W 9 0 O y w m c X V v d D t T Z W N 0 a W 9 u M S 9 P X 0 R p c 3 R h b m N l L 1 N v d X J j Z S 5 7 d G F y Z 2 V 0 X 2 J h b m Q s M X 0 m c X V v d D s s J n F 1 b 3 Q 7 U 2 V j d G l v b j E v T 1 9 E a X N 0 Y W 5 j Z S 9 T b 3 V y Y 2 U u e 2 N v b X B f Y m F u Z C w y f S Z x d W 9 0 O y w m c X V v d D t T Z W N 0 a W 9 u M S 9 P X 0 R p c 3 R h b m N l L 1 N v d X J j Z S 5 7 Y 2 9 1 b n R y e S w z f S Z x d W 9 0 O y w m c X V v d D t T Z W N 0 a W 9 u M S 9 P X 0 R p c 3 R h b m N l L 1 N v d X J j Z S 5 7 d G l l c i w 5 f S Z x d W 9 0 O y w m c X V v d D t T Z W N 0 a W 9 u M S 9 P X 0 R p c 3 R h b m N l L 1 N v d X J j Z S 5 7 Y m l h c 1 9 y a X N r L D E w f S Z x d W 9 0 O y w m c X V v d D t T Z W N 0 a W 9 u M S 9 P X 0 R p c 3 R h b m N l L 1 N v d X J j Z S 5 7 Y m l h c 1 9 z Y 2 F s Z S w x M X 0 m c X V v d D s s J n F 1 b 3 Q 7 U 2 V j d G l v b j E v T 1 9 E a X N 0 Y W 5 j Z S 9 T b 3 V y Y 2 U u e 2 J p Y X N f Z G l y Z W N 0 a W 9 u L D E y f S Z x d W 9 0 O y w m c X V v d D t T Z W N 0 a W 9 u M S 9 P X 0 R p c 3 R h b m N l L 1 N v d X J j Z S 5 7 c m F 0 a W 9 f e V 9 4 L D E 4 f S Z x d W 9 0 O y w m c X V v d D t T Z W N 0 a W 9 u M S 9 P X 0 R p c 3 R h b m N l L 1 N v d X J j Z S 5 7 b H N 2 X 3 B l c l 9 t a H p f d W s y L D I x f S Z x d W 9 0 O 1 0 s J n F 1 b 3 Q 7 Q 2 9 s d W 1 u Q 2 9 1 b n Q m c X V v d D s 6 M T A s J n F 1 b 3 Q 7 S 2 V 5 Q 2 9 s d W 1 u T m F t Z X M m c X V v d D s 6 W 1 0 s J n F 1 b 3 Q 7 Q 2 9 s d W 1 u S W R l b n R p d G l l c y Z x d W 9 0 O z p b J n F 1 b 3 Q 7 U 2 V j d G l v b j E v T 1 9 E a X N 0 Y W 5 j Z S 9 T b 3 V y Y 2 U u e 2 J l b m N o b W F y a 1 9 p Z C w w f S Z x d W 9 0 O y w m c X V v d D t T Z W N 0 a W 9 u M S 9 P X 0 R p c 3 R h b m N l L 1 N v d X J j Z S 5 7 d G F y Z 2 V 0 X 2 J h b m Q s M X 0 m c X V v d D s s J n F 1 b 3 Q 7 U 2 V j d G l v b j E v T 1 9 E a X N 0 Y W 5 j Z S 9 T b 3 V y Y 2 U u e 2 N v b X B f Y m F u Z C w y f S Z x d W 9 0 O y w m c X V v d D t T Z W N 0 a W 9 u M S 9 P X 0 R p c 3 R h b m N l L 1 N v d X J j Z S 5 7 Y 2 9 1 b n R y e S w z f S Z x d W 9 0 O y w m c X V v d D t T Z W N 0 a W 9 u M S 9 P X 0 R p c 3 R h b m N l L 1 N v d X J j Z S 5 7 d G l l c i w 5 f S Z x d W 9 0 O y w m c X V v d D t T Z W N 0 a W 9 u M S 9 P X 0 R p c 3 R h b m N l L 1 N v d X J j Z S 5 7 Y m l h c 1 9 y a X N r L D E w f S Z x d W 9 0 O y w m c X V v d D t T Z W N 0 a W 9 u M S 9 P X 0 R p c 3 R h b m N l L 1 N v d X J j Z S 5 7 Y m l h c 1 9 z Y 2 F s Z S w x M X 0 m c X V v d D s s J n F 1 b 3 Q 7 U 2 V j d G l v b j E v T 1 9 E a X N 0 Y W 5 j Z S 9 T b 3 V y Y 2 U u e 2 J p Y X N f Z G l y Z W N 0 a W 9 u L D E y f S Z x d W 9 0 O y w m c X V v d D t T Z W N 0 a W 9 u M S 9 P X 0 R p c 3 R h b m N l L 1 N v d X J j Z S 5 7 c m F 0 a W 9 f e V 9 4 L D E 4 f S Z x d W 9 0 O y w m c X V v d D t T Z W N 0 a W 9 u M S 9 P X 0 R p c 3 R h b m N l L 1 N v d X J j Z S 5 7 b H N 2 X 3 B l c l 9 t a H p f d W s y L D I x f S Z x d W 9 0 O 1 0 s J n F 1 b 3 Q 7 U m V s Y X R p b 2 5 z a G l w S W 5 m b y Z x d W 9 0 O z p b X X 0 i I C 8 + P E V u d H J 5 I F R 5 c G U 9 I k F k Z G V k V G 9 E Y X R h T W 9 k Z W w i I F Z h b H V l P S J s M C I g L z 4 8 L 1 N 0 Y W J s Z U V u d H J p Z X M + P C 9 J d G V t P j x J d G V t P j x J d G V t T G 9 j Y X R p b 2 4 + P E l 0 Z W 1 U e X B l P k Z v c m 1 1 b G E 8 L 0 l 0 Z W 1 U e X B l P j x J d G V t U G F 0 a D 5 T Z W N 0 a W 9 u M S 9 P X 0 R p c 3 R h b m N l L 1 N v d X J j Z T w v S X R l b V B h d G g + P C 9 J d G V t T G 9 j Y X R p b 2 4 + P F N 0 Y W J s Z U V u d H J p Z X M g L z 4 8 L 0 l 0 Z W 0 + P E l 0 Z W 0 + P E l 0 Z W 1 M b 2 N h d G l v b j 4 8 S X R l b V R 5 c G U + R m 9 y b X V s Y T w v S X R l b V R 5 c G U + P E l 0 Z W 1 Q Y X R o P l N l Y 3 R p b 2 4 x L 0 9 f R G l z d G F u Y 2 U v U m V t b 3 Z l Z C U y M E 9 0 a G V y J T I w Q 2 9 s d W 1 u c z w v S X R l b V B h d G g + P C 9 J d G V t T G 9 j Y X R p b 2 4 + P F N 0 Y W J s Z U V u d H J p Z X M g L z 4 8 L 0 l 0 Z W 0 + P E l 0 Z W 0 + P E l 0 Z W 1 M b 2 N h d G l v b j 4 8 S X R l b V R 5 c G U + R m 9 y b X V s Y T w v S X R l b V R 5 c G U + P E l 0 Z W 1 Q Y X R o P l N l Y 3 R p b 2 4 x L 0 9 f U H J v e H l f c 2 F t c G x l 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5 h d m l n Y X R p b 2 5 T d G V w T m F t Z S I g V m F s d W U 9 I n N O Y X Z p Z 2 F 0 a W 9 u I i A v P j x F b n R y e S B U e X B l P S J O Y W 1 l V X B k Y X R l Z E F m d G V y R m l s b C I g V m F s d W U 9 I m w w I i A v P j x F b n R y e S B U e X B l P S J S Z X N 1 b H R U e X B l I i B W Y W x 1 Z T 0 i c 1 R h Y m x l I i A v P j x F b n R y e S B U e X B l P S J C d W Z m Z X J O Z X h 0 U m V m c m V z a C I g V m F s d W U 9 I m w x I i A v P j x F b n R y e S B U e X B l P S J G a W x s Z W R D b 2 1 w b G V 0 Z V J l c 3 V s d F R v V 2 9 y a 3 N o Z W V 0 I i B W Y W x 1 Z T 0 i b D E i I C 8 + P E V u d H J 5 I F R 5 c G U 9 I l J l Y 2 9 2 Z X J 5 V G F y Z 2 V 0 U 2 h l Z X Q i I F Z h b H V l P S J z T 1 9 Q c m 9 4 e V 9 z Y W 1 w b G U i I C 8 + P E V u d H J 5 I F R 5 c G U 9 I l J l Y 2 9 2 Z X J 5 V G F y Z 2 V 0 Q 2 9 s d W 1 u I i B W Y W x 1 Z T 0 i b D E i I C 8 + P E V u d H J 5 I F R 5 c G U 9 I l J l Y 2 9 2 Z X J 5 V G F y Z 2 V 0 U m 9 3 I i B W Y W x 1 Z T 0 i b D Q i I C 8 + P E V u d H J 5 I F R 5 c G U 9 I k Z p b G x U Y X J n Z X Q i I F Z h b H V l P S J z T 1 9 Q c m 9 4 e V 9 z Y W 1 w b G U i I C 8 + P E V u d H J 5 I F R 5 c G U 9 I l F 1 Z X J 5 S U Q i I F Z h b H V l P S J z M z M 3 N T Y w N D M t Y z h m Y S 0 0 O T c 2 L T k 1 Y 2 M t M 2 Z i N T F j M D R k Z W R j I i A v P j x F b n R y e S B U e X B l P S J G a W x s T G F z d F V w Z G F 0 Z W Q i I F Z h b H V l P S J k M j A y M S 0 w N y 0 y O V Q x N j o z N j o 1 O C 4 0 M z c 2 M j U 0 W i I g L z 4 8 R W 5 0 c n k g V H l w Z T 0 i R m l s b E N v b H V t b l R 5 c G V z I i B W Y W x 1 Z T 0 i c 0 F B Q U Z C U V U 9 I i A v P j x F b n R y e S B U e X B l P S J G a W x s R X J y b 3 J D b 3 V u d C I g V m F s d W U 9 I m w w I i A v P j x F b n R y e S B U e X B l P S J G a W x s Q 2 9 s d W 1 u T m F t Z X M i I F Z h b H V l P S J z W y Z x d W 9 0 O 0 x v d 2 V y I E J h b m Q m c X V v d D s s J n F 1 b 3 Q 7 V X B w Z X I g Q m F u Z C Z x d W 9 0 O y w m c X V v d D t M b 3 d l c i B C Y W 5 k I M K j b S B w Z X I g T U h 6 J n F 1 b 3 Q 7 L C Z x d W 9 0 O 1 V w c G V y I E J h b m Q g w q N t I H B l c i B N S H o m c X V v d D s s J n F 1 b 3 Q 7 U m F 0 a W 8 g V X B w Z X I g d G 8 g T G 9 3 Z X I m c X V v d D t d I i A v P j x F b n R y e S B U e X B l P S J G a W x s U 3 R h d H V z I i B W Y W x 1 Z T 0 i c 0 N v b X B s Z X R l I i A v P j x F b n R y e S B U e X B l P S J G a W x s R X J y b 3 J D b 2 R l I i B W Y W x 1 Z T 0 i c 1 V u a 2 5 v d 2 4 i I C 8 + P E V u d H J 5 I F R 5 c G U 9 I k Z p b G x D b 3 V u d C I g V m F s d W U 9 I m w y M S I g L z 4 8 R W 5 0 c n k g V H l w Z T 0 i U m V s Y X R p b 2 5 z a G l w S W 5 m b 0 N v b n R h a W 5 l c i I g V m F s d W U 9 I n N 7 J n F 1 b 3 Q 7 Y 2 9 s d W 1 u Q 2 9 1 b n Q m c X V v d D s 6 N S w m c X V v d D t r Z X l D b 2 x 1 b W 5 O Y W 1 l c y Z x d W 9 0 O z p b X S w m c X V v d D t x d W V y e V J l b G F 0 a W 9 u c 2 h p c H M m c X V v d D s 6 W 1 0 s J n F 1 b 3 Q 7 Y 2 9 s d W 1 u S W R l b n R p d G l l c y Z x d W 9 0 O z p b J n F 1 b 3 Q 7 U 2 V j d G l v b j E v T 1 9 Q c m 9 4 e V 9 z Y W 1 w b G U v U 2 9 1 c m N l L n t j b 2 1 w M S w x f S Z x d W 9 0 O y w m c X V v d D t T Z W N 0 a W 9 u M S 9 P X 1 B y b 3 h 5 X 3 N h b X B s Z S 9 T b 3 V y Y 2 U u e 2 N v b X A y L D J 9 J n F 1 b 3 Q 7 L C Z x d W 9 0 O 1 N l Y 3 R p b 2 4 x L 0 9 f U H J v e H l f c 2 F t c G x l L 0 N o Y W 5 n Z W Q g V H l w Z S 5 7 T G 9 3 Z X I g Q m F u Z C D C o 2 0 g c G V y I E 1 I e i w 2 f S Z x d W 9 0 O y w m c X V v d D t T Z W N 0 a W 9 u M S 9 P X 1 B y b 3 h 5 X 3 N h b X B s Z S 9 D a G F u Z 2 V k I F R 5 c G U x L n t V c H B l c i B C Y W 5 k I M K j b S B w Z X I g T U h 6 L D d 9 J n F 1 b 3 Q 7 L C Z x d W 9 0 O 1 N l Y 3 R p b 2 4 x L 0 9 f U H J v e H l f c 2 F t c G x l L 0 N o Y W 5 n Z W Q g V H l w Z T I u e 1 J h d G l v I F V w c G V y I H R v I E x v d 2 V y L D h 9 J n F 1 b 3 Q 7 X S w m c X V v d D t D b 2 x 1 b W 5 D b 3 V u d C Z x d W 9 0 O z o 1 L C Z x d W 9 0 O 0 t l e U N v b H V t b k 5 h b W V z J n F 1 b 3 Q 7 O l t d L C Z x d W 9 0 O 0 N v b H V t b k l k Z W 5 0 a X R p Z X M m c X V v d D s 6 W y Z x d W 9 0 O 1 N l Y 3 R p b 2 4 x L 0 9 f U H J v e H l f c 2 F t c G x l L 1 N v d X J j Z S 5 7 Y 2 9 t c D E s M X 0 m c X V v d D s s J n F 1 b 3 Q 7 U 2 V j d G l v b j E v T 1 9 Q c m 9 4 e V 9 z Y W 1 w b G U v U 2 9 1 c m N l L n t j b 2 1 w M i w y f S Z x d W 9 0 O y w m c X V v d D t T Z W N 0 a W 9 u M S 9 P X 1 B y b 3 h 5 X 3 N h b X B s Z S 9 D a G F u Z 2 V k I F R 5 c G U u e 0 x v d 2 V y I E J h b m Q g w q N t I H B l c i B N S H o s N n 0 m c X V v d D s s J n F 1 b 3 Q 7 U 2 V j d G l v b j E v T 1 9 Q c m 9 4 e V 9 z Y W 1 w b G U v Q 2 h h b m d l Z C B U e X B l M S 5 7 V X B w Z X I g Q m F u Z C D C o 2 0 g c G V y I E 1 I e i w 3 f S Z x d W 9 0 O y w m c X V v d D t T Z W N 0 a W 9 u M S 9 P X 1 B y b 3 h 5 X 3 N h b X B s Z S 9 D a G F u Z 2 V k I F R 5 c G U y L n t S Y X R p b y B V c H B l c i B 0 b y B M b 3 d l c i w 4 f S Z x d W 9 0 O 1 0 s J n F 1 b 3 Q 7 U m V s Y X R p b 2 5 z a G l w S W 5 m b y Z x d W 9 0 O z p b X X 0 i I C 8 + P E V u d H J 5 I F R 5 c G U 9 I k F k Z G V k V G 9 E Y X R h T W 9 k Z W w i I F Z h b H V l P S J s M C I g L z 4 8 L 1 N 0 Y W J s Z U V u d H J p Z X M + P C 9 J d G V t P j x J d G V t P j x J d G V t T G 9 j Y X R p b 2 4 + P E l 0 Z W 1 U e X B l P k Z v c m 1 1 b G E 8 L 0 l 0 Z W 1 U e X B l P j x J d G V t U G F 0 a D 5 T Z W N 0 a W 9 u M S 9 P X 1 B y b 3 h 5 X 3 N h b X B s Z S 9 T b 3 V y Y 2 U 8 L 0 l 0 Z W 1 Q Y X R o P j w v S X R l b U x v Y 2 F 0 a W 9 u P j x T d G F i b G V F b n R y a W V z I C 8 + P C 9 J d G V t P j x J d G V t P j x J d G V t T G 9 j Y X R p b 2 4 + P E l 0 Z W 1 U e X B l P k Z v c m 1 1 b G E 8 L 0 l 0 Z W 1 U e X B l P j x J d G V t U G F 0 a D 5 T Z W N 0 a W 9 u M S 9 P X 1 B y b 3 h 5 X 3 N h b X B s Z S 9 B Z G R l Z C U y M E N 1 c 3 R v b T w v S X R l b V B h d G g + P C 9 J d G V t T G 9 j Y X R p b 2 4 + P F N 0 Y W J s Z U V u d H J p Z X M g L z 4 8 L 0 l 0 Z W 0 + P E l 0 Z W 0 + P E l 0 Z W 1 M b 2 N h d G l v b j 4 8 S X R l b V R 5 c G U + R m 9 y b X V s Y T w v S X R l b V R 5 c G U + P E l 0 Z W 1 Q Y X R o P l N l Y 3 R p b 2 4 x L 0 9 f U H J v e H l f c 2 F t c G x l L 0 N o Y W 5 n Z W Q l M j B U e X B l P C 9 J d G V t U G F 0 a D 4 8 L 0 l 0 Z W 1 M b 2 N h d G l v b j 4 8 U 3 R h Y m x l R W 5 0 c m l l c y A v P j w v S X R l b T 4 8 S X R l b T 4 8 S X R l b U x v Y 2 F 0 a W 9 u P j x J d G V t V H l w Z T 5 G b 3 J t d W x h P C 9 J d G V t V H l w Z T 4 8 S X R l b V B h d G g + U 2 V j d G l v b j E v T 1 9 Q c m 9 4 e V 9 z Y W 1 w b G U v Q W R k Z W Q l M j B D d X N 0 b 2 0 x P C 9 J d G V t U G F 0 a D 4 8 L 0 l 0 Z W 1 M b 2 N h d G l v b j 4 8 U 3 R h Y m x l R W 5 0 c m l l c y A v P j w v S X R l b T 4 8 S X R l b T 4 8 S X R l b U x v Y 2 F 0 a W 9 u P j x J d G V t V H l w Z T 5 G b 3 J t d W x h P C 9 J d G V t V H l w Z T 4 8 S X R l b V B h d G g + U 2 V j d G l v b j E v T 1 9 Q c m 9 4 e V 9 z Y W 1 w b G U v Q 2 h h b m d l Z C U y M F R 5 c G U x P C 9 J d G V t U G F 0 a D 4 8 L 0 l 0 Z W 1 M b 2 N h d G l v b j 4 8 U 3 R h Y m x l R W 5 0 c m l l c y A v P j w v S X R l b T 4 8 S X R l b T 4 8 S X R l b U x v Y 2 F 0 a W 9 u P j x J d G V t V H l w Z T 5 G b 3 J t d W x h P C 9 J d G V t V H l w Z T 4 8 S X R l b V B h d G g + U 2 V j d G l v b j E v T 1 9 Q c m 9 4 e V 9 z Y W 1 w b G U v Q W R k Z W Q l M j B D d X N 0 b 2 0 y P C 9 J d G V t U G F 0 a D 4 8 L 0 l 0 Z W 1 M b 2 N h d G l v b j 4 8 U 3 R h Y m x l R W 5 0 c m l l c y A v P j w v S X R l b T 4 8 S X R l b T 4 8 S X R l b U x v Y 2 F 0 a W 9 u P j x J d G V t V H l w Z T 5 G b 3 J t d W x h P C 9 J d G V t V H l w Z T 4 8 S X R l b V B h d G g + U 2 V j d G l v b j E v T 1 9 Q c m 9 4 e V 9 z Y W 1 w b G U v Q 2 h h b m d l Z C U y M F R 5 c G U y P C 9 J d G V t U G F 0 a D 4 8 L 0 l 0 Z W 1 M b 2 N h d G l v b j 4 8 U 3 R h Y m x l R W 5 0 c m l l c y A v P j w v S X R l b T 4 8 S X R l b T 4 8 S X R l b U x v Y 2 F 0 a W 9 u P j x J d G V t V H l w Z T 5 G b 3 J t d W x h P C 9 J d G V t V H l w Z T 4 8 S X R l b V B h d G g + U 2 V j d G l v b j E v T 1 9 Q c m 9 4 e V 9 z Y W 1 w b G U v U m V t b 3 Z l Z C U y M E N v b H V t b n M 8 L 0 l 0 Z W 1 Q Y X R o P j w v S X R l b U x v Y 2 F 0 a W 9 u P j x T d G F i b G V F b n R y a W V z I C 8 + P C 9 J d G V t P j x J d G V t P j x J d G V t T G 9 j Y X R p b 2 4 + P E l 0 Z W 1 U e X B l P k Z v c m 1 1 b G E 8 L 0 l 0 Z W 1 U e X B l P j x J d G V t U G F 0 a D 5 T Z W N 0 a W 9 u M S 9 P X 1 B y b 3 h 5 X 3 N h b X B s Z S 9 S Z W 5 h b W V k J T I w Q 2 9 s d W 1 u c z w v S X R l b V B h d G g + P C 9 J d G V t T G 9 j Y X R p b 2 4 + P F N 0 Y W J s Z U V u d H J p Z X M g L z 4 8 L 0 l 0 Z W 0 + P E l 0 Z W 0 + P E l 0 Z W 1 M b 2 N h d G l v b j 4 8 S X R l b V R 5 c G U + R m 9 y b X V s Y T w v S X R l b V R 5 c G U + P E l 0 Z W 1 Q Y X R o P l N l Y 3 R p b 2 4 x L 0 N f R G l z d G F u Y 2 U 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l Z E N v b X B s Z X R l U m V z d W x 0 V G 9 X b 3 J r c 2 h l Z X Q i I F Z h b H V l P S J s M S I g L z 4 8 R W 5 0 c n k g V H l w Z T 0 i U m V j b 3 Z l c n l U Y X J n Z X R T a G V l d C I g V m F s d W U 9 I n N D X 0 R p c 3 R h b m N l I i A v P j x F b n R y e S B U e X B l P S J S Z W N v d m V y e V R h c m d l d E N v b H V t b i I g V m F s d W U 9 I m w x I i A v P j x F b n R y e S B U e X B l P S J S Z W N v d m V y e V R h c m d l d F J v d y I g V m F s d W U 9 I m w 0 I i A v P j x F b n R y e S B U e X B l P S J G a W x s V G F y Z 2 V 0 I i B W Y W x 1 Z T 0 i c 0 N f R G l z d G F u Y 2 U i I C 8 + P E V u d H J 5 I F R 5 c G U 9 I l F 1 Z X J 5 S U Q i I F Z h b H V l P S J z Z D U 5 O T M x Z D c t M D A 5 N C 0 0 O D V m L T g 3 M 2 I t M G V i M j N k M T M 4 Y W M 2 I i A v P j x F b n R y e S B U e X B l P S J G a W x s T G F z d F V w Z G F 0 Z W Q i I F Z h b H V l P S J k M j A y M S 0 w N y 0 y O V Q x N j o z N j o 1 M y 4 4 M D Q 0 M j U 0 W i I g L z 4 8 R W 5 0 c n k g V H l w Z T 0 i R m l s b E N v b H V t b l R 5 c G V z I i B W Y W x 1 Z T 0 i c 0 J n Q U F B Q V l H Q m d Z R 0 F 3 Q U F B Q T 0 9 I i A v P j x F b n R y e S B U e X B l P S J G a W x s R X J y b 3 J D b 3 V u d C I g V m F s d W U 9 I m w w I i A v P j x F b n R y e S B U e X B l P S J G a W x s Q 2 9 s d W 1 u T m F t Z X M i I F Z h b H V l P S J z W y Z x d W 9 0 O 2 J l b m N o b W F y a 1 9 p Z C Z x d W 9 0 O y w m c X V v d D t 0 Y X J n Z X R f Y m F u Z C Z x d W 9 0 O y w m c X V v d D t j b 2 1 w X 2 J h b m Q m c X V v d D s s J n F 1 b 3 Q 7 Y 2 9 1 b n R y e S Z x d W 9 0 O y w m c X V v d D t p b n R f Y 2 9 t c D E m c X V v d D s s J n F 1 b 3 Q 7 a W 5 0 X 2 N v b X A y J n F 1 b 3 Q 7 L C Z x d W 9 0 O 2 l u d F 9 j b 2 1 w M y Z x d W 9 0 O y w m c X V v d D t 1 a 1 9 j b 2 1 w M S Z x d W 9 0 O y w m c X V v d D t 1 a 1 9 j b 2 1 w M y Z x d W 9 0 O y w m c X V v d D t 0 a W V y J n F 1 b 3 Q 7 L C Z x d W 9 0 O 2 J p Y X N f c m l z a y Z x d W 9 0 O y w m c X V v d D t i a W F z X 3 N j Y W x l J n F 1 b 3 Q 7 L C Z x d W 9 0 O 2 J p Y X N f Z G l y Z W N 0 a W 9 u J n F 1 b 3 Q 7 X S I g L z 4 8 R W 5 0 c n k g V H l w Z T 0 i R m l s b F N 0 Y X R 1 c y I g V m F s d W U 9 I n N D b 2 1 w b G V 0 Z S I g L z 4 8 R W 5 0 c n k g V H l w Z T 0 i R m l s b E V y c m 9 y Q 2 9 k Z S I g V m F s d W U 9 I n N V b m t u b 3 d u I i A v P j x F b n R y e S B U e X B l P S J G a W x s Q 2 9 1 b n Q i I F Z h b H V l P S J s N D I i I C 8 + P E V u d H J 5 I F R 5 c G U 9 I l J l b G F 0 a W 9 u c 2 h p c E l u Z m 9 D b 2 5 0 Y W l u Z X I i I F Z h b H V l P S J z e y Z x d W 9 0 O 2 N v b H V t b k N v d W 5 0 J n F 1 b 3 Q 7 O j E z L C Z x d W 9 0 O 2 t l e U N v b H V t b k 5 h b W V z J n F 1 b 3 Q 7 O l t d L C Z x d W 9 0 O 3 F 1 Z X J 5 U m V s Y X R p b 2 5 z a G l w c y Z x d W 9 0 O z p b X S w m c X V v d D t j b 2 x 1 b W 5 J Z G V u d G l 0 a W V z J n F 1 b 3 Q 7 O l s m c X V v d D t T Z W N 0 a W 9 u M S 9 D X 0 R p c 3 R h b m N l L 0 N o Y W 5 n Z W Q g V H l w Z S 5 7 Y m V u Y 2 h t Y X J r X 2 l k L D B 9 J n F 1 b 3 Q 7 L C Z x d W 9 0 O 1 N l Y 3 R p b 2 4 x L 0 N f R G l z d G F u Y 2 U v U 2 9 1 c m N l L n t 0 Y X J n Z X R f Y m F u Z C w x f S Z x d W 9 0 O y w m c X V v d D t T Z W N 0 a W 9 u M S 9 D X 0 R p c 3 R h b m N l L 1 N v d X J j Z S 5 7 Y 2 9 t c F 9 i Y W 5 k L D J 9 J n F 1 b 3 Q 7 L C Z x d W 9 0 O 1 N l Y 3 R p b 2 4 x L 0 N f R G l z d G F u Y 2 U v U 2 9 1 c m N l L n t j b 3 V u d H J 5 L D N 9 J n F 1 b 3 Q 7 L C Z x d W 9 0 O 1 N l Y 3 R p b 2 4 x L 0 N f R G l z d G F u Y 2 U v Q 2 h h b m d l Z C B U e X B l L n t p b n R f Y 2 9 t c D E s N H 0 m c X V v d D s s J n F 1 b 3 Q 7 U 2 V j d G l v b j E v Q 1 9 E a X N 0 Y W 5 j Z S 9 D a G F u Z 2 V k I F R 5 c G U u e 2 l u d F 9 j b 2 1 w M i w 1 f S Z x d W 9 0 O y w m c X V v d D t T Z W N 0 a W 9 u M S 9 D X 0 R p c 3 R h b m N l L 0 N o Y W 5 n Z W Q g V H l w Z S 5 7 a W 5 0 X 2 N v b X A z L D Z 9 J n F 1 b 3 Q 7 L C Z x d W 9 0 O 1 N l Y 3 R p b 2 4 x L 0 N f R G l z d G F u Y 2 U v Q 2 h h b m d l Z C B U e X B l L n t 1 a 1 9 j b 2 1 w M S w 3 f S Z x d W 9 0 O y w m c X V v d D t T Z W N 0 a W 9 u M S 9 D X 0 R p c 3 R h b m N l L 0 N o Y W 5 n Z W Q g V H l w Z S 5 7 d W t f Y 2 9 t c D M s O H 0 m c X V v d D s s J n F 1 b 3 Q 7 U 2 V j d G l v b j E v Q 1 9 E a X N 0 Y W 5 j Z S 9 D a G F u Z 2 V k I F R 5 c G U u e 3 R p Z X I s O X 0 m c X V v d D s s J n F 1 b 3 Q 7 U 2 V j d G l v b j E v Q 1 9 E a X N 0 Y W 5 j Z S 9 T b 3 V y Y 2 U u e 2 J p Y X N f c m l z a y w x M H 0 m c X V v d D s s J n F 1 b 3 Q 7 U 2 V j d G l v b j E v Q 1 9 E a X N 0 Y W 5 j Z S 9 T b 3 V y Y 2 U u e 2 J p Y X N f c 2 N h b G U s M T F 9 J n F 1 b 3 Q 7 L C Z x d W 9 0 O 1 N l Y 3 R p b 2 4 x L 0 N f R G l z d G F u Y 2 U v U 2 9 1 c m N l L n t i a W F z X 2 R p c m V j d G l v b i w x M n 0 m c X V v d D t d L C Z x d W 9 0 O 0 N v b H V t b k N v d W 5 0 J n F 1 b 3 Q 7 O j E z L C Z x d W 9 0 O 0 t l e U N v b H V t b k 5 h b W V z J n F 1 b 3 Q 7 O l t d L C Z x d W 9 0 O 0 N v b H V t b k l k Z W 5 0 a X R p Z X M m c X V v d D s 6 W y Z x d W 9 0 O 1 N l Y 3 R p b 2 4 x L 0 N f R G l z d G F u Y 2 U v Q 2 h h b m d l Z C B U e X B l L n t i Z W 5 j a G 1 h c m t f a W Q s M H 0 m c X V v d D s s J n F 1 b 3 Q 7 U 2 V j d G l v b j E v Q 1 9 E a X N 0 Y W 5 j Z S 9 T b 3 V y Y 2 U u e 3 R h c m d l d F 9 i Y W 5 k L D F 9 J n F 1 b 3 Q 7 L C Z x d W 9 0 O 1 N l Y 3 R p b 2 4 x L 0 N f R G l z d G F u Y 2 U v U 2 9 1 c m N l L n t j b 2 1 w X 2 J h b m Q s M n 0 m c X V v d D s s J n F 1 b 3 Q 7 U 2 V j d G l v b j E v Q 1 9 E a X N 0 Y W 5 j Z S 9 T b 3 V y Y 2 U u e 2 N v d W 5 0 c n k s M 3 0 m c X V v d D s s J n F 1 b 3 Q 7 U 2 V j d G l v b j E v Q 1 9 E a X N 0 Y W 5 j Z S 9 D a G F u Z 2 V k I F R 5 c G U u e 2 l u d F 9 j b 2 1 w M S w 0 f S Z x d W 9 0 O y w m c X V v d D t T Z W N 0 a W 9 u M S 9 D X 0 R p c 3 R h b m N l L 0 N o Y W 5 n Z W Q g V H l w Z S 5 7 a W 5 0 X 2 N v b X A y L D V 9 J n F 1 b 3 Q 7 L C Z x d W 9 0 O 1 N l Y 3 R p b 2 4 x L 0 N f R G l z d G F u Y 2 U v Q 2 h h b m d l Z C B U e X B l L n t p b n R f Y 2 9 t c D M s N n 0 m c X V v d D s s J n F 1 b 3 Q 7 U 2 V j d G l v b j E v Q 1 9 E a X N 0 Y W 5 j Z S 9 D a G F u Z 2 V k I F R 5 c G U u e 3 V r X 2 N v b X A x L D d 9 J n F 1 b 3 Q 7 L C Z x d W 9 0 O 1 N l Y 3 R p b 2 4 x L 0 N f R G l z d G F u Y 2 U v Q 2 h h b m d l Z C B U e X B l L n t 1 a 1 9 j b 2 1 w M y w 4 f S Z x d W 9 0 O y w m c X V v d D t T Z W N 0 a W 9 u M S 9 D X 0 R p c 3 R h b m N l L 0 N o Y W 5 n Z W Q g V H l w Z S 5 7 d G l l c i w 5 f S Z x d W 9 0 O y w m c X V v d D t T Z W N 0 a W 9 u M S 9 D X 0 R p c 3 R h b m N l L 1 N v d X J j Z S 5 7 Y m l h c 1 9 y a X N r L D E w f S Z x d W 9 0 O y w m c X V v d D t T Z W N 0 a W 9 u M S 9 D X 0 R p c 3 R h b m N l L 1 N v d X J j Z S 5 7 Y m l h c 1 9 z Y 2 F s Z S w x M X 0 m c X V v d D s s J n F 1 b 3 Q 7 U 2 V j d G l v b j E v Q 1 9 E a X N 0 Y W 5 j Z S 9 T b 3 V y Y 2 U u e 2 J p Y X N f Z G l y Z W N 0 a W 9 u L D E y f S Z x d W 9 0 O 1 0 s J n F 1 b 3 Q 7 U m V s Y X R p b 2 5 z a G l w S W 5 m b y Z x d W 9 0 O z p b X X 0 i I C 8 + P E V u d H J 5 I F R 5 c G U 9 I k F k Z G V k V G 9 E Y X R h T W 9 k Z W w i I F Z h b H V l P S J s M C I g L z 4 8 L 1 N 0 Y W J s Z U V u d H J p Z X M + P C 9 J d G V t P j x J d G V t P j x J d G V t T G 9 j Y X R p b 2 4 + P E l 0 Z W 1 U e X B l P k Z v c m 1 1 b G E 8 L 0 l 0 Z W 1 U e X B l P j x J d G V t U G F 0 a D 5 T Z W N 0 a W 9 u M S 9 D X 0 R p c 3 R h b m N l L 1 N v d X J j Z T w v S X R l b V B h d G g + P C 9 J d G V t T G 9 j Y X R p b 2 4 + P F N 0 Y W J s Z U V u d H J p Z X M g L z 4 8 L 0 l 0 Z W 0 + P E l 0 Z W 0 + P E l 0 Z W 1 M b 2 N h d G l v b j 4 8 S X R l b V R 5 c G U + R m 9 y b X V s Y T w v S X R l b V R 5 c G U + P E l 0 Z W 1 Q Y X R o P l N l Y 3 R p b 2 4 x L 0 N f R G l z d G F u Y 2 U v Q 2 h h b m d l Z C U y M F R 5 c G U 8 L 0 l 0 Z W 1 Q Y X R o P j w v S X R l b U x v Y 2 F 0 a W 9 u P j x T d G F i b G V F b n R y a W V z I C 8 + P C 9 J d G V t P j x J d G V t P j x J d G V t T G 9 j Y X R p b 2 4 + P E l 0 Z W 1 U e X B l P k Z v c m 1 1 b G E 8 L 0 l 0 Z W 1 U e X B l P j x J d G V t U G F 0 a D 5 T Z W N 0 a W 9 u M S 9 D X 0 R p c 3 R h b m N l L 1 J l b W 9 2 Z W Q l M j B C b G F u a y U y M F J v d 3 M 8 L 0 l 0 Z W 1 Q Y X R o P j w v S X R l b U x v Y 2 F 0 a W 9 u P j x T d G F i b G V F b n R y a W V z I C 8 + P C 9 J d G V t P j x J d G V t P j x J d G V t T G 9 j Y X R p b 2 4 + P E l 0 Z W 1 U e X B l P k Z v c m 1 1 b G E 8 L 0 l 0 Z W 1 U e X B l P j x J d G V t U G F 0 a D 5 T Z W N 0 a W 9 u M S 9 D X 0 R p c 3 R h b m N l L 1 N v c n R l Z C U y M F J v d 3 M 8 L 0 l 0 Z W 1 Q Y X R o P j w v S X R l b U x v Y 2 F 0 a W 9 u P j x T d G F i b G V F b n R y a W V z I C 8 + P C 9 J d G V t P j x J d G V t P j x J d G V t T G 9 j Y X R p b 2 4 + P E l 0 Z W 1 U e X B l P k Z v c m 1 1 b G E 8 L 0 l 0 Z W 1 U e X B l P j x J d G V t U G F 0 a D 5 T Z W N 0 a W 9 u M S 9 D X 1 V L X 0 N v R F 9 w c m V 0 Y X h f b m 9 t L 0 Z p b H R l c m V k J T I w U m 9 3 c z w v S X R l b V B h d G g + P C 9 J d G V t T G 9 j Y X R p b 2 4 + P F N 0 Y W J s Z U V u d H J p Z X M g L z 4 8 L 0 l 0 Z W 0 + P E l 0 Z W 0 + P E l 0 Z W 1 M b 2 N h d G l v b j 4 8 S X R l b V R 5 c G U + R m 9 y b X V s Y T w v S X R l b V R 5 c G U + P E l 0 Z W 1 Q Y X R o P l N l Y 3 R p b 2 4 x L 0 N f V U t f Q 2 9 E X 3 B y Z X R h e F 9 u b 2 0 v U m V t b 3 Z l Z C U y M E 9 0 a G V y J T I w Q 2 9 s d W 1 u c z w v S X R l b V B h d G g + P C 9 J d G V t T G 9 j Y X R p b 2 4 + P F N 0 Y W J s Z U V u d H J p Z X M g L z 4 8 L 0 l 0 Z W 0 + P E l 0 Z W 0 + P E l 0 Z W 1 M b 2 N h d G l v b j 4 8 S X R l b V R 5 c G U + R m 9 y b X V s Y T w v S X R l b V R 5 c G U + P E l 0 Z W 1 Q Y X R o P l N l Y 3 R p b 2 4 x L 0 N f V U t f Q 2 9 E X 3 B y Z X R h e F 9 u b 2 0 v T W V y Z 2 V k J T I w U X V l c m l l c z w v S X R l b V B h d G g + P C 9 J d G V t T G 9 j Y X R p b 2 4 + P F N 0 Y W J s Z U V u d H J p Z X M g L z 4 8 L 0 l 0 Z W 0 + P E l 0 Z W 0 + P E l 0 Z W 1 M b 2 N h d G l v b j 4 8 S X R l b V R 5 c G U + R m 9 y b X V s Y T w v S X R l b V R 5 c G U + P E l 0 Z W 1 Q Y X R o P l N l Y 3 R p b 2 4 x L 0 N f V U t f Q 2 9 E X 3 B y Z X R h e F 9 u b 2 0 v R X h w Y W 5 k Z W Q l M j B J X 1 l l Y X I 8 L 0 l 0 Z W 1 Q Y X R o P j w v S X R l b U x v Y 2 F 0 a W 9 u P j x T d G F i b G V F b n R y a W V z I C 8 + P C 9 J d G V t P j x J d G V t P j x J d G V t T G 9 j Y X R p b 2 4 + P E l 0 Z W 1 U e X B l P k Z v c m 1 1 b G E 8 L 0 l 0 Z W 1 U e X B l P j x J d G V t U G F 0 a D 5 T Z W N 0 a W 9 u M S 9 D X 1 V L X 0 N v R F 9 w c m V 0 Y X h f b m 9 t L 1 J l b W 9 2 Z W Q l M j B D b 2 x 1 b W 5 z P C 9 J d G V t U G F 0 a D 4 8 L 0 l 0 Z W 1 M b 2 N h d G l v b j 4 8 U 3 R h Y m x l R W 5 0 c m l l c y A v P j w v S X R l b T 4 8 S X R l b T 4 8 S X R l b U x v Y 2 F 0 a W 9 u P j x J d G V t V H l w Z T 5 G b 3 J t d W x h P C 9 J d G V t V H l w Z T 4 8 S X R l b V B h d G g + U 2 V j d G l v b j E v Q 1 9 V S 1 9 D b 0 R f c H J l d G F 4 X 2 5 v b S 9 S Z W 5 h b W V k J T I w Q 2 9 s d W 1 u c z w v S X R l b V B h d G g + P C 9 J d G V t T G 9 j Y X R p b 2 4 + P F N 0 Y W J s Z U V u d H J p Z X M g L z 4 8 L 0 l 0 Z W 0 + P E l 0 Z W 0 + P E l 0 Z W 1 M b 2 N h d G l v b j 4 8 S X R l b V R 5 c G U + R m 9 y b X V s Y T w v S X R l b V R 5 c G U + P E l 0 Z W 1 Q Y X R o P l N l Y 3 R p b 2 4 x L 0 N f V U t f Q 2 9 E X 3 B y Z X R h e F 9 u b 2 0 v U m V v c m R l c m V k J T I w Q 2 9 s d W 1 u c z w v S X R l b V B h d G g + P C 9 J d G V t T G 9 j Y X R p b 2 4 + P F N 0 Y W J s Z U V u d H J p Z X M g L z 4 8 L 0 l 0 Z W 0 + P E l 0 Z W 0 + P E l 0 Z W 1 M b 2 N h d G l v b j 4 8 S X R l b V R 5 c G U + R m 9 y b X V s Y T w v S X R l b V R 5 c G U + P E l 0 Z W 1 Q Y X R o P l N l Y 3 R p b 2 4 x L 0 N f V U t f Q 2 9 E X 3 B y Z X R h e F 9 u b 2 0 v U 2 9 y d G V k J T I w U m 9 3 c z w v S X R l b V B h d G g + P C 9 J d G V t T G 9 j Y X R p b 2 4 + P F N 0 Y W J s Z U V u d H J p Z X M g L z 4 8 L 0 l 0 Z W 0 + P E l 0 Z W 0 + P E l 0 Z W 1 M b 2 N h d G l v b j 4 8 S X R l b V R 5 c G U + R m 9 y b X V s Y T w v S X R l b V R 5 c G U + P E l 0 Z W 1 Q Y X R o P l N l Y 3 R p b 2 4 x L 0 N f V U t f Q 2 9 E X 3 B y Z X R h e F 9 u b 2 0 v R m l s b G V k J T I w R G 9 3 b j w v S X R l b V B h d G g + P C 9 J d G V t T G 9 j Y X R p b 2 4 + P F N 0 Y W J s Z U V u d H J p Z X M g L z 4 8 L 0 l 0 Z W 0 + P E l 0 Z W 0 + P E l 0 Z W 1 M b 2 N h d G l v b j 4 8 S X R l b V R 5 c G U + R m 9 y b X V s Y T w v S X R l b V R 5 c G U + P E l 0 Z W 1 Q Y X R o P l N l Y 3 R p b 2 4 x L 0 N f V U t f Q 2 9 E X 3 B y Z X R h e F 9 u b 2 0 v R m l s b G V k J T I w V X A 8 L 0 l 0 Z W 1 Q Y X R o P j w v S X R l b U x v Y 2 F 0 a W 9 u P j x T d G F i b G V F b n R y a W V z I C 8 + P C 9 J d G V t P j x J d G V t P j x J d G V t T G 9 j Y X R p b 2 4 + P E l 0 Z W 1 U e X B l P k Z v c m 1 1 b G E 8 L 0 l 0 Z W 1 U e X B l P j x J d G V t U G F 0 a D 5 T Z W N 0 a W 9 u M S 9 D X 1 V L X 1 d B Q 0 N f c G 9 z d H R h e F 9 y Z W F s L 0 Z p b H R l c m V k J T I w U m 9 3 c z w v S X R l b V B h d G g + P C 9 J d G V t T G 9 j Y X R p b 2 4 + P F N 0 Y W J s Z U V u d H J p Z X M g L z 4 8 L 0 l 0 Z W 0 + P E l 0 Z W 0 + P E l 0 Z W 1 M b 2 N h d G l v b j 4 8 S X R l b V R 5 c G U + R m 9 y b X V s Y T w v S X R l b V R 5 c G U + P E l 0 Z W 1 Q Y X R o P l N l Y 3 R p b 2 4 x L 0 N f V U t f V 0 F D Q 1 9 w b 3 N 0 d G F 4 X 3 J l Y W w v U m V t b 3 Z l Z C U y M E 9 0 a G V y J T I w Q 2 9 s d W 1 u c z w v S X R l b V B h d G g + P C 9 J d G V t T G 9 j Y X R p b 2 4 + P F N 0 Y W J s Z U V u d H J p Z X M g L z 4 8 L 0 l 0 Z W 0 + P E l 0 Z W 0 + P E l 0 Z W 1 M b 2 N h d G l v b j 4 8 S X R l b V R 5 c G U + R m 9 y b X V s Y T w v S X R l b V R 5 c G U + P E l 0 Z W 1 Q Y X R o P l N l Y 3 R p b 2 4 x L 0 N f V U t f V 0 F D Q 1 9 w b 3 N 0 d G F 4 X 3 J l Y W w v T W V y Z 2 V k J T I w U X V l c m l l c z w v S X R l b V B h d G g + P C 9 J d G V t T G 9 j Y X R p b 2 4 + P F N 0 Y W J s Z U V u d H J p Z X M g L z 4 8 L 0 l 0 Z W 0 + P E l 0 Z W 0 + P E l 0 Z W 1 M b 2 N h d G l v b j 4 8 S X R l b V R 5 c G U + R m 9 y b X V s Y T w v S X R l b V R 5 c G U + P E l 0 Z W 1 Q Y X R o P l N l Y 3 R p b 2 4 x L 0 N f V U t f V 0 F D Q 1 9 w b 3 N 0 d G F 4 X 3 J l Y W w v R X h w Y W 5 k Z W Q l M j B J X 1 l l Y X I 8 L 0 l 0 Z W 1 Q Y X R o P j w v S X R l b U x v Y 2 F 0 a W 9 u P j x T d G F i b G V F b n R y a W V z I C 8 + P C 9 J d G V t P j x J d G V t P j x J d G V t T G 9 j Y X R p b 2 4 + P E l 0 Z W 1 U e X B l P k Z v c m 1 1 b G E 8 L 0 l 0 Z W 1 U e X B l P j x J d G V t U G F 0 a D 5 T Z W N 0 a W 9 u M S 9 D X 1 V L X 1 d B Q 0 N f c G 9 z d H R h e F 9 y Z W F s L 1 J l b W 9 2 Z W Q l M j B D b 2 x 1 b W 5 z P C 9 J d G V t U G F 0 a D 4 8 L 0 l 0 Z W 1 M b 2 N h d G l v b j 4 8 U 3 R h Y m x l R W 5 0 c m l l c y A v P j w v S X R l b T 4 8 S X R l b T 4 8 S X R l b U x v Y 2 F 0 a W 9 u P j x J d G V t V H l w Z T 5 G b 3 J t d W x h P C 9 J d G V t V H l w Z T 4 8 S X R l b V B h d G g + U 2 V j d G l v b j E v Q 1 9 V S 1 9 X Q U N D X 3 B v c 3 R 0 Y X h f c m V h b C 9 S Z W 5 h b W V k J T I w Q 2 9 s d W 1 u c z w v S X R l b V B h d G g + P C 9 J d G V t T G 9 j Y X R p b 2 4 + P F N 0 Y W J s Z U V u d H J p Z X M g L z 4 8 L 0 l 0 Z W 0 + P E l 0 Z W 0 + P E l 0 Z W 1 M b 2 N h d G l v b j 4 8 S X R l b V R 5 c G U + R m 9 y b X V s Y T w v S X R l b V R 5 c G U + P E l 0 Z W 1 Q Y X R o P l N l Y 3 R p b 2 4 x L 0 N f V U t f V 0 F D Q 1 9 w b 3 N 0 d G F 4 X 3 J l Y W w v U m V v c m R l c m V k J T I w Q 2 9 s d W 1 u c z w v S X R l b V B h d G g + P C 9 J d G V t T G 9 j Y X R p b 2 4 + P F N 0 Y W J s Z U V u d H J p Z X M g L z 4 8 L 0 l 0 Z W 0 + P E l 0 Z W 0 + P E l 0 Z W 1 M b 2 N h d G l v b j 4 8 S X R l b V R 5 c G U + R m 9 y b X V s Y T w v S X R l b V R 5 c G U + P E l 0 Z W 1 Q Y X R o P l N l Y 3 R p b 2 4 x L 0 N f V U t f V 0 F D Q 1 9 w b 3 N 0 d G F 4 X 3 J l Y W w v U 2 9 y d G V k J T I w U m 9 3 c z w v S X R l b V B h d G g + P C 9 J d G V t T G 9 j Y X R p b 2 4 + P F N 0 Y W J s Z U V u d H J p Z X M g L z 4 8 L 0 l 0 Z W 0 + P E l 0 Z W 0 + P E l 0 Z W 1 M b 2 N h d G l v b j 4 8 S X R l b V R 5 c G U + R m 9 y b X V s Y T w v S X R l b V R 5 c G U + P E l 0 Z W 1 Q Y X R o P l N l Y 3 R p b 2 4 x L 0 N f V U t f V 0 F D Q 1 9 w b 3 N 0 d G F 4 X 3 J l Y W w v R m l s b G V k J T I w R G 9 3 b j w v S X R l b V B h d G g + P C 9 J d G V t T G 9 j Y X R p b 2 4 + P F N 0 Y W J s Z U V u d H J p Z X M g L z 4 8 L 0 l 0 Z W 0 + P E l 0 Z W 0 + P E l 0 Z W 1 M b 2 N h d G l v b j 4 8 S X R l b V R 5 c G U + R m 9 y b X V s Y T w v S X R l b V R 5 c G U + P E l 0 Z W 1 Q Y X R o P l N l Y 3 R p b 2 4 x L 0 N f V U t f V 0 F D Q 1 9 w b 3 N 0 d G F 4 X 3 J l Y W w v R m l s b G V k J T I w V X A 8 L 0 l 0 Z W 1 Q Y X R o P j w v S X R l b U x v Y 2 F 0 a W 9 u P j x T d G F i b G V F b n R y a W V z I C 8 + P C 9 J d G V t P j x J d G V t P j x J d G V t T G 9 j Y X R p b 2 4 + P E l 0 Z W 1 U e X B l P k Z v c m 1 1 b G E 8 L 0 l 0 Z W 1 U e X B l P j x J d G V t U G F 0 a D 5 T Z W N 0 a W 9 u M S 9 D X 1 V L R X F f Z G V 0 Y W l s L 0 1 l c m d l Z C U y M F F 1 Z X J p Z X M y P C 9 J d G V t U G F 0 a D 4 8 L 0 l 0 Z W 1 M b 2 N h d G l v b j 4 8 U 3 R h Y m x l R W 5 0 c m l l c y A v P j w v S X R l b T 4 8 S X R l b T 4 8 S X R l b U x v Y 2 F 0 a W 9 u P j x J d G V t V H l w Z T 5 G b 3 J t d W x h P C 9 J d G V t V H l w Z T 4 8 S X R l b V B h d G g + U 2 V j d G l v b j E v Q 1 9 V S 0 V x X 2 R l d G F p b C 9 F e H B h b m R l Z C U y M E N f Q 2 9 E X 3 B y Z X R h e F 9 u b 2 0 8 L 0 l 0 Z W 1 Q Y X R o P j w v S X R l b U x v Y 2 F 0 a W 9 u P j x T d G F i b G V F b n R y a W V z I C 8 + P C 9 J d G V t P j x J d G V t P j x J d G V t T G 9 j Y X R p b 2 4 + P E l 0 Z W 1 U e X B l P k Z v c m 1 1 b G E 8 L 0 l 0 Z W 1 U e X B l P j x J d G V t U G F 0 a D 5 T Z W N 0 a W 9 u M S 9 D X 1 V L R X F f Z G V 0 Y W l s L 0 1 l c m d l Z C U y M F F 1 Z X J p Z X M z P C 9 J d G V t U G F 0 a D 4 8 L 0 l 0 Z W 1 M b 2 N h d G l v b j 4 8 U 3 R h Y m x l R W 5 0 c m l l c y A v P j w v S X R l b T 4 8 S X R l b T 4 8 S X R l b U x v Y 2 F 0 a W 9 u P j x J d G V t V H l w Z T 5 G b 3 J t d W x h P C 9 J d G V t V H l w Z T 4 8 S X R l b V B h d G g + U 2 V j d G l v b j E v Q 1 9 V S 0 V x X 2 R l d G F p b C 9 F e H B h b m R l Z C U y M E N f V 0 F D Q 1 9 w b 3 N 0 d G F 4 X 3 J l Y W w 8 L 0 l 0 Z W 1 Q Y X R o P j w v S X R l b U x v Y 2 F 0 a W 9 u P j x T d G F i b G V F b n R y a W V z I C 8 + P C 9 J d G V t P j x J d G V t P j x J d G V t T G 9 j Y X R p b 2 4 + P E l 0 Z W 1 U e X B l P k Z v c m 1 1 b G E 8 L 0 l 0 Z W 1 U e X B l P j x J d G V t U G F 0 a D 5 T Z W N 0 a W 9 u M S 9 D X 1 V L R X F f Z G V 0 Y W l s L 0 F k Z G V k J T I w Q 3 V z d G 9 t M T w v S X R l b V B h d G g + P C 9 J d G V t T G 9 j Y X R p b 2 4 + P F N 0 Y W J s Z U V u d H J p Z X M g L z 4 8 L 0 l 0 Z W 0 + P E l 0 Z W 0 + P E l 0 Z W 1 M b 2 N h d G l v b j 4 8 S X R l b V R 5 c G U + R m 9 y b X V s Y T w v S X R l b V R 5 c G U + P E l 0 Z W 1 Q Y X R o P l N l Y 3 R p b 2 4 x L 0 N f V U t F c V 9 k Z X R h a W w v Q W R k Z W Q l M j B D d X N 0 b 2 0 y P C 9 J d G V t U G F 0 a D 4 8 L 0 l 0 Z W 1 M b 2 N h d G l v b j 4 8 U 3 R h Y m x l R W 5 0 c m l l c y A v P j w v S X R l b T 4 8 S X R l b T 4 8 S X R l b U x v Y 2 F 0 a W 9 u P j x J d G V t V H l w Z T 5 G b 3 J t d W x h P C 9 J d G V t V H l w Z T 4 8 S X R l b V B h d G g + U 2 V j d G l v b j E v Q 1 9 V S 0 V x X 2 R l d G F p b C 9 D a G F u Z 2 V k J T I w V H l w Z T E 8 L 0 l 0 Z W 1 Q Y X R o P j w v S X R l b U x v Y 2 F 0 a W 9 u P j x T d G F i b G V F b n R y a W V z I C 8 + P C 9 J d G V t P j x J d G V t P j x J d G V t T G 9 j Y X R p b 2 4 + P E l 0 Z W 1 U e X B l P k Z v c m 1 1 b G E 8 L 0 l 0 Z W 1 U e X B l P j x J d G V t U G F 0 a D 5 T Z W N 0 a W 9 u M S 9 D X 1 V L R X F f Z G V 0 Y W l s L 0 N o Y W 5 n Z W Q l M j B U e X B l M j w v S X R l b V B h d G g + P C 9 J d G V t T G 9 j Y X R p b 2 4 + P F N 0 Y W J s Z U V u d H J p Z X M g L z 4 8 L 0 l 0 Z W 0 + P E l 0 Z W 0 + P E l 0 Z W 1 M b 2 N h d G l v b j 4 8 S X R l b V R 5 c G U + R m 9 y b X V s Y T w v S X R l b V R 5 c G U + P E l 0 Z W 1 Q Y X R o P l N l Y 3 R p b 2 4 x L 0 N f V U t F c V 9 k Z X R h a W w v U m V t b 3 Z l Z C U y M E N v b H V t b n M 8 L 0 l 0 Z W 1 Q Y X R o P j w v S X R l b U x v Y 2 F 0 a W 9 u P j x T d G F i b G V F b n R y a W V z I C 8 + P C 9 J d G V t P j x J d G V t P j x J d G V t T G 9 j Y X R p b 2 4 + P E l 0 Z W 1 U e X B l P k Z v c m 1 1 b G E 8 L 0 l 0 Z W 1 U e X B l P j x J d G V t U G F 0 a D 5 T Z W N 0 a W 9 u M S 9 D X 1 V L R X F f Z G V 0 Y W l s L 0 F k Z G V k J T I w Q 3 V z d G 9 t M z w v S X R l b V B h d G g + P C 9 J d G V t T G 9 j Y X R p b 2 4 + P F N 0 Y W J s Z U V u d H J p Z X M g L z 4 8 L 0 l 0 Z W 0 + P E l 0 Z W 0 + P E l 0 Z W 1 M b 2 N h d G l v b j 4 8 S X R l b V R 5 c G U + R m 9 y b X V s Y T w v S X R l b V R 5 c G U + P E l 0 Z W 1 Q Y X R o P l N l Y 3 R p b 2 4 x L 0 N f V U t F c V 9 k Z X R h a W w v Q 2 h h b m d l Z C U y M F R 5 c G U z P C 9 J d G V t U G F 0 a D 4 8 L 0 l 0 Z W 1 M b 2 N h d G l v b j 4 8 U 3 R h Y m x l R W 5 0 c m l l c y A v P j w v S X R l b T 4 8 S X R l b T 4 8 S X R l b U x v Y 2 F 0 a W 9 u P j x J d G V t V H l w Z T 5 G b 3 J t d W x h P C 9 J d G V t V H l w Z T 4 8 S X R l b V B h d G g + U 2 V j d G l v b j E v S V 9 C a W F z X 3 J p c 2 s 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2 a W d h d G l v b l N 0 Z X B O Y W 1 l I i B W Y W x 1 Z T 0 i c 0 5 h d m l n Y X R p b 2 4 i I C 8 + P E V u d H J 5 I F R 5 c G U 9 I l J l c 3 V s d F R 5 c G U i I F Z h b H V l P S J z V G F i b G U i I C 8 + P E V u d H J 5 I F R 5 c G U 9 I k J 1 Z m Z l c k 5 l e H R S Z W Z y Z X N o I i B W Y W x 1 Z T 0 i b D E i I C 8 + P E V u d H J 5 I F R 5 c G U 9 I k Z p b G x l Z E N v b X B s Z X R l U m V z d W x 0 V G 9 X b 3 J r c 2 h l Z X Q i I F Z h b H V l P S J s M C I g L z 4 8 R W 5 0 c n k g V H l w Z T 0 i Q W R k Z W R U b 0 R h d G F N b 2 R l b C I g V m F s d W U 9 I m w w I i A v P j x F b n R y e S B U e X B l P S J G a W x s R X J y b 3 J D b 2 R l I i B W Y W x 1 Z T 0 i c 1 V u a 2 5 v d 2 4 i I C 8 + P E V u d H J 5 I F R 5 c G U 9 I k Z p b G x M Y X N 0 V X B k Y X R l Z C I g V m F s d W U 9 I m Q y M D I x L T A 0 L T I 3 V D E z O j E 5 O j M 0 L j A z N j Q 0 M j J a I i A v P j x F b n R y e S B U e X B l P S J G a W x s U 3 R h d H V z I i B W Y W x 1 Z T 0 i c 0 N v b X B s Z X R l I i A v P j w v U 3 R h Y m x l R W 5 0 c m l l c z 4 8 L 0 l 0 Z W 0 + P E l 0 Z W 0 + P E l 0 Z W 1 M b 2 N h d G l v b j 4 8 S X R l b V R 5 c G U + R m 9 y b X V s Y T w v S X R l b V R 5 c G U + P E l 0 Z W 1 Q Y X R o P l N l Y 3 R p b 2 4 x L 0 l f Q m l h c 1 9 y a X N r L 1 N v d X J j Z T w v S X R l b V B h d G g + P C 9 J d G V t T G 9 j Y X R p b 2 4 + P F N 0 Y W J s Z U V u d H J p Z X M g L z 4 8 L 0 l 0 Z W 0 + P E l 0 Z W 0 + P E l 0 Z W 1 M b 2 N h d G l v b j 4 8 S X R l b V R 5 c G U + R m 9 y b X V s Y T w v S X R l b V R 5 c G U + P E l 0 Z W 1 Q Y X R o P l N l Y 3 R p b 2 4 x L 0 l f Q m l h c 1 9 y a X N r L 0 N o Y W 5 n Z W Q l M j B U e X B l P C 9 J d G V t U G F 0 a D 4 8 L 0 l 0 Z W 1 M b 2 N h d G l v b j 4 8 U 3 R h Y m x l R W 5 0 c m l l c y A v P j w v S X R l b T 4 8 S X R l b T 4 8 S X R l b U x v Y 2 F 0 a W 9 u P j x J d G V t V H l w Z T 5 G b 3 J t d W x h P C 9 J d G V t V H l w Z T 4 8 S X R l b V B h d G g + U 2 V j d G l v b j E v S V 9 C a W F z X 3 N j Y W x l 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5 h d m l n Y X R p b 2 5 T d G V w T m F t Z S I g V m F s d W U 9 I n N O Y X Z p Z 2 F 0 a W 9 u I i A v P j x F b n R y e S B U e X B l P S J S Z X N 1 b H R U e X B l I i B W Y W x 1 Z T 0 i c 1 R h Y m x l I i A v P j x F b n R y e S B U e X B l P S J C d W Z m Z X J O Z X h 0 U m V m c m V z a C I g V m F s d W U 9 I m w x I i A v P j x F b n R y e S B U e X B l P S J G a W x s Z W R D b 2 1 w b G V 0 Z V J l c 3 V s d F R v V 2 9 y a 3 N o Z W V 0 I i B W Y W x 1 Z T 0 i b D A i I C 8 + P E V u d H J 5 I F R 5 c G U 9 I k F k Z G V k V G 9 E Y X R h T W 9 k Z W w i I F Z h b H V l P S J s M C I g L z 4 8 R W 5 0 c n k g V H l w Z T 0 i R m l s b E V y c m 9 y Q 2 9 k Z S I g V m F s d W U 9 I n N V b m t u b 3 d u I i A v P j x F b n R y e S B U e X B l P S J G a W x s T G F z d F V w Z G F 0 Z W Q i I F Z h b H V l P S J k M j A y M S 0 w N C 0 y N 1 Q x M z o y M D o x N i 4 y N j k w N j U 5 W i I g L z 4 8 R W 5 0 c n k g V H l w Z T 0 i R m l s b F N 0 Y X R 1 c y I g V m F s d W U 9 I n N D b 2 1 w b G V 0 Z S I g L z 4 8 L 1 N 0 Y W J s Z U V u d H J p Z X M + P C 9 J d G V t P j x J d G V t P j x J d G V t T G 9 j Y X R p b 2 4 + P E l 0 Z W 1 U e X B l P k Z v c m 1 1 b G E 8 L 0 l 0 Z W 1 U e X B l P j x J d G V t U G F 0 a D 5 T Z W N 0 a W 9 u M S 9 J X 0 J p Y X N f c 2 N h b G U v U 2 9 1 c m N l P C 9 J d G V t U G F 0 a D 4 8 L 0 l 0 Z W 1 M b 2 N h d G l v b j 4 8 U 3 R h Y m x l R W 5 0 c m l l c y A v P j w v S X R l b T 4 8 S X R l b T 4 8 S X R l b U x v Y 2 F 0 a W 9 u P j x J d G V t V H l w Z T 5 G b 3 J t d W x h P C 9 J d G V t V H l w Z T 4 8 S X R l b V B h d G g + U 2 V j d G l v b j E v S V 9 C a W F z X 3 N j Y W x l L 0 N o Y W 5 n Z W Q l M j B U e X B l P C 9 J d G V t U G F 0 a D 4 8 L 0 l 0 Z W 1 M b 2 N h d G l v b j 4 8 U 3 R h Y m x l R W 5 0 c m l l c y A v P j w v S X R l b T 4 8 S X R l b T 4 8 S X R l b U x v Y 2 F 0 a W 9 u P j x J d G V t V H l w Z T 5 G b 3 J t d W x h P C 9 J d G V t V H l w Z T 4 8 S X R l b V B h d G g + U 2 V j d G l v b j E v S V 9 C a W F z X 2 R p c m V j d G l v b j 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O Y X Z p Z 2 F 0 a W 9 u U 3 R l c E 5 h b W U i I F Z h b H V l P S J z T m F 2 a W d h d G l v b i I g L z 4 8 R W 5 0 c n k g V H l w Z T 0 i U m V z d W x 0 V H l w Z S I g V m F s d W U 9 I n N U Y W J s Z S I g L z 4 8 R W 5 0 c n k g V H l w Z T 0 i Q n V m Z m V y T m V 4 d F J l Z n J l c 2 g i I F Z h b H V l P S J s M S I g L z 4 8 R W 5 0 c n k g V H l w Z T 0 i R m l s b G V k Q 2 9 t c G x l d G V S Z X N 1 b H R U b 1 d v c m t z a G V l d C I g V m F s d W U 9 I m w w I i A v P j x F b n R y e S B U e X B l P S J B Z G R l Z F R v R G F 0 Y U 1 v Z G V s I i B W Y W x 1 Z T 0 i b D A i I C 8 + P E V u d H J 5 I F R 5 c G U 9 I k Z p b G x F c n J v c k N v Z G U i I F Z h b H V l P S J z V W 5 r b m 9 3 b i I g L z 4 8 R W 5 0 c n k g V H l w Z T 0 i R m l s b E x h c 3 R V c G R h d G V k I i B W Y W x 1 Z T 0 i Z D I w M j E t M D Q t M j d U M T M 6 M j E 6 M D E u N D g y N T k x M 1 o i I C 8 + P E V u d H J 5 I F R 5 c G U 9 I k Z p b G x T d G F 0 d X M i I F Z h b H V l P S J z Q 2 9 t c G x l d G U i I C 8 + P C 9 T d G F i b G V F b n R y a W V z P j w v S X R l b T 4 8 S X R l b T 4 8 S X R l b U x v Y 2 F 0 a W 9 u P j x J d G V t V H l w Z T 5 G b 3 J t d W x h P C 9 J d G V t V H l w Z T 4 8 S X R l b V B h d G g + U 2 V j d G l v b j E v S V 9 C a W F z X 2 R p c m V j d G l v b i 9 T b 3 V y Y 2 U 8 L 0 l 0 Z W 1 Q Y X R o P j w v S X R l b U x v Y 2 F 0 a W 9 u P j x T d G F i b G V F b n R y a W V z I C 8 + P C 9 J d G V t P j x J d G V t P j x J d G V t T G 9 j Y X R p b 2 4 + P E l 0 Z W 1 U e X B l P k Z v c m 1 1 b G E 8 L 0 l 0 Z W 1 U e X B l P j x J d G V t U G F 0 a D 5 T Z W N 0 a W 9 u M S 9 J X 0 J p Y X N f Z G l y Z W N 0 a W 9 u L 0 N o Y W 5 n Z W Q l M j B U e X B l P C 9 J d G V t U G F 0 a D 4 8 L 0 l 0 Z W 1 M b 2 N h d G l v b j 4 8 U 3 R h Y m x l R W 5 0 c m l l c y A v P j w v S X R l b T 4 8 S X R l b T 4 8 S X R l b U x v Y 2 F 0 a W 9 u P j x J d G V t V H l w Z T 5 G b 3 J t d W x h P C 9 J d G V t V H l w Z T 4 8 S X R l b V B h d G g + U 2 V j d G l v b j E v R 1 9 S Z X N 1 b H R z P C 9 J d G V t U G F 0 a D 4 8 L 0 l 0 Z W 1 M b 2 N h d G l v b j 4 8 U 3 R h Y m x l R W 5 0 c m l l c z 4 8 R W 5 0 c n k g V H l w Z T 0 i R m l s b E V u Y W J s Z W Q i I F Z h b H V l P S J s M C I g L z 4 8 R W 5 0 c n k g V H l w Z T 0 i R m l s b E 9 i a m V j d F R 5 c G U i I F Z h b H V l P S J z U G l 2 b 3 R D a G F y d C I g L z 4 8 R W 5 0 c n k g V H l w Z T 0 i R m l s b F R v R G F 0 Y U 1 v Z G V s R W 5 h Y m x l Z C I g V m F s d W U 9 I m w w I i A v P j x F b n R y e S B U e X B l P S J J c 1 B y a X Z h d G U i I F Z h b H V l P S J s M C I g L z 4 8 R W 5 0 c n k g V H l w Z T 0 i T m F 2 a W d h d G l v b l N 0 Z X B O Y W 1 l I i B W Y W x 1 Z T 0 i c 0 5 h d m l n Y X R p b 2 4 i I C 8 + P E V u d H J 5 I F R 5 c G U 9 I k 5 h b W V V c G R h d G V k Q W Z 0 Z X J G a W x s I i B W Y W x 1 Z T 0 i b D A i I C 8 + P E V u d H J 5 I F R 5 c G U 9 I l J l c 3 V s d F R 5 c G U i I F Z h b H V l P S J z V G F i b G U i I C 8 + P E V u d H J 5 I F R 5 c G U 9 I k J 1 Z m Z l c k 5 l e H R S Z W Z y Z X N o I i B W Y W x 1 Z T 0 i b D E i I C 8 + P E V u d H J 5 I F R 5 c G U 9 I l B p d m 9 0 T 2 J q Z W N 0 T m F t Z S I g V m F s d W U 9 I n N P X 1 J l c 3 V s d H M h U G l 2 b 3 R U Y W J s Z T I i I C 8 + P E V u d H J 5 I F R 5 c G U 9 I k Z p b G x l Z E N v b X B s Z X R l U m V z d W x 0 V G 9 X b 3 J r c 2 h l Z X Q i I F Z h b H V l P S J s M C I g L z 4 8 R W 5 0 c n k g V H l w Z T 0 i U m V j b 3 Z l c n l U Y X J n Z X R T a G V l d C I g V m F s d W U 9 I n N H X 1 J l c 3 V s d H M i I C 8 + P E V u d H J 5 I F R 5 c G U 9 I l J l Y 2 9 2 Z X J 5 V G F y Z 2 V 0 Q 2 9 s d W 1 u I i B W Y W x 1 Z T 0 i b D E i I C 8 + P E V u d H J 5 I F R 5 c G U 9 I l J l Y 2 9 2 Z X J 5 V G F y Z 2 V 0 U m 9 3 I i B W Y W x 1 Z T 0 i b D Q i I C 8 + P E V u d H J 5 I F R 5 c G U 9 I l F 1 Z X J 5 S U Q i I F Z h b H V l P S J z Z T U z O G U x Z m E t M 2 Y 2 N S 0 0 N D Q 1 L T h h N z Y t Y 2 R h Z G E x Z j N i O D Y z I i A v P j x F b n R y e S B U e X B l P S J G a W x s T G F z d F V w Z G F 0 Z W Q i I F Z h b H V l P S J k M j A y M S 0 w N y 0 y O V Q x N j o z O D o w O S 4 1 M z k 4 M z I 0 W i I g L z 4 8 R W 5 0 c n k g V H l w Z T 0 i R m l s b E N v b H V t b l R 5 c G V z I i B W Y W x 1 Z T 0 i c 0 F B Q U F B Q U F B Q U F B Q U F B Q U F C U U 1 E Q X d N R E F 3 V T 0 i I C 8 + P E V u d H J 5 I F R 5 c G U 9 I k Z p b G x D b 2 x 1 b W 5 O Y W 1 l c y I g V m F s d W U 9 I n N b J n F 1 b 3 Q 7 Y m V u Y 2 h t Y X J r X 2 l k J n F 1 b 3 Q 7 L C Z x d W 9 0 O 3 R h c m d l d F 9 i Y W 5 k J n F 1 b 3 Q 7 L C Z x d W 9 0 O 2 N v b X B f Y m F u Z C Z x d W 9 0 O y w m c X V v d D t j b 3 V u d H J 5 J n F 1 b 3 Q 7 L C Z x d W 9 0 O 3 R p Z X I m c X V v d D s s J n F 1 b 3 Q 7 Y m l h c 1 9 y a X N r J n F 1 b 3 Q 7 L C Z x d W 9 0 O 2 J p Y X N f c 2 N h b G U m c X V v d D s s J n F 1 b 3 Q 7 Y m l h c 1 9 k a X J l Y 3 R p b 2 4 m c X V v d D s s J n F 1 b 3 Q 7 c m F 0 a W 9 f M l 8 x J n F 1 b 3 Q 7 L C Z x d W 9 0 O 2 x z d l 9 w Z X J f b W h 6 X 3 V r M i Z x d W 9 0 O y w m c X V v d D t t Z X R o b 2 Q m c X V v d D s s J n F 1 b 3 Q 7 c m F 0 a W 9 f e V 9 4 J n F 1 b 3 Q 7 L C Z x d W 9 0 O 2 x z d l / C o 2 1 f c G V y X 2 1 o e i Z x d W 9 0 O y w m c X V v d D t i a W F z X 3 J p c 2 t f d m F s J n F 1 b 3 Q 7 L C Z x d W 9 0 O 2 J p Y X N f c 2 N h b G V f d m F s J n F 1 b 3 Q 7 L C Z x d W 9 0 O 2 J p Y X N f b 3 Z l c i Z x d W 9 0 O y w m c X V v d D t i a W F z X 3 V u Z G V y J n F 1 b 3 Q 7 L C Z x d W 9 0 O 2 J p Y X N f b 3 Z l c l 9 2 Y W w m c X V v d D s s J n F 1 b 3 Q 7 Y m l h c 1 9 1 b m R l c l 9 2 Y W w m c X V v d D s s J n F 1 b 3 Q 7 Y m F z Z S Z x d W 9 0 O 1 0 i I C 8 + P E V u d H J 5 I F R 5 c G U 9 I k Z p b G x F c n J v c k N v d W 5 0 I i B W Y W x 1 Z T 0 i b D A i I C 8 + P E V u d H J 5 I F R 5 c G U 9 I k Z p b G x F c n J v c k N v Z G U i I F Z h b H V l P S J z V W 5 r b m 9 3 b i I g L z 4 8 R W 5 0 c n k g V H l w Z T 0 i R m l s b F N 0 Y X R 1 c y I g V m F s d W U 9 I n N D b 2 1 w b G V 0 Z S I g L z 4 8 R W 5 0 c n k g V H l w Z T 0 i U m V s Y X R p b 2 5 z a G l w S W 5 m b 0 N v b n R h a W 5 l c i I g V m F s d W U 9 I n N 7 J n F 1 b 3 Q 7 Y 2 9 s d W 1 u Q 2 9 1 b n Q m c X V v d D s 6 M j A s J n F 1 b 3 Q 7 a 2 V 5 Q 2 9 s d W 1 u T m F t Z X M m c X V v d D s 6 W 1 0 s J n F 1 b 3 Q 7 c X V l c n l S Z W x h d G l v b n N o a X B z J n F 1 b 3 Q 7 O l t 7 J n F 1 b 3 Q 7 a 2 V 5 Q 2 9 s d W 1 u Q 2 9 1 b n Q m c X V v d D s 6 M S w m c X V v d D t r Z X l D b 2 x 1 b W 4 m c X V v d D s 6 N S w m c X V v d D t v d G h l c k t l e U N v b H V t b k l k Z W 5 0 a X R 5 J n F 1 b 3 Q 7 O i Z x d W 9 0 O 1 N l Y 3 R p b 2 4 x L 0 l f Q m l h c 1 9 y a X N r L 0 N o Y W 5 n Z W Q g V H l w Z S 5 7 Y m l h c 1 9 y a X N r L D B 9 J n F 1 b 3 Q 7 L C Z x d W 9 0 O 0 t l e U N v b H V t b k N v d W 5 0 J n F 1 b 3 Q 7 O j F 9 L H s m c X V v d D t r Z X l D b 2 x 1 b W 5 D b 3 V u d C Z x d W 9 0 O z o x L C Z x d W 9 0 O 2 t l e U N v b H V t b i Z x d W 9 0 O z o 2 L C Z x d W 9 0 O 2 9 0 a G V y S 2 V 5 Q 2 9 s d W 1 u S W R l b n R p d H k m c X V v d D s 6 J n F 1 b 3 Q 7 U 2 V j d G l v b j E v S V 9 C a W F z X 3 N j Y W x l L 0 N o Y W 5 n Z W Q g V H l w Z S 5 7 Y m l h c 1 9 z Y 2 F s Z S w w f S Z x d W 9 0 O y w m c X V v d D t L Z X l D b 2 x 1 b W 5 D b 3 V u d C Z x d W 9 0 O z o x f S x 7 J n F 1 b 3 Q 7 a 2 V 5 Q 2 9 s d W 1 u Q 2 9 1 b n Q m c X V v d D s 6 M S w m c X V v d D t r Z X l D b 2 x 1 b W 4 m c X V v d D s 6 N y w m c X V v d D t v d G h l c k t l e U N v b H V t b k l k Z W 5 0 a X R 5 J n F 1 b 3 Q 7 O i Z x d W 9 0 O 1 N l Y 3 R p b 2 4 x L 0 l f Q m l h c 1 9 k a X J l Y 3 R p b 2 4 v Q 2 h h b m d l Z C B U e X B l L n t i a W F z X 2 R p c m V j d G l v b i w w f S Z x d W 9 0 O y w m c X V v d D t L Z X l D b 2 x 1 b W 5 D b 3 V u d C Z x d W 9 0 O z o x f V 0 s J n F 1 b 3 Q 7 Y 2 9 s d W 1 u S W R l b n R p d G l l c y Z x d W 9 0 O z p b J n F 1 b 3 Q 7 U 2 V j d G l v b j E v R 1 9 S Z X N 1 b H R z L 0 F w c G V u Z G V k I F F 1 Z X J 5 L n t i Z W 5 j a G 1 h c m t f a W Q s M H 0 m c X V v d D s s J n F 1 b 3 Q 7 U 2 V j d G l v b j E v R 1 9 S Z X N 1 b H R z L 0 F w c G V u Z G V k I F F 1 Z X J 5 L n t 0 Y X J n Z X R f Y m F u Z C w x f S Z x d W 9 0 O y w m c X V v d D t T Z W N 0 a W 9 u M S 9 H X 1 J l c 3 V s d H M v Q X B w Z W 5 k Z W Q g U X V l c n k u e 2 N v b X B f Y m F u Z C w y f S Z x d W 9 0 O y w m c X V v d D t T Z W N 0 a W 9 u M S 9 H X 1 J l c 3 V s d H M v Q X B w Z W 5 k Z W Q g U X V l c n k u e 2 N v d W 5 0 c n k s M 3 0 m c X V v d D s s J n F 1 b 3 Q 7 U 2 V j d G l v b j E v R 1 9 S Z X N 1 b H R z L 0 F w c G V u Z G V k I F F 1 Z X J 5 L n t 0 a W V y L D R 9 J n F 1 b 3 Q 7 L C Z x d W 9 0 O 1 N l Y 3 R p b 2 4 x L 0 d f U m V z d W x 0 c y 9 B c H B l b m R l Z C B R d W V y e S 5 7 Y m l h c 1 9 y a X N r L D V 9 J n F 1 b 3 Q 7 L C Z x d W 9 0 O 1 N l Y 3 R p b 2 4 x L 0 d f U m V z d W x 0 c y 9 B c H B l b m R l Z C B R d W V y e S 5 7 Y m l h c 1 9 z Y 2 F s Z S w 2 f S Z x d W 9 0 O y w m c X V v d D t T Z W N 0 a W 9 u M S 9 H X 1 J l c 3 V s d H M v Q X B w Z W 5 k Z W Q g U X V l c n k u e 2 J p Y X N f Z G l y Z W N 0 a W 9 u L D d 9 J n F 1 b 3 Q 7 L C Z x d W 9 0 O 1 N l Y 3 R p b 2 4 x L 0 d f U m V z d W x 0 c y 9 B c H B l b m R l Z C B R d W V y e S 5 7 c m F 0 a W 9 f M l 8 x L D h 9 J n F 1 b 3 Q 7 L C Z x d W 9 0 O 1 N l Y 3 R p b 2 4 x L 0 d f U m V z d W x 0 c y 9 B c H B l b m R l Z C B R d W V y e S 5 7 b H N 2 X 3 B l c l 9 t a H p f d W s y L D l 9 J n F 1 b 3 Q 7 L C Z x d W 9 0 O 1 N l Y 3 R p b 2 4 x L 0 d f U m V z d W x 0 c y 9 S Z X B s Y W N l Z C B W Y W x 1 Z S 5 7 b W V 0 a G 9 k L D E w f S Z x d W 9 0 O y w m c X V v d D t T Z W N 0 a W 9 u M S 9 H X 1 J l c 3 V s d H M v Q X B w Z W 5 k Z W Q g U X V l c n k u e 3 J h d G l v X 3 l f e C w x M X 0 m c X V v d D s s J n F 1 b 3 Q 7 U 2 V j d G l v b j E v R 1 9 S Z X N 1 b H R z L 0 N o Y W 5 n Z W Q g V H l w Z S 5 7 b H N 2 X 8 K j b V 9 w Z X J f b W h 6 L D E y f S Z x d W 9 0 O y w m c X V v d D t T Z W N 0 a W 9 u M S 9 J X 0 J p Y X N f c m l z a y 9 D a G F u Z 2 V k I F R 5 c G U u e 2 J p Y X N f c m l z a 1 9 2 Y W w s M X 0 m c X V v d D s s J n F 1 b 3 Q 7 U 2 V j d G l v b j E v S V 9 C a W F z X 3 N j Y W x l L 0 N o Y W 5 n Z W Q g V H l w Z S 5 7 Y m l h c 1 9 z Y 2 F s Z V 9 2 Y W w s M X 0 m c X V v d D s s J n F 1 b 3 Q 7 U 2 V j d G l v b j E v S V 9 C a W F z X 2 R p c m V j d G l v b i 9 D a G F u Z 2 V k I F R 5 c G U u e 2 J p Y X N f b 3 Z l c i w x f S Z x d W 9 0 O y w m c X V v d D t T Z W N 0 a W 9 u M S 9 J X 0 J p Y X N f Z G l y Z W N 0 a W 9 u L 0 N o Y W 5 n Z W Q g V H l w Z S 5 7 Y m l h c 1 9 1 b m R l c i w y f S Z x d W 9 0 O y w m c X V v d D t T Z W N 0 a W 9 u M S 9 H X 1 J l c 3 V s d H M v Q 2 h h b m d l Z C B U e X B l M S 5 7 Y m l h c 1 9 v d m V y X 3 Z h b C w x N 3 0 m c X V v d D s s J n F 1 b 3 Q 7 U 2 V j d G l v b j E v R 1 9 S Z X N 1 b H R z L 0 N o Y W 5 n Z W Q g V H l w Z T I u e 2 J p Y X N f d W 5 k Z X J f d m F s L D E 4 f S Z x d W 9 0 O y w m c X V v d D t T Z W N 0 a W 9 u M S 9 H X 1 J l c 3 V s d H M v Q 2 h h b m d l Z C B U e X B l M y 5 7 Y m F z Z S w x O X 0 m c X V v d D t d L C Z x d W 9 0 O 0 N v b H V t b k N v d W 5 0 J n F 1 b 3 Q 7 O j I w L C Z x d W 9 0 O 0 t l e U N v b H V t b k 5 h b W V z J n F 1 b 3 Q 7 O l t d L C Z x d W 9 0 O 0 N v b H V t b k l k Z W 5 0 a X R p Z X M m c X V v d D s 6 W y Z x d W 9 0 O 1 N l Y 3 R p b 2 4 x L 0 d f U m V z d W x 0 c y 9 B c H B l b m R l Z C B R d W V y e S 5 7 Y m V u Y 2 h t Y X J r X 2 l k L D B 9 J n F 1 b 3 Q 7 L C Z x d W 9 0 O 1 N l Y 3 R p b 2 4 x L 0 d f U m V z d W x 0 c y 9 B c H B l b m R l Z C B R d W V y e S 5 7 d G F y Z 2 V 0 X 2 J h b m Q s M X 0 m c X V v d D s s J n F 1 b 3 Q 7 U 2 V j d G l v b j E v R 1 9 S Z X N 1 b H R z L 0 F w c G V u Z G V k I F F 1 Z X J 5 L n t j b 2 1 w X 2 J h b m Q s M n 0 m c X V v d D s s J n F 1 b 3 Q 7 U 2 V j d G l v b j E v R 1 9 S Z X N 1 b H R z L 0 F w c G V u Z G V k I F F 1 Z X J 5 L n t j b 3 V u d H J 5 L D N 9 J n F 1 b 3 Q 7 L C Z x d W 9 0 O 1 N l Y 3 R p b 2 4 x L 0 d f U m V z d W x 0 c y 9 B c H B l b m R l Z C B R d W V y e S 5 7 d G l l c i w 0 f S Z x d W 9 0 O y w m c X V v d D t T Z W N 0 a W 9 u M S 9 H X 1 J l c 3 V s d H M v Q X B w Z W 5 k Z W Q g U X V l c n k u e 2 J p Y X N f c m l z a y w 1 f S Z x d W 9 0 O y w m c X V v d D t T Z W N 0 a W 9 u M S 9 H X 1 J l c 3 V s d H M v Q X B w Z W 5 k Z W Q g U X V l c n k u e 2 J p Y X N f c 2 N h b G U s N n 0 m c X V v d D s s J n F 1 b 3 Q 7 U 2 V j d G l v b j E v R 1 9 S Z X N 1 b H R z L 0 F w c G V u Z G V k I F F 1 Z X J 5 L n t i a W F z X 2 R p c m V j d G l v b i w 3 f S Z x d W 9 0 O y w m c X V v d D t T Z W N 0 a W 9 u M S 9 H X 1 J l c 3 V s d H M v Q X B w Z W 5 k Z W Q g U X V l c n k u e 3 J h d G l v X z J f M S w 4 f S Z x d W 9 0 O y w m c X V v d D t T Z W N 0 a W 9 u M S 9 H X 1 J l c 3 V s d H M v Q X B w Z W 5 k Z W Q g U X V l c n k u e 2 x z d l 9 w Z X J f b W h 6 X 3 V r M i w 5 f S Z x d W 9 0 O y w m c X V v d D t T Z W N 0 a W 9 u M S 9 H X 1 J l c 3 V s d H M v U m V w b G F j Z W Q g V m F s d W U u e 2 1 l d G h v Z C w x M H 0 m c X V v d D s s J n F 1 b 3 Q 7 U 2 V j d G l v b j E v R 1 9 S Z X N 1 b H R z L 0 F w c G V u Z G V k I F F 1 Z X J 5 L n t y Y X R p b 1 9 5 X 3 g s M T F 9 J n F 1 b 3 Q 7 L C Z x d W 9 0 O 1 N l Y 3 R p b 2 4 x L 0 d f U m V z d W x 0 c y 9 D a G F u Z 2 V k I F R 5 c G U u e 2 x z d l / C o 2 1 f c G V y X 2 1 o e i w x M n 0 m c X V v d D s s J n F 1 b 3 Q 7 U 2 V j d G l v b j E v S V 9 C a W F z X 3 J p c 2 s v Q 2 h h b m d l Z C B U e X B l L n t i a W F z X 3 J p c 2 t f d m F s L D F 9 J n F 1 b 3 Q 7 L C Z x d W 9 0 O 1 N l Y 3 R p b 2 4 x L 0 l f Q m l h c 1 9 z Y 2 F s Z S 9 D a G F u Z 2 V k I F R 5 c G U u e 2 J p Y X N f c 2 N h b G V f d m F s L D F 9 J n F 1 b 3 Q 7 L C Z x d W 9 0 O 1 N l Y 3 R p b 2 4 x L 0 l f Q m l h c 1 9 k a X J l Y 3 R p b 2 4 v Q 2 h h b m d l Z C B U e X B l L n t i a W F z X 2 9 2 Z X I s M X 0 m c X V v d D s s J n F 1 b 3 Q 7 U 2 V j d G l v b j E v S V 9 C a W F z X 2 R p c m V j d G l v b i 9 D a G F u Z 2 V k I F R 5 c G U u e 2 J p Y X N f d W 5 k Z X I s M n 0 m c X V v d D s s J n F 1 b 3 Q 7 U 2 V j d G l v b j E v R 1 9 S Z X N 1 b H R z L 0 N o Y W 5 n Z W Q g V H l w Z T E u e 2 J p Y X N f b 3 Z l c l 9 2 Y W w s M T d 9 J n F 1 b 3 Q 7 L C Z x d W 9 0 O 1 N l Y 3 R p b 2 4 x L 0 d f U m V z d W x 0 c y 9 D a G F u Z 2 V k I F R 5 c G U y L n t i a W F z X 3 V u Z G V y X 3 Z h b C w x O H 0 m c X V v d D s s J n F 1 b 3 Q 7 U 2 V j d G l v b j E v R 1 9 S Z X N 1 b H R z L 0 N o Y W 5 n Z W Q g V H l w Z T M u e 2 J h c 2 U s M T l 9 J n F 1 b 3 Q 7 X S w m c X V v d D t S Z W x h d G l v b n N o a X B J b m Z v J n F 1 b 3 Q 7 O l t 7 J n F 1 b 3 Q 7 a 2 V 5 Q 2 9 s d W 1 u Q 2 9 1 b n Q m c X V v d D s 6 M S w m c X V v d D t r Z X l D b 2 x 1 b W 4 m c X V v d D s 6 N S w m c X V v d D t v d G h l c k t l e U N v b H V t b k l k Z W 5 0 a X R 5 J n F 1 b 3 Q 7 O i Z x d W 9 0 O 1 N l Y 3 R p b 2 4 x L 0 l f Q m l h c 1 9 y a X N r L 0 N o Y W 5 n Z W Q g V H l w Z S 5 7 Y m l h c 1 9 y a X N r L D B 9 J n F 1 b 3 Q 7 L C Z x d W 9 0 O 0 t l e U N v b H V t b k N v d W 5 0 J n F 1 b 3 Q 7 O j F 9 L H s m c X V v d D t r Z X l D b 2 x 1 b W 5 D b 3 V u d C Z x d W 9 0 O z o x L C Z x d W 9 0 O 2 t l e U N v b H V t b i Z x d W 9 0 O z o 2 L C Z x d W 9 0 O 2 9 0 a G V y S 2 V 5 Q 2 9 s d W 1 u S W R l b n R p d H k m c X V v d D s 6 J n F 1 b 3 Q 7 U 2 V j d G l v b j E v S V 9 C a W F z X 3 N j Y W x l L 0 N o Y W 5 n Z W Q g V H l w Z S 5 7 Y m l h c 1 9 z Y 2 F s Z S w w f S Z x d W 9 0 O y w m c X V v d D t L Z X l D b 2 x 1 b W 5 D b 3 V u d C Z x d W 9 0 O z o x f S x 7 J n F 1 b 3 Q 7 a 2 V 5 Q 2 9 s d W 1 u Q 2 9 1 b n Q m c X V v d D s 6 M S w m c X V v d D t r Z X l D b 2 x 1 b W 4 m c X V v d D s 6 N y w m c X V v d D t v d G h l c k t l e U N v b H V t b k l k Z W 5 0 a X R 5 J n F 1 b 3 Q 7 O i Z x d W 9 0 O 1 N l Y 3 R p b 2 4 x L 0 l f Q m l h c 1 9 k a X J l Y 3 R p b 2 4 v Q 2 h h b m d l Z C B U e X B l L n t i a W F z X 2 R p c m V j d G l v b i w w f S Z x d W 9 0 O y w m c X V v d D t L Z X l D b 2 x 1 b W 5 D b 3 V u d C Z x d W 9 0 O z o x f V 1 9 I i A v P j x F b n R y e S B U e X B l P S J G a W x s Q 2 9 1 b n Q i I F Z h b H V l P S J s N T k i I C 8 + P E V u d H J 5 I F R 5 c G U 9 I k F k Z G V k V G 9 E Y X R h T W 9 k Z W w i I F Z h b H V l P S J s M C I g L z 4 8 L 1 N 0 Y W J s Z U V u d H J p Z X M + P C 9 J d G V t P j x J d G V t P j x J d G V t T G 9 j Y X R p b 2 4 + P E l 0 Z W 1 U e X B l P k Z v c m 1 1 b G E 8 L 0 l 0 Z W 1 U e X B l P j x J d G V t U G F 0 a D 5 T Z W N 0 a W 9 u M S 9 H X 1 J l c 3 V s d H M v U 2 9 1 c m N l P C 9 J d G V t U G F 0 a D 4 8 L 0 l 0 Z W 1 M b 2 N h d G l v b j 4 8 U 3 R h Y m x l R W 5 0 c m l l c y A v P j w v S X R l b T 4 8 S X R l b T 4 8 S X R l b U x v Y 2 F 0 a W 9 u P j x J d G V t V H l w Z T 5 G b 3 J t d W x h P C 9 J d G V t V H l w Z T 4 8 S X R l b V B h d G g + U 2 V j d G l v b j E v R 1 9 S Z X N 1 b H R z L 0 F w c G V u Z G V k J T I w U X V l c n k 8 L 0 l 0 Z W 1 Q Y X R o P j w v S X R l b U x v Y 2 F 0 a W 9 u P j x T d G F i b G V F b n R y a W V z I C 8 + P C 9 J d G V t P j x J d G V t P j x J d G V t T G 9 j Y X R p b 2 4 + P E l 0 Z W 1 U e X B l P k Z v c m 1 1 b G E 8 L 0 l 0 Z W 1 U e X B l P j x J d G V t U G F 0 a D 5 T Z W N 0 a W 9 u M S 9 H X 1 J l c 3 V s d H M v T W V y Z 2 V k J T I w U X V l c m l l c z w v S X R l b V B h d G g + P C 9 J d G V t T G 9 j Y X R p b 2 4 + P F N 0 Y W J s Z U V u d H J p Z X M g L z 4 8 L 0 l 0 Z W 0 + P E l 0 Z W 0 + P E l 0 Z W 1 M b 2 N h d G l v b j 4 8 S X R l b V R 5 c G U + R m 9 y b X V s Y T w v S X R l b V R 5 c G U + P E l 0 Z W 1 Q Y X R o P l N l Y 3 R p b 2 4 x L 0 d f U m V z d W x 0 c y 9 F e H B h b m R l Z C U y M E l f Q m l h c 1 9 y a X N r P C 9 J d G V t U G F 0 a D 4 8 L 0 l 0 Z W 1 M b 2 N h d G l v b j 4 8 U 3 R h Y m x l R W 5 0 c m l l c y A v P j w v S X R l b T 4 8 S X R l b T 4 8 S X R l b U x v Y 2 F 0 a W 9 u P j x J d G V t V H l w Z T 5 G b 3 J t d W x h P C 9 J d G V t V H l w Z T 4 8 S X R l b V B h d G g + U 2 V j d G l v b j E v R 1 9 S Z X N 1 b H R z L 0 1 l c m d l Z C U y M F F 1 Z X J p Z X M x P C 9 J d G V t U G F 0 a D 4 8 L 0 l 0 Z W 1 M b 2 N h d G l v b j 4 8 U 3 R h Y m x l R W 5 0 c m l l c y A v P j w v S X R l b T 4 8 S X R l b T 4 8 S X R l b U x v Y 2 F 0 a W 9 u P j x J d G V t V H l w Z T 5 G b 3 J t d W x h P C 9 J d G V t V H l w Z T 4 8 S X R l b V B h d G g + U 2 V j d G l v b j E v R 1 9 S Z X N 1 b H R z L 0 V 4 c G F u Z G V k J T I w S V 9 C a W F z X 3 N j Y W x l P C 9 J d G V t U G F 0 a D 4 8 L 0 l 0 Z W 1 M b 2 N h d G l v b j 4 8 U 3 R h Y m x l R W 5 0 c m l l c y A v P j w v S X R l b T 4 8 S X R l b T 4 8 S X R l b U x v Y 2 F 0 a W 9 u P j x J d G V t V H l w Z T 5 G b 3 J t d W x h P C 9 J d G V t V H l w Z T 4 8 S X R l b V B h d G g + U 2 V j d G l v b j E v R 1 9 S Z X N 1 b H R z L 0 1 l c m d l Z C U y M F F 1 Z X J p Z X M y P C 9 J d G V t U G F 0 a D 4 8 L 0 l 0 Z W 1 M b 2 N h d G l v b j 4 8 U 3 R h Y m x l R W 5 0 c m l l c y A v P j w v S X R l b T 4 8 S X R l b T 4 8 S X R l b U x v Y 2 F 0 a W 9 u P j x J d G V t V H l w Z T 5 G b 3 J t d W x h P C 9 J d G V t V H l w Z T 4 8 S X R l b V B h d G g + U 2 V j d G l v b j E v R 1 9 S Z X N 1 b H R z L 0 V 4 c G F u Z G V k J T I w S V 9 C a W F z X 2 R p c m V j d G l v b j w v S X R l b V B h d G g + P C 9 J d G V t T G 9 j Y X R p b 2 4 + P F N 0 Y W J s Z U V u d H J p Z X M g L z 4 8 L 0 l 0 Z W 0 + P E l 0 Z W 0 + P E l 0 Z W 1 M b 2 N h d G l v b j 4 8 S X R l b V R 5 c G U + R m 9 y b X V s Y T w v S X R l b V R 5 c G U + P E l 0 Z W 1 Q Y X R o P l N l Y 3 R p b 2 4 x L 0 d f U m V z d W x 0 c y 9 B Z G R l Z C U y M E N 1 c 3 R v b T E 8 L 0 l 0 Z W 1 Q Y X R o P j w v S X R l b U x v Y 2 F 0 a W 9 u P j x T d G F i b G V F b n R y a W V z I C 8 + P C 9 J d G V t P j x J d G V t P j x J d G V t T G 9 j Y X R p b 2 4 + P E l 0 Z W 1 U e X B l P k Z v c m 1 1 b G E 8 L 0 l 0 Z W 1 U e X B l P j x J d G V t U G F 0 a D 5 T Z W N 0 a W 9 u M S 9 H X 1 J l c 3 V s d H M v Q W R k Z W Q l M j B D d X N 0 b 2 0 y P C 9 J d G V t U G F 0 a D 4 8 L 0 l 0 Z W 1 M b 2 N h d G l v b j 4 8 U 3 R h Y m x l R W 5 0 c m l l c y A v P j w v S X R l b T 4 8 S X R l b T 4 8 S X R l b U x v Y 2 F 0 a W 9 u P j x J d G V t V H l w Z T 5 G b 3 J t d W x h P C 9 J d G V t V H l w Z T 4 8 S X R l b V B h d G g + U 2 V j d G l v b j E v Q 1 9 D b 0 R f c H J l d G F 4 X 2 5 v b S 9 G a W x s Z W Q l M j B E b 3 d u P C 9 J d G V t U G F 0 a D 4 8 L 0 l 0 Z W 1 M b 2 N h d G l v b j 4 8 U 3 R h Y m x l R W 5 0 c m l l c y A v P j w v S X R l b T 4 8 S X R l b T 4 8 S X R l b U x v Y 2 F 0 a W 9 u P j x J d G V t V H l w Z T 5 G b 3 J t d W x h P C 9 J d G V t V H l w Z T 4 8 S X R l b V B h d G g + U 2 V j d G l v b j E v Q 1 9 D b 0 R f c H J l d G F 4 X 2 5 v b S 9 G a W x s Z W Q l M j B V c D w v S X R l b V B h d G g + P C 9 J d G V t T G 9 j Y X R p b 2 4 + P F N 0 Y W J s Z U V u d H J p Z X M g L z 4 8 L 0 l 0 Z W 0 + P E l 0 Z W 0 + P E l 0 Z W 1 M b 2 N h d G l v b j 4 8 S X R l b V R 5 c G U + R m 9 y b X V s Y T w v S X R l b V R 5 c G U + P E l 0 Z W 1 Q Y X R o P l N l Y 3 R p b 2 4 x L 0 N f V 0 F D Q 1 9 w b 3 N 0 d G F 4 X 3 J l Y W w v R m l s b G V k J T I w R G 9 3 b j w v S X R l b V B h d G g + P C 9 J d G V t T G 9 j Y X R p b 2 4 + P F N 0 Y W J s Z U V u d H J p Z X M g L z 4 8 L 0 l 0 Z W 0 + P E l 0 Z W 0 + P E l 0 Z W 1 M b 2 N h d G l v b j 4 8 S X R l b V R 5 c G U + R m 9 y b X V s Y T w v S X R l b V R 5 c G U + P E l 0 Z W 1 Q Y X R o P l N l Y 3 R p b 2 4 x L 0 N f V 0 F D Q 1 9 w b 3 N 0 d G F 4 X 3 J l Y W w v R m l s b G V k J T I w V X A 8 L 0 l 0 Z W 1 Q Y X R o P j w v S X R l b U x v Y 2 F 0 a W 9 u P j x T d G F i b G V F b n R y a W V z I C 8 + P C 9 J d G V t P j x J d G V t P j x J d G V t T G 9 j Y X R p b 2 4 + P E l 0 Z W 1 U e X B l P k Z v c m 1 1 b G E 8 L 0 l 0 Z W 1 U e X B l P j x J d G V t U G F 0 a D 5 T Z W N 0 a W 9 u M S 9 J X 0 1 v b n R o 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5 h d m l n Y X R p b 2 5 T d G V w T m F t Z S I g V m F s d W U 9 I n N O Y X Z p Z 2 F 0 a W 9 u I i A v P j x F b n R y e S B U e X B l P S J S Z X N 1 b H R U e X B l I i B W Y W x 1 Z T 0 i c 1 R h Y m x l I i A v P j x F b n R y e S B U e X B l P S J C d W Z m Z X J O Z X h 0 U m V m c m V z a C I g V m F s d W U 9 I m w x I i A v P j x F b n R y e S B U e X B l P S J G a W x s Z W R D b 2 1 w b G V 0 Z V J l c 3 V s d F R v V 2 9 y a 3 N o Z W V 0 I i B W Y W x 1 Z T 0 i b D A i I C 8 + P E V u d H J 5 I F R 5 c G U 9 I k F k Z G V k V G 9 E Y X R h T W 9 k Z W w i I F Z h b H V l P S J s M C I g L z 4 8 R W 5 0 c n k g V H l w Z T 0 i R m l s b E V y c m 9 y Q 2 9 k Z S I g V m F s d W U 9 I n N V b m t u b 3 d u I i A v P j x F b n R y e S B U e X B l P S J G a W x s T G F z d F V w Z G F 0 Z W Q i I F Z h b H V l P S J k M j A y M S 0 w N S 0 w N 1 Q w N z o z O D o x N i 4 z N T E y M D k z W i I g L z 4 8 R W 5 0 c n k g V H l w Z T 0 i R m l s b F N 0 Y X R 1 c y I g V m F s d W U 9 I n N D b 2 1 w b G V 0 Z S I g L z 4 8 L 1 N 0 Y W J s Z U V u d H J p Z X M + P C 9 J d G V t P j x J d G V t P j x J d G V t T G 9 j Y X R p b 2 4 + P E l 0 Z W 1 U e X B l P k Z v c m 1 1 b G E 8 L 0 l 0 Z W 1 U e X B l P j x J d G V t U G F 0 a D 5 T Z W N 0 a W 9 u M S 9 J X 0 1 v b n R o L 1 N v d X J j Z T w v S X R l b V B h d G g + P C 9 J d G V t T G 9 j Y X R p b 2 4 + P F N 0 Y W J s Z U V u d H J p Z X M g L z 4 8 L 0 l 0 Z W 0 + P E l 0 Z W 0 + P E l 0 Z W 1 M b 2 N h d G l v b j 4 8 S X R l b V R 5 c G U + R m 9 y b X V s Y T w v S X R l b V R 5 c G U + P E l 0 Z W 1 Q Y X R o P l N l Y 3 R p b 2 4 x L 0 l f Q 1 B J X 1 V L L 0 1 l c m d l Z C U y M F F 1 Z X J p Z X M 8 L 0 l 0 Z W 1 Q Y X R o P j w v S X R l b U x v Y 2 F 0 a W 9 u P j x T d G F i b G V F b n R y a W V z I C 8 + P C 9 J d G V t P j x J d G V t P j x J d G V t T G 9 j Y X R p b 2 4 + P E l 0 Z W 1 U e X B l P k Z v c m 1 1 b G E 8 L 0 l 0 Z W 1 U e X B l P j x J d G V t U G F 0 a D 5 T Z W N 0 a W 9 u M S 9 J X 0 N Q S V 9 V S y 9 F e H B h b m R l Z C U y M E l f T W 9 u d G g 8 L 0 l 0 Z W 1 Q Y X R o P j w v S X R l b U x v Y 2 F 0 a W 9 u P j x T d G F i b G V F b n R y a W V z I C 8 + P C 9 J d G V t P j x J d G V t P j x J d G V t T G 9 j Y X R p b 2 4 + P E l 0 Z W 1 U e X B l P k Z v c m 1 1 b G E 8 L 0 l 0 Z W 1 U e X B l P j x J d G V t U G F 0 a D 5 T Z W N 0 a W 9 u M S 9 J X 0 N Q S V 9 V S y 9 G a W x s Z W Q l M j B E b 3 d u P C 9 J d G V t U G F 0 a D 4 8 L 0 l 0 Z W 1 M b 2 N h d G l v b j 4 8 U 3 R h Y m x l R W 5 0 c m l l c y A v P j w v S X R l b T 4 8 S X R l b T 4 8 S X R l b U x v Y 2 F 0 a W 9 u P j x J d G V t V H l w Z T 5 G b 3 J t d W x h P C 9 J d G V t V H l w Z T 4 8 S X R l b V B h d G g + U 2 V j d G l v b j E v S V 9 D U E l f V U s v U m V t b 3 Z l Z C U y M E N v b H V t b n M 8 L 0 l 0 Z W 1 Q Y X R o P j w v S X R l b U x v Y 2 F 0 a W 9 u P j x T d G F i b G V F b n R y a W V z I C 8 + P C 9 J d G V t P j x J d G V t P j x J d G V t T G 9 j Y X R p b 2 4 + P E l 0 Z W 1 U e X B l P k Z v c m 1 1 b G E 8 L 0 l 0 Z W 1 U e X B l P j x J d G V t U G F 0 a D 5 T Z W N 0 a W 9 u M S 9 J X 0 N Q S V 9 V S y 9 S Z W 5 h b W V k J T I w Q 2 9 s d W 1 u c z E 8 L 0 l 0 Z W 1 Q Y X R o P j w v S X R l b U x v Y 2 F 0 a W 9 u P j x T d G F i b G V F b n R y a W V z I C 8 + P C 9 J d G V t P j x J d G V t P j x J d G V t T G 9 j Y X R p b 2 4 + P E l 0 Z W 1 U e X B l P k Z v c m 1 1 b G E 8 L 0 l 0 Z W 1 U e X B l P j x J d G V t U G F 0 a D 5 T Z W N 0 a W 9 u M S 9 J X 0 N Q S V 9 V S y 9 S Z W 9 y Z G V y Z W Q l M j B D b 2 x 1 b W 5 z P C 9 J d G V t U G F 0 a D 4 8 L 0 l 0 Z W 1 M b 2 N h d G l v b j 4 8 U 3 R h Y m x l R W 5 0 c m l l c y A v P j w v S X R l b T 4 8 S X R l b T 4 8 S X R l b U x v Y 2 F 0 a W 9 u P j x J d G V t V H l w Z T 5 G b 3 J t d W x h P C 9 J d G V t V H l w Z T 4 8 S X R l b V B h d G g + U 2 V j d G l v b j E v Q 1 9 V S 0 V x Q 2 9 t c D w v S X R l b V B h d G g + P C 9 J d G V t T G 9 j Y X R p b 2 4 + P F N 0 Y W J s Z U V u d H J p Z X M + P E V u d H J 5 I F R 5 c G U 9 I k Z p b G x F b m F i b G V k I i B W Y W x 1 Z T 0 i b D E i I C 8 + P E V u d H J 5 I F R 5 c G U 9 I k Z p b G x P Y m p l Y 3 R U e X B l I i B W Y W x 1 Z T 0 i c 1 R h Y m x l I i A v P j x F b n R y e S B U e X B l P S J G a W x s V G 9 E Y X R h T W 9 k Z W x F b m F i b G V k I i B W Y W x 1 Z T 0 i b D A i I C 8 + P E V u d H J 5 I F R 5 c G U 9 I k l z U H J p d m F 0 Z S 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G V k Q 2 9 t c G x l d G V S Z X N 1 b H R U b 1 d v c m t z a G V l d C I g V m F s d W U 9 I m w x I i A v P j x F b n R y e S B U e X B l P S J S Z W N v d m V y e V R h c m d l d F N o Z W V 0 I i B W Y W x 1 Z T 0 i c 0 N f V U t F c V 9 z d W 0 i I C 8 + P E V u d H J 5 I F R 5 c G U 9 I l J l Y 2 9 2 Z X J 5 V G F y Z 2 V 0 Q 2 9 s d W 1 u I i B W Y W x 1 Z T 0 i b D E i I C 8 + P E V u d H J 5 I F R 5 c G U 9 I l J l Y 2 9 2 Z X J 5 V G F y Z 2 V 0 U m 9 3 I i B W Y W x 1 Z T 0 i b D Q i I C 8 + P E V u d H J 5 I F R 5 c G U 9 I k Z p b G x U Y X J n Z X Q i I F Z h b H V l P S J z Q 1 9 V S 0 V x Q 2 9 t c C I g L z 4 8 R W 5 0 c n k g V H l w Z T 0 i U X V l c n l J R C I g V m F s d W U 9 I n M z Y T c z Y z I 3 Y i 0 4 Z D h m L T Q 2 O W Y t Y j l l Z i 0 2 M W I x Y z A 5 Y z Z l Z j E i I C 8 + P E V u d H J 5 I F R 5 c G U 9 I k Z p b G x U Y X J n Z X R O Y W 1 l Q 3 V z d G 9 t a X p l Z C I g V m F s d W U 9 I m w x I i A v P j x F b n R y e S B U e X B l P S J G a W x s T G F z d F V w Z G F 0 Z W Q i I F Z h b H V l P S J k M j A y M S 0 w N y 0 y O V Q x N j o 0 M j o z M i 4 y N j E 5 O T A 0 W i I g L z 4 8 R W 5 0 c n k g V H l w Z T 0 i R m l s b E V y c m 9 y Q 2 9 1 b n Q i I F Z h b H V l P S J s M C I g L z 4 8 R W 5 0 c n k g V H l w Z T 0 i R m l s b E N v b H V t b l R 5 c G V z I i B W Y W x 1 Z T 0 i c 0 J n P T 0 i I C 8 + P E V u d H J 5 I F R 5 c G U 9 I k Z p b G x F c n J v c k N v Z G U i I F Z h b H V l P S J z V W 5 r b m 9 3 b i I g L z 4 8 R W 5 0 c n k g V H l w Z T 0 i R m l s b E N v b H V t b k 5 h b W V z I i B W Y W x 1 Z T 0 i c 1 s m c X V v d D t h d 2 F y Z F 9 p Z C Z x d W 9 0 O 1 0 i I C 8 + P E V u d H J 5 I F R 5 c G U 9 I k Z p b G x D b 3 V u d C I g V m F s d W U 9 I m w 0 M i I g L z 4 8 R W 5 0 c n k g V H l w Z T 0 i R m l s b F N 0 Y X R 1 c y I g V m F s d W U 9 I n N D b 2 1 w b G V 0 Z S I g L z 4 8 R W 5 0 c n k g V H l w Z T 0 i Q W R k Z W R U b 0 R h d G F N b 2 R l b C I g V m F s d W U 9 I m w w I i A v P j x F b n R y e S B U e X B l P S J S Z W x h d G l v b n N o a X B J b m Z v Q 2 9 u d G F p b m V y I i B W Y W x 1 Z T 0 i c 3 s m c X V v d D t j b 2 x 1 b W 5 D b 3 V u d C Z x d W 9 0 O z o x L C Z x d W 9 0 O 2 t l e U N v b H V t b k 5 h b W V z J n F 1 b 3 Q 7 O l s m c X V v d D t h d 2 F y Z F 9 p Z C Z x d W 9 0 O 1 0 s J n F 1 b 3 Q 7 c X V l c n l S Z W x h d G l v b n N o a X B z J n F 1 b 3 Q 7 O l t d L C Z x d W 9 0 O 2 N v b H V t b k l k Z W 5 0 a X R p Z X M m c X V v d D s 6 W y Z x d W 9 0 O 1 N l Y 3 R p b 2 4 x L 0 l f Q X d h c m Q v Q 2 h h b m d l Z C B U e X B l L n t h d 2 F y Z F 9 p Z C w w f S Z x d W 9 0 O 1 0 s J n F 1 b 3 Q 7 Q 2 9 s d W 1 u Q 2 9 1 b n Q m c X V v d D s 6 M S w m c X V v d D t L Z X l D b 2 x 1 b W 5 O Y W 1 l c y Z x d W 9 0 O z p b J n F 1 b 3 Q 7 Y X d h c m R f a W Q m c X V v d D t d L C Z x d W 9 0 O 0 N v b H V t b k l k Z W 5 0 a X R p Z X M m c X V v d D s 6 W y Z x d W 9 0 O 1 N l Y 3 R p b 2 4 x L 0 l f Q X d h c m Q v Q 2 h h b m d l Z C B U e X B l L n t h d 2 F y Z F 9 p Z C w w f S Z x d W 9 0 O 1 0 s J n F 1 b 3 Q 7 U m V s Y X R p b 2 5 z a G l w S W 5 m b y Z x d W 9 0 O z p b X X 0 i I C 8 + P C 9 T d G F i b G V F b n R y a W V z P j w v S X R l b T 4 8 S X R l b T 4 8 S X R l b U x v Y 2 F 0 a W 9 u P j x J d G V t V H l w Z T 5 G b 3 J t d W x h P C 9 J d G V t V H l w Z T 4 8 S X R l b V B h d G g + U 2 V j d G l v b j E v Q 1 9 V S 0 V x Q 2 9 t c C 9 T b 3 V y Y 2 U 8 L 0 l 0 Z W 1 Q Y X R o P j w v S X R l b U x v Y 2 F 0 a W 9 u P j x T d G F i b G V F b n R y a W V z I C 8 + P C 9 J d G V t P j x J d G V t P j x J d G V t T G 9 j Y X R p b 2 4 + P E l 0 Z W 1 U e X B l P k Z v c m 1 1 b G E 8 L 0 l 0 Z W 1 U e X B l P j x J d G V t U G F 0 a D 5 T Z W N 0 a W 9 u M S 9 D X 1 V L R X F D b 2 1 w L 1 J l b W 9 2 Z W Q l M j B P d G h l c i U y M E N v b H V t b n M 8 L 0 l 0 Z W 1 Q Y X R o P j w v S X R l b U x v Y 2 F 0 a W 9 u P j x T d G F i b G V F b n R y a W V z I C 8 + P C 9 J d G V t P j x J d G V t P j x J d G V t T G 9 j Y X R p b 2 4 + P E l 0 Z W 1 U e X B l P k Z v c m 1 1 b G E 8 L 0 l 0 Z W 1 U e X B l P j x J d G V t U G F 0 a D 5 T Z W N 0 a W 9 u M S 9 D X 1 V L R X F D b 2 1 w L 1 J l b W 9 2 Z W Q l M j B E d X B s a W N h d G V z P C 9 J d G V t U G F 0 a D 4 8 L 0 l 0 Z W 1 M b 2 N h d G l v b j 4 8 U 3 R h Y m x l R W 5 0 c m l l c y A v P j w v S X R l b T 4 8 S X R l b T 4 8 S X R l b U x v Y 2 F 0 a W 9 u P j x J d G V t V H l w Z T 5 G b 3 J t d W x h P C 9 J d G V t V H l w Z T 4 8 S X R l b V B h d G g + U 2 V j d G l v b j E v Q 1 9 V S 0 N v b X A 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T m F 2 a W d h d G l v b l N 0 Z X B O Y W 1 l I i B W Y W x 1 Z T 0 i c 0 5 h d m l n Y X R p b 2 4 i I C 8 + P E V u d H J 5 I F R 5 c G U 9 I k 5 h b W V V c G R h d G V k Q W Z 0 Z X J G a W x s I i B W Y W x 1 Z T 0 i b D A i I C 8 + P E V u d H J 5 I F R 5 c G U 9 I l J l c 3 V s d F R 5 c G U i I F Z h b H V l P S J z V G F i b G U i I C 8 + P E V u d H J 5 I F R 5 c G U 9 I k J 1 Z m Z l c k 5 l e H R S Z W Z y Z X N o I i B W Y W x 1 Z T 0 i b D E i I C 8 + P E V u d H J 5 I F R 5 c G U 9 I k Z p b G x l Z E N v b X B s Z X R l U m V z d W x 0 V G 9 X b 3 J r c 2 h l Z X Q i I F Z h b H V l P S J s M S I g L z 4 8 R W 5 0 c n k g V H l w Z T 0 i R m l s b F R h c m d l d C I g V m F s d W U 9 I n N D X 1 V L Q 2 9 t c C I g L z 4 8 R W 5 0 c n k g V H l w Z T 0 i U m V j b 3 Z l c n l U Y X J n Z X R T a G V l d C I g V m F s d W U 9 I n N D X 1 V L X 2 N v b X A i I C 8 + P E V u d H J 5 I F R 5 c G U 9 I l J l Y 2 9 2 Z X J 5 V G F y Z 2 V 0 Q 2 9 s d W 1 u I i B W Y W x 1 Z T 0 i b D E i I C 8 + P E V u d H J 5 I F R 5 c G U 9 I l J l Y 2 9 2 Z X J 5 V G F y Z 2 V 0 U m 9 3 I i B W Y W x 1 Z T 0 i b D Q i I C 8 + P E V u d H J 5 I F R 5 c G U 9 I l F 1 Z X J 5 S U Q i I F Z h b H V l P S J z Z D I y M D B k Y 2 Y t M z B i N y 0 0 Y 2 R k L W E w O W I t N j A 3 Y W J m O G J h Y 2 Y w I i A v P j x F b n R y e S B U e X B l P S J G a W x s V G F y Z 2 V 0 T m F t Z U N 1 c 3 R v b W l 6 Z W Q i I F Z h b H V l P S J s M S I g L z 4 8 R W 5 0 c n k g V H l w Z T 0 i R m l s b E x h c 3 R V c G R h d G V k I i B W Y W x 1 Z T 0 i Z D I w M j E t M D c t M j l U M T Y 6 M z Y 6 M j A u M z E z N D E z O F o i I C 8 + P E V u d H J 5 I F R 5 c G U 9 I k Z p b G x D b 2 x 1 b W 5 U e X B l c y I g V m F s d W U 9 I n N C Z 2 t E Q X d N R E J R P T 0 i I C 8 + P E V u d H J 5 I F R 5 c G U 9 I k Z p b G x F c n J v c k N v d W 5 0 I i B W Y W x 1 Z T 0 i b D A i I C 8 + P E V u d H J 5 I F R 5 c G U 9 I k Z p b G x D b 2 x 1 b W 5 O Y W 1 l c y I g V m F s d W U 9 I n N b J n F 1 b 3 Q 7 Y 2 9 t c F 9 p Z C Z x d W 9 0 O y w m c X V v d D t j b 2 1 w X 2 R h d G U m c X V v d D s s J n F 1 b 3 Q 7 Z H V y Y X R p b 2 5 f e W V h c n M m c X V v d D s s J n F 1 b 3 Q 7 Y W 1 v d W 5 0 X 2 1 o e i Z x d W 9 0 O y w m c X V v d D t s c 3 Z f b m 9 t X 2 d i c C Z x d W 9 0 O y w m c X V v d D t j b 2 1 w X 3 l l Y X I m c X V v d D s s J n F 1 b 3 Q 7 d 2 F j Y 1 9 w b 3 N 0 d G F 4 X 3 J l Y W w m c X V v d D t d I i A v P j x F b n R y e S B U e X B l P S J G a W x s R X J y b 3 J D b 2 R l I i B W Y W x 1 Z T 0 i c 1 V u a 2 5 v d 2 4 i I C 8 + P E V u d H J 5 I F R 5 c G U 9 I k Z p b G x T d G F 0 d X M i I F Z h b H V l P S J z Q 2 9 t c G x l d G U i I C 8 + P E V u d H J 5 I F R 5 c G U 9 I k Z p b G x D b 3 V u d C I g V m F s d W U 9 I m w 5 I i A v P j x F b n R y e S B U e X B l P S J S Z W x h d G l v b n N o a X B J b m Z v Q 2 9 u d G F p b m V y I i B W Y W x 1 Z T 0 i c 3 s m c X V v d D t j b 2 x 1 b W 5 D b 3 V u d C Z x d W 9 0 O z o 3 L C Z x d W 9 0 O 2 t l e U N v b H V t b k 5 h b W V z J n F 1 b 3 Q 7 O l t d L C Z x d W 9 0 O 3 F 1 Z X J 5 U m V s Y X R p b 2 5 z a G l w c y Z x d W 9 0 O z p b e y Z x d W 9 0 O 2 t l e U N v b H V t b k N v d W 5 0 J n F 1 b 3 Q 7 O j E s J n F 1 b 3 Q 7 a 2 V 5 Q 2 9 s d W 1 u J n F 1 b 3 Q 7 O j U s J n F 1 b 3 Q 7 b 3 R o Z X J L Z X l D b 2 x 1 b W 5 J Z G V u d G l 0 e S Z x d W 9 0 O z o m c X V v d D t T Z W N 0 a W 9 u M S 9 D X 1 V L X 1 d B Q 0 N f c G 9 z d H R h e F 9 y Z W F s L 0 Z p b G x l Z C B V c C 5 7 e W V h c i w w f S Z x d W 9 0 O y w m c X V v d D t L Z X l D b 2 x 1 b W 5 D b 3 V u d C Z x d W 9 0 O z o x f V 0 s J n F 1 b 3 Q 7 Y 2 9 s d W 1 u S W R l b n R p d G l l c y Z x d W 9 0 O z p b J n F 1 b 3 Q 7 U 2 V j d G l v b j E v Q 1 9 V S 0 N v b X A v Q 2 h h b m d l Z C B U e X B l L n t j b 2 1 w X 2 l k L D B 9 J n F 1 b 3 Q 7 L C Z x d W 9 0 O 1 N l Y 3 R p b 2 4 x L 0 N f V U t D b 2 1 w L 0 N o Y W 5 n Z W Q g V H l w Z S 5 7 Y 2 9 t c F 9 k Y X R l L D F 9 J n F 1 b 3 Q 7 L C Z x d W 9 0 O 1 N l Y 3 R p b 2 4 x L 0 N f V U t D b 2 1 w L 0 N o Y W 5 n Z W Q g V H l w Z S 5 7 Z H V y Y X R p b 2 5 f e W V h c n M s M n 0 m c X V v d D s s J n F 1 b 3 Q 7 U 2 V j d G l v b j E v Q 1 9 V S 0 N v b X A v Q 2 h h b m d l Z C B U e X B l L n t h b W 9 1 b n R f b W h 6 L D N 9 J n F 1 b 3 Q 7 L C Z x d W 9 0 O 1 N l Y 3 R p b 2 4 x L 0 N f V U t D b 2 1 w L 0 N o Y W 5 n Z W Q g V H l w Z S 5 7 b H N 2 X 2 5 v b V 9 n Y n A s N H 0 m c X V v d D s s J n F 1 b 3 Q 7 U 2 V j d G l v b j E v Q 1 9 V S 0 N v b X A v Q 2 h h b m d l Z C B U e X B l M S 5 7 Y 2 9 t c F 9 5 Z W F y L D V 9 J n F 1 b 3 Q 7 L C Z x d W 9 0 O 1 N l Y 3 R p b 2 4 x L 0 N f V U t f V 0 F D Q 1 9 w b 3 N 0 d G F 4 X 3 J l Y W w v R m l s b G V k I F V w L n t 3 Y W N j X 3 B v c 3 R 0 Y X h f c m V h b C w x f S Z x d W 9 0 O 1 0 s J n F 1 b 3 Q 7 Q 2 9 s d W 1 u Q 2 9 1 b n Q m c X V v d D s 6 N y w m c X V v d D t L Z X l D b 2 x 1 b W 5 O Y W 1 l c y Z x d W 9 0 O z p b X S w m c X V v d D t D b 2 x 1 b W 5 J Z G V u d G l 0 a W V z J n F 1 b 3 Q 7 O l s m c X V v d D t T Z W N 0 a W 9 u M S 9 D X 1 V L Q 2 9 t c C 9 D a G F u Z 2 V k I F R 5 c G U u e 2 N v b X B f a W Q s M H 0 m c X V v d D s s J n F 1 b 3 Q 7 U 2 V j d G l v b j E v Q 1 9 V S 0 N v b X A v Q 2 h h b m d l Z C B U e X B l L n t j b 2 1 w X 2 R h d G U s M X 0 m c X V v d D s s J n F 1 b 3 Q 7 U 2 V j d G l v b j E v Q 1 9 V S 0 N v b X A v Q 2 h h b m d l Z C B U e X B l L n t k d X J h d G l v b l 9 5 Z W F y c y w y f S Z x d W 9 0 O y w m c X V v d D t T Z W N 0 a W 9 u M S 9 D X 1 V L Q 2 9 t c C 9 D a G F u Z 2 V k I F R 5 c G U u e 2 F t b 3 V u d F 9 t a H o s M 3 0 m c X V v d D s s J n F 1 b 3 Q 7 U 2 V j d G l v b j E v Q 1 9 V S 0 N v b X A v Q 2 h h b m d l Z C B U e X B l L n t s c 3 Z f b m 9 t X 2 d i c C w 0 f S Z x d W 9 0 O y w m c X V v d D t T Z W N 0 a W 9 u M S 9 D X 1 V L Q 2 9 t c C 9 D a G F u Z 2 V k I F R 5 c G U x L n t j b 2 1 w X 3 l l Y X I s N X 0 m c X V v d D s s J n F 1 b 3 Q 7 U 2 V j d G l v b j E v Q 1 9 V S 1 9 X Q U N D X 3 B v c 3 R 0 Y X h f c m V h b C 9 G a W x s Z W Q g V X A u e 3 d h Y 2 N f c G 9 z d H R h e F 9 y Z W F s L D F 9 J n F 1 b 3 Q 7 X S w m c X V v d D t S Z W x h d G l v b n N o a X B J b m Z v J n F 1 b 3 Q 7 O l t 7 J n F 1 b 3 Q 7 a 2 V 5 Q 2 9 s d W 1 u Q 2 9 1 b n Q m c X V v d D s 6 M S w m c X V v d D t r Z X l D b 2 x 1 b W 4 m c X V v d D s 6 N S w m c X V v d D t v d G h l c k t l e U N v b H V t b k l k Z W 5 0 a X R 5 J n F 1 b 3 Q 7 O i Z x d W 9 0 O 1 N l Y 3 R p b 2 4 x L 0 N f V U t f V 0 F D Q 1 9 w b 3 N 0 d G F 4 X 3 J l Y W w v R m l s b G V k I F V w L n t 5 Z W F y L D B 9 J n F 1 b 3 Q 7 L C Z x d W 9 0 O 0 t l e U N v b H V t b k N v d W 5 0 J n F 1 b 3 Q 7 O j F 9 X X 0 i I C 8 + P E V u d H J 5 I F R 5 c G U 9 I k F k Z G V k V G 9 E Y X R h T W 9 k Z W w i I F Z h b H V l P S J s M C I g L z 4 8 L 1 N 0 Y W J s Z U V u d H J p Z X M + P C 9 J d G V t P j x J d G V t P j x J d G V t T G 9 j Y X R p b 2 4 + P E l 0 Z W 1 U e X B l P k Z v c m 1 1 b G E 8 L 0 l 0 Z W 1 U e X B l P j x J d G V t U G F 0 a D 5 T Z W N 0 a W 9 u M S 9 D X 1 V L Q 2 9 t c C 9 T b 3 V y Y 2 U 8 L 0 l 0 Z W 1 Q Y X R o P j w v S X R l b U x v Y 2 F 0 a W 9 u P j x T d G F i b G V F b n R y a W V z I C 8 + P C 9 J d G V t P j x J d G V t P j x J d G V t T G 9 j Y X R p b 2 4 + P E l 0 Z W 1 U e X B l P k Z v c m 1 1 b G E 8 L 0 l 0 Z W 1 U e X B l P j x J d G V t U G F 0 a D 5 T Z W N 0 a W 9 u M S 9 D X 1 V L Q 2 9 t c C 9 D a G F u Z 2 V k J T I w V H l w Z T w v S X R l b V B h d G g + P C 9 J d G V t T G 9 j Y X R p b 2 4 + P F N 0 Y W J s Z U V u d H J p Z X M g L z 4 8 L 0 l 0 Z W 0 + P E l 0 Z W 0 + P E l 0 Z W 1 M b 2 N h d G l v b j 4 8 S X R l b V R 5 c G U + R m 9 y b X V s Y T w v S X R l b V R 5 c G U + P E l 0 Z W 1 Q Y X R o P l N l Y 3 R p b 2 4 x L 0 N f V U t D b 2 1 w L 0 F k Z G V k J T I w Q 3 V z d G 9 t P C 9 J d G V t U G F 0 a D 4 8 L 0 l 0 Z W 1 M b 2 N h d G l v b j 4 8 U 3 R h Y m x l R W 5 0 c m l l c y A v P j w v S X R l b T 4 8 S X R l b T 4 8 S X R l b U x v Y 2 F 0 a W 9 u P j x J d G V t V H l w Z T 5 G b 3 J t d W x h P C 9 J d G V t V H l w Z T 4 8 S X R l b V B h d G g + U 2 V j d G l v b j E v Q 1 9 V S 0 N v b X A v Q 2 h h b m d l Z C U y M F R 5 c G U x P C 9 J d G V t U G F 0 a D 4 8 L 0 l 0 Z W 1 M b 2 N h d G l v b j 4 8 U 3 R h Y m x l R W 5 0 c m l l c y A v P j w v S X R l b T 4 8 S X R l b T 4 8 S X R l b U x v Y 2 F 0 a W 9 u P j x J d G V t V H l w Z T 5 G b 3 J t d W x h P C 9 J d G V t V H l w Z T 4 8 S X R l b V B h d G g + U 2 V j d G l v b j E v Q 1 9 V S 0 N v b X A v T W V y Z 2 V k J T I w U X V l c m l l c z w v S X R l b V B h d G g + P C 9 J d G V t T G 9 j Y X R p b 2 4 + P F N 0 Y W J s Z U V u d H J p Z X M g L z 4 8 L 0 l 0 Z W 0 + P E l 0 Z W 0 + P E l 0 Z W 1 M b 2 N h d G l v b j 4 8 S X R l b V R 5 c G U + R m 9 y b X V s Y T w v S X R l b V R 5 c G U + P E l 0 Z W 1 Q Y X R o P l N l Y 3 R p b 2 4 x L 0 N f V U t D b 2 1 w L 0 V 4 c G F u Z G V k J T I w Q 1 9 V S 1 9 X Q U N D X 3 B v c 3 R 0 Y X h f c m V h b D w v S X R l b V B h d G g + P C 9 J d G V t T G 9 j Y X R p b 2 4 + P F N 0 Y W J s Z U V u d H J p Z X M g L z 4 8 L 0 l 0 Z W 0 + P E l 0 Z W 0 + P E l 0 Z W 1 M b 2 N h d G l v b j 4 8 S X R l b V R 5 c G U + R m 9 y b X V s Y T w v S X R l b V R 5 c G U + P E l 0 Z W 1 Q Y X R o P l N l Y 3 R p b 2 4 x L 0 N f V U t F c V 9 V S 0 N v b X A 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l Z E N v b X B s Z X R l U m V z d W x 0 V G 9 X b 3 J r c 2 h l Z X Q i I F Z h b H V l P S J s M S I g L z 4 8 R W 5 0 c n k g V H l w Z T 0 i R m l s b F R h c m d l d C I g V m F s d W U 9 I n N D X 1 V L R X F f V U t D b 2 1 w I i A v P j x F b n R y e S B U e X B l P S J S Z W N v d m V y e V R h c m d l d F J v d y I g V m F s d W U 9 I m w 0 I i A v P j x F b n R y e S B U e X B l P S J S Z W N v d m V y e V R h c m d l d E N v b H V t b i I g V m F s d W U 9 I m w x I i A v P j x F b n R y e S B U e X B l P S J S Z W N v d m V y e V R h c m d l d F N o Z W V 0 I i B W Y W x 1 Z T 0 i c 0 N f V U t F c V 9 V S 1 9 j b 2 1 w I i A v P j x F b n R y e S B U e X B l P S J R d W V y e U l E I i B W Y W x 1 Z T 0 i c z M 1 Z j F k M T J k L T E z Z T g t N D B j O S 0 4 Y T M w L T E 3 N T B k M T N j M 2 N l Y y I g L z 4 8 R W 5 0 c n k g V H l w Z T 0 i R m l s b F R h c m d l d E 5 h b W V D d X N 0 b 2 1 p e m V k I i B W Y W x 1 Z T 0 i b D E i I C 8 + P E V u d H J 5 I F R 5 c G U 9 I k Z p b G x M Y X N 0 V X B k Y X R l Z C I g V m F s d W U 9 I m Q y M D I x L T A 3 L T I 5 V D E 2 O j M 2 O j I 5 L j Y z N T M 4 N D l a I i A v P j x F b n R y e S B U e X B l P S J G a W x s Q 2 9 s d W 1 u V H l w Z X M i I F Z h b H V l P S J z Q U F V R i I g L z 4 8 R W 5 0 c n k g V H l w Z T 0 i R m l s b E V y c m 9 y Q 2 9 1 b n Q i I F Z h b H V l P S J s M C I g L z 4 8 R W 5 0 c n k g V H l w Z T 0 i R m l s b E N v b H V t b k 5 h b W V z I i B W Y W x 1 Z T 0 i c 1 s m c X V v d D t j b 2 1 w X 2 l k J n F 1 b 3 Q 7 L C Z x d W 9 0 O 2 F t b 3 V u d F 9 t a H o m c X V v d D s s J n F 1 b 3 Q 7 b H N 2 X 3 R v d G F s J n F 1 b 3 Q 7 X S I g L z 4 8 R W 5 0 c n k g V H l w Z T 0 i R m l s b E V y c m 9 y Q 2 9 k Z S I g V m F s d W U 9 I n N V b m t u b 3 d u I i A v P j x F b n R y e S B U e X B l P S J G a W x s U 3 R h d H V z I i B W Y W x 1 Z T 0 i c 0 N v b X B s Z X R l I i A v P j x F b n R y e S B U e X B l P S J G a W x s Q 2 9 1 b n Q i I F Z h b H V l P S J s N T E i I C 8 + P E V u d H J 5 I F R 5 c G U 9 I l J l b G F 0 a W 9 u c 2 h p c E l u Z m 9 D b 2 5 0 Y W l u Z X I i I F Z h b H V l P S J z e y Z x d W 9 0 O 2 N v b H V t b k N v d W 5 0 J n F 1 b 3 Q 7 O j M s J n F 1 b 3 Q 7 a 2 V 5 Q 2 9 s d W 1 u T m F t Z X M m c X V v d D s 6 W 1 0 s J n F 1 b 3 Q 7 c X V l c n l S Z W x h d G l v b n N o a X B z J n F 1 b 3 Q 7 O l t d L C Z x d W 9 0 O 2 N v b H V t b k l k Z W 5 0 a X R p Z X M m c X V v d D s 6 W y Z x d W 9 0 O 1 N l Y 3 R p b 2 4 x L 0 N f V U t F c V 9 V S 0 N v b X A v Q X B w Z W 5 k Z W Q g U X V l c n k u e 2 N v b X B f a W Q s M H 0 m c X V v d D s s J n F 1 b 3 Q 7 U 2 V j d G l v b j E v Q 1 9 V S 0 V x X 1 V L Q 2 9 t c C 9 B c H B l b m R l Z C B R d W V y e S 5 7 Y W 1 v d W 5 0 X 2 1 o e i w x f S Z x d W 9 0 O y w m c X V v d D t T Z W N 0 a W 9 u M S 9 D X 1 V L R X F f V U t D b 2 1 w L 0 F w c G V u Z G V k I F F 1 Z X J 5 L n t s c 3 Z f d G 9 0 Y W w s M n 0 m c X V v d D t d L C Z x d W 9 0 O 0 N v b H V t b k N v d W 5 0 J n F 1 b 3 Q 7 O j M s J n F 1 b 3 Q 7 S 2 V 5 Q 2 9 s d W 1 u T m F t Z X M m c X V v d D s 6 W 1 0 s J n F 1 b 3 Q 7 Q 2 9 s d W 1 u S W R l b n R p d G l l c y Z x d W 9 0 O z p b J n F 1 b 3 Q 7 U 2 V j d G l v b j E v Q 1 9 V S 0 V x X 1 V L Q 2 9 t c C 9 B c H B l b m R l Z C B R d W V y e S 5 7 Y 2 9 t c F 9 p Z C w w f S Z x d W 9 0 O y w m c X V v d D t T Z W N 0 a W 9 u M S 9 D X 1 V L R X F f V U t D b 2 1 w L 0 F w c G V u Z G V k I F F 1 Z X J 5 L n t h b W 9 1 b n R f b W h 6 L D F 9 J n F 1 b 3 Q 7 L C Z x d W 9 0 O 1 N l Y 3 R p b 2 4 x L 0 N f V U t F c V 9 V S 0 N v b X A v Q X B w Z W 5 k Z W Q g U X V l c n k u e 2 x z d l 9 0 b 3 R h b C w y f S Z x d W 9 0 O 1 0 s J n F 1 b 3 Q 7 U m V s Y X R p b 2 5 z a G l w S W 5 m b y Z x d W 9 0 O z p b X X 0 i I C 8 + P E V u d H J 5 I F R 5 c G U 9 I k F k Z G V k V G 9 E Y X R h T W 9 k Z W w i I F Z h b H V l P S J s M C I g L z 4 8 L 1 N 0 Y W J s Z U V u d H J p Z X M + P C 9 J d G V t P j x J d G V t P j x J d G V t T G 9 j Y X R p b 2 4 + P E l 0 Z W 1 U e X B l P k Z v c m 1 1 b G E 8 L 0 l 0 Z W 1 U e X B l P j x J d G V t U G F 0 a D 5 T Z W N 0 a W 9 u M S 9 D X 1 V L R X F f V U t D b 2 1 w L 1 N v d X J j Z T w v S X R l b V B h d G g + P C 9 J d G V t T G 9 j Y X R p b 2 4 + P F N 0 Y W J s Z U V u d H J p Z X M g L z 4 8 L 0 l 0 Z W 0 + P E l 0 Z W 0 + P E l 0 Z W 1 M b 2 N h d G l v b j 4 8 S X R l b V R 5 c G U + R m 9 y b X V s Y T w v S X R l b V R 5 c G U + P E l 0 Z W 1 Q Y X R o P l N l Y 3 R p b 2 4 x L 0 N f V U t F c V 9 V S 0 N v b X A v Q 2 h h b m d l Z C U y M F R 5 c G U 8 L 0 l 0 Z W 1 Q Y X R o P j w v S X R l b U x v Y 2 F 0 a W 9 u P j x T d G F i b G V F b n R y a W V z I C 8 + P C 9 J d G V t P j x J d G V t P j x J d G V t T G 9 j Y X R p b 2 4 + P E l 0 Z W 1 U e X B l P k Z v c m 1 1 b G E 8 L 0 l 0 Z W 1 U e X B l P j x J d G V t U G F 0 a D 5 T Z W N 0 a W 9 u M S 9 D X 1 V L R X F f V U t D b 2 1 w L 1 J l c G x h Y 2 V k J T I w R X J y b 3 J z P C 9 J d G V t U G F 0 a D 4 8 L 0 l 0 Z W 1 M b 2 N h d G l v b j 4 8 U 3 R h Y m x l R W 5 0 c m l l c y A v P j w v S X R l b T 4 8 S X R l b T 4 8 S X R l b U x v Y 2 F 0 a W 9 u P j x J d G V t V H l w Z T 5 G b 3 J t d W x h P C 9 J d G V t V H l w Z T 4 8 S X R l b V B h d G g + U 2 V j d G l v b j E v Q 1 9 V S 0 V x X 1 V L Q 2 9 t c C 9 S Z W 5 h b W V k J T I w Q 2 9 s d W 1 u c z w v S X R l b V B h d G g + P C 9 J d G V t T G 9 j Y X R p b 2 4 + P F N 0 Y W J s Z U V u d H J p Z X M g L z 4 8 L 0 l 0 Z W 0 + P E l 0 Z W 0 + P E l 0 Z W 1 M b 2 N h d G l v b j 4 8 S X R l b V R 5 c G U + R m 9 y b X V s Y T w v S X R l b V R 5 c G U + P E l 0 Z W 1 Q Y X R o P l N l Y 3 R p b 2 4 x L 0 N f V U t F c V 9 V S 0 N v b X A v Q X B w Z W 5 k Z W Q l M j B R d W V y e T w v S X R l b V B h d G g + P C 9 J d G V t T G 9 j Y X R p b 2 4 + P F N 0 Y W J s Z U V u d H J p Z X M g L z 4 8 L 0 l 0 Z W 0 + P E l 0 Z W 0 + P E l 0 Z W 1 M b 2 N h d G l v b j 4 8 S X R l b V R 5 c G U + R m 9 y b X V s Y T w v S X R l b V R 5 c G U + P E l 0 Z W 1 Q Y X R o P l N l Y 3 R p b 2 4 x L 0 N f U H J v e H l D b 2 1 w 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5 h d m l n Y X R p b 2 5 T d G V w T m F t Z S I g V m F s d W U 9 I n N O Y X Z p Z 2 F 0 a W 9 u I i A v P j x F b n R y e S B U e X B l P S J O Y W 1 l V X B k Y X R l Z E F m d G V y R m l s b C I g V m F s d W U 9 I m w w I i A v P j x F b n R y e S B U e X B l P S J S Z X N 1 b H R U e X B l I i B W Y W x 1 Z T 0 i c 1 R h Y m x l I i A v P j x F b n R y e S B U e X B l P S J C d W Z m Z X J O Z X h 0 U m V m c m V z a C I g V m F s d W U 9 I m w x I i A v P j x F b n R y e S B U e X B l P S J G a W x s Z W R D b 2 1 w b G V 0 Z V J l c 3 V s d F R v V 2 9 y a 3 N o Z W V 0 I i B W Y W x 1 Z T 0 i b D E i I C 8 + P E V u d H J 5 I F R 5 c G U 9 I l J l Y 2 9 2 Z X J 5 V G F y Z 2 V 0 U 2 h l Z X Q i I F Z h b H V l P S J z Q 1 9 Q c m 9 4 e V 9 j b 2 1 w I i A v P j x F b n R y e S B U e X B l P S J S Z W N v d m V y e V R h c m d l d E N v b H V t b i I g V m F s d W U 9 I m w x I i A v P j x F b n R y e S B U e X B l P S J S Z W N v d m V y e V R h c m d l d F J v d y I g V m F s d W U 9 I m w 0 I i A v P j x F b n R y e S B U e X B l P S J G a W x s V G F y Z 2 V 0 I i B W Y W x 1 Z T 0 i c 0 N f U H J v e H l D b 2 1 w I i A v P j x F b n R y e S B U e X B l P S J R d W V y e U l E I i B W Y W x 1 Z T 0 i c z B h M m J k O W M 0 L T d i O G I t N G Q 0 Y y 0 5 M z Y 3 L W Q 3 Z D Z k Y T l k N z I w N i I g L z 4 8 R W 5 0 c n k g V H l w Z T 0 i R m l s b F R h c m d l d E 5 h b W V D d X N 0 b 2 1 p e m V k I i B W Y W x 1 Z T 0 i b D E i I C 8 + P E V u d H J 5 I F R 5 c G U 9 I k Z p b G x M Y X N 0 V X B k Y X R l Z C I g V m F s d W U 9 I m Q y M D I x L T A 3 L T I 5 V D E 2 O j M 2 O j M 3 L j E 5 N z k z N D h a I i A v P j x F b n R y e S B U e X B l P S J G a W x s R X J y b 3 J D b 3 V u d C I g V m F s d W U 9 I m w w I i A v P j x F b n R y e S B U e X B l P S J G a W x s R X J y b 3 J D b 2 R l I i B W Y W x 1 Z T 0 i c 1 V u a 2 5 v d 2 4 i I C 8 + P E V u d H J 5 I F R 5 c G U 9 I k Z p b G x D b 2 x 1 b W 5 U e X B l c y I g V m F s d W U 9 I n N C Z 1 l H I i A v P j x F b n R y e S B U e X B l P S J G a W x s Q 2 9 s d W 1 u T m F t Z X M i I F Z h b H V l P S J z W y Z x d W 9 0 O 2 N v b X B f a W Q m c X V v d D s s J n F 1 b 3 Q 7 c H J v e H l f a W Q m c X V v d D s s J n F 1 b 3 Q 7 Y m F z Z V 9 p Z C Z x d W 9 0 O 1 0 i I C 8 + P E V u d H J 5 I F R 5 c G U 9 I k Z p b G x T d G F 0 d X M i I F Z h b H V l P S J z Q 2 9 t c G x l d G U i I C 8 + P E V u d H J 5 I F R 5 c G U 9 I k Z p b G x D b 3 V u d C I g V m F s d W U 9 I m w x M y I g L z 4 8 R W 5 0 c n k g V H l w Z T 0 i U m V s Y X R p b 2 5 z a G l w S W 5 m b 0 N v b n R h a W 5 l c i I g V m F s d W U 9 I n N 7 J n F 1 b 3 Q 7 Y 2 9 s d W 1 u Q 2 9 1 b n Q m c X V v d D s 6 M y w m c X V v d D t r Z X l D b 2 x 1 b W 5 O Y W 1 l c y Z x d W 9 0 O z p b X S w m c X V v d D t x d W V y e V J l b G F 0 a W 9 u c 2 h p c H M m c X V v d D s 6 W 1 0 s J n F 1 b 3 Q 7 Y 2 9 s d W 1 u S W R l b n R p d G l l c y Z x d W 9 0 O z p b J n F 1 b 3 Q 7 U 2 V j d G l v b j E v Q 1 9 Q c m 9 4 e U N v b X A v Q 2 h h b m d l Z C B U e X B l L n t j b 2 1 w X 2 l k L D B 9 J n F 1 b 3 Q 7 L C Z x d W 9 0 O 1 N l Y 3 R p b 2 4 x L 0 N f U H J v e H l D b 2 1 w L 0 N o Y W 5 n Z W Q g V H l w Z S 5 7 c H J v e H l f a W Q s M X 0 m c X V v d D s s J n F 1 b 3 Q 7 U 2 V j d G l v b j E v Q 1 9 Q c m 9 4 e U N v b X A v Q 2 h h b m d l Z C B U e X B l L n t i Y X N l X 2 l k L D J 9 J n F 1 b 3 Q 7 X S w m c X V v d D t D b 2 x 1 b W 5 D b 3 V u d C Z x d W 9 0 O z o z L C Z x d W 9 0 O 0 t l e U N v b H V t b k 5 h b W V z J n F 1 b 3 Q 7 O l t d L C Z x d W 9 0 O 0 N v b H V t b k l k Z W 5 0 a X R p Z X M m c X V v d D s 6 W y Z x d W 9 0 O 1 N l Y 3 R p b 2 4 x L 0 N f U H J v e H l D b 2 1 w L 0 N o Y W 5 n Z W Q g V H l w Z S 5 7 Y 2 9 t c F 9 p Z C w w f S Z x d W 9 0 O y w m c X V v d D t T Z W N 0 a W 9 u M S 9 D X 1 B y b 3 h 5 Q 2 9 t c C 9 D a G F u Z 2 V k I F R 5 c G U u e 3 B y b 3 h 5 X 2 l k L D F 9 J n F 1 b 3 Q 7 L C Z x d W 9 0 O 1 N l Y 3 R p b 2 4 x L 0 N f U H J v e H l D b 2 1 w L 0 N o Y W 5 n Z W Q g V H l w Z S 5 7 Y m F z Z V 9 p Z C w y f S Z x d W 9 0 O 1 0 s J n F 1 b 3 Q 7 U m V s Y X R p b 2 5 z a G l w S W 5 m b y Z x d W 9 0 O z p b X X 0 i I C 8 + P E V u d H J 5 I F R 5 c G U 9 I k F k Z G V k V G 9 E Y X R h T W 9 k Z W w i I F Z h b H V l P S J s M C I g L z 4 8 L 1 N 0 Y W J s Z U V u d H J p Z X M + P C 9 J d G V t P j x J d G V t P j x J d G V t T G 9 j Y X R p b 2 4 + P E l 0 Z W 1 U e X B l P k Z v c m 1 1 b G E 8 L 0 l 0 Z W 1 U e X B l P j x J d G V t U G F 0 a D 5 T Z W N 0 a W 9 u M S 9 D X 1 B y b 3 h 5 Q 2 9 t c C 9 T b 3 V y Y 2 U 8 L 0 l 0 Z W 1 Q Y X R o P j w v S X R l b U x v Y 2 F 0 a W 9 u P j x T d G F i b G V F b n R y a W V z I C 8 + P C 9 J d G V t P j x J d G V t P j x J d G V t T G 9 j Y X R p b 2 4 + P E l 0 Z W 1 U e X B l P k Z v c m 1 1 b G E 8 L 0 l 0 Z W 1 U e X B l P j x J d G V t U G F 0 a D 5 T Z W N 0 a W 9 u M S 9 D X 1 B y b 3 h 5 Q 2 9 t c C 9 D a G F u Z 2 V k J T I w V H l w Z T w v S X R l b V B h d G g + P C 9 J d G V t T G 9 j Y X R p b 2 4 + P F N 0 Y W J s Z U V u d H J p Z X M g L z 4 8 L 0 l 0 Z W 0 + P E l 0 Z W 0 + P E l 0 Z W 1 M b 2 N h d G l v b j 4 8 S X R l b V R 5 c G U + R m 9 y b X V s Y T w v S X R l b V R 5 c G U + P E l 0 Z W 1 Q Y X R o P l N l Y 3 R p b 2 4 x L 0 N f U H J v e H l D b 2 1 w X 3 N 1 b 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x I i A v P j x F b n R y e S B U e X B l P S J O Y X Z p Z 2 F 0 a W 9 u U 3 R l c E 5 h b W U i I F Z h b H V l P S J z T m F 2 a W d h d G l v b i I g L z 4 8 R W 5 0 c n k g V H l w Z T 0 i R m l s b G V k Q 2 9 t c G x l d G V S Z X N 1 b H R U b 1 d v c m t z a G V l d C I g V m F s d W U 9 I m w w I i A v P j x F b n R y e S B U e X B l P S J G a W x s R X J y b 3 J D b 2 R l I i B W Y W x 1 Z T 0 i c 1 V u a 2 5 v d 2 4 i I C 8 + P E V u d H J 5 I F R 5 c G U 9 I k F k Z G V k V G 9 E Y X R h T W 9 k Z W w i I F Z h b H V l P S J s M C I g L z 4 8 R W 5 0 c n k g V H l w Z T 0 i R m l s b E x h c 3 R V c G R h d G V k I i B W Y W x 1 Z T 0 i Z D I w M j E t M D U t M T B U M T A 6 M T E 6 M j E u M z c 4 N T Y 3 O F o i I C 8 + P E V u d H J 5 I F R 5 c G U 9 I k Z p b G x T d G F 0 d X M i I F Z h b H V l P S J z Q 2 9 t c G x l d G U i I C 8 + P C 9 T d G F i b G V F b n R y a W V z P j w v S X R l b T 4 8 S X R l b T 4 8 S X R l b U x v Y 2 F 0 a W 9 u P j x J d G V t V H l w Z T 5 G b 3 J t d W x h P C 9 J d G V t V H l w Z T 4 8 S X R l b V B h d G g + U 2 V j d G l v b j E v Q 1 9 Q c m 9 4 e U N v b X B f c 3 V t L 1 N v d X J j Z T w v S X R l b V B h d G g + P C 9 J d G V t T G 9 j Y X R p b 2 4 + P F N 0 Y W J s Z U V u d H J p Z X M g L z 4 8 L 0 l 0 Z W 0 + P E l 0 Z W 0 + P E l 0 Z W 1 M b 2 N h d G l v b j 4 8 S X R l b V R 5 c G U + R m 9 y b X V s Y T w v S X R l b V R 5 c G U + P E l 0 Z W 1 Q Y X R o P l N l Y 3 R p b 2 4 x L 0 N f U H J v e H l D b 2 1 w X 3 N 1 b S 9 S Z W 1 v d m V k J T I w T 3 R o Z X I l M j B D b 2 x 1 b W 5 z P C 9 J d G V t U G F 0 a D 4 8 L 0 l 0 Z W 1 M b 2 N h d G l v b j 4 8 U 3 R h Y m x l R W 5 0 c m l l c y A v P j w v S X R l b T 4 8 S X R l b T 4 8 S X R l b U x v Y 2 F 0 a W 9 u P j x J d G V t V H l w Z T 5 G b 3 J t d W x h P C 9 J d G V t V H l w Z T 4 8 S X R l b V B h d G g + U 2 V j d G l v b j E v Q 1 9 Q c m 9 4 e U N v b X B f c 3 V t L 0 N o Y W 5 n Z W Q l M j B U e X B l P C 9 J d G V t U G F 0 a D 4 8 L 0 l 0 Z W 1 M b 2 N h d G l v b j 4 8 U 3 R h Y m x l R W 5 0 c m l l c y A v P j w v S X R l b T 4 8 S X R l b T 4 8 S X R l b U x v Y 2 F 0 a W 9 u P j x J d G V t V H l w Z T 5 G b 3 J t d W x h P C 9 J d G V t V H l w Z T 4 8 S X R l b V B h d G g + U 2 V j d G l v b j E v Q 1 9 B b G x D b 2 1 w 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5 h d m l n Y X R p b 2 5 T d G V w T m F t Z S I g V m F s d W U 9 I n N O Y X Z p Z 2 F 0 a W 9 u I i A v P j x F b n R y e S B U e X B l P S J O Y W 1 l V X B k Y X R l Z E F m d G V y R m l s b C I g V m F s d W U 9 I m w w I i A v P j x F b n R y e S B U e X B l P S J S Z X N 1 b H R U e X B l I i B W Y W x 1 Z T 0 i c 1 R h Y m x l I i A v P j x F b n R y e S B U e X B l P S J C d W Z m Z X J O Z X h 0 U m V m c m V z a C I g V m F s d W U 9 I m w x I i A v P j x F b n R y e S B U e X B l P S J G a W x s Z W R D b 2 1 w b G V 0 Z V J l c 3 V s d F R v V 2 9 y a 3 N o Z W V 0 I i B W Y W x 1 Z T 0 i b D E i I C 8 + P E V u d H J 5 I F R 5 c G U 9 I k Z p b G x U Y X J n Z X Q i I F Z h b H V l P S J z Q 1 9 B b G x D b 2 1 w I i A v P j x F b n R y e S B U e X B l P S J S Z W N v d m V y e V R h c m d l d F N o Z W V 0 I i B W Y W x 1 Z T 0 i c 0 N f Q 2 9 t c C I g L z 4 8 R W 5 0 c n k g V H l w Z T 0 i U m V j b 3 Z l c n l U Y X J n Z X R D b 2 x 1 b W 4 i I F Z h b H V l P S J s M S I g L z 4 8 R W 5 0 c n k g V H l w Z T 0 i U m V j b 3 Z l c n l U Y X J n Z X R S b 3 c i I F Z h b H V l P S J s N C I g L z 4 8 R W 5 0 c n k g V H l w Z T 0 i U X V l c n l J R C I g V m F s d W U 9 I n M 4 N D k 4 Z j c 3 M S 1 h O W Z i L T R k N z E t O D M x Y S 0 5 M G I w Y m I w N G I 1 Z j U i I C 8 + P E V u d H J 5 I F R 5 c G U 9 I k Z p b G x M Y X N 0 V X B k Y X R l Z C I g V m F s d W U 9 I m Q y M D I x L T A 3 L T I 5 V D E 2 O j M 2 O j Q 1 L j g 1 N z A z N D d a I i A v P j x F b n R y e S B U e X B l P S J G a W x s R X J y b 3 J D b 3 V u d C I g V m F s d W U 9 I m w w I i A v P j x F b n R y e S B U e X B l P S J G a W x s Q 2 9 s d W 1 u V H l w Z X M i I F Z h b H V l P S J z Q U F V P S I g L z 4 8 R W 5 0 c n k g V H l w Z T 0 i R m l s b E V y c m 9 y Q 2 9 k Z S I g V m F s d W U 9 I n N V b m t u b 3 d u I i A v P j x F b n R y e S B U e X B l P S J G a W x s Q 2 9 s d W 1 u T m F t Z X M i I F Z h b H V l P S J z W y Z x d W 9 0 O 2 N v b X B f a W Q m c X V v d D s s J n F 1 b 3 Q 7 b H N 2 X 3 B l c l 9 t a H o m c X V v d D t d I i A v P j x F b n R y e S B U e X B l P S J G a W x s U 3 R h d H V z I i B W Y W x 1 Z T 0 i c 0 N v b X B s Z X R l I i A v P j x F b n R y e S B U e X B l P S J G a W x s Q 2 9 1 b n Q i I F Z h b H V l P S J s N j Q i I C 8 + P E V u d H J 5 I F R 5 c G U 9 I l J l b G F 0 a W 9 u c 2 h p c E l u Z m 9 D b 2 5 0 Y W l u Z X I i I F Z h b H V l P S J z e y Z x d W 9 0 O 2 N v b H V t b k N v d W 5 0 J n F 1 b 3 Q 7 O j I s J n F 1 b 3 Q 7 a 2 V 5 Q 2 9 s d W 1 u T m F t Z X M m c X V v d D s 6 W 1 0 s J n F 1 b 3 Q 7 c X V l c n l S Z W x h d G l v b n N o a X B z J n F 1 b 3 Q 7 O l t d L C Z x d W 9 0 O 2 N v b H V t b k l k Z W 5 0 a X R p Z X M m c X V v d D s 6 W y Z x d W 9 0 O 1 N l Y 3 R p b 2 4 x L 0 N f Q W x s Q 2 9 t c C 9 B c H B l b m R l Z C B R d W V y e S 5 7 Y 2 9 t c F 9 p Z C w w f S Z x d W 9 0 O y w m c X V v d D t T Z W N 0 a W 9 u M S 9 D X 0 F s b E N v b X A v Q X B w Z W 5 k Z W Q g U X V l c n k u e 2 x z d l 9 w Z X J f b W h 6 L D F 9 J n F 1 b 3 Q 7 X S w m c X V v d D t D b 2 x 1 b W 5 D b 3 V u d C Z x d W 9 0 O z o y L C Z x d W 9 0 O 0 t l e U N v b H V t b k 5 h b W V z J n F 1 b 3 Q 7 O l t d L C Z x d W 9 0 O 0 N v b H V t b k l k Z W 5 0 a X R p Z X M m c X V v d D s 6 W y Z x d W 9 0 O 1 N l Y 3 R p b 2 4 x L 0 N f Q W x s Q 2 9 t c C 9 B c H B l b m R l Z C B R d W V y e S 5 7 Y 2 9 t c F 9 p Z C w w f S Z x d W 9 0 O y w m c X V v d D t T Z W N 0 a W 9 u M S 9 D X 0 F s b E N v b X A v Q X B w Z W 5 k Z W Q g U X V l c n k u e 2 x z d l 9 w Z X J f b W h 6 L D F 9 J n F 1 b 3 Q 7 X S w m c X V v d D t S Z W x h d G l v b n N o a X B J b m Z v J n F 1 b 3 Q 7 O l t d f S I g L z 4 8 R W 5 0 c n k g V H l w Z T 0 i Q W R k Z W R U b 0 R h d G F N b 2 R l b C I g V m F s d W U 9 I m w w I i A v P j w v U 3 R h Y m x l R W 5 0 c m l l c z 4 8 L 0 l 0 Z W 0 + P E l 0 Z W 0 + P E l 0 Z W 1 M b 2 N h d G l v b j 4 8 S X R l b V R 5 c G U + R m 9 y b X V s Y T w v S X R l b V R 5 c G U + P E l 0 Z W 1 Q Y X R o P l N l Y 3 R p b 2 4 x L 0 N f Q W x s Q 2 9 t c C 9 T b 3 V y Y 2 U 8 L 0 l 0 Z W 1 Q Y X R o P j w v S X R l b U x v Y 2 F 0 a W 9 u P j x T d G F i b G V F b n R y a W V z I C 8 + P C 9 J d G V t P j x J d G V t P j x J d G V t T G 9 j Y X R p b 2 4 + P E l 0 Z W 1 U e X B l P k Z v c m 1 1 b G E 8 L 0 l 0 Z W 1 U e X B l P j x J d G V t U G F 0 a D 5 T Z W N 0 a W 9 u M S 9 D X 0 F s b E N v b X A v U m V t b 3 Z l Z C U y M E 9 0 a G V y J T I w Q 2 9 s d W 1 u c z w v S X R l b V B h d G g + P C 9 J d G V t T G 9 j Y X R p b 2 4 + P F N 0 Y W J s Z U V u d H J p Z X M g L z 4 8 L 0 l 0 Z W 0 + P E l 0 Z W 0 + P E l 0 Z W 1 M b 2 N h d G l v b j 4 8 S X R l b V R 5 c G U + R m 9 y b X V s Y T w v S X R l b V R 5 c G U + P E l 0 Z W 1 Q Y X R o P l N l Y 3 R p b 2 4 x L 0 N f Q W x s Q 2 9 t c C 9 D a G F u Z 2 V k J T I w V H l w Z T w v S X R l b V B h d G g + P C 9 J d G V t T G 9 j Y X R p b 2 4 + P F N 0 Y W J s Z U V u d H J p Z X M g L z 4 8 L 0 l 0 Z W 0 + P E l 0 Z W 0 + P E l 0 Z W 1 M b 2 N h d G l v b j 4 8 S X R l b V R 5 c G U + R m 9 y b X V s Y T w v S X R l b V R 5 c G U + P E l 0 Z W 1 Q Y X R o P l N l Y 3 R p b 2 4 x L 0 N f Q W x s Q 2 9 t c C 9 B c H B l b m R l Z C U y M F F 1 Z X J 5 P C 9 J d G V t U G F 0 a D 4 8 L 0 l 0 Z W 1 M b 2 N h d G l v b j 4 8 U 3 R h Y m x l R W 5 0 c m l l c y A v P j w v S X R l b T 4 8 S X R l b T 4 8 S X R l b U x v Y 2 F 0 a W 9 u P j x J d G V t V H l w Z T 5 G b 3 J t d W x h P C 9 J d G V t V H l w Z T 4 8 S X R l b V B h d G g + U 2 V j d G l v b j E v Q 1 9 Q Y W l y Z W Q 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l Z E N v b X B s Z X R l U m V z d W x 0 V G 9 X b 3 J r c 2 h l Z X Q i I F Z h b H V l P S J s M S I g L z 4 8 R W 5 0 c n k g V H l w Z T 0 i U m V j b 3 Z l c n l U Y X J n Z X R T a G V l d C I g V m F s d W U 9 I n N D X 1 J l b G F 0 a X Z l I i A v P j x F b n R y e S B U e X B l P S J S Z W N v d m V y e V R h c m d l d E N v b H V t b i I g V m F s d W U 9 I m w x I i A v P j x F b n R y e S B U e X B l P S J S Z W N v d m V y e V R h c m d l d F J v d y I g V m F s d W U 9 I m w 0 I i A v P j x F b n R y e S B U e X B l P S J G a W x s V G F y Z 2 V 0 I i B W Y W x 1 Z T 0 i c 0 N f U G F p c m V k I i A v P j x F b n R y e S B U e X B l P S J R d W V y e U l E I i B W Y W x 1 Z T 0 i c z h j Y W F l O T J i L T k 2 Z T Q t N D g 3 M C 0 5 Y z U 2 L T E 5 Z G I w M j c 4 Y j M 2 O C I g L z 4 8 R W 5 0 c n k g V H l w Z T 0 i R m l s b E x h c 3 R V c G R h d G V k I i B W Y W x 1 Z T 0 i Z D I w M j E t M D c t M j l U M T Y 6 M z Y 6 N T A u O T I z M z M w M 1 o i I C 8 + P E V u d H J 5 I F R 5 c G U 9 I k Z p b G x D b 2 x 1 b W 5 U e X B l c y I g V m F s d W U 9 I n N C Z 0 F B Q U F Z R 0 J n T U F B Q U E 9 I i A v P j x F b n R y e S B U e X B l P S J G a W x s R X J y b 3 J D b 3 V u d C I g V m F s d W U 9 I m w w I i A v P j x F b n R y e S B U e X B l P S J G a W x s Q 2 9 s d W 1 u T m F t Z X M i I F Z h b H V l P S J z W y Z x d W 9 0 O 2 J l b m N o b W F y a 1 9 p Z C Z x d W 9 0 O y w m c X V v d D t 0 Y X J n Z X R f Y m F u Z C Z x d W 9 0 O y w m c X V v d D t j b 2 1 w X 2 J h b m Q m c X V v d D s s J n F 1 b 3 Q 7 Y 2 9 1 b n R y e S Z x d W 9 0 O y w m c X V v d D t p b n R f Y 2 9 t c D E m c X V v d D s s J n F 1 b 3 Q 7 a W 5 0 X 2 N v b X A y J n F 1 b 3 Q 7 L C Z x d W 9 0 O 3 V r X 2 N v b X A x J n F 1 b 3 Q 7 L C Z x d W 9 0 O 3 R p Z X I m c X V v d D s s J n F 1 b 3 Q 7 Y m l h c 1 9 y a X N r J n F 1 b 3 Q 7 L C Z x d W 9 0 O 2 J p Y X N f c 2 N h b G U m c X V v d D s s J n F 1 b 3 Q 7 Y m l h c 1 9 k a X J l Y 3 R p b 2 4 m c X V v d D t d I i A v P j x F b n R y e S B U e X B l P S J G a W x s U 3 R h d H V z I i B W Y W x 1 Z T 0 i c 0 N v b X B s Z X R l I i A v P j x F b n R y e S B U e X B l P S J G a W x s R X J y b 3 J D b 2 R l I i B W Y W x 1 Z T 0 i c 1 V u a 2 5 v d 2 4 i I C 8 + P E V u d H J 5 I F R 5 c G U 9 I k Z p b G x D b 3 V u d C I g V m F s d W U 9 I m w x N y I g L z 4 8 R W 5 0 c n k g V H l w Z T 0 i U m V s Y X R p b 2 5 z a G l w S W 5 m b 0 N v b n R h a W 5 l c i I g V m F s d W U 9 I n N 7 J n F 1 b 3 Q 7 Y 2 9 s d W 1 u Q 2 9 1 b n Q m c X V v d D s 6 M T E s J n F 1 b 3 Q 7 a 2 V 5 Q 2 9 s d W 1 u T m F t Z X M m c X V v d D s 6 W 1 0 s J n F 1 b 3 Q 7 c X V l c n l S Z W x h d G l v b n N o a X B z J n F 1 b 3 Q 7 O l t d L C Z x d W 9 0 O 2 N v b H V t b k l k Z W 5 0 a X R p Z X M m c X V v d D s 6 W y Z x d W 9 0 O 1 N l Y 3 R p b 2 4 x L 0 N f U G F p c m V k L 0 N o Y W 5 n Z W Q g V H l w Z S 5 7 Y m V u Y 2 h t Y X J r X 2 l k L D B 9 J n F 1 b 3 Q 7 L C Z x d W 9 0 O 1 N l Y 3 R p b 2 4 x L 0 N f U G F p c m V k L 1 N v d X J j Z S 5 7 d G F y Z 2 V 0 X 2 J h b m Q s M X 0 m c X V v d D s s J n F 1 b 3 Q 7 U 2 V j d G l v b j E v Q 1 9 Q Y W l y Z W Q v U 2 9 1 c m N l L n t j b 2 1 w X 2 J h b m Q s M n 0 m c X V v d D s s J n F 1 b 3 Q 7 U 2 V j d G l v b j E v Q 1 9 Q Y W l y Z W Q v U 2 9 1 c m N l L n t j b 3 V u d H J 5 L D N 9 J n F 1 b 3 Q 7 L C Z x d W 9 0 O 1 N l Y 3 R p b 2 4 x L 0 N f U G F p c m V k L 0 N o Y W 5 n Z W Q g V H l w Z S 5 7 a W 5 0 X 2 N v b X A x L D R 9 J n F 1 b 3 Q 7 L C Z x d W 9 0 O 1 N l Y 3 R p b 2 4 x L 0 N f U G F p c m V k L 0 N o Y W 5 n Z W Q g V H l w Z S 5 7 a W 5 0 X 2 N v b X A y L D V 9 J n F 1 b 3 Q 7 L C Z x d W 9 0 O 1 N l Y 3 R p b 2 4 x L 0 N f U G F p c m V k L 0 N o Y W 5 n Z W Q g V H l w Z S 5 7 d W t f Y 2 9 t c D E s N n 0 m c X V v d D s s J n F 1 b 3 Q 7 U 2 V j d G l v b j E v Q 1 9 Q Y W l y Z W Q v Q 2 h h b m d l Z C B U e X B l L n t 0 a W V y L D d 9 J n F 1 b 3 Q 7 L C Z x d W 9 0 O 1 N l Y 3 R p b 2 4 x L 0 N f U G F p c m V k L 1 N v d X J j Z S 5 7 Y m l h c 1 9 y a X N r L D h 9 J n F 1 b 3 Q 7 L C Z x d W 9 0 O 1 N l Y 3 R p b 2 4 x L 0 N f U G F p c m V k L 1 N v d X J j Z S 5 7 Y m l h c 1 9 z Y 2 F s Z S w 5 f S Z x d W 9 0 O y w m c X V v d D t T Z W N 0 a W 9 u M S 9 D X 1 B h a X J l Z C 9 T b 3 V y Y 2 U u e 2 J p Y X N f Z G l y Z W N 0 a W 9 u L D E w f S Z x d W 9 0 O 1 0 s J n F 1 b 3 Q 7 Q 2 9 s d W 1 u Q 2 9 1 b n Q m c X V v d D s 6 M T E s J n F 1 b 3 Q 7 S 2 V 5 Q 2 9 s d W 1 u T m F t Z X M m c X V v d D s 6 W 1 0 s J n F 1 b 3 Q 7 Q 2 9 s d W 1 u S W R l b n R p d G l l c y Z x d W 9 0 O z p b J n F 1 b 3 Q 7 U 2 V j d G l v b j E v Q 1 9 Q Y W l y Z W Q v Q 2 h h b m d l Z C B U e X B l L n t i Z W 5 j a G 1 h c m t f a W Q s M H 0 m c X V v d D s s J n F 1 b 3 Q 7 U 2 V j d G l v b j E v Q 1 9 Q Y W l y Z W Q v U 2 9 1 c m N l L n t 0 Y X J n Z X R f Y m F u Z C w x f S Z x d W 9 0 O y w m c X V v d D t T Z W N 0 a W 9 u M S 9 D X 1 B h a X J l Z C 9 T b 3 V y Y 2 U u e 2 N v b X B f Y m F u Z C w y f S Z x d W 9 0 O y w m c X V v d D t T Z W N 0 a W 9 u M S 9 D X 1 B h a X J l Z C 9 T b 3 V y Y 2 U u e 2 N v d W 5 0 c n k s M 3 0 m c X V v d D s s J n F 1 b 3 Q 7 U 2 V j d G l v b j E v Q 1 9 Q Y W l y Z W Q v Q 2 h h b m d l Z C B U e X B l L n t p b n R f Y 2 9 t c D E s N H 0 m c X V v d D s s J n F 1 b 3 Q 7 U 2 V j d G l v b j E v Q 1 9 Q Y W l y Z W Q v Q 2 h h b m d l Z C B U e X B l L n t p b n R f Y 2 9 t c D I s N X 0 m c X V v d D s s J n F 1 b 3 Q 7 U 2 V j d G l v b j E v Q 1 9 Q Y W l y Z W Q v Q 2 h h b m d l Z C B U e X B l L n t 1 a 1 9 j b 2 1 w M S w 2 f S Z x d W 9 0 O y w m c X V v d D t T Z W N 0 a W 9 u M S 9 D X 1 B h a X J l Z C 9 D a G F u Z 2 V k I F R 5 c G U u e 3 R p Z X I s N 3 0 m c X V v d D s s J n F 1 b 3 Q 7 U 2 V j d G l v b j E v Q 1 9 Q Y W l y Z W Q v U 2 9 1 c m N l L n t i a W F z X 3 J p c 2 s s O H 0 m c X V v d D s s J n F 1 b 3 Q 7 U 2 V j d G l v b j E v Q 1 9 Q Y W l y Z W Q v U 2 9 1 c m N l L n t i a W F z X 3 N j Y W x l L D l 9 J n F 1 b 3 Q 7 L C Z x d W 9 0 O 1 N l Y 3 R p b 2 4 x L 0 N f U G F p c m V k L 1 N v d X J j Z S 5 7 Y m l h c 1 9 k a X J l Y 3 R p b 2 4 s M T B 9 J n F 1 b 3 Q 7 X S w m c X V v d D t S Z W x h d G l v b n N o a X B J b m Z v J n F 1 b 3 Q 7 O l t d f S I g L z 4 8 R W 5 0 c n k g V H l w Z T 0 i Q W R k Z W R U b 0 R h d G F N b 2 R l b C I g V m F s d W U 9 I m w w I i A v P j w v U 3 R h Y m x l R W 5 0 c m l l c z 4 8 L 0 l 0 Z W 0 + P E l 0 Z W 0 + P E l 0 Z W 1 M b 2 N h d G l v b j 4 8 S X R l b V R 5 c G U + R m 9 y b X V s Y T w v S X R l b V R 5 c G U + P E l 0 Z W 1 Q Y X R o P l N l Y 3 R p b 2 4 x L 0 N f U G F p c m V k L 1 N v d X J j Z T w v S X R l b V B h d G g + P C 9 J d G V t T G 9 j Y X R p b 2 4 + P F N 0 Y W J s Z U V u d H J p Z X M g L z 4 8 L 0 l 0 Z W 0 + P E l 0 Z W 0 + P E l 0 Z W 1 M b 2 N h d G l v b j 4 8 S X R l b V R 5 c G U + R m 9 y b X V s Y T w v S X R l b V R 5 c G U + P E l 0 Z W 1 Q Y X R o P l N l Y 3 R p b 2 4 x L 0 N f U G F p c m V k L 0 N o Y W 5 n Z W Q l M j B U e X B l P C 9 J d G V t U G F 0 a D 4 8 L 0 l 0 Z W 1 M b 2 N h d G l v b j 4 8 U 3 R h Y m x l R W 5 0 c m l l c y A v P j w v S X R l b T 4 8 S X R l b T 4 8 S X R l b U x v Y 2 F 0 a W 9 u P j x J d G V t V H l w Z T 5 G b 3 J t d W x h P C 9 J d G V t V H l w Z T 4 8 S X R l b V B h d G g + U 2 V j d G l v b j E v Q 1 9 Q Y W l y Z W Q v U m V t b 3 Z l Z C U y M E J s Y W 5 r J T I w U m 9 3 c z w v S X R l b V B h d G g + P C 9 J d G V t T G 9 j Y X R p b 2 4 + P F N 0 Y W J s Z U V u d H J p Z X M g L z 4 8 L 0 l 0 Z W 0 + P E l 0 Z W 0 + P E l 0 Z W 1 M b 2 N h d G l v b j 4 8 S X R l b V R 5 c G U + R m 9 y b X V s Y T w v S X R l b V R 5 c G U + P E l 0 Z W 1 Q Y X R o P l N l Y 3 R p b 2 4 x L 0 N f U G F p c m V k L 1 N v c n R l Z C U y M F J v d 3 M 8 L 0 l 0 Z W 1 Q Y X R o P j w v S X R l b U x v Y 2 F 0 a W 9 u P j x T d G F i b G V F b n R y a W V z I C 8 + P C 9 J d G V t P j x J d G V t P j x J d G V t T G 9 j Y X R p b 2 4 + P E l 0 Z W 1 U e X B l P k Z v c m 1 1 b G E 8 L 0 l 0 Z W 1 U e X B l P j x J d G V t U G F 0 a D 5 T Z W N 0 a W 9 u M S 9 P X 1 B h a X J l Z D 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O Y X Z p Z 2 F 0 a W 9 u U 3 R l c E 5 h b W U i I F Z h b H V l P S J z T m F 2 a W d h d G l v b i I g L z 4 8 R W 5 0 c n k g V H l w Z T 0 i T m F t Z V V w Z G F 0 Z W R B Z n R l c k Z p b G w i I F Z h b H V l P S J s M C I g L z 4 8 R W 5 0 c n k g V H l w Z T 0 i U m V z d W x 0 V H l w Z S I g V m F s d W U 9 I n N U Y W J s Z S I g L z 4 8 R W 5 0 c n k g V H l w Z T 0 i Q n V m Z m V y T m V 4 d F J l Z n J l c 2 g i I F Z h b H V l P S J s M S I g L z 4 8 R W 5 0 c n k g V H l w Z T 0 i R m l s b G V k Q 2 9 t c G x l d G V S Z X N 1 b H R U b 1 d v c m t z a G V l d C I g V m F s d W U 9 I m w x I i A v P j x F b n R y e S B U e X B l P S J S Z W N v d m V y e V R h c m d l d F N o Z W V 0 I i B W Y W x 1 Z T 0 i c 0 9 f U m V s Y X R p d m U i I C 8 + P E V u d H J 5 I F R 5 c G U 9 I l J l Y 2 9 2 Z X J 5 V G F y Z 2 V 0 Q 2 9 s d W 1 u I i B W Y W x 1 Z T 0 i b D E i I C 8 + P E V u d H J 5 I F R 5 c G U 9 I l J l Y 2 9 2 Z X J 5 V G F y Z 2 V 0 U m 9 3 I i B W Y W x 1 Z T 0 i b D Q i I C 8 + P E V u d H J 5 I F R 5 c G U 9 I k Z p b G x U Y X J n Z X Q i I F Z h b H V l P S J z T 1 9 Q Y W l y Z W Q i I C 8 + P E V u d H J 5 I F R 5 c G U 9 I l F 1 Z X J 5 S U Q i I F Z h b H V l P S J z Y z U 3 Y T k y Z G I t O D h l N i 0 0 Y T l j L W I 0 Y j I t O D I 4 O D V j Z D Q 4 M D g w I i A v P j x F b n R y e S B U e X B l P S J G a W x s T G F z d F V w Z G F 0 Z W Q i I F Z h b H V l P S J k M j A y M S 0 w N y 0 y O V Q x N j o z N z o w M i 4 1 M z E x N T Q 0 W i I g L z 4 8 R W 5 0 c n k g V H l w Z T 0 i R m l s b E N v b H V t b l R 5 c G V z I i B W Y W x 1 Z T 0 i c 0 F B Q U d B Q U F B Q U F B Q U F B P T 0 i I C 8 + P E V u d H J 5 I F R 5 c G U 9 I k Z p b G x D b 2 x 1 b W 5 O Y W 1 l c y I g V m F s d W U 9 I n N b J n F 1 b 3 Q 7 Y m V u Y 2 h t Y X J r X 2 l k J n F 1 b 3 Q 7 L C Z x d W 9 0 O 3 R h c m d l d F 9 i Y W 5 k J n F 1 b 3 Q 7 L C Z x d W 9 0 O 2 N v b X B f Y m F u Z C Z x d W 9 0 O y w m c X V v d D t j b 3 V u d H J 5 J n F 1 b 3 Q 7 L C Z x d W 9 0 O 3 R p Z X I m c X V v d D s s J n F 1 b 3 Q 7 Y m l h c 1 9 y a X N r J n F 1 b 3 Q 7 L C Z x d W 9 0 O 2 J p Y X N f c 2 N h b G U m c X V v d D s s J n F 1 b 3 Q 7 Y m l h c 1 9 k a X J l Y 3 R p b 2 4 m c X V v d D s s J n F 1 b 3 Q 7 c m F 0 a W 9 f M l 8 x J n F 1 b 3 Q 7 L C Z x d W 9 0 O 2 x z d l 9 w Z X J f b W h 6 X 3 V r M i Z x d W 9 0 O 1 0 i I C 8 + P E V u d H J 5 I F R 5 c G U 9 I k Z p b G x F c n J v c k N v d W 5 0 I i B W Y W x 1 Z T 0 i b D A i I C 8 + P E V u d H J 5 I F R 5 c G U 9 I k Z p b G x T d G F 0 d X M i I F Z h b H V l P S J z Q 2 9 t c G x l d G U i I C 8 + P E V u d H J 5 I F R 5 c G U 9 I k Z p b G x F c n J v c k N v Z G U i I F Z h b H V l P S J z V W 5 r b m 9 3 b i I g L z 4 8 R W 5 0 c n k g V H l w Z T 0 i R m l s b E N v d W 5 0 I i B W Y W x 1 Z T 0 i b D E 3 I i A v P j x F b n R y e S B U e X B l P S J S Z W x h d G l v b n N o a X B J b m Z v Q 2 9 u d G F p b m V y I i B W Y W x 1 Z T 0 i c 3 s m c X V v d D t j b 2 x 1 b W 5 D b 3 V u d C Z x d W 9 0 O z o x M C w m c X V v d D t r Z X l D b 2 x 1 b W 5 O Y W 1 l c y Z x d W 9 0 O z p b X S w m c X V v d D t x d W V y e V J l b G F 0 a W 9 u c 2 h p c H M m c X V v d D s 6 W 1 0 s J n F 1 b 3 Q 7 Y 2 9 s d W 1 u S W R l b n R p d G l l c y Z x d W 9 0 O z p b J n F 1 b 3 Q 7 U 2 V j d G l v b j E v T 1 9 Q Y W l y Z W Q v U 2 9 1 c m N l L n t i Z W 5 j a G 1 h c m t f a W Q s M H 0 m c X V v d D s s J n F 1 b 3 Q 7 U 2 V j d G l v b j E v T 1 9 Q Y W l y Z W Q v U 2 9 1 c m N l L n t 0 Y X J n Z X R f Y m F u Z C w x f S Z x d W 9 0 O y w m c X V v d D t T Z W N 0 a W 9 u M S 9 P X 1 B h a X J l Z C 9 D a G F u Z 2 V k I F R 5 c G U u e 2 N v b X B f Y m F u Z C w y f S Z x d W 9 0 O y w m c X V v d D t T Z W N 0 a W 9 u M S 9 P X 1 B h a X J l Z C 9 T b 3 V y Y 2 U u e 2 N v d W 5 0 c n k s M 3 0 m c X V v d D s s J n F 1 b 3 Q 7 U 2 V j d G l v b j E v T 1 9 Q Y W l y Z W Q v U 2 9 1 c m N l L n t 0 a W V y L D d 9 J n F 1 b 3 Q 7 L C Z x d W 9 0 O 1 N l Y 3 R p b 2 4 x L 0 9 f U G F p c m V k L 1 N v d X J j Z S 5 7 Y m l h c 1 9 y a X N r L D h 9 J n F 1 b 3 Q 7 L C Z x d W 9 0 O 1 N l Y 3 R p b 2 4 x L 0 9 f U G F p c m V k L 1 N v d X J j Z S 5 7 Y m l h c 1 9 z Y 2 F s Z S w 5 f S Z x d W 9 0 O y w m c X V v d D t T Z W N 0 a W 9 u M S 9 P X 1 B h a X J l Z C 9 T b 3 V y Y 2 U u e 2 J p Y X N f Z G l y Z W N 0 a W 9 u L D E w f S Z x d W 9 0 O y w m c X V v d D t T Z W N 0 a W 9 u M S 9 P X 1 B h a X J l Z C 9 T b 3 V y Y 2 U u e 3 J h d G l v X z J f M S w x N H 0 m c X V v d D s s J n F 1 b 3 Q 7 U 2 V j d G l v b j E v T 1 9 Q Y W l y Z W Q v U 2 9 1 c m N l L n t s c 3 Z f c G V y X 2 1 o e l 9 1 a z I s M T V 9 J n F 1 b 3 Q 7 X S w m c X V v d D t D b 2 x 1 b W 5 D b 3 V u d C Z x d W 9 0 O z o x M C w m c X V v d D t L Z X l D b 2 x 1 b W 5 O Y W 1 l c y Z x d W 9 0 O z p b X S w m c X V v d D t D b 2 x 1 b W 5 J Z G V u d G l 0 a W V z J n F 1 b 3 Q 7 O l s m c X V v d D t T Z W N 0 a W 9 u M S 9 P X 1 B h a X J l Z C 9 T b 3 V y Y 2 U u e 2 J l b m N o b W F y a 1 9 p Z C w w f S Z x d W 9 0 O y w m c X V v d D t T Z W N 0 a W 9 u M S 9 P X 1 B h a X J l Z C 9 T b 3 V y Y 2 U u e 3 R h c m d l d F 9 i Y W 5 k L D F 9 J n F 1 b 3 Q 7 L C Z x d W 9 0 O 1 N l Y 3 R p b 2 4 x L 0 9 f U G F p c m V k L 0 N o Y W 5 n Z W Q g V H l w Z S 5 7 Y 2 9 t c F 9 i Y W 5 k L D J 9 J n F 1 b 3 Q 7 L C Z x d W 9 0 O 1 N l Y 3 R p b 2 4 x L 0 9 f U G F p c m V k L 1 N v d X J j Z S 5 7 Y 2 9 1 b n R y e S w z f S Z x d W 9 0 O y w m c X V v d D t T Z W N 0 a W 9 u M S 9 P X 1 B h a X J l Z C 9 T b 3 V y Y 2 U u e 3 R p Z X I s N 3 0 m c X V v d D s s J n F 1 b 3 Q 7 U 2 V j d G l v b j E v T 1 9 Q Y W l y Z W Q v U 2 9 1 c m N l L n t i a W F z X 3 J p c 2 s s O H 0 m c X V v d D s s J n F 1 b 3 Q 7 U 2 V j d G l v b j E v T 1 9 Q Y W l y Z W Q v U 2 9 1 c m N l L n t i a W F z X 3 N j Y W x l L D l 9 J n F 1 b 3 Q 7 L C Z x d W 9 0 O 1 N l Y 3 R p b 2 4 x L 0 9 f U G F p c m V k L 1 N v d X J j Z S 5 7 Y m l h c 1 9 k a X J l Y 3 R p b 2 4 s M T B 9 J n F 1 b 3 Q 7 L C Z x d W 9 0 O 1 N l Y 3 R p b 2 4 x L 0 9 f U G F p c m V k L 1 N v d X J j Z S 5 7 c m F 0 a W 9 f M l 8 x L D E 0 f S Z x d W 9 0 O y w m c X V v d D t T Z W N 0 a W 9 u M S 9 P X 1 B h a X J l Z C 9 T b 3 V y Y 2 U u e 2 x z d l 9 w Z X J f b W h 6 X 3 V r M i w x N X 0 m c X V v d D t d L C Z x d W 9 0 O 1 J l b G F 0 a W 9 u c 2 h p c E l u Z m 8 m c X V v d D s 6 W 1 1 9 I i A v P j x F b n R y e S B U e X B l P S J B Z G R l Z F R v R G F 0 Y U 1 v Z G V s I i B W Y W x 1 Z T 0 i b D A i I C 8 + P C 9 T d G F i b G V F b n R y a W V z P j w v S X R l b T 4 8 S X R l b T 4 8 S X R l b U x v Y 2 F 0 a W 9 u P j x J d G V t V H l w Z T 5 G b 3 J t d W x h P C 9 J d G V t V H l w Z T 4 8 S X R l b V B h d G g + U 2 V j d G l v b j E v T 1 9 Q Y W l y Z W Q v U 2 9 1 c m N l P C 9 J d G V t U G F 0 a D 4 8 L 0 l 0 Z W 1 M b 2 N h d G l v b j 4 8 U 3 R h Y m x l R W 5 0 c m l l c y A v P j w v S X R l b T 4 8 S X R l b T 4 8 S X R l b U x v Y 2 F 0 a W 9 u P j x J d G V t V H l w Z T 5 G b 3 J t d W x h P C 9 J d G V t V H l w Z T 4 8 S X R l b V B h d G g + U 2 V j d G l v b j E v T 1 9 Q Y W l y Z W Q v U m V t b 3 Z l Z C U y M E 9 0 a G V y J T I w Q 2 9 s d W 1 u c z w v S X R l b V B h d G g + P C 9 J d G V t T G 9 j Y X R p b 2 4 + P F N 0 Y W J s Z U V u d H J p Z X M g L z 4 8 L 0 l 0 Z W 0 + P E l 0 Z W 0 + P E l 0 Z W 1 M b 2 N h d G l v b j 4 8 S X R l b V R 5 c G U + R m 9 y b X V s Y T w v S X R l b V R 5 c G U + P E l 0 Z W 1 Q Y X R o P l N l Y 3 R p b 2 4 x L 0 d f U m V z d W x 0 c y 9 B Z G R l Z C U y M E N 1 c 3 R v b T w v S X R l b V B h d G g + P C 9 J d G V t T G 9 j Y X R p b 2 4 + P F N 0 Y W J s Z U V u d H J p Z X M g L z 4 8 L 0 l 0 Z W 0 + P E l 0 Z W 0 + P E l 0 Z W 1 M b 2 N h d G l v b j 4 8 S X R l b V R 5 c G U + R m 9 y b X V s Y T w v S X R l b V R 5 c G U + P E l 0 Z W 1 Q Y X R o P l N l Y 3 R p b 2 4 x L 0 d f U m V z d W x 0 c y 9 D a G F u Z 2 V k J T I w V H l w Z T I 8 L 0 l 0 Z W 1 Q Y X R o P j w v S X R l b U x v Y 2 F 0 a W 9 u P j x T d G F i b G V F b n R y a W V z I C 8 + P C 9 J d G V t P j x J d G V t P j x J d G V t T G 9 j Y X R p b 2 4 + P E l 0 Z W 1 U e X B l P k Z v c m 1 1 b G E 8 L 0 l 0 Z W 1 U e X B l P j x J d G V t U G F 0 a D 5 T Z W N 0 a W 9 u M S 9 H X 1 J l c 3 V s d H M v Q 2 h h b m d l Z C U y M F R 5 c G U x P C 9 J d G V t U G F 0 a D 4 8 L 0 l 0 Z W 1 M b 2 N h d G l v b j 4 8 U 3 R h Y m x l R W 5 0 c m l l c y A v P j w v S X R l b T 4 8 S X R l b T 4 8 S X R l b U x v Y 2 F 0 a W 9 u P j x J d G V t V H l w Z T 5 G b 3 J t d W x h P C 9 J d G V t V H l w Z T 4 8 S X R l b V B h d G g + U 2 V j d G l v b j E v R 1 9 S Z X N 1 b H R z L 0 N o Y W 5 n Z W Q l M j B U e X B l P C 9 J d G V t U G F 0 a D 4 8 L 0 l 0 Z W 1 M b 2 N h d G l v b j 4 8 U 3 R h Y m x l R W 5 0 c m l l c y A v P j w v S X R l b T 4 8 S X R l b T 4 8 S X R l b U x v Y 2 F 0 a W 9 u P j x J d G V t V H l w Z T 5 G b 3 J t d W x h P C 9 J d G V t V H l w Z T 4 8 S X R l b V B h d G g + U 2 V j d G l v b j E v R 1 9 S Z X N 1 b H R z L 0 F k Z G V k J T I w Q 3 V z d G 9 t M z w v S X R l b V B h d G g + P C 9 J d G V t T G 9 j Y X R p b 2 4 + P F N 0 Y W J s Z U V u d H J p Z X M g L z 4 8 L 0 l 0 Z W 0 + P E l 0 Z W 0 + P E l 0 Z W 1 M b 2 N h d G l v b j 4 8 S X R l b V R 5 c G U + R m 9 y b X V s Y T w v S X R l b V R 5 c G U + P E l 0 Z W 1 Q Y X R o P l N l Y 3 R p b 2 4 x L 0 d f U m V z d W x 0 c y 9 D a G F u Z 2 V k J T I w V H l w Z T M 8 L 0 l 0 Z W 1 Q Y X R o P j w v S X R l b U x v Y 2 F 0 a W 9 u P j x T d G F i b G V F b n R y a W V z I C 8 + P C 9 J d G V t P j x J d G V t P j x J d G V t T G 9 j Y X R p b 2 4 + P E l 0 Z W 1 U e X B l P k Z v c m 1 1 b G E 8 L 0 l 0 Z W 1 U e X B l P j x J d G V t U G F 0 a D 5 T Z W N 0 a W 9 u M S 9 P X 1 B h a X J l Z C 9 D a G F u Z 2 V k J T I w V H l w Z T w v S X R l b V B h d G g + P C 9 J d G V t T G 9 j Y X R p b 2 4 + P F N 0 Y W J s Z U V u d H J p Z X M g L z 4 8 L 0 l 0 Z W 0 + P E l 0 Z W 0 + P E l 0 Z W 1 M b 2 N h d G l v b j 4 8 S X R l b V R 5 c G U + R m 9 y b X V s Y T w v S X R l b V R 5 c G U + P E l 0 Z W 1 Q Y X R o P l N l Y 3 R p b 2 4 x L 0 d f U m V z d W x 0 c y 9 B Z G R l Z C U y M E N 1 c 3 R v b T Q 8 L 0 l 0 Z W 1 Q Y X R o P j w v S X R l b U x v Y 2 F 0 a W 9 u P j x T d G F i b G V F b n R y a W V z I C 8 + P C 9 J d G V t P j x J d G V t P j x J d G V t T G 9 j Y X R p b 2 4 + P E l 0 Z W 1 U e X B l P k Z v c m 1 1 b G E 8 L 0 l 0 Z W 1 U e X B l P j x J d G V t U G F 0 a D 5 T Z W N 0 a W 9 u M S 9 H X 1 J l c 3 V s d H M v U m V w b G F j Z W Q l M j B W Y W x 1 Z T w v S X R l b V B h d G g + P C 9 J d G V t T G 9 j Y X R p b 2 4 + P F N 0 Y W J s Z U V u d H J p Z X M g L z 4 8 L 0 l 0 Z W 0 + P E l 0 Z W 0 + P E l 0 Z W 1 M b 2 N h d G l v b j 4 8 S X R l b V R 5 c G U + R m 9 y b X V s Y T w v S X R l b V R 5 c G U + P E l 0 Z W 1 Q Y X R o P l N l Y 3 R p b 2 4 x L 0 V f U m V z d W x 0 c z w v S X R l b V B h d G g + P C 9 J d G V t T G 9 j Y X R p b 2 4 + P F N 0 Y W J s Z U V u d H J p Z X M + P E V u d H J 5 I F R 5 c G U 9 I k Z p b G x F b m F i b G V k I i B W Y W x 1 Z T 0 i b D E i I C 8 + P E V u d H J 5 I F R 5 c G U 9 I k Z p b G x P Y m p l Y 3 R U e X B l I i B W Y W x 1 Z T 0 i c 1 R h Y m x l I i A v P j x F b n R y e S B U e X B l P S J G a W x s V G 9 E Y X R h T W 9 k Z W x F b m F i b G V k I i B W Y W x 1 Z T 0 i b D A i I C 8 + P E V u d H J 5 I F R 5 c G U 9 I k l z U H J p d m F 0 Z S 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G V k Q 2 9 t c G x l d G V S Z X N 1 b H R U b 1 d v c m t z a G V l d C I g V m F s d W U 9 I m w x I i A v P j x F b n R y e S B U e X B l P S J S Z W N v d m V y e V R h c m d l d F N o Z W V 0 I i B W Y W x 1 Z T 0 i c 0 V f U m V z d W x 0 c y I g L z 4 8 R W 5 0 c n k g V H l w Z T 0 i U m V j b 3 Z l c n l U Y X J n Z X R D b 2 x 1 b W 4 i I F Z h b H V l P S J s M S I g L z 4 8 R W 5 0 c n k g V H l w Z T 0 i U m V j b 3 Z l c n l U Y X J n Z X R S b 3 c i I F Z h b H V l P S J s N C I g L z 4 8 R W 5 0 c n k g V H l w Z T 0 i R m l s b F R h c m d l d C I g V m F s d W U 9 I n N F X 1 J l c 3 V s d H M i I C 8 + P E V u d H J 5 I F R 5 c G U 9 I l F 1 Z X J 5 S U Q i I F Z h b H V l P S J z M T V m O W M y M j k t Y 2 E y Z i 0 0 N T I w L T k z Z m U t Y z R k N j I 3 Y z g w M j k 0 I i A v P j x F b n R y e S B U e X B l P S J G a W x s T G F z d F V w Z G F 0 Z W Q i I F Z h b H V l P S J k M j A y M S 0 w N y 0 y O V Q x N j o z O D o w O S 4 0 M T U 0 M z c 0 W i I g L z 4 8 R W 5 0 c n k g V H l w Z T 0 i R m l s b E N v b H V t b l R 5 c G V z I i B W Y W x 1 Z T 0 i c 0 F B Q U F B Q U F B Q U F B Q U F B Q U F C U U 1 E Q X d N R E F 3 V T 0 i I C 8 + P E V u d H J 5 I F R 5 c G U 9 I k Z p b G x F c n J v c k N v d W 5 0 I i B W Y W x 1 Z T 0 i b D A i I C 8 + P E V u d H J 5 I F R 5 c G U 9 I k Z p b G x D b 2 x 1 b W 5 O Y W 1 l c y I g V m F s d W U 9 I n N b J n F 1 b 3 Q 7 Y m V u Y 2 h t Y X J r X 2 l k J n F 1 b 3 Q 7 L C Z x d W 9 0 O 3 R h c m d l d F 9 i Y W 5 k J n F 1 b 3 Q 7 L C Z x d W 9 0 O 2 N v b X B f Y m F u Z C Z x d W 9 0 O y w m c X V v d D t j b 3 V u d H J 5 J n F 1 b 3 Q 7 L C Z x d W 9 0 O 3 R p Z X I m c X V v d D s s J n F 1 b 3 Q 7 Y m l h c 1 9 y a X N r J n F 1 b 3 Q 7 L C Z x d W 9 0 O 2 J p Y X N f c 2 N h b G U m c X V v d D s s J n F 1 b 3 Q 7 Y m l h c 1 9 k a X J l Y 3 R p b 2 4 m c X V v d D s s J n F 1 b 3 Q 7 c m F 0 a W 9 f M l 8 x J n F 1 b 3 Q 7 L C Z x d W 9 0 O 2 x z d l 9 w Z X J f b W h 6 X 3 V r M i Z x d W 9 0 O y w m c X V v d D t t Z X R o b 2 Q m c X V v d D s s J n F 1 b 3 Q 7 c m F 0 a W 9 f e V 9 4 J n F 1 b 3 Q 7 L C Z x d W 9 0 O 2 x z d l / C o 2 1 f c G V y X 2 1 o e i Z x d W 9 0 O y w m c X V v d D t i a W F z X 3 J p c 2 t f d m F s J n F 1 b 3 Q 7 L C Z x d W 9 0 O 2 J p Y X N f c 2 N h b G V f d m F s J n F 1 b 3 Q 7 L C Z x d W 9 0 O 2 J p Y X N f b 3 Z l c i Z x d W 9 0 O y w m c X V v d D t i a W F z X 3 V u Z G V y J n F 1 b 3 Q 7 L C Z x d W 9 0 O 2 J p Y X N f b 3 Z l c l 9 2 Y W w m c X V v d D s s J n F 1 b 3 Q 7 Y m l h c 1 9 1 b m R l c l 9 2 Y W w m c X V v d D s s J n F 1 b 3 Q 7 Y m F z Z S Z x d W 9 0 O 1 0 i I C 8 + P E V u d H J 5 I F R 5 c G U 9 I k Z p b G x F c n J v c k N v Z G U i I F Z h b H V l P S J z V W 5 r b m 9 3 b i I g L z 4 8 R W 5 0 c n k g V H l w Z T 0 i R m l s b F N 0 Y X R 1 c y I g V m F s d W U 9 I n N D b 2 1 w b G V 0 Z S I g L z 4 8 R W 5 0 c n k g V H l w Z T 0 i U m V s Y X R p b 2 5 z a G l w S W 5 m b 0 N v b n R h a W 5 l c i I g V m F s d W U 9 I n N 7 J n F 1 b 3 Q 7 Y 2 9 s d W 1 u Q 2 9 1 b n Q m c X V v d D s 6 M j A s J n F 1 b 3 Q 7 a 2 V 5 Q 2 9 s d W 1 u T m F t Z X M m c X V v d D s 6 W 1 0 s J n F 1 b 3 Q 7 c X V l c n l S Z W x h d G l v b n N o a X B z J n F 1 b 3 Q 7 O l t 7 J n F 1 b 3 Q 7 a 2 V 5 Q 2 9 s d W 1 u Q 2 9 1 b n Q m c X V v d D s 6 M S w m c X V v d D t r Z X l D b 2 x 1 b W 4 m c X V v d D s 6 N S w m c X V v d D t v d G h l c k t l e U N v b H V t b k l k Z W 5 0 a X R 5 J n F 1 b 3 Q 7 O i Z x d W 9 0 O 1 N l Y 3 R p b 2 4 x L 0 l f Q m l h c 1 9 y a X N r L 0 N o Y W 5 n Z W Q g V H l w Z S 5 7 Y m l h c 1 9 y a X N r L D B 9 J n F 1 b 3 Q 7 L C Z x d W 9 0 O 0 t l e U N v b H V t b k N v d W 5 0 J n F 1 b 3 Q 7 O j F 9 L H s m c X V v d D t r Z X l D b 2 x 1 b W 5 D b 3 V u d C Z x d W 9 0 O z o x L C Z x d W 9 0 O 2 t l e U N v b H V t b i Z x d W 9 0 O z o 2 L C Z x d W 9 0 O 2 9 0 a G V y S 2 V 5 Q 2 9 s d W 1 u S W R l b n R p d H k m c X V v d D s 6 J n F 1 b 3 Q 7 U 2 V j d G l v b j E v S V 9 C a W F z X 3 N j Y W x l L 0 N o Y W 5 n Z W Q g V H l w Z S 5 7 Y m l h c 1 9 z Y 2 F s Z S w w f S Z x d W 9 0 O y w m c X V v d D t L Z X l D b 2 x 1 b W 5 D b 3 V u d C Z x d W 9 0 O z o x f S x 7 J n F 1 b 3 Q 7 a 2 V 5 Q 2 9 s d W 1 u Q 2 9 1 b n Q m c X V v d D s 6 M S w m c X V v d D t r Z X l D b 2 x 1 b W 4 m c X V v d D s 6 N y w m c X V v d D t v d G h l c k t l e U N v b H V t b k l k Z W 5 0 a X R 5 J n F 1 b 3 Q 7 O i Z x d W 9 0 O 1 N l Y 3 R p b 2 4 x L 0 l f Q m l h c 1 9 k a X J l Y 3 R p b 2 4 v Q 2 h h b m d l Z C B U e X B l L n t i a W F z X 2 R p c m V j d G l v b i w w f S Z x d W 9 0 O y w m c X V v d D t L Z X l D b 2 x 1 b W 5 D b 3 V u d C Z x d W 9 0 O z o x f V 0 s J n F 1 b 3 Q 7 Y 2 9 s d W 1 u S W R l b n R p d G l l c y Z x d W 9 0 O z p b J n F 1 b 3 Q 7 U 2 V j d G l v b j E v R 1 9 S Z X N 1 b H R z L 0 F w c G V u Z G V k I F F 1 Z X J 5 L n t i Z W 5 j a G 1 h c m t f a W Q s M H 0 m c X V v d D s s J n F 1 b 3 Q 7 U 2 V j d G l v b j E v R 1 9 S Z X N 1 b H R z L 0 F w c G V u Z G V k I F F 1 Z X J 5 L n t 0 Y X J n Z X R f Y m F u Z C w x f S Z x d W 9 0 O y w m c X V v d D t T Z W N 0 a W 9 u M S 9 H X 1 J l c 3 V s d H M v Q X B w Z W 5 k Z W Q g U X V l c n k u e 2 N v b X B f Y m F u Z C w y f S Z x d W 9 0 O y w m c X V v d D t T Z W N 0 a W 9 u M S 9 H X 1 J l c 3 V s d H M v Q X B w Z W 5 k Z W Q g U X V l c n k u e 2 N v d W 5 0 c n k s M 3 0 m c X V v d D s s J n F 1 b 3 Q 7 U 2 V j d G l v b j E v R 1 9 S Z X N 1 b H R z L 0 F w c G V u Z G V k I F F 1 Z X J 5 L n t 0 a W V y L D R 9 J n F 1 b 3 Q 7 L C Z x d W 9 0 O 1 N l Y 3 R p b 2 4 x L 0 d f U m V z d W x 0 c y 9 B c H B l b m R l Z C B R d W V y e S 5 7 Y m l h c 1 9 y a X N r L D V 9 J n F 1 b 3 Q 7 L C Z x d W 9 0 O 1 N l Y 3 R p b 2 4 x L 0 d f U m V z d W x 0 c y 9 B c H B l b m R l Z C B R d W V y e S 5 7 Y m l h c 1 9 z Y 2 F s Z S w 2 f S Z x d W 9 0 O y w m c X V v d D t T Z W N 0 a W 9 u M S 9 H X 1 J l c 3 V s d H M v Q X B w Z W 5 k Z W Q g U X V l c n k u e 2 J p Y X N f Z G l y Z W N 0 a W 9 u L D d 9 J n F 1 b 3 Q 7 L C Z x d W 9 0 O 1 N l Y 3 R p b 2 4 x L 0 d f U m V z d W x 0 c y 9 B c H B l b m R l Z C B R d W V y e S 5 7 c m F 0 a W 9 f M l 8 x L D h 9 J n F 1 b 3 Q 7 L C Z x d W 9 0 O 1 N l Y 3 R p b 2 4 x L 0 d f U m V z d W x 0 c y 9 B c H B l b m R l Z C B R d W V y e S 5 7 b H N 2 X 3 B l c l 9 t a H p f d W s y L D l 9 J n F 1 b 3 Q 7 L C Z x d W 9 0 O 1 N l Y 3 R p b 2 4 x L 0 d f U m V z d W x 0 c y 9 S Z X B s Y W N l Z C B W Y W x 1 Z S 5 7 b W V 0 a G 9 k L D E w f S Z x d W 9 0 O y w m c X V v d D t T Z W N 0 a W 9 u M S 9 H X 1 J l c 3 V s d H M v Q X B w Z W 5 k Z W Q g U X V l c n k u e 3 J h d G l v X 3 l f e C w x M X 0 m c X V v d D s s J n F 1 b 3 Q 7 U 2 V j d G l v b j E v R 1 9 S Z X N 1 b H R z L 0 N o Y W 5 n Z W Q g V H l w Z S 5 7 b H N 2 X 8 K j b V 9 w Z X J f b W h 6 L D E y f S Z x d W 9 0 O y w m c X V v d D t T Z W N 0 a W 9 u M S 9 J X 0 J p Y X N f c m l z a y 9 D a G F u Z 2 V k I F R 5 c G U u e 2 J p Y X N f c m l z a 1 9 2 Y W w s M X 0 m c X V v d D s s J n F 1 b 3 Q 7 U 2 V j d G l v b j E v S V 9 C a W F z X 3 N j Y W x l L 0 N o Y W 5 n Z W Q g V H l w Z S 5 7 Y m l h c 1 9 z Y 2 F s Z V 9 2 Y W w s M X 0 m c X V v d D s s J n F 1 b 3 Q 7 U 2 V j d G l v b j E v S V 9 C a W F z X 2 R p c m V j d G l v b i 9 D a G F u Z 2 V k I F R 5 c G U u e 2 J p Y X N f b 3 Z l c i w x f S Z x d W 9 0 O y w m c X V v d D t T Z W N 0 a W 9 u M S 9 J X 0 J p Y X N f Z G l y Z W N 0 a W 9 u L 0 N o Y W 5 n Z W Q g V H l w Z S 5 7 Y m l h c 1 9 1 b m R l c i w y f S Z x d W 9 0 O y w m c X V v d D t T Z W N 0 a W 9 u M S 9 H X 1 J l c 3 V s d H M v Q 2 h h b m d l Z C B U e X B l M S 5 7 Y m l h c 1 9 v d m V y X 3 Z h b C w x N 3 0 m c X V v d D s s J n F 1 b 3 Q 7 U 2 V j d G l v b j E v R 1 9 S Z X N 1 b H R z L 0 N o Y W 5 n Z W Q g V H l w Z T I u e 2 J p Y X N f d W 5 k Z X J f d m F s L D E 4 f S Z x d W 9 0 O y w m c X V v d D t T Z W N 0 a W 9 u M S 9 H X 1 J l c 3 V s d H M v Q 2 h h b m d l Z C B U e X B l M y 5 7 Y m F z Z S w x O X 0 m c X V v d D t d L C Z x d W 9 0 O 0 N v b H V t b k N v d W 5 0 J n F 1 b 3 Q 7 O j I w L C Z x d W 9 0 O 0 t l e U N v b H V t b k 5 h b W V z J n F 1 b 3 Q 7 O l t d L C Z x d W 9 0 O 0 N v b H V t b k l k Z W 5 0 a X R p Z X M m c X V v d D s 6 W y Z x d W 9 0 O 1 N l Y 3 R p b 2 4 x L 0 d f U m V z d W x 0 c y 9 B c H B l b m R l Z C B R d W V y e S 5 7 Y m V u Y 2 h t Y X J r X 2 l k L D B 9 J n F 1 b 3 Q 7 L C Z x d W 9 0 O 1 N l Y 3 R p b 2 4 x L 0 d f U m V z d W x 0 c y 9 B c H B l b m R l Z C B R d W V y e S 5 7 d G F y Z 2 V 0 X 2 J h b m Q s M X 0 m c X V v d D s s J n F 1 b 3 Q 7 U 2 V j d G l v b j E v R 1 9 S Z X N 1 b H R z L 0 F w c G V u Z G V k I F F 1 Z X J 5 L n t j b 2 1 w X 2 J h b m Q s M n 0 m c X V v d D s s J n F 1 b 3 Q 7 U 2 V j d G l v b j E v R 1 9 S Z X N 1 b H R z L 0 F w c G V u Z G V k I F F 1 Z X J 5 L n t j b 3 V u d H J 5 L D N 9 J n F 1 b 3 Q 7 L C Z x d W 9 0 O 1 N l Y 3 R p b 2 4 x L 0 d f U m V z d W x 0 c y 9 B c H B l b m R l Z C B R d W V y e S 5 7 d G l l c i w 0 f S Z x d W 9 0 O y w m c X V v d D t T Z W N 0 a W 9 u M S 9 H X 1 J l c 3 V s d H M v Q X B w Z W 5 k Z W Q g U X V l c n k u e 2 J p Y X N f c m l z a y w 1 f S Z x d W 9 0 O y w m c X V v d D t T Z W N 0 a W 9 u M S 9 H X 1 J l c 3 V s d H M v Q X B w Z W 5 k Z W Q g U X V l c n k u e 2 J p Y X N f c 2 N h b G U s N n 0 m c X V v d D s s J n F 1 b 3 Q 7 U 2 V j d G l v b j E v R 1 9 S Z X N 1 b H R z L 0 F w c G V u Z G V k I F F 1 Z X J 5 L n t i a W F z X 2 R p c m V j d G l v b i w 3 f S Z x d W 9 0 O y w m c X V v d D t T Z W N 0 a W 9 u M S 9 H X 1 J l c 3 V s d H M v Q X B w Z W 5 k Z W Q g U X V l c n k u e 3 J h d G l v X z J f M S w 4 f S Z x d W 9 0 O y w m c X V v d D t T Z W N 0 a W 9 u M S 9 H X 1 J l c 3 V s d H M v Q X B w Z W 5 k Z W Q g U X V l c n k u e 2 x z d l 9 w Z X J f b W h 6 X 3 V r M i w 5 f S Z x d W 9 0 O y w m c X V v d D t T Z W N 0 a W 9 u M S 9 H X 1 J l c 3 V s d H M v U m V w b G F j Z W Q g V m F s d W U u e 2 1 l d G h v Z C w x M H 0 m c X V v d D s s J n F 1 b 3 Q 7 U 2 V j d G l v b j E v R 1 9 S Z X N 1 b H R z L 0 F w c G V u Z G V k I F F 1 Z X J 5 L n t y Y X R p b 1 9 5 X 3 g s M T F 9 J n F 1 b 3 Q 7 L C Z x d W 9 0 O 1 N l Y 3 R p b 2 4 x L 0 d f U m V z d W x 0 c y 9 D a G F u Z 2 V k I F R 5 c G U u e 2 x z d l / C o 2 1 f c G V y X 2 1 o e i w x M n 0 m c X V v d D s s J n F 1 b 3 Q 7 U 2 V j d G l v b j E v S V 9 C a W F z X 3 J p c 2 s v Q 2 h h b m d l Z C B U e X B l L n t i a W F z X 3 J p c 2 t f d m F s L D F 9 J n F 1 b 3 Q 7 L C Z x d W 9 0 O 1 N l Y 3 R p b 2 4 x L 0 l f Q m l h c 1 9 z Y 2 F s Z S 9 D a G F u Z 2 V k I F R 5 c G U u e 2 J p Y X N f c 2 N h b G V f d m F s L D F 9 J n F 1 b 3 Q 7 L C Z x d W 9 0 O 1 N l Y 3 R p b 2 4 x L 0 l f Q m l h c 1 9 k a X J l Y 3 R p b 2 4 v Q 2 h h b m d l Z C B U e X B l L n t i a W F z X 2 9 2 Z X I s M X 0 m c X V v d D s s J n F 1 b 3 Q 7 U 2 V j d G l v b j E v S V 9 C a W F z X 2 R p c m V j d G l v b i 9 D a G F u Z 2 V k I F R 5 c G U u e 2 J p Y X N f d W 5 k Z X I s M n 0 m c X V v d D s s J n F 1 b 3 Q 7 U 2 V j d G l v b j E v R 1 9 S Z X N 1 b H R z L 0 N o Y W 5 n Z W Q g V H l w Z T E u e 2 J p Y X N f b 3 Z l c l 9 2 Y W w s M T d 9 J n F 1 b 3 Q 7 L C Z x d W 9 0 O 1 N l Y 3 R p b 2 4 x L 0 d f U m V z d W x 0 c y 9 D a G F u Z 2 V k I F R 5 c G U y L n t i a W F z X 3 V u Z G V y X 3 Z h b C w x O H 0 m c X V v d D s s J n F 1 b 3 Q 7 U 2 V j d G l v b j E v R 1 9 S Z X N 1 b H R z L 0 N o Y W 5 n Z W Q g V H l w Z T M u e 2 J h c 2 U s M T l 9 J n F 1 b 3 Q 7 X S w m c X V v d D t S Z W x h d G l v b n N o a X B J b m Z v J n F 1 b 3 Q 7 O l t 7 J n F 1 b 3 Q 7 a 2 V 5 Q 2 9 s d W 1 u Q 2 9 1 b n Q m c X V v d D s 6 M S w m c X V v d D t r Z X l D b 2 x 1 b W 4 m c X V v d D s 6 N S w m c X V v d D t v d G h l c k t l e U N v b H V t b k l k Z W 5 0 a X R 5 J n F 1 b 3 Q 7 O i Z x d W 9 0 O 1 N l Y 3 R p b 2 4 x L 0 l f Q m l h c 1 9 y a X N r L 0 N o Y W 5 n Z W Q g V H l w Z S 5 7 Y m l h c 1 9 y a X N r L D B 9 J n F 1 b 3 Q 7 L C Z x d W 9 0 O 0 t l e U N v b H V t b k N v d W 5 0 J n F 1 b 3 Q 7 O j F 9 L H s m c X V v d D t r Z X l D b 2 x 1 b W 5 D b 3 V u d C Z x d W 9 0 O z o x L C Z x d W 9 0 O 2 t l e U N v b H V t b i Z x d W 9 0 O z o 2 L C Z x d W 9 0 O 2 9 0 a G V y S 2 V 5 Q 2 9 s d W 1 u S W R l b n R p d H k m c X V v d D s 6 J n F 1 b 3 Q 7 U 2 V j d G l v b j E v S V 9 C a W F z X 3 N j Y W x l L 0 N o Y W 5 n Z W Q g V H l w Z S 5 7 Y m l h c 1 9 z Y 2 F s Z S w w f S Z x d W 9 0 O y w m c X V v d D t L Z X l D b 2 x 1 b W 5 D b 3 V u d C Z x d W 9 0 O z o x f S x 7 J n F 1 b 3 Q 7 a 2 V 5 Q 2 9 s d W 1 u Q 2 9 1 b n Q m c X V v d D s 6 M S w m c X V v d D t r Z X l D b 2 x 1 b W 4 m c X V v d D s 6 N y w m c X V v d D t v d G h l c k t l e U N v b H V t b k l k Z W 5 0 a X R 5 J n F 1 b 3 Q 7 O i Z x d W 9 0 O 1 N l Y 3 R p b 2 4 x L 0 l f Q m l h c 1 9 k a X J l Y 3 R p b 2 4 v Q 2 h h b m d l Z C B U e X B l L n t i a W F z X 2 R p c m V j d G l v b i w w f S Z x d W 9 0 O y w m c X V v d D t L Z X l D b 2 x 1 b W 5 D b 3 V u d C Z x d W 9 0 O z o x f V 1 9 I i A v P j x F b n R y e S B U e X B l P S J G a W x s Q 2 9 1 b n Q i I F Z h b H V l P S J s N T k i I C 8 + P E V u d H J 5 I F R 5 c G U 9 I k F k Z G V k V G 9 E Y X R h T W 9 k Z W w i I F Z h b H V l P S J s M C I g L z 4 8 L 1 N 0 Y W J s Z U V u d H J p Z X M + P C 9 J d G V t P j x J d G V t P j x J d G V t T G 9 j Y X R p b 2 4 + P E l 0 Z W 1 U e X B l P k Z v c m 1 1 b G E 8 L 0 l 0 Z W 1 U e X B l P j x J d G V t U G F 0 a D 5 T Z W N 0 a W 9 u M S 9 F X 1 J l c 3 V s d H M v U 2 9 1 c m N l P C 9 J d G V t U G F 0 a D 4 8 L 0 l 0 Z W 1 M b 2 N h d G l v b j 4 8 U 3 R h Y m x l R W 5 0 c m l l c y A v P j w v S X R l b T 4 8 S X R l b T 4 8 S X R l b U x v Y 2 F 0 a W 9 u P j x J d G V t V H l w Z T 5 G b 3 J t d W x h P C 9 J d G V t V H l w Z T 4 8 S X R l b V B h d G g + U 2 V j d G l v b j E v Q 1 9 V S 0 V x X 2 R l d G F p b C 9 B Z G R l Z C U y M E N 1 c 3 R v b T Q 8 L 0 l 0 Z W 1 Q Y X R o P j w v S X R l b U x v Y 2 F 0 a W 9 u P j x T d G F i b G V F b n R y a W V z I C 8 + P C 9 J d G V t P j x J d G V t P j x J d G V t T G 9 j Y X R p b 2 4 + P E l 0 Z W 1 U e X B l P k Z v c m 1 1 b G E 8 L 0 l 0 Z W 1 U e X B l P j x J d G V t U G F 0 a D 5 T Z W N 0 a W 9 u M S 9 D X 1 V L R X F f Z G V 0 Y W l s L 0 F k Z G V k J T I w Q 3 V z d G 9 t N T w v S X R l b V B h d G g + P C 9 J d G V t T G 9 j Y X R p b 2 4 + P F N 0 Y W J s Z U V u d H J p Z X M g L z 4 8 L 0 l 0 Z W 0 + P E l 0 Z W 0 + P E l 0 Z W 1 M b 2 N h d G l v b j 4 8 S X R l b V R 5 c G U + R m 9 y b X V s Y T w v S X R l b V R 5 c G U + P E l 0 Z W 1 Q Y X R o P l N l Y 3 R p b 2 4 x L 0 l f U F B Q L 1 N v c n R l Z C U y M F J v d 3 M 8 L 0 l 0 Z W 1 Q Y X R o P j w v S X R l b U x v Y 2 F 0 a W 9 u P j x T d G F i b G V F b n R y a W V z I C 8 + P C 9 J d G V t P j x J d G V t P j x J d G V t T G 9 j Y X R p b 2 4 + P E l 0 Z W 1 U e X B l P k Z v c m 1 1 b G E 8 L 0 l 0 Z W 1 U e X B l P j x J d G V t U G F 0 a D 5 T Z W N 0 a W 9 u M S 9 J X 1 B Q U C 9 V b n B p d m 9 0 Z W Q l M j B P d G h l c i U y M E N v b H V t b n M x P C 9 J d G V t U G F 0 a D 4 8 L 0 l 0 Z W 1 M b 2 N h d G l v b j 4 8 U 3 R h Y m x l R W 5 0 c m l l c y A v P j w v S X R l b T 4 8 S X R l b T 4 8 S X R l b U x v Y 2 F 0 a W 9 u P j x J d G V t V H l w Z T 5 G b 3 J t d W x h P C 9 J d G V t V H l w Z T 4 8 S X R l b V B h d G g + U 2 V j d G l v b j E v S V 9 Q U F A v T W V y Z 2 V k J T I w U X V l c m l l c z w v S X R l b V B h d G g + P C 9 J d G V t T G 9 j Y X R p b 2 4 + P F N 0 Y W J s Z U V u d H J p Z X M g L z 4 8 L 0 l 0 Z W 0 + P E l 0 Z W 0 + P E l 0 Z W 1 M b 2 N h d G l v b j 4 8 S X R l b V R 5 c G U + R m 9 y b X V s Y T w v S X R l b V R 5 c G U + P E l 0 Z W 1 Q Y X R o P l N l Y 3 R p b 2 4 x L 0 l f U F B Q L 0 V 4 c G F u Z G V k J T I w S V 9 Z Z W F y P C 9 J d G V t U G F 0 a D 4 8 L 0 l 0 Z W 1 M b 2 N h d G l v b j 4 8 U 3 R h Y m x l R W 5 0 c m l l c y A v P j w v S X R l b T 4 8 S X R l b T 4 8 S X R l b U x v Y 2 F 0 a W 9 u P j x J d G V t V H l w Z T 5 G b 3 J t d W x h P C 9 J d G V t V H l w Z T 4 8 S X R l b V B h d G g + U 2 V j d G l v b j E v S V 9 Q U F A v U m V t b 3 Z l Z C U y M E N v b H V t b n M x P C 9 J d G V t U G F 0 a D 4 8 L 0 l 0 Z W 1 M b 2 N h d G l v b j 4 8 U 3 R h Y m x l R W 5 0 c m l l c y A v P j w v S X R l b T 4 8 S X R l b T 4 8 S X R l b U x v Y 2 F 0 a W 9 u P j x J d G V t V H l w Z T 5 G b 3 J t d W x h P C 9 J d G V t V H l w Z T 4 8 S X R l b V B h d G g + U 2 V j d G l v b j E v S V 9 Q U F A v U G l 2 b 3 R l Z C U y M E N v b H V t b j w v S X R l b V B h d G g + P C 9 J d G V t T G 9 j Y X R p b 2 4 + P F N 0 Y W J s Z U V u d H J p Z X M g L z 4 8 L 0 l 0 Z W 0 + P E l 0 Z W 0 + P E l 0 Z W 1 M b 2 N h d G l v b j 4 8 S X R l b V R 5 c G U + R m 9 y b X V s Y T w v S X R l b V R 5 c G U + P E l 0 Z W 1 Q Y X R o P l N l Y 3 R p b 2 4 x L 0 l f U F B Q L 1 B p d m 9 0 Z W Q l M j B D b 2 x 1 b W 4 x P C 9 J d G V t U G F 0 a D 4 8 L 0 l 0 Z W 1 M b 2 N h d G l v b j 4 8 U 3 R h Y m x l R W 5 0 c m l l c y A v P j w v S X R l b T 4 8 S X R l b T 4 8 S X R l b U x v Y 2 F 0 a W 9 u P j x J d G V t V H l w Z T 5 G b 3 J t d W x h P C 9 J d G V t V H l w Z T 4 8 S X R l b V B h d G g + U 2 V j d G l v b j E v S V 9 Q b 3 B 1 b G F 0 a W 9 u L 0 1 l c m d l Z C U y M F F 1 Z X J p Z X M 8 L 0 l 0 Z W 1 Q Y X R o P j w v S X R l b U x v Y 2 F 0 a W 9 u P j x T d G F i b G V F b n R y a W V z I C 8 + P C 9 J d G V t P j x J d G V t P j x J d G V t T G 9 j Y X R p b 2 4 + P E l 0 Z W 1 U e X B l P k Z v c m 1 1 b G E 8 L 0 l 0 Z W 1 U e X B l P j x J d G V t U G F 0 a D 5 T Z W N 0 a W 9 u M S 9 J X 1 B v c H V s Y X R p b 2 4 v R X h w Y W 5 k Z W Q l M j B J X 1 l l Y X I 8 L 0 l 0 Z W 1 Q Y X R o P j w v S X R l b U x v Y 2 F 0 a W 9 u P j x T d G F i b G V F b n R y a W V z I C 8 + P C 9 J d G V t P j x J d G V t P j x J d G V t T G 9 j Y X R p b 2 4 + P E l 0 Z W 1 U e X B l P k Z v c m 1 1 b G E 8 L 0 l 0 Z W 1 U e X B l P j x J d G V t U G F 0 a D 5 T Z W N 0 a W 9 u M S 9 J X 1 B v c H V s Y X R p b 2 4 v U 2 9 y d G V k J T I w U m 9 3 c z w v S X R l b V B h d G g + P C 9 J d G V t T G 9 j Y X R p b 2 4 + P F N 0 Y W J s Z U V u d H J p Z X M g L z 4 8 L 0 l 0 Z W 0 + P E l 0 Z W 0 + P E l 0 Z W 1 M b 2 N h d G l v b j 4 8 S X R l b V R 5 c G U + R m 9 y b X V s Y T w v S X R l b V R 5 c G U + P E l 0 Z W 1 Q Y X R o P l N l Y 3 R p b 2 4 x L 0 l f U G 9 w d W x h d G l v b i 9 S Z W 1 v d m V k J T I w Q 2 9 s d W 1 u c z E 8 L 0 l 0 Z W 1 Q Y X R o P j w v S X R l b U x v Y 2 F 0 a W 9 u P j x T d G F i b G V F b n R y a W V z I C 8 + P C 9 J d G V t P j x J d G V t P j x J d G V t T G 9 j Y X R p b 2 4 + P E l 0 Z W 1 U e X B l P k Z v c m 1 1 b G E 8 L 0 l 0 Z W 1 U e X B l P j x J d G V t U G F 0 a D 5 T Z W N 0 a W 9 u M S 9 J X 1 B v c H V s Y X R p b 2 4 v V W 5 w a X Z v d G V k J T I w T 3 R o Z X I l M j B D b 2 x 1 b W 5 z M T w v S X R l b V B h d G g + P C 9 J d G V t T G 9 j Y X R p b 2 4 + P F N 0 Y W J s Z U V u d H J p Z X M g L z 4 8 L 0 l 0 Z W 0 + P E l 0 Z W 0 + P E l 0 Z W 1 M b 2 N h d G l v b j 4 8 S X R l b V R 5 c G U + R m 9 y b X V s Y T w v S X R l b V R 5 c G U + P E l 0 Z W 1 Q Y X R o P l N l Y 3 R p b 2 4 x L 0 l f U G 9 w d W x h d G l v b i 9 Q a X Z v d G V k J T I w Q 2 9 s d W 1 u P C 9 J d G V t U G F 0 a D 4 8 L 0 l 0 Z W 1 M b 2 N h d G l v b j 4 8 U 3 R h Y m x l R W 5 0 c m l l c y A v P j w v S X R l b T 4 8 S X R l b T 4 8 S X R l b U x v Y 2 F 0 a W 9 u P j x J d G V t V H l w Z T 5 G b 3 J t d W x h P C 9 J d G V t V H l w Z T 4 8 S X R l b V B h d G g + U 2 V j d G l v b j E v S V 9 Q b 3 B 1 b G F 0 a W 9 u L 1 B p d m 9 0 Z W Q l M j B D b 2 x 1 b W 4 x P C 9 J d G V t U G F 0 a D 4 8 L 0 l 0 Z W 1 M b 2 N h d G l v b j 4 8 U 3 R h Y m x l R W 5 0 c m l l c y A v P j w v S X R l b T 4 8 S X R l b T 4 8 S X R l b U x v Y 2 F 0 a W 9 u P j x J d G V t V H l w Z T 5 G b 3 J t d W x h P C 9 J d G V t V H l w Z T 4 8 S X R l b V B h d G g + U 2 V j d G l v b j E v Q 1 9 V S 0 N v b X A v U m V t b 3 Z l Z C U y M E 9 0 a G V y J T I w Q 2 9 s d W 1 u c z w v S X R l b V B h d G g + P C 9 J d G V t T G 9 j Y X R p b 2 4 + P F N 0 Y W J s Z U V u d H J p Z X M g L z 4 8 L 0 l 0 Z W 0 + P E l 0 Z W 0 + P E l 0 Z W 1 M b 2 N h d G l v b j 4 8 S X R l b V R 5 c G U + R m 9 y b X V s Y T w v S X R l b V R 5 c G U + P E l 0 Z W 1 Q Y X R o P l N l Y 3 R p b 2 4 x L 0 l f Q X d h c m Q v S V 9 B d 2 F y Z F 9 U Y W J s Z T w v S X R l b V B h d G g + P C 9 J d G V t T G 9 j Y X R p b 2 4 + P F N 0 Y W J s Z U V u d H J p Z X M g L z 4 8 L 0 l 0 Z W 0 + P E l 0 Z W 0 + P E l 0 Z W 1 M b 2 N h d G l v b j 4 8 S X R l b V R 5 c G U + R m 9 y b X V s Y T w v S X R l b V R 5 c G U + P E l 0 Z W 1 Q Y X R o P l N l Y 3 R p b 2 4 x L 0 l f Q X d h c m Q v Q 2 h h b m d l Z C U y M F R 5 c G U 8 L 0 l 0 Z W 1 Q Y X R o P j w v S X R l b U x v Y 2 F 0 a W 9 u P j x T d G F i b G V F b n R y a W V z I C 8 + P C 9 J d G V t P j w v S X R l b X M + P C 9 M b 2 N h b F B h Y 2 t h Z 2 V N Z X R h Z G F 0 Y U Z p b G U + F g A A A F B L B Q Y A A A A A A A A A A A A A A A A A A A A A A A D a A A A A A Q A A A N C M n d 8 B F d E R j H o A w E / C l + s B A A A A F m o w 1 0 0 e y k G V E 7 p 6 5 k r B + Q A A A A A C A A A A A A A D Z g A A w A A A A B A A A A D v P c r b u v 3 2 7 L W N p d c H A O 9 2 A A A A A A S A A A C g A A A A E A A A A G h N n r p 3 U C e a r 3 G q X M K x F V t Q A A A A H P C 1 z Q C D M u U g U k c Q t h X U m D e X d j v o f h v G G H q E w T B T u f F 1 4 8 w / S B 0 W / u c f H Q X 9 R h z t N 7 u x S Y 4 T S c o I F Z f + 9 v P R D Y p l x V 8 U y r W F F 8 s p g d + 1 1 l A U A A A A W o d e H g Q O q H t 8 k A p V D w P b t p + p g T Y = < / D a t a M a s h u p > 
</file>

<file path=customXml/itemProps1.xml><?xml version="1.0" encoding="utf-8"?>
<ds:datastoreItem xmlns:ds="http://schemas.openxmlformats.org/officeDocument/2006/customXml" ds:itemID="{2D3ED253-C0BA-4F2B-8F98-AD77035975E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25</vt:i4>
      </vt:variant>
      <vt:variant>
        <vt:lpstr>Charts</vt:lpstr>
      </vt:variant>
      <vt:variant>
        <vt:i4>1</vt:i4>
      </vt:variant>
      <vt:variant>
        <vt:lpstr>Named Ranges</vt:lpstr>
      </vt:variant>
      <vt:variant>
        <vt:i4>12</vt:i4>
      </vt:variant>
    </vt:vector>
  </HeadingPairs>
  <TitlesOfParts>
    <vt:vector size="38" baseType="lpstr">
      <vt:lpstr>Contents</vt:lpstr>
      <vt:lpstr>Version History</vt:lpstr>
      <vt:lpstr>Style Guidelines</vt:lpstr>
      <vt:lpstr>Control</vt:lpstr>
      <vt:lpstr>I_Timeline</vt:lpstr>
      <vt:lpstr>I_Award</vt:lpstr>
      <vt:lpstr>I_UKComp</vt:lpstr>
      <vt:lpstr>I_PPP</vt:lpstr>
      <vt:lpstr>I_Population</vt:lpstr>
      <vt:lpstr>I_CoD_WACC</vt:lpstr>
      <vt:lpstr>I_CPI_UK</vt:lpstr>
      <vt:lpstr>C_UKEq_detail</vt:lpstr>
      <vt:lpstr>C_UKEqComp</vt:lpstr>
      <vt:lpstr>C_UKComp</vt:lpstr>
      <vt:lpstr>C_UKEq_UKComp</vt:lpstr>
      <vt:lpstr>C_Proxy_sample</vt:lpstr>
      <vt:lpstr>C_ProxyComp</vt:lpstr>
      <vt:lpstr>C_AllComp</vt:lpstr>
      <vt:lpstr>C_Paired</vt:lpstr>
      <vt:lpstr>C_Distance</vt:lpstr>
      <vt:lpstr>O_Proxy_sample</vt:lpstr>
      <vt:lpstr>O_Paired</vt:lpstr>
      <vt:lpstr>O_Distance</vt:lpstr>
      <vt:lpstr>O_Results</vt:lpstr>
      <vt:lpstr>E_Results</vt:lpstr>
      <vt:lpstr>G_Results</vt:lpstr>
      <vt:lpstr>cod_liquidity_premium</vt:lpstr>
      <vt:lpstr>delay_adj</vt:lpstr>
      <vt:lpstr>delay_threshold</vt:lpstr>
      <vt:lpstr>eff_cpi_uk</vt:lpstr>
      <vt:lpstr>eff_pop_uk</vt:lpstr>
      <vt:lpstr>effective_date</vt:lpstr>
      <vt:lpstr>notional_term</vt:lpstr>
      <vt:lpstr>Workbook.Author</vt:lpstr>
      <vt:lpstr>Workbook.Objective</vt:lpstr>
      <vt:lpstr>Workbook.Status</vt:lpstr>
      <vt:lpstr>Workbook.Title</vt:lpstr>
      <vt:lpstr>Workbook.Version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2021-08-06T08:41:57Z</dcterms:created>
  <dcterms:modified xsi:type="dcterms:W3CDTF">2021-08-06T08:42:06Z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a50d26f-5c2c-4137-8396-1b24eb24286c_Enabled">
    <vt:lpwstr>true</vt:lpwstr>
  </property>
  <property fmtid="{D5CDD505-2E9C-101B-9397-08002B2CF9AE}" pid="3" name="MSIP_Label_5a50d26f-5c2c-4137-8396-1b24eb24286c_SetDate">
    <vt:lpwstr>2021-08-06T08:42:06Z</vt:lpwstr>
  </property>
  <property fmtid="{D5CDD505-2E9C-101B-9397-08002B2CF9AE}" pid="4" name="MSIP_Label_5a50d26f-5c2c-4137-8396-1b24eb24286c_Method">
    <vt:lpwstr>Privileged</vt:lpwstr>
  </property>
  <property fmtid="{D5CDD505-2E9C-101B-9397-08002B2CF9AE}" pid="5" name="MSIP_Label_5a50d26f-5c2c-4137-8396-1b24eb24286c_Name">
    <vt:lpwstr>5a50d26f-5c2c-4137-8396-1b24eb24286c</vt:lpwstr>
  </property>
  <property fmtid="{D5CDD505-2E9C-101B-9397-08002B2CF9AE}" pid="6" name="MSIP_Label_5a50d26f-5c2c-4137-8396-1b24eb24286c_SiteId">
    <vt:lpwstr>0af648de-310c-4068-8ae4-f9418bae24cc</vt:lpwstr>
  </property>
  <property fmtid="{D5CDD505-2E9C-101B-9397-08002B2CF9AE}" pid="7" name="MSIP_Label_5a50d26f-5c2c-4137-8396-1b24eb24286c_ActionId">
    <vt:lpwstr>996d5a59-7b17-4eab-8be1-460850e54ec2</vt:lpwstr>
  </property>
  <property fmtid="{D5CDD505-2E9C-101B-9397-08002B2CF9AE}" pid="8" name="MSIP_Label_5a50d26f-5c2c-4137-8396-1b24eb24286c_ContentBits">
    <vt:lpwstr>0</vt:lpwstr>
  </property>
</Properties>
</file>