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3660" yWindow="2235" windowWidth="14325" windowHeight="7890" activeTab="1"/>
  </bookViews>
  <sheets>
    <sheet name="Contents" sheetId="50" r:id="rId1"/>
    <sheet name="control_panel" sheetId="74" r:id="rId2"/>
    <sheet name="calculations--&gt;" sheetId="98" r:id="rId3"/>
    <sheet name="harm_single_year" sheetId="73" r:id="rId4"/>
    <sheet name="harm_NPV" sheetId="97" r:id="rId5"/>
  </sheets>
  <definedNames>
    <definedName name="avg_delay_managing">control_panel!$E$47</definedName>
    <definedName name="avg_delay_not_managing">control_panel!$E$48</definedName>
    <definedName name="avg_loss_CR">control_panel!$E$117</definedName>
    <definedName name="avg_loss_new_process">control_panel!$E$118</definedName>
    <definedName name="avg_loss_PAC">control_panel!$E$116</definedName>
    <definedName name="avg_overlap_1_CR">control_panel!$E$64</definedName>
    <definedName name="avg_overlap_1_CR_new_process">control_panel!$E$69</definedName>
    <definedName name="avg_overlap_1_CR_not_new_process">control_panel!$E$74</definedName>
    <definedName name="avg_overlap_1_H3G">control_panel!$E$62</definedName>
    <definedName name="avg_overlap_1_H3G_new_process">control_panel!$E$67</definedName>
    <definedName name="avg_overlap_1_H3G_not_new_process">control_panel!$E$72</definedName>
    <definedName name="avg_overlap_1_O2">control_panel!$E$61</definedName>
    <definedName name="avg_overlap_1_O2_new_process">control_panel!$E$66</definedName>
    <definedName name="avg_overlap_1_O2_not_new_process">control_panel!$E$71</definedName>
    <definedName name="avg_overlap_1_other">control_panel!$E$63</definedName>
    <definedName name="avg_overlap_1_other_new_process">control_panel!$E$68</definedName>
    <definedName name="avg_overlap_1_other_not_new_process">control_panel!$E$73</definedName>
    <definedName name="avg_overlap_2_CR">control_panel!$E$81</definedName>
    <definedName name="avg_overlap_2_CR_new_process">control_panel!$E$86</definedName>
    <definedName name="avg_overlap_2_CR_not_new_process">control_panel!$E$91</definedName>
    <definedName name="avg_overlap_2_H3G">control_panel!$E$79</definedName>
    <definedName name="avg_overlap_2_H3G_new_process">control_panel!$E$84</definedName>
    <definedName name="avg_overlap_2_H3G_not_new_process">control_panel!$E$89</definedName>
    <definedName name="avg_overlap_2_O2">control_panel!$E$78</definedName>
    <definedName name="avg_overlap_2_O2_new_process">control_panel!$E$83</definedName>
    <definedName name="avg_overlap_2_O2_not_new_process">control_panel!$E$88</definedName>
    <definedName name="avg_overlap_2_other">control_panel!$E$80</definedName>
    <definedName name="avg_overlap_2_other_new_process">control_panel!$E$85</definedName>
    <definedName name="avg_overlap_2_other_not_new_process">control_panel!$E$90</definedName>
    <definedName name="avg_overlap_3_H3G">control_panel!$E$96</definedName>
    <definedName name="avg_overlap_3_H3G_new_process">control_panel!$E$100</definedName>
    <definedName name="avg_overlap_3_H3G_not_new_process">control_panel!$E$104</definedName>
    <definedName name="avg_overlap_3_O2">control_panel!$E$95</definedName>
    <definedName name="avg_overlap_3_O2_new_process">control_panel!$E$99</definedName>
    <definedName name="avg_overlap_3_O2_not_new_process">control_panel!$E$103</definedName>
    <definedName name="avg_overlap_3_other">control_panel!$E$97</definedName>
    <definedName name="avg_overlap_3_other_new_process">control_panel!$E$101</definedName>
    <definedName name="avg_overlap_3_other_not_new_process">control_panel!$E$105</definedName>
    <definedName name="avg_spend_post_pay">control_panel!$E$37</definedName>
    <definedName name="avg_spend_pre_post_weighted">control_panel!$E$109</definedName>
    <definedName name="avg_time_new_process">control_panel!$E$29</definedName>
    <definedName name="avg_time_status_quo">control_panel!$E$28</definedName>
    <definedName name="discount_rate">control_panel!$D$5</definedName>
    <definedName name="harm_reduction_CR">harm_single_year!$O$92</definedName>
    <definedName name="harm_reduction_double_paying_CR">harm_single_year!$O$81</definedName>
    <definedName name="harm_reduction_double_paying_PAC">harm_single_year!$I$81</definedName>
    <definedName name="harm_reduction_loss_of_service_CR">harm_single_year!$O$90</definedName>
    <definedName name="harm_reduction_loss_of_service_PAC">harm_single_year!$I$90</definedName>
    <definedName name="harm_reduction_PAC">harm_single_year!$I$92</definedName>
    <definedName name="harm_reduction_time_savings_CR">harm_single_year!$O$16</definedName>
    <definedName name="harm_reduction_time_savings_PAC">harm_single_year!$I$16</definedName>
    <definedName name="NPV_harm_reduction_double_paying">harm_NPV!$N$23</definedName>
    <definedName name="NPV_harm_reduction_loss_of_service">harm_NPV!$N$24</definedName>
    <definedName name="NPV_harm_reduction_time_savings">harm_NPV!$N$22</definedName>
    <definedName name="NPV_harm_reduction_total">harm_NPV!$N$25</definedName>
    <definedName name="number_CR">control_panel!$E$20</definedName>
    <definedName name="number_PAC">control_panel!$E$18</definedName>
    <definedName name="pct_away_from_H3G">control_panel!$E$53</definedName>
    <definedName name="pct_away_from_O2">control_panel!$E$52</definedName>
    <definedName name="pct_away_from_other">control_panel!$E$54</definedName>
    <definedName name="pct_CR_using_new_process">control_panel!$E$22</definedName>
    <definedName name="pct_eligible_for_time_saving">control_panel!$E$33</definedName>
    <definedName name="pct_give_notice_PAC">control_panel!$E$50</definedName>
    <definedName name="pct_loss_CR">control_panel!$E$113</definedName>
    <definedName name="pct_loss_new_process">control_panel!$E$114</definedName>
    <definedName name="pct_loss_PAC">control_panel!$E$112</definedName>
    <definedName name="pct_manage_notice">control_panel!$E$45</definedName>
    <definedName name="pct_out_of_contract_CR">control_panel!$E$42</definedName>
    <definedName name="pct_out_of_contract_PAC">control_panel!$E$40</definedName>
    <definedName name="pct_PAC">control_panel!$E$19</definedName>
    <definedName name="pct_post_pay_CR">control_panel!$E$41</definedName>
    <definedName name="pct_post_pay_PAC">control_panel!$E$39</definedName>
    <definedName name="pct_redeem_PAC_after_14_days">control_panel!$E$44</definedName>
    <definedName name="pct_start_managing">control_panel!$E$57</definedName>
    <definedName name="pct_stop_contacting_LP">control_panel!$E$31</definedName>
    <definedName name="scenario_choice">control_panel!$D$3</definedName>
    <definedName name="text_effectiveness">control_panel!$E$56</definedName>
    <definedName name="time_horizon">control_panel!$D$6</definedName>
    <definedName name="value_non_working_time">control_panel!$E$26</definedName>
    <definedName name="Workbook.Author">Contents!$B$10</definedName>
    <definedName name="Workbook.Status">Contents!$B$9</definedName>
    <definedName name="Workbook.Title">Contents!$B$6</definedName>
    <definedName name="Workbook.Version">Contents!$B$8</definedName>
    <definedName name="WTP_factor">control_panel!$E$110</definedName>
  </definedNames>
  <calcPr calcId="145621"/>
</workbook>
</file>

<file path=xl/calcChain.xml><?xml version="1.0" encoding="utf-8"?>
<calcChain xmlns="http://schemas.openxmlformats.org/spreadsheetml/2006/main">
  <c r="K22" i="74" l="1"/>
  <c r="I20" i="74"/>
  <c r="C3" i="73" l="1"/>
  <c r="E28" i="74" l="1"/>
  <c r="M109" i="74"/>
  <c r="M37" i="74"/>
  <c r="M26" i="74"/>
  <c r="M22" i="74"/>
  <c r="M20" i="74"/>
  <c r="K109" i="74"/>
  <c r="K37" i="74"/>
  <c r="K26" i="74"/>
  <c r="K20" i="74"/>
  <c r="G109" i="74"/>
  <c r="G37" i="74"/>
  <c r="G26" i="74"/>
  <c r="G20" i="74"/>
  <c r="I109" i="74"/>
  <c r="I37" i="74"/>
  <c r="I26" i="74"/>
  <c r="E44" i="74" l="1"/>
  <c r="E50" i="74" l="1"/>
  <c r="E114" i="74" l="1"/>
  <c r="E112" i="74"/>
  <c r="E110" i="74" l="1"/>
  <c r="E103" i="74"/>
  <c r="E99" i="74"/>
  <c r="E97" i="74"/>
  <c r="F74" i="73" s="1"/>
  <c r="E95" i="74"/>
  <c r="E88" i="74"/>
  <c r="M58" i="73" s="1"/>
  <c r="E83" i="74"/>
  <c r="N58" i="73" s="1"/>
  <c r="E78" i="74"/>
  <c r="K58" i="73" s="1"/>
  <c r="E71" i="74"/>
  <c r="M44" i="73" s="1"/>
  <c r="E66" i="74"/>
  <c r="N44" i="73" s="1"/>
  <c r="E61" i="74"/>
  <c r="K44" i="73" s="1"/>
  <c r="E57" i="74"/>
  <c r="E56" i="74"/>
  <c r="N31" i="73" s="1"/>
  <c r="E53" i="74"/>
  <c r="E54" i="74"/>
  <c r="E52" i="74"/>
  <c r="E41" i="74"/>
  <c r="E37" i="74"/>
  <c r="E26" i="74"/>
  <c r="E31" i="74"/>
  <c r="E33" i="74"/>
  <c r="E29" i="74"/>
  <c r="E22" i="74"/>
  <c r="N7" i="73" s="1"/>
  <c r="E19" i="74"/>
  <c r="E113" i="74"/>
  <c r="H13" i="73" l="1"/>
  <c r="N13" i="73"/>
  <c r="G72" i="73"/>
  <c r="N6" i="73"/>
  <c r="H6" i="73"/>
  <c r="K11" i="73"/>
  <c r="H11" i="73"/>
  <c r="L11" i="73"/>
  <c r="G11" i="73"/>
  <c r="F11" i="73"/>
  <c r="M11" i="73"/>
  <c r="N11" i="73"/>
  <c r="L88" i="73"/>
  <c r="H88" i="73"/>
  <c r="M88" i="73"/>
  <c r="F88" i="73"/>
  <c r="N88" i="73"/>
  <c r="K88" i="73"/>
  <c r="G88" i="73"/>
  <c r="L58" i="73"/>
  <c r="L44" i="73"/>
  <c r="F72" i="73"/>
  <c r="H72" i="73"/>
  <c r="G24" i="73"/>
  <c r="F24" i="73"/>
  <c r="H24" i="73"/>
  <c r="M21" i="73"/>
  <c r="K21" i="73"/>
  <c r="L21" i="73"/>
  <c r="N21" i="73"/>
  <c r="E109" i="74" l="1"/>
  <c r="E117" i="74" l="1"/>
  <c r="E118" i="74"/>
  <c r="E116" i="74"/>
  <c r="M87" i="73"/>
  <c r="H87" i="73"/>
  <c r="F87" i="73"/>
  <c r="K87" i="73"/>
  <c r="G87" i="73"/>
  <c r="L87" i="73"/>
  <c r="N87" i="73"/>
  <c r="E18" i="74" l="1"/>
  <c r="H5" i="73" s="1"/>
  <c r="G12" i="73"/>
  <c r="L12" i="73" l="1"/>
  <c r="K12" i="73"/>
  <c r="M12" i="73"/>
  <c r="F12" i="73"/>
  <c r="M35" i="73" l="1"/>
  <c r="N35" i="73"/>
  <c r="E39" i="74"/>
  <c r="E20" i="74"/>
  <c r="N5" i="73" s="1"/>
  <c r="H35" i="73" l="1"/>
  <c r="G35" i="73" l="1"/>
  <c r="H31" i="73"/>
  <c r="E48" i="74" l="1"/>
  <c r="M81" i="74" l="1"/>
  <c r="M80" i="74"/>
  <c r="M79" i="74"/>
  <c r="M96" i="74"/>
  <c r="K104" i="74"/>
  <c r="K96" i="74"/>
  <c r="K86" i="74"/>
  <c r="K80" i="74"/>
  <c r="K101" i="74"/>
  <c r="K91" i="74"/>
  <c r="K85" i="74"/>
  <c r="K79" i="74"/>
  <c r="K105" i="74"/>
  <c r="K100" i="74"/>
  <c r="K90" i="74"/>
  <c r="K84" i="74"/>
  <c r="K89" i="74"/>
  <c r="K81" i="74"/>
  <c r="G104" i="74"/>
  <c r="G89" i="74"/>
  <c r="G81" i="74"/>
  <c r="G96" i="74"/>
  <c r="G86" i="74"/>
  <c r="G80" i="74"/>
  <c r="G101" i="74"/>
  <c r="G91" i="74"/>
  <c r="G85" i="74"/>
  <c r="G79" i="74"/>
  <c r="G105" i="74"/>
  <c r="G100" i="74"/>
  <c r="G90" i="74"/>
  <c r="G84" i="74"/>
  <c r="I96" i="74"/>
  <c r="I80" i="74"/>
  <c r="I79" i="74"/>
  <c r="I81" i="74"/>
  <c r="E47" i="74"/>
  <c r="M63" i="74" l="1"/>
  <c r="M62" i="74"/>
  <c r="M64" i="74"/>
  <c r="K72" i="74"/>
  <c r="K64" i="74"/>
  <c r="K69" i="74"/>
  <c r="E69" i="74" s="1"/>
  <c r="K63" i="74"/>
  <c r="K74" i="74"/>
  <c r="K68" i="74"/>
  <c r="K62" i="74"/>
  <c r="K73" i="74"/>
  <c r="K67" i="74"/>
  <c r="G73" i="74"/>
  <c r="G67" i="74"/>
  <c r="G72" i="74"/>
  <c r="G64" i="74"/>
  <c r="G69" i="74"/>
  <c r="G63" i="74"/>
  <c r="G74" i="74"/>
  <c r="G68" i="74"/>
  <c r="G62" i="74"/>
  <c r="I64" i="74"/>
  <c r="I63" i="74"/>
  <c r="I62" i="74"/>
  <c r="E80" i="74"/>
  <c r="E81" i="74"/>
  <c r="K59" i="73" s="1"/>
  <c r="E68" i="74" l="1"/>
  <c r="H46" i="73" s="1"/>
  <c r="E73" i="74"/>
  <c r="M46" i="73" s="1"/>
  <c r="E74" i="74"/>
  <c r="E67" i="74"/>
  <c r="H45" i="73" s="1"/>
  <c r="E72" i="74"/>
  <c r="M45" i="73" s="1"/>
  <c r="E62" i="74"/>
  <c r="E63" i="74"/>
  <c r="E64" i="74"/>
  <c r="K45" i="73" s="1"/>
  <c r="L60" i="73"/>
  <c r="K60" i="73"/>
  <c r="L59" i="73"/>
  <c r="E42" i="74"/>
  <c r="E40" i="74"/>
  <c r="G45" i="74" s="1"/>
  <c r="N46" i="73" l="1"/>
  <c r="K45" i="74"/>
  <c r="M45" i="74"/>
  <c r="I45" i="74"/>
  <c r="N45" i="73"/>
  <c r="L45" i="73"/>
  <c r="L46" i="73"/>
  <c r="K46" i="73"/>
  <c r="N22" i="73"/>
  <c r="M22" i="73"/>
  <c r="K22" i="73"/>
  <c r="L22" i="73"/>
  <c r="G22" i="73"/>
  <c r="H22" i="73"/>
  <c r="F22" i="73"/>
  <c r="G46" i="73" l="1"/>
  <c r="G58" i="73"/>
  <c r="G44" i="73"/>
  <c r="G45" i="73"/>
  <c r="D7" i="97"/>
  <c r="D6" i="97"/>
  <c r="D4" i="97"/>
  <c r="M85" i="73"/>
  <c r="L85" i="73"/>
  <c r="E17" i="74"/>
  <c r="F2" i="50"/>
  <c r="N85" i="73" l="1"/>
  <c r="G85" i="73"/>
  <c r="H58" i="73"/>
  <c r="F60" i="73"/>
  <c r="F58" i="73"/>
  <c r="F85" i="73"/>
  <c r="F46" i="73"/>
  <c r="F44" i="73"/>
  <c r="H21" i="73"/>
  <c r="F45" i="73"/>
  <c r="H44" i="73"/>
  <c r="G21" i="73"/>
  <c r="F21" i="73"/>
  <c r="K85" i="73"/>
  <c r="H85" i="73"/>
  <c r="E45" i="74" l="1"/>
  <c r="M86" i="73"/>
  <c r="F86" i="73"/>
  <c r="L86" i="73"/>
  <c r="N28" i="73"/>
  <c r="M28" i="73"/>
  <c r="N20" i="73"/>
  <c r="M20" i="73"/>
  <c r="H27" i="73"/>
  <c r="M27" i="73"/>
  <c r="K5" i="73"/>
  <c r="G14" i="73"/>
  <c r="M14" i="73"/>
  <c r="L20" i="73"/>
  <c r="K20" i="73"/>
  <c r="F20" i="73"/>
  <c r="G20" i="73"/>
  <c r="H20" i="73"/>
  <c r="F5" i="73"/>
  <c r="L14" i="73"/>
  <c r="H14" i="73"/>
  <c r="H16" i="73" s="1"/>
  <c r="K14" i="73"/>
  <c r="G28" i="73"/>
  <c r="F14" i="73"/>
  <c r="N14" i="73"/>
  <c r="N16" i="73" s="1"/>
  <c r="F28" i="73"/>
  <c r="L28" i="73"/>
  <c r="K28" i="73"/>
  <c r="H28" i="73"/>
  <c r="L27" i="73"/>
  <c r="K27" i="73"/>
  <c r="F27" i="73"/>
  <c r="G27" i="73"/>
  <c r="N27" i="73"/>
  <c r="F16" i="73" l="1"/>
  <c r="K16" i="73"/>
  <c r="L5" i="73"/>
  <c r="G5" i="73"/>
  <c r="G16" i="73" s="1"/>
  <c r="F90" i="73"/>
  <c r="H86" i="73"/>
  <c r="H90" i="73" s="1"/>
  <c r="G86" i="73"/>
  <c r="N86" i="73"/>
  <c r="N90" i="73" s="1"/>
  <c r="K86" i="73"/>
  <c r="K90" i="73" s="1"/>
  <c r="K23" i="73"/>
  <c r="K55" i="73" s="1"/>
  <c r="K29" i="73"/>
  <c r="M29" i="73"/>
  <c r="N29" i="73"/>
  <c r="H29" i="73"/>
  <c r="L29" i="73"/>
  <c r="F29" i="73"/>
  <c r="G29" i="73"/>
  <c r="L16" i="73" l="1"/>
  <c r="I16" i="73"/>
  <c r="K41" i="73"/>
  <c r="K49" i="73" s="1"/>
  <c r="K65" i="73"/>
  <c r="L90" i="73"/>
  <c r="M5" i="73"/>
  <c r="G90" i="73"/>
  <c r="I90" i="73" s="1"/>
  <c r="L23" i="73"/>
  <c r="L55" i="73" s="1"/>
  <c r="N23" i="73"/>
  <c r="N36" i="73" s="1"/>
  <c r="M23" i="73"/>
  <c r="G23" i="73"/>
  <c r="G37" i="73" s="1"/>
  <c r="F23" i="73"/>
  <c r="F41" i="73" s="1"/>
  <c r="H23" i="73"/>
  <c r="H32" i="73" s="1"/>
  <c r="M36" i="73" l="1"/>
  <c r="M55" i="73" s="1"/>
  <c r="N32" i="73"/>
  <c r="N55" i="73" s="1"/>
  <c r="M16" i="73"/>
  <c r="G69" i="73"/>
  <c r="K50" i="73"/>
  <c r="K51" i="73"/>
  <c r="F14" i="97"/>
  <c r="J14" i="97"/>
  <c r="H14" i="97"/>
  <c r="I14" i="97"/>
  <c r="G14" i="97"/>
  <c r="K14" i="97"/>
  <c r="D14" i="97"/>
  <c r="L14" i="97"/>
  <c r="E14" i="97"/>
  <c r="M14" i="97"/>
  <c r="O16" i="73"/>
  <c r="F50" i="73"/>
  <c r="F49" i="73"/>
  <c r="F51" i="73"/>
  <c r="L64" i="73"/>
  <c r="L63" i="73"/>
  <c r="K64" i="73"/>
  <c r="K63" i="73"/>
  <c r="L65" i="73"/>
  <c r="M90" i="73"/>
  <c r="O90" i="73" s="1"/>
  <c r="H12" i="97"/>
  <c r="L12" i="97"/>
  <c r="E12" i="97"/>
  <c r="I12" i="97"/>
  <c r="M12" i="97"/>
  <c r="F12" i="97"/>
  <c r="J12" i="97"/>
  <c r="D12" i="97"/>
  <c r="G12" i="97"/>
  <c r="K12" i="97"/>
  <c r="H37" i="73"/>
  <c r="H33" i="73"/>
  <c r="G36" i="73"/>
  <c r="H36" i="73"/>
  <c r="F69" i="73"/>
  <c r="F55" i="73"/>
  <c r="L41" i="73"/>
  <c r="M41" i="73" l="1"/>
  <c r="M49" i="73" s="1"/>
  <c r="N41" i="73"/>
  <c r="N51" i="73" s="1"/>
  <c r="H69" i="73"/>
  <c r="H41" i="73"/>
  <c r="G55" i="73"/>
  <c r="G63" i="73" s="1"/>
  <c r="G41" i="73"/>
  <c r="K81" i="73"/>
  <c r="F19" i="97"/>
  <c r="J19" i="97"/>
  <c r="G19" i="97"/>
  <c r="K19" i="97"/>
  <c r="M19" i="97"/>
  <c r="H19" i="97"/>
  <c r="L19" i="97"/>
  <c r="D19" i="97"/>
  <c r="E19" i="97"/>
  <c r="I19" i="97"/>
  <c r="F65" i="73"/>
  <c r="F63" i="73"/>
  <c r="M63" i="73"/>
  <c r="F77" i="73"/>
  <c r="F79" i="73"/>
  <c r="G77" i="73"/>
  <c r="H17" i="97"/>
  <c r="H22" i="97" s="1"/>
  <c r="L17" i="97"/>
  <c r="L22" i="97" s="1"/>
  <c r="F17" i="97"/>
  <c r="F22" i="97" s="1"/>
  <c r="G17" i="97"/>
  <c r="G22" i="97" s="1"/>
  <c r="D17" i="97"/>
  <c r="D22" i="97" s="1"/>
  <c r="E17" i="97"/>
  <c r="I17" i="97"/>
  <c r="I22" i="97" s="1"/>
  <c r="M17" i="97"/>
  <c r="M22" i="97" s="1"/>
  <c r="J17" i="97"/>
  <c r="J22" i="97" s="1"/>
  <c r="K17" i="97"/>
  <c r="K22" i="97" s="1"/>
  <c r="H55" i="73"/>
  <c r="L50" i="73"/>
  <c r="L49" i="73"/>
  <c r="L51" i="73"/>
  <c r="N12" i="97"/>
  <c r="L81" i="73" l="1"/>
  <c r="N63" i="73"/>
  <c r="O63" i="73" s="1"/>
  <c r="G50" i="73"/>
  <c r="G49" i="73"/>
  <c r="G51" i="73"/>
  <c r="H49" i="73"/>
  <c r="H50" i="73"/>
  <c r="H51" i="73"/>
  <c r="H77" i="73"/>
  <c r="H63" i="73"/>
  <c r="E22" i="97"/>
  <c r="N22" i="97" s="1"/>
  <c r="D9" i="74" s="1"/>
  <c r="M50" i="73"/>
  <c r="M51" i="73"/>
  <c r="O51" i="73" s="1"/>
  <c r="N50" i="73"/>
  <c r="N49" i="73"/>
  <c r="N17" i="97"/>
  <c r="O49" i="73" l="1"/>
  <c r="I51" i="73"/>
  <c r="I49" i="73"/>
  <c r="I77" i="73"/>
  <c r="I63" i="73"/>
  <c r="I50" i="73"/>
  <c r="E105" i="74" l="1"/>
  <c r="E101" i="74"/>
  <c r="E100" i="74"/>
  <c r="E104" i="74"/>
  <c r="E89" i="74"/>
  <c r="M59" i="73" s="1"/>
  <c r="M64" i="73" s="1"/>
  <c r="E85" i="74"/>
  <c r="N60" i="73" s="1"/>
  <c r="N65" i="73" s="1"/>
  <c r="E96" i="74" l="1"/>
  <c r="F73" i="73" s="1"/>
  <c r="F78" i="73" s="1"/>
  <c r="E91" i="74"/>
  <c r="E90" i="74"/>
  <c r="M60" i="73" s="1"/>
  <c r="E79" i="74"/>
  <c r="E84" i="74"/>
  <c r="N59" i="73" s="1"/>
  <c r="N64" i="73" s="1"/>
  <c r="N81" i="73" s="1"/>
  <c r="E86" i="74"/>
  <c r="H74" i="73"/>
  <c r="H79" i="73" s="1"/>
  <c r="G74" i="73"/>
  <c r="G79" i="73" s="1"/>
  <c r="G73" i="73"/>
  <c r="G78" i="73" s="1"/>
  <c r="H73" i="73"/>
  <c r="H78" i="73" s="1"/>
  <c r="H60" i="73"/>
  <c r="H65" i="73" s="1"/>
  <c r="G59" i="73"/>
  <c r="G64" i="73" s="1"/>
  <c r="M65" i="73" l="1"/>
  <c r="M81" i="73" s="1"/>
  <c r="O81" i="73" s="1"/>
  <c r="O64" i="73"/>
  <c r="G60" i="73"/>
  <c r="H59" i="73"/>
  <c r="F59" i="73"/>
  <c r="F64" i="73" s="1"/>
  <c r="I78" i="73"/>
  <c r="I79" i="73"/>
  <c r="O50" i="73"/>
  <c r="E18" i="97" l="1"/>
  <c r="I18" i="97"/>
  <c r="M18" i="97"/>
  <c r="D18" i="97"/>
  <c r="F18" i="97"/>
  <c r="J18" i="97"/>
  <c r="L18" i="97"/>
  <c r="G18" i="97"/>
  <c r="K18" i="97"/>
  <c r="H18" i="97"/>
  <c r="O65" i="73"/>
  <c r="G65" i="73"/>
  <c r="G81" i="73" s="1"/>
  <c r="H64" i="73"/>
  <c r="I64" i="73" s="1"/>
  <c r="F81" i="73"/>
  <c r="N18" i="97" l="1"/>
  <c r="I65" i="73"/>
  <c r="H81" i="73"/>
  <c r="I81" i="73" s="1"/>
  <c r="H20" i="97"/>
  <c r="L20" i="97"/>
  <c r="F20" i="97"/>
  <c r="G20" i="97"/>
  <c r="E20" i="97"/>
  <c r="I20" i="97"/>
  <c r="M20" i="97"/>
  <c r="D20" i="97"/>
  <c r="J20" i="97"/>
  <c r="K20" i="97"/>
  <c r="O92" i="73"/>
  <c r="I92" i="73" l="1"/>
  <c r="E13" i="97"/>
  <c r="E23" i="97" s="1"/>
  <c r="I13" i="97"/>
  <c r="I23" i="97" s="1"/>
  <c r="M13" i="97"/>
  <c r="M23" i="97" s="1"/>
  <c r="G13" i="97"/>
  <c r="G23" i="97" s="1"/>
  <c r="D13" i="97"/>
  <c r="D15" i="97" s="1"/>
  <c r="D25" i="97" s="1"/>
  <c r="L13" i="97"/>
  <c r="L23" i="97" s="1"/>
  <c r="F13" i="97"/>
  <c r="F23" i="97" s="1"/>
  <c r="J13" i="97"/>
  <c r="J23" i="97" s="1"/>
  <c r="K13" i="97"/>
  <c r="K23" i="97" s="1"/>
  <c r="H13" i="97"/>
  <c r="H23" i="97" s="1"/>
  <c r="N19" i="97"/>
  <c r="J15" i="97" l="1"/>
  <c r="L15" i="97"/>
  <c r="L25" i="97" s="1"/>
  <c r="G15" i="97"/>
  <c r="G25" i="97" s="1"/>
  <c r="E15" i="97"/>
  <c r="E25" i="97" s="1"/>
  <c r="K15" i="97"/>
  <c r="K25" i="97" s="1"/>
  <c r="F15" i="97"/>
  <c r="F25" i="97" s="1"/>
  <c r="I15" i="97"/>
  <c r="I25" i="97" s="1"/>
  <c r="N13" i="97"/>
  <c r="D23" i="97"/>
  <c r="N23" i="97" s="1"/>
  <c r="M15" i="97"/>
  <c r="M25" i="97" s="1"/>
  <c r="H15" i="97"/>
  <c r="H25" i="97" s="1"/>
  <c r="L24" i="97"/>
  <c r="I24" i="97"/>
  <c r="H24" i="97"/>
  <c r="K24" i="97"/>
  <c r="D24" i="97"/>
  <c r="E24" i="97"/>
  <c r="G24" i="97"/>
  <c r="F24" i="97"/>
  <c r="M24" i="97"/>
  <c r="J25" i="97"/>
  <c r="N14" i="97"/>
  <c r="J24" i="97"/>
  <c r="N20" i="97"/>
  <c r="N25" i="97" l="1"/>
  <c r="D12" i="74" s="1"/>
  <c r="N15" i="97"/>
  <c r="N24" i="97"/>
  <c r="D10" i="74" s="1"/>
  <c r="D11" i="74" l="1"/>
</calcChain>
</file>

<file path=xl/sharedStrings.xml><?xml version="1.0" encoding="utf-8"?>
<sst xmlns="http://schemas.openxmlformats.org/spreadsheetml/2006/main" count="473" uniqueCount="244">
  <si>
    <t>Sheet</t>
  </si>
  <si>
    <t>Description</t>
  </si>
  <si>
    <t>Status</t>
  </si>
  <si>
    <t>Version</t>
  </si>
  <si>
    <t xml:space="preserve">Title </t>
  </si>
  <si>
    <t>Author</t>
  </si>
  <si>
    <t>Information</t>
  </si>
  <si>
    <t>Contents</t>
  </si>
  <si>
    <t>This contents sheet</t>
  </si>
  <si>
    <t xml:space="preserve"> </t>
  </si>
  <si>
    <t>Confidentiality status</t>
  </si>
  <si>
    <t>Actual model sheets</t>
  </si>
  <si>
    <t>Other</t>
  </si>
  <si>
    <t>s</t>
  </si>
  <si>
    <t>n/a</t>
  </si>
  <si>
    <t>O2</t>
  </si>
  <si>
    <t>Control panel</t>
  </si>
  <si>
    <t>£</t>
  </si>
  <si>
    <t>Value of non-working time</t>
  </si>
  <si>
    <t>£/s</t>
  </si>
  <si>
    <t>%</t>
  </si>
  <si>
    <t>days</t>
  </si>
  <si>
    <t>£/day</t>
  </si>
  <si>
    <t>Scenario:</t>
  </si>
  <si>
    <t>harm</t>
  </si>
  <si>
    <t>value of non-working time</t>
  </si>
  <si>
    <t>value_non_working_time</t>
  </si>
  <si>
    <t>number_PAC</t>
  </si>
  <si>
    <t>number_CR</t>
  </si>
  <si>
    <t>control_panel</t>
  </si>
  <si>
    <t xml:space="preserve">Scenario:  </t>
  </si>
  <si>
    <t>pct_PAC</t>
  </si>
  <si>
    <t xml:space="preserve">total   </t>
  </si>
  <si>
    <t>NPV</t>
  </si>
  <si>
    <t xml:space="preserve">Discount rate:  </t>
  </si>
  <si>
    <t>Selection:</t>
  </si>
  <si>
    <t xml:space="preserve">Time horizon (years):  </t>
  </si>
  <si>
    <t xml:space="preserve">Scenario  </t>
  </si>
  <si>
    <t xml:space="preserve">Discount rate  </t>
  </si>
  <si>
    <t xml:space="preserve">Time horizon (years)  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</si>
  <si>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</si>
  <si>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</si>
  <si>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</si>
  <si>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</si>
  <si>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</si>
  <si>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</si>
  <si>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</si>
  <si>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</si>
  <si>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</si>
  <si>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</si>
  <si>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 xml:space="preserve">total:   </t>
  </si>
  <si>
    <t>Click + to view source/comments for parameters under each scenario</t>
  </si>
  <si>
    <t>harm_single_year</t>
  </si>
  <si>
    <t>harm_NPV</t>
  </si>
  <si>
    <t>Reduction in harm under new process</t>
  </si>
  <si>
    <t>avg_time_new_process</t>
  </si>
  <si>
    <t>Scenario (from control_panel):</t>
  </si>
  <si>
    <t>Loss of service</t>
  </si>
  <si>
    <t>average duration of loss of service</t>
  </si>
  <si>
    <t>H3G</t>
  </si>
  <si>
    <t>pct_away_from_O2</t>
  </si>
  <si>
    <t>pct_away_from_H3G</t>
  </si>
  <si>
    <t>pct_away_from_other</t>
  </si>
  <si>
    <t xml:space="preserve">   away from O2</t>
  </si>
  <si>
    <t xml:space="preserve">   away from other</t>
  </si>
  <si>
    <t xml:space="preserve">   away from H3G</t>
  </si>
  <si>
    <t>switches</t>
  </si>
  <si>
    <t>% of switches away from:</t>
  </si>
  <si>
    <t>pct_CR_using_new_process</t>
  </si>
  <si>
    <t>avg_overlap_1_O2_not_new_process</t>
  </si>
  <si>
    <t>avg_overlap_1_H3G_not_new_process</t>
  </si>
  <si>
    <t>avg_overlap_1_other_not_new_process</t>
  </si>
  <si>
    <t>pct_manage_notice</t>
  </si>
  <si>
    <t>avg_overlap_2_O2</t>
  </si>
  <si>
    <t>avg_overlap_2_H3G</t>
  </si>
  <si>
    <t>avg_overlap_2_other</t>
  </si>
  <si>
    <t>avg_overlap_2_O2_new_process</t>
  </si>
  <si>
    <t>avg_overlap_2_H3G_new_process</t>
  </si>
  <si>
    <t>avg_overlap_2_other_new_process</t>
  </si>
  <si>
    <t>avg_overlap_2_O2_not_new_process</t>
  </si>
  <si>
    <t>avg_overlap_2_H3G_not_new_process</t>
  </si>
  <si>
    <t>avg_overlap_2_other_not_new_process</t>
  </si>
  <si>
    <t>text_effectiveness</t>
  </si>
  <si>
    <t>pct_start_managing</t>
  </si>
  <si>
    <t>% of out-of-contract switchers that manage notice period</t>
  </si>
  <si>
    <t>Group 1: Out-of-contract switchers that manage notice period</t>
  </si>
  <si>
    <t>average overlap (days)</t>
  </si>
  <si>
    <t>size of group</t>
  </si>
  <si>
    <t>Counterfactual (still using C&amp;R)</t>
  </si>
  <si>
    <t>average expenditure (post-pay)</t>
  </si>
  <si>
    <t>no. shifting from group 1 to 2</t>
  </si>
  <si>
    <t>no. shifting from group 2 to 1</t>
  </si>
  <si>
    <t>Number of switchers</t>
  </si>
  <si>
    <t>PAC switchers (switch via PAC process under status-quo)</t>
  </si>
  <si>
    <t>C&amp;R switchers (switch via C&amp;R arrangement under status-quo)</t>
  </si>
  <si>
    <t>average daily expenditure (post-pay)</t>
  </si>
  <si>
    <t>avg_spend_post_pay</t>
  </si>
  <si>
    <t>Group 2: Out-of-contract switchers that do not manage notice period, and give notice</t>
  </si>
  <si>
    <t>avg_overlap_1_PAC_O2</t>
  </si>
  <si>
    <t>avg_overlap_1_PAC_H3G</t>
  </si>
  <si>
    <t>avg_overlap_1_PAC_other</t>
  </si>
  <si>
    <t>avg_overlap_1_PAC_O2_new_process</t>
  </si>
  <si>
    <t>avg_overlap_1_PAC_H3G_new_process</t>
  </si>
  <si>
    <t>avg_overlap_1_PAC_other_new_process</t>
  </si>
  <si>
    <t>C&amp;R</t>
  </si>
  <si>
    <t>avg_overlap_1_CR</t>
  </si>
  <si>
    <t>avg_overlap_1_CR_new_process</t>
  </si>
  <si>
    <t>avg_overlap_1_CR_not_new_process</t>
  </si>
  <si>
    <t>avg_overlap_2_CR</t>
  </si>
  <si>
    <t>avg_overlap_2_CR_new_process</t>
  </si>
  <si>
    <t>avg_overlap_2_CR_not_new_process</t>
  </si>
  <si>
    <t>Group 3: Out-of-contract switchers that do not manage notice period, and do not give notice</t>
  </si>
  <si>
    <t>no. shifting from group 3 to 1</t>
  </si>
  <si>
    <t>no. shifting from group 1 to 3</t>
  </si>
  <si>
    <t>pct_post_pay_PAC</t>
  </si>
  <si>
    <t>pct_out_of_contract_PAC</t>
  </si>
  <si>
    <t>pct_post_pay_CR</t>
  </si>
  <si>
    <t>pct_out_of_contract_CR</t>
  </si>
  <si>
    <t>average daily expenditure</t>
  </si>
  <si>
    <t>willingness-to-pay factor</t>
  </si>
  <si>
    <t>WTP_factor</t>
  </si>
  <si>
    <t>avg_spend_pre_post_weighted</t>
  </si>
  <si>
    <t>avg_overlap_3_O2</t>
  </si>
  <si>
    <t>avg_overlap_3_H3G</t>
  </si>
  <si>
    <t>avg_overlap_3_other</t>
  </si>
  <si>
    <t>avg_overlap_3_O2_new_process</t>
  </si>
  <si>
    <t>avg_overlap_3_H3G_new_process</t>
  </si>
  <si>
    <t>avg_overlap_3_other_new_process</t>
  </si>
  <si>
    <t>avg_overlap_3_O2_not_new_process</t>
  </si>
  <si>
    <t>avg_overlap_3_H3G_not_new_process</t>
  </si>
  <si>
    <t>avg_overlap_3_other_not_new_process</t>
  </si>
  <si>
    <t>harm (groups 1, 2 and 3)</t>
  </si>
  <si>
    <t>% using new process that no longer contact LP to request PAC and/or give notice</t>
  </si>
  <si>
    <t>pct_eligible_for_time_saving</t>
  </si>
  <si>
    <t>pct_stop_contacting_LP</t>
  </si>
  <si>
    <t>% of out-of-contract PAC switchers that do not manage notice period, but give notice when requesting PAC</t>
  </si>
  <si>
    <t>% affected by loss of service (PAC)</t>
  </si>
  <si>
    <t>% affected by loss of service (C&amp;R)</t>
  </si>
  <si>
    <t>% affected by loss of service (new process)</t>
  </si>
  <si>
    <t>average duration of loss of service (PAC)</t>
  </si>
  <si>
    <t>average duration of loss of service (C&amp;R)</t>
  </si>
  <si>
    <t>average duration of loss of service (new process)</t>
  </si>
  <si>
    <t>avg_loss_PAC</t>
  </si>
  <si>
    <t>avg_loss_CR</t>
  </si>
  <si>
    <t>avg_loss_new_process</t>
  </si>
  <si>
    <t>pct_loss_PAC</t>
  </si>
  <si>
    <t>pct_loss_CR</t>
  </si>
  <si>
    <t>pct_loss_new_process</t>
  </si>
  <si>
    <t>Time savings</t>
  </si>
  <si>
    <t>Double paying</t>
  </si>
  <si>
    <t xml:space="preserve">Time savings  </t>
  </si>
  <si>
    <t xml:space="preserve">Double paying  </t>
  </si>
  <si>
    <t xml:space="preserve">Loss of service  </t>
  </si>
  <si>
    <t>Existing PAC switchers</t>
  </si>
  <si>
    <t>Existing C&amp;R switchers</t>
  </si>
  <si>
    <t>All switchers</t>
  </si>
  <si>
    <t>2016 release 1.0</t>
  </si>
  <si>
    <t>Approved for release</t>
  </si>
  <si>
    <t>Ofcom</t>
  </si>
  <si>
    <t>Non-confidential</t>
  </si>
  <si>
    <t>% of PAC switchers that redeem PAC at least 14 days after issue</t>
  </si>
  <si>
    <t>Option 1 (core proposals)</t>
  </si>
  <si>
    <t>Option 2 (core proposals)</t>
  </si>
  <si>
    <t>Option 1 (core proposals + 'end to end management')</t>
  </si>
  <si>
    <t>Option 2 (core proposals + 'end-to-end management')</t>
  </si>
  <si>
    <t>pct_give_notice_PAC</t>
  </si>
  <si>
    <t>avg_delay_managing</t>
  </si>
  <si>
    <t>avg_delay_not_managing</t>
  </si>
  <si>
    <t>Counterfactual (using new process and not contacting LP)</t>
  </si>
  <si>
    <t>Counterfactual (still contacting LP under new process)</t>
  </si>
  <si>
    <t>Counterfactual (using new process and still contacting LP)</t>
  </si>
  <si>
    <t>Counterfactual (not contacting LP under new process)</t>
  </si>
  <si>
    <t>% of existing C&amp;R switchers using new process</t>
  </si>
  <si>
    <t>% start managing (option 2)</t>
  </si>
  <si>
    <t xml:space="preserve">   away from other MCPs</t>
  </si>
  <si>
    <t>% stop managing (option 1)</t>
  </si>
  <si>
    <t>Status quo</t>
  </si>
  <si>
    <t>Reduction in harm (counterfactual - status quo)</t>
  </si>
  <si>
    <t>Option 2: % of non-managers opting to defer switch by 30 days (shifts non-managers to managers)</t>
  </si>
  <si>
    <t>Option 1: effectiveness of text in informing status quo managers about notice periods (shifts managers to non-managers)</t>
  </si>
  <si>
    <t>% of existing switchers that port number</t>
  </si>
  <si>
    <t>Number of existing PAC switchers per year</t>
  </si>
  <si>
    <t>Number of existing C&amp;R switchers per year</t>
  </si>
  <si>
    <t>% of existing C&amp;R switchers substituting to new process</t>
  </si>
  <si>
    <t xml:space="preserve">Double-paying   </t>
  </si>
  <si>
    <t xml:space="preserve">Loss of service   </t>
  </si>
  <si>
    <t xml:space="preserve">Reduction in harm relative to status quo (NPV):  </t>
  </si>
  <si>
    <t>Average time to request PAC/give notice (status-quo)</t>
  </si>
  <si>
    <t>Average time to switch using new process (relative to status-quo)</t>
  </si>
  <si>
    <t>avg_time_status_quo</t>
  </si>
  <si>
    <t>% of switchers eligible for potential time saving</t>
  </si>
  <si>
    <t>pct_redeem_PAC_after_14_days</t>
  </si>
  <si>
    <t>average delay in using PAC (PAC) / signing with GP (C&amp;R) if not managing notice period</t>
  </si>
  <si>
    <t>average delay in using PAC (PAC) / signing with GP (C&amp;R) if managing notice period</t>
  </si>
  <si>
    <t>n/a - C&amp;R switchers (by definition) give notice under status quo</t>
  </si>
  <si>
    <t>% of non-managers that give notice under status quo</t>
  </si>
  <si>
    <t>% switching outside minimum contract period</t>
  </si>
  <si>
    <t>% of switchers with post-pay subscriptions</t>
  </si>
  <si>
    <t>average contract overlap</t>
  </si>
  <si>
    <t>average time to switch using new process (relative to status-quo)</t>
  </si>
  <si>
    <t>average time to request PAC and/or give notice under status-quo</t>
  </si>
  <si>
    <t>% using new process that stop contacting LP where currently requesting PAC and/or giving notice</t>
  </si>
  <si>
    <t>average expenditure of switchers (weighted by % of switches that are pre/post-pay)</t>
  </si>
  <si>
    <t>Net present value (NPV) of estimated reduction in harm under selected scenario relative to status-quo</t>
  </si>
  <si>
    <t>Estimates (for a single year) the impact of the selected scenario (relative to status quo) on: time savings, double-paying and loss of service</t>
  </si>
  <si>
    <t>Select scenario, adjust all input parameters, summary of results</t>
  </si>
  <si>
    <t>Total (non-bulk i.e. &lt;25 numbers) PAC switches completed between Aug 2014 and Jul 2015 (source: Syniverse)</t>
  </si>
  <si>
    <r>
      <t xml:space="preserve">Note: </t>
    </r>
    <r>
      <rPr>
        <sz val="9"/>
        <rFont val="Arial"/>
        <family val="2"/>
      </rPr>
      <t>the assumptions and methodology underlying the calculations contained in this workbook are explained in detail in Annex 7 (calculation of quantifiable benefits) of the accompanying consultation document</t>
    </r>
  </si>
  <si>
    <t>Calculates the Net Present Value of the estimated reduction in harm under the selected scenario, using the single year estimation from harm_single_year</t>
  </si>
  <si>
    <t>Inferred from actual PAC switches, using % C&amp;R from Ofcom Switching Tracker</t>
  </si>
  <si>
    <t>Assumption discussed in paragraph A7.6 of accompanying consultation document</t>
  </si>
  <si>
    <t>Value of non-working time expressed in £/s, using value of £7.05 per hour (2015 prices and values) from TAG data book (https://www.gov.uk/government/publications/webtag-tag-data-book-december-2015)</t>
  </si>
  <si>
    <t>Assumption discussed in A7.12-16 of accompanying consultation document</t>
  </si>
  <si>
    <t>Assumption discussed in A7.17-18 of accompanying consultation document</t>
  </si>
  <si>
    <t>Assumption discussed in A7.20-7.26 of accompanying consultation document</t>
  </si>
  <si>
    <t>Assumption discussed in A7.16 and A7.30 of accompanying consultation document</t>
  </si>
  <si>
    <t>Ofcom 2015 Mobile research (slide 111, average contract spend (£24.27) divided by average number of days in a month (30.4))</t>
  </si>
  <si>
    <t>Ofcom 2015 Switching Tracker (Table 79, p.212 - excluding don't knows)</t>
  </si>
  <si>
    <t>Ofcom 2015 Mobile research (slide 47, excluding don’t know)</t>
  </si>
  <si>
    <t>% switching at end of/outside minimum contract period (PAC)</t>
  </si>
  <si>
    <t>% switching at end of/outside minimum contract period (C&amp;R)</t>
  </si>
  <si>
    <t>% of PAC switches where PAC is redeemed at least 14 days after being issued (source: Syniverse, for ports completed between Nov 2015 - Jan 2016)</t>
  </si>
  <si>
    <t>Assumption discussed in A7.36 of accompanying consultation document</t>
  </si>
  <si>
    <t>Weighted average delay between PAC issue and redemption, for PACs redeemed at least 14 days after being issued (source: Syniverse, for ports completed between Nov 2015 - Jan 2016)</t>
  </si>
  <si>
    <t>Weighted average delay between PAC issue and redemption, for PACs redeemed within 14 days ofr being issued (source: Syniverse, for ports completed between Nov 2015 - Jan 2016)</t>
  </si>
  <si>
    <t>Assumption discussed in A7.37 of accompanying consultation document</t>
  </si>
  <si>
    <t>Ofcom 2015 Switching Tracker (Table 80, p.214 - excluding don't knows)</t>
  </si>
  <si>
    <t>Ofcom 2015 switching tracker (Table 79, p.212 - excluding don't knows)</t>
  </si>
  <si>
    <t>Assumption discussed in A7.42b of accompanying consultation document</t>
  </si>
  <si>
    <t>Ofcom 2015 mobile research (slide 122 and 123) and Ofcom 2015 Switching Tracker (Table 78, p.208) - weight average pre-and-post-pay spends from mobile research (£16.85 and £24.27 respectively) using the proportion of switches that are pre-pay / post-pay from switching tracker (25% / 75%)</t>
  </si>
  <si>
    <t>Assumption discussed in A7.65 of accompanying consultation document</t>
  </si>
  <si>
    <t>Ofcom 2015 Mobile research (slide 49)</t>
  </si>
  <si>
    <t>Ofcom 2015 Mobile research (slide 49) - we assume “a few minutes” is 10 minutes, “a few hours” is 3 hours, and we restrict “more than a day” to one day so as to be conservative</t>
  </si>
  <si>
    <t>Refer to A7.31-47 of accompanying consultation document for a detailed discussion of assumptions in relation to double-paying</t>
  </si>
  <si>
    <t>Assumption discussed in A7.45-46 of accompanying consultation document</t>
  </si>
  <si>
    <t>Assumption discussed in paragraph A7.54 of accompanying consultation document</t>
  </si>
  <si>
    <t>Assumption discussed in A7.68 of accompanying consultation document</t>
  </si>
  <si>
    <t>% of switchers with post-pay subscriptions (PAC)</t>
  </si>
  <si>
    <t>% of switchers with post-pay subscriptions (C&amp;R)</t>
  </si>
  <si>
    <t>Ofcom 2015 mobile research (slide 122 and 123) and Ofcom 2015 Switching Tracker (Table 78, p.208) - weight average pre-and-post-pay spends from mobile research (£16.85 and £24.27 respectively) using the proportion of switches that are pre-pay / post-pay from switching tracker (25% / 75%), divided by average number of days in a month (30.4)</t>
  </si>
  <si>
    <t>Social Time Preference Rate, HM Treasury Green Book</t>
  </si>
  <si>
    <t>Note: for totals presented in accompanying consultation, we have excluded the (non-material) impact on loss of service under core proposals (attributable to the assumption that some C&amp;R switchers become PAC switchers)</t>
  </si>
  <si>
    <t>% affected by loss of service</t>
  </si>
  <si>
    <t>Mobile switching: Benefits to switchers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</si>
</sst>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4">
    <numFmt numFmtId="7" formatCode="&quot;£&quot;#,##0.00;\-&quot;£&quot;#,##0.00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[Red]\-#,##0_);0_);@_)"/>
    <numFmt numFmtId="165" formatCode="#,##0.00_);[Red]\-#,##0.00_);0.00_);@_)"/>
    <numFmt numFmtId="166" formatCode="#,##0%;[Red]\-#,##0%;0%;@_)"/>
    <numFmt numFmtId="167" formatCode="[$FF -40C]#,##0_);[Red]\([$FF -40C]#,##0\)"/>
    <numFmt numFmtId="168" formatCode="_-* #,##0_-;\-* #,##0_-;_-* &quot;-&quot;??_-;_-@_-"/>
    <numFmt numFmtId="169" formatCode="0.0%"/>
    <numFmt numFmtId="170" formatCode="&quot;£&quot;#,##0.00"/>
    <numFmt numFmtId="171" formatCode="_-[$€-2]* #,##0.00_-;\-[$€-2]* #,##0.00_-;_-[$€-2]* &quot;-&quot;??_-"/>
    <numFmt numFmtId="172" formatCode="0.0_)\%;\(0.0\)\%;0.0_)\%;@_)_%"/>
    <numFmt numFmtId="173" formatCode="#,##0.0_)_%;\(#,##0.0\)_%;0.0_)_%;@_)_%"/>
    <numFmt numFmtId="174" formatCode="#,##0.0_);\(#,##0.0\);#,##0.0_);@_)"/>
    <numFmt numFmtId="175" formatCode="#,##0.0_);\(#,##0.0\)"/>
    <numFmt numFmtId="176" formatCode="&quot;$&quot;_(#,##0.00_);&quot;$&quot;\(#,##0.00\);&quot;$&quot;_(0.00_);@_)"/>
    <numFmt numFmtId="177" formatCode="#.0000,;[Red]\(#.0000,\)"/>
    <numFmt numFmtId="178" formatCode="&quot;£&quot;_(#,##0.00_);&quot;£&quot;\(#,##0.00\);&quot;£&quot;_(0.00_);@_)"/>
    <numFmt numFmtId="179" formatCode="&quot;£&quot;#,##0_k;[Red]&quot;£&quot;\(#,##0\)\k"/>
    <numFmt numFmtId="180" formatCode="&quot;£&quot;#,##0_);[Red]\(&quot;£&quot;#,##0\)"/>
    <numFmt numFmtId="181" formatCode="_-&quot;$&quot;* #,##0_-;\-&quot;$&quot;* #,##0_-;_-&quot;$&quot;* &quot;-&quot;_-;_-@_-"/>
    <numFmt numFmtId="182" formatCode="#,##0.00_);\(#,##0.00\);0.00_);@_)"/>
    <numFmt numFmtId="183" formatCode="\€_(#,##0.00_);\€\(#,##0.00\);\€_(0.00_);@_)"/>
    <numFmt numFmtId="184" formatCode="#,##0_)\x;\(#,##0\)\x;0_)\x;@_)_x"/>
    <numFmt numFmtId="185" formatCode="#,;[Red]\(#,\);\-"/>
    <numFmt numFmtId="186" formatCode="&quot;£&quot;#,##0_k;[Red]\(&quot;£&quot;#,##0\k\)"/>
    <numFmt numFmtId="187" formatCode="&quot;£&quot;#,##0.00_);\(&quot;£&quot;#,##0.00\)"/>
    <numFmt numFmtId="188" formatCode="_-&quot;$&quot;* #,##0.00_-;\-&quot;$&quot;* #,##0.00_-;_-&quot;$&quot;* &quot;-&quot;??_-;_-@_-"/>
    <numFmt numFmtId="189" formatCode="#,##0_)_x;\(#,##0\)_x;0_)_x;@_)_x"/>
    <numFmt numFmtId="190" formatCode="0%;[Red]0%"/>
    <numFmt numFmtId="191" formatCode="#,##0\k_);[Red]\(#,##0\k\)"/>
    <numFmt numFmtId="192" formatCode="&quot;£&quot;#,##0.00_);[Red]\(&quot;£&quot;#,##0.00\)"/>
    <numFmt numFmtId="193" formatCode="\+#,##0;[Red]\-#,##0"/>
    <numFmt numFmtId="194" formatCode="#,##0.000000_);\(#,##0.000000\)"/>
    <numFmt numFmtId="195" formatCode="0%;[Red]\-0%"/>
    <numFmt numFmtId="196" formatCode="&quot;£&quot;#,##0\k_);[Red]\(&quot;£&quot;#,##0\k\)"/>
    <numFmt numFmtId="197" formatCode="_(&quot;£&quot;* #,##0_);_(&quot;£&quot;* \(#,##0\);_(&quot;£&quot;* &quot;-&quot;_);_(@_)"/>
    <numFmt numFmtId="198" formatCode="\+&quot;£&quot;#,##0;[Red]\-&quot;£&quot;#,##0"/>
    <numFmt numFmtId="199" formatCode="#,##0.0000_);\(#,##0.0000\)"/>
    <numFmt numFmtId="200" formatCode="0.0%;[Red]\-0.0%"/>
    <numFmt numFmtId="201" formatCode="#,##0\);[Red]\(#,##0\)"/>
    <numFmt numFmtId="202" formatCode="_(&quot;£&quot;* #,##0.00_);_(&quot;£&quot;* \(#,##0.00\);_(&quot;£&quot;* &quot;-&quot;??_);_(@_)"/>
    <numFmt numFmtId="203" formatCode="&quot;+&quot;0%;&quot;-&quot;0%;&quot;=&quot;"/>
    <numFmt numFmtId="204" formatCode="_(* #,##0.0_);_(* \(#,##0.0\);_(* &quot;-&quot;?_);_(@_)"/>
    <numFmt numFmtId="205" formatCode=";;;"/>
    <numFmt numFmtId="206" formatCode="#,##0;\(#,##0\)"/>
    <numFmt numFmtId="207" formatCode="_ &quot;\&quot;* #,##0_ ;_ &quot;\&quot;* \-#,##0_ ;_ &quot;\&quot;* &quot;-&quot;_ ;_ @_ "/>
    <numFmt numFmtId="208" formatCode="_ &quot;\&quot;* #,##0.00_ ;_ &quot;\&quot;* \-#,##0.00_ ;_ &quot;\&quot;* &quot;-&quot;??_ ;_ @_ "/>
    <numFmt numFmtId="209" formatCode="_ * #,##0_ ;_ * \-#,##0_ ;_ * &quot;-&quot;_ ;_ @_ "/>
    <numFmt numFmtId="210" formatCode="_ * #,##0.00_ ;_ * \-#,##0.00_ ;_ * &quot;-&quot;??_ ;_ @_ "/>
    <numFmt numFmtId="211" formatCode="_-* #,##0_-;_-* #,##0_-;"/>
    <numFmt numFmtId="212" formatCode="\£#,##0.0_:_|_);\(\£#,##0.0\)_:_:;\£#,##0.0_:_|_);@_)"/>
    <numFmt numFmtId="213" formatCode="#,##0;\-#,##0;\-"/>
    <numFmt numFmtId="214" formatCode="#,##0_ ;\(#,##0\);\-\ "/>
    <numFmt numFmtId="215" formatCode="###0_);[Red]\(###0\)"/>
    <numFmt numFmtId="216" formatCode="0.000000"/>
    <numFmt numFmtId="217" formatCode="&quot;$&quot;#,##0.0000_);\(&quot;$&quot;#,##0.0000\)"/>
    <numFmt numFmtId="218" formatCode="_(* #,##0.0_);_(* \(#,##0.0\);_(* &quot;-&quot;_);_(@_)"/>
    <numFmt numFmtId="219" formatCode="&quot;$&quot;#,##0"/>
    <numFmt numFmtId="220" formatCode="&quot;$&quot;#.##"/>
    <numFmt numFmtId="221" formatCode="0.0"/>
    <numFmt numFmtId="222" formatCode="#,##0.0;[Red]\-#,##0.0;\-"/>
    <numFmt numFmtId="223" formatCode="#,##0;[Red]\-#,##0;\-"/>
    <numFmt numFmtId="224" formatCode="#,##0;[Red]\(#,##0\)"/>
    <numFmt numFmtId="225" formatCode="_ * #,##0.00_)&quot;L&quot;_ ;_ * \(#,##0.00\)&quot;L&quot;_ ;_ * &quot;-&quot;??_)&quot;L&quot;_ ;_ @_ "/>
    <numFmt numFmtId="226" formatCode="_(* #,##0_);_(* \(#,##0\);_(* &quot;-&quot;_);_(@_)"/>
    <numFmt numFmtId="227" formatCode="#,##0.0\ ;[Red]\(#,##0.0\)"/>
    <numFmt numFmtId="228" formatCode="#,##0.00\ ;[Red]\(#,##0.00\)"/>
    <numFmt numFmtId="229" formatCode="_(* #,##0.00_);_(* \(#,##0.00\);_(* &quot;-&quot;??_);_(@_)"/>
    <numFmt numFmtId="230" formatCode="#,##0.0;\-#,##0.0"/>
    <numFmt numFmtId="231" formatCode="_-* #,##0_-;\(#,##0\)_-;_-* &quot;-&quot;_-;_-@_-"/>
    <numFmt numFmtId="232" formatCode="#,##0.000_);\(#,##0.000\)"/>
    <numFmt numFmtId="233" formatCode="#,###,&quot;,000&quot;;\(#,###,&quot;,000&quot;\);\-"/>
    <numFmt numFmtId="234" formatCode="_-\€* #,##0.00_-;\-\€* #,##0.00_-;_-\€* &quot;-&quot;??_-;_-@_-"/>
    <numFmt numFmtId="235" formatCode="* _(#,##0_);[Red]* \(#,##0\);* _(&quot;-&quot;?_);@_)"/>
    <numFmt numFmtId="236" formatCode="* _(#,##0.00_);[Red]* \(#,##0.00\);* _(&quot;-&quot;?_);@_)"/>
    <numFmt numFmtId="237" formatCode="_-\€* #,##0_-;\-\€* #,##0_-;_-\€* &quot;-&quot;_-;_-@_-"/>
    <numFmt numFmtId="238" formatCode="General_)"/>
    <numFmt numFmtId="239" formatCode="#,##0.0_x_);\(#,##0.0_x\);\ \-\-\-_)"/>
    <numFmt numFmtId="240" formatCode="\$\ * _(#,##0_);[Red]\$\ * \(#,##0\);\$\ * _(&quot;-&quot;?_);@_)"/>
    <numFmt numFmtId="241" formatCode="\$\ * _(#,##0.00_);[Red]\$\ * \(#,##0.00\);\$\ * _(&quot;-&quot;?_);@_)"/>
    <numFmt numFmtId="242" formatCode="\€\ * _(#,##0_);[Red]\€\ * \(#,##0\);\€\ * _(&quot;-&quot;?_);@_)"/>
    <numFmt numFmtId="243" formatCode="\€\ * _(#,##0.00_);[Red]\€\ * \(#,##0.00\);\€\ * _(&quot;-&quot;?_);@_)"/>
    <numFmt numFmtId="244" formatCode="\£\ * _(#,##0_);[Red]\£\ * \(#,##0\);\£\ * _(&quot;-&quot;?_);@_)"/>
    <numFmt numFmtId="245" formatCode="\£\ * _(#,##0.00_);[Red]\£\ * \(#,##0.00\);\£\ * _(&quot;-&quot;?_);@_)"/>
    <numFmt numFmtId="246" formatCode="_-* #,##0.0_-;\-* #,##0.0_-;_-* &quot;-&quot;?_-;_-@_-"/>
    <numFmt numFmtId="247" formatCode="_(&quot;$&quot;* #,##0_);_(&quot;$&quot;* \(#,##0\);_(&quot;$&quot;* &quot;-&quot;_);_(@_)"/>
    <numFmt numFmtId="248" formatCode="_(&quot;$&quot;\ #,##0_);_(&quot;$&quot;\ \(#,##0\);_(* &quot;-&quot;??_);_(@_)"/>
    <numFmt numFmtId="249" formatCode="_(&quot;$&quot;\ #,##0.00_);_(&quot;$&quot;\ \(#,##0.00\);_(* &quot;-&quot;??_);_(@_)"/>
    <numFmt numFmtId="250" formatCode="_(&quot;$&quot;* #,##0.00_);_(&quot;$&quot;* \(#,##0.00\);_(&quot;$&quot;* &quot;-&quot;??_);_(@_)"/>
    <numFmt numFmtId="251" formatCode="#,##0;[Red]\(#,##0\);&quot;-&quot;"/>
    <numFmt numFmtId="252" formatCode="mmm\ yy_)"/>
    <numFmt numFmtId="253" formatCode="yyyy_)"/>
    <numFmt numFmtId="254" formatCode="dd\ mmm\ yy_)"/>
    <numFmt numFmtId="255" formatCode="#,##0.00_);\(#,##0.00\);\ \-\-\-_)"/>
    <numFmt numFmtId="256" formatCode="_(* #,##0_);_(* \(#,##0\);_(* &quot;&quot;\ \-\ &quot;&quot;_);_(@_)"/>
    <numFmt numFmtId="257" formatCode="#,###,##0;\(#,###,##0\);\-"/>
    <numFmt numFmtId="258" formatCode="0.00%;\(0.00%\);\-"/>
    <numFmt numFmtId="259" formatCode="#,##0.0\x_)_%;\(#,##0.0\x\)_%;\ &quot;NM&quot;_x_%_)"/>
    <numFmt numFmtId="260" formatCode="#,##0_ ;[Red]\(#,##0\);\-\ "/>
    <numFmt numFmtId="261" formatCode="#,##0;[White]\(#,##0\)"/>
    <numFmt numFmtId="262" formatCode="&quot;Case&quot;\ 0"/>
    <numFmt numFmtId="263" formatCode="_-#,##0&quot; hours&quot;"/>
    <numFmt numFmtId="264" formatCode="#,##0.0"/>
    <numFmt numFmtId="265" formatCode="&quot;$&quot;#,##0.00"/>
    <numFmt numFmtId="266" formatCode="_-#,##0.0&quot; max&quot;"/>
    <numFmt numFmtId="267" formatCode="#,##0.0,,_);[Red]\(#,##0.0,,\)"/>
    <numFmt numFmtId="268" formatCode="_-#,##0&quot; months&quot;"/>
    <numFmt numFmtId="269" formatCode="#,##0.0_x_%_);\(#,##0.0\)_x_%;\ &quot;NM&quot;_x_%_)"/>
    <numFmt numFmtId="270" formatCode="_-#,##0&quot;MW&quot;"/>
    <numFmt numFmtId="271" formatCode="_-#,##0&quot;MWth&quot;"/>
    <numFmt numFmtId="272" formatCode="0.00_)"/>
    <numFmt numFmtId="273" formatCode="0.000"/>
    <numFmt numFmtId="274" formatCode="#,##0.0_);[Red]\(#,##0.0\)"/>
    <numFmt numFmtId="275" formatCode="&quot;$&quot;#,##0.0"/>
    <numFmt numFmtId="276" formatCode="#,##0.0_);\(#,##0.0\);\ \-\-\-_)"/>
    <numFmt numFmtId="277" formatCode="&quot;£&quot;#,##0_);\(&quot;£&quot;#,##0\)"/>
    <numFmt numFmtId="278" formatCode="_-* #,##0.00_-;_-* #,##0.00\-;_-* &quot;-&quot;??_-;_-@_-"/>
    <numFmt numFmtId="279" formatCode="_-* #,##0_-;_-* #,##0\-;_-* &quot;-&quot;_-;_-@_-"/>
    <numFmt numFmtId="280" formatCode="0.0%_%;\(0.0%\)_%"/>
    <numFmt numFmtId="281" formatCode="#,##0.0\%_);\(#,##0.0\%\);#,##0.0\%_);@_)"/>
    <numFmt numFmtId="282" formatCode="0.00%_);\(0.00%\);\ \-\-\-_)"/>
    <numFmt numFmtId="283" formatCode="0.000%_);\(0.000%\);\ \-\-\-_)"/>
    <numFmt numFmtId="284" formatCode="0.00%_x_);\(0.00%\)_x;\ &quot;NM&quot;_x_%_)"/>
    <numFmt numFmtId="285" formatCode="0.00%_x_);\(0.00%\)_x;\ \-\-\-_x_%_)"/>
    <numFmt numFmtId="286" formatCode="#,##0.00%;[Red]\-#,##0.00%;0.00%;@_)"/>
    <numFmt numFmtId="287" formatCode="\+#,##0.0;\-#,##0.0;"/>
    <numFmt numFmtId="288" formatCode="\£#,##0.00_);\(\£#,##0.00\)"/>
    <numFmt numFmtId="289" formatCode="\£#,##0.00_);\(\£#,##0.00\);\ \-\-\-_)"/>
    <numFmt numFmtId="290" formatCode="\£#,##0.00_x_%_);\(\£#,##0.00\)_x_%;\ \-\-\-_x_%_)"/>
    <numFmt numFmtId="291" formatCode="#,##0.00_x_%_);\(#,##0.00\)_x_%;\ \-\-\-_x_%_)"/>
    <numFmt numFmtId="292" formatCode="0.0000"/>
    <numFmt numFmtId="293" formatCode="&quot;$&quot;#,##0;\-&quot;$&quot;#,##0"/>
    <numFmt numFmtId="294" formatCode="#,##0.0;[Red]\(#,##0.0\)"/>
    <numFmt numFmtId="295" formatCode="#,##0.00;[Red]\(#,##0.00\)"/>
    <numFmt numFmtId="296" formatCode="#,##0.000%;\-#,##0.000%;\-\%"/>
    <numFmt numFmtId="297" formatCode="#,##0.000;\-#,##0.000;\-\ "/>
    <numFmt numFmtId="298" formatCode="#,##0&quot;£&quot;_);[Red]\(#,##0&quot;£&quot;\)"/>
    <numFmt numFmtId="299" formatCode="mmm\-yyyy"/>
    <numFmt numFmtId="300" formatCode="0.00%;[Red]\-0.00%"/>
    <numFmt numFmtId="301" formatCode="_-#,##0&quot; t&quot;"/>
    <numFmt numFmtId="302" formatCode="_(* #,##0.000_);_(* \(#,##0.000\);_(* &quot;-&quot;_);_(@_)"/>
    <numFmt numFmtId="303" formatCode="#,##0.0,_);[Red]\(#,##0.0,\)"/>
    <numFmt numFmtId="304" formatCode="0.0\x"/>
    <numFmt numFmtId="305" formatCode="0\ \x"/>
    <numFmt numFmtId="306" formatCode="yyyy"/>
    <numFmt numFmtId="307" formatCode="_-#,##0&quot; years&quot;"/>
    <numFmt numFmtId="308" formatCode="&quot;Yes&quot;;&quot;Yes&quot;;&quot;No&quot;"/>
    <numFmt numFmtId="309" formatCode="&quot;£&quot;#,##0.0000"/>
    <numFmt numFmtId="310" formatCode="&quot;£&quot;#,##0"/>
    <numFmt numFmtId="311" formatCode="0.00000"/>
    <numFmt numFmtId="312" formatCode="&quot;£&quot;#.#,,&quot;m&quot;"/>
  </numFmts>
  <fonts count="200"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i/>
      <sz val="9"/>
      <color indexed="16"/>
      <name val="Arial"/>
      <family val="2"/>
    </font>
    <font>
      <i/>
      <sz val="9"/>
      <name val="Arial"/>
      <family val="2"/>
    </font>
    <font>
      <sz val="9"/>
      <name val="Verdana"/>
      <family val="2"/>
    </font>
    <font>
      <sz val="8"/>
      <color indexed="10"/>
      <name val="Arial"/>
      <family val="2"/>
    </font>
    <font>
      <i/>
      <sz val="9"/>
      <color rgb="FF969696"/>
      <name val="Arial"/>
      <family val="2"/>
    </font>
    <font>
      <sz val="11"/>
      <color theme="1"/>
      <name val="Vodafone Rg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rgb="FF3F3F76"/>
      <name val="Calibri"/>
      <family val="2"/>
      <scheme val="minor"/>
    </font>
    <font>
      <b/>
      <u/>
      <sz val="9"/>
      <name val="Arial"/>
      <family val="2"/>
    </font>
    <font>
      <sz val="10"/>
      <name val="Arial"/>
      <family val="2"/>
    </font>
    <font>
      <i/>
      <sz val="10"/>
      <color rgb="FF7030A0"/>
      <name val="Arial"/>
      <family val="2"/>
    </font>
    <font>
      <sz val="10"/>
      <name val="Genev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10"/>
      <name val="Arial"/>
      <family val="2"/>
    </font>
    <font>
      <b/>
      <sz val="22"/>
      <color indexed="18"/>
      <name val="Arial"/>
      <family val="2"/>
    </font>
    <font>
      <sz val="10"/>
      <name val="Helv"/>
    </font>
    <font>
      <b/>
      <sz val="14"/>
      <color indexed="18"/>
      <name val="Arial"/>
      <family val="2"/>
    </font>
    <font>
      <sz val="10"/>
      <name val="Helv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color indexed="8"/>
      <name val="Arial"/>
      <family val="2"/>
    </font>
    <font>
      <sz val="12"/>
      <name val="DTMLetterRegular"/>
    </font>
    <font>
      <sz val="10"/>
      <name val="MS Sans Serif"/>
      <family val="2"/>
    </font>
    <font>
      <sz val="10"/>
      <name val="Courier"/>
      <family val="3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22"/>
      <name val="Calibri"/>
      <family val="2"/>
      <scheme val="minor"/>
    </font>
    <font>
      <sz val="11"/>
      <name val="µ¸¿ò"/>
      <family val="3"/>
    </font>
    <font>
      <sz val="8"/>
      <name val="Times New Roman"/>
      <family val="1"/>
    </font>
    <font>
      <sz val="10"/>
      <color indexed="10"/>
      <name val="Times New Roman"/>
      <family val="1"/>
    </font>
    <font>
      <sz val="12"/>
      <color indexed="18"/>
      <name val="Arial"/>
      <family val="2"/>
    </font>
    <font>
      <sz val="12"/>
      <name val="Tms Rmn"/>
      <family val="1"/>
    </font>
    <font>
      <b/>
      <sz val="8.5"/>
      <color indexed="21"/>
      <name val="Arial"/>
      <family val="2"/>
    </font>
    <font>
      <b/>
      <i/>
      <sz val="14"/>
      <name val="Times New Roman"/>
      <family val="1"/>
    </font>
    <font>
      <sz val="12"/>
      <name val="¹ÙÅÁÃ¼"/>
      <family val="1"/>
    </font>
    <font>
      <sz val="8.5"/>
      <name val="Arial"/>
      <family val="2"/>
    </font>
    <font>
      <b/>
      <sz val="10"/>
      <color theme="6" tint="-0.499984740745262"/>
      <name val="Arial"/>
      <family val="2"/>
    </font>
    <font>
      <sz val="10"/>
      <color indexed="16"/>
      <name val="MS Sans Serif"/>
      <family val="2"/>
    </font>
    <font>
      <sz val="10"/>
      <color theme="6" tint="-0.499984740745262"/>
      <name val="Arial"/>
      <family val="2"/>
    </font>
    <font>
      <b/>
      <sz val="11"/>
      <color indexed="53"/>
      <name val="Calibri"/>
      <family val="2"/>
    </font>
    <font>
      <i/>
      <sz val="9"/>
      <color indexed="55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b/>
      <sz val="10"/>
      <name val="Verdana"/>
      <family val="2"/>
    </font>
    <font>
      <sz val="12"/>
      <name val="宋体"/>
      <charset val="134"/>
    </font>
    <font>
      <sz val="10"/>
      <color indexed="39"/>
      <name val="Century Schoolbook"/>
      <family val="1"/>
    </font>
    <font>
      <sz val="10"/>
      <name val="Verdana"/>
      <family val="2"/>
    </font>
    <font>
      <sz val="8"/>
      <color indexed="8"/>
      <name val="Tahoma"/>
      <family val="2"/>
    </font>
    <font>
      <sz val="11"/>
      <color indexed="8"/>
      <name val="Calibri"/>
      <family val="2"/>
    </font>
    <font>
      <sz val="10"/>
      <name val="Palatino"/>
      <family val="1"/>
    </font>
    <font>
      <b/>
      <u/>
      <sz val="14"/>
      <name val="Arial"/>
      <family val="2"/>
    </font>
    <font>
      <sz val="10"/>
      <name val="MS Serif"/>
      <family val="1"/>
    </font>
    <font>
      <sz val="8"/>
      <name val="Univers 47 CondensedLight"/>
      <family val="2"/>
    </font>
    <font>
      <b/>
      <sz val="9"/>
      <color indexed="9"/>
      <name val="Arial"/>
      <family val="2"/>
    </font>
    <font>
      <sz val="10"/>
      <color indexed="62"/>
      <name val="Arial"/>
      <family val="2"/>
    </font>
    <font>
      <sz val="10"/>
      <color indexed="12"/>
      <name val="Arial Narrow"/>
      <family val="2"/>
    </font>
    <font>
      <sz val="10"/>
      <color indexed="8"/>
      <name val="Helv"/>
      <family val="2"/>
    </font>
    <font>
      <sz val="10"/>
      <color indexed="16"/>
      <name val="MS Serif"/>
      <family val="1"/>
    </font>
    <font>
      <sz val="12"/>
      <name val="Tms Rmn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4"/>
      <name val="Comic Sans MS"/>
      <family val="4"/>
    </font>
    <font>
      <sz val="7"/>
      <name val="Palatino"/>
      <family val="1"/>
    </font>
    <font>
      <sz val="10"/>
      <color theme="1"/>
      <name val="Arial"/>
      <family val="2"/>
    </font>
    <font>
      <sz val="8"/>
      <color indexed="17"/>
      <name val="Arial"/>
      <family val="2"/>
    </font>
    <font>
      <sz val="10"/>
      <color indexed="23"/>
      <name val="Arial"/>
      <family val="2"/>
    </font>
    <font>
      <sz val="11"/>
      <color indexed="23"/>
      <name val="Arial"/>
      <family val="2"/>
    </font>
    <font>
      <b/>
      <sz val="7"/>
      <color indexed="21"/>
      <name val="Arial"/>
      <family val="2"/>
    </font>
    <font>
      <sz val="7"/>
      <name val="Arial"/>
      <family val="2"/>
    </font>
    <font>
      <b/>
      <sz val="30"/>
      <color theme="3"/>
      <name val="Calibri"/>
      <family val="2"/>
      <scheme val="minor"/>
    </font>
    <font>
      <sz val="6"/>
      <color indexed="16"/>
      <name val="Palatino"/>
      <family val="1"/>
    </font>
    <font>
      <b/>
      <i/>
      <sz val="10"/>
      <name val="Geneva"/>
      <family val="2"/>
    </font>
    <font>
      <b/>
      <sz val="22"/>
      <color theme="8" tint="-0.499984740745262"/>
      <name val="Arial"/>
      <family val="2"/>
    </font>
    <font>
      <b/>
      <sz val="11"/>
      <name val="Calibri"/>
      <family val="2"/>
      <scheme val="minor"/>
    </font>
    <font>
      <b/>
      <sz val="48"/>
      <color theme="8" tint="-0.499984740745262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8" tint="-0.499984740745262"/>
      <name val="Arial"/>
      <family val="2"/>
    </font>
    <font>
      <b/>
      <sz val="11"/>
      <color theme="8" tint="-0.499984740745262"/>
      <name val="Arial"/>
      <family val="2"/>
    </font>
    <font>
      <b/>
      <sz val="20"/>
      <color indexed="9"/>
      <name val="Bookman Old Style"/>
      <family val="1"/>
    </font>
    <font>
      <b/>
      <i/>
      <sz val="16"/>
      <color indexed="9"/>
      <name val="Bookman Old Style"/>
      <family val="1"/>
    </font>
    <font>
      <b/>
      <sz val="14"/>
      <color indexed="9"/>
      <name val="Bookman Old Style"/>
      <family val="1"/>
    </font>
    <font>
      <b/>
      <sz val="12"/>
      <color indexed="8"/>
      <name val="Bookman Old Style"/>
      <family val="1"/>
    </font>
    <font>
      <b/>
      <u/>
      <sz val="12"/>
      <name val="MS Sans Serif"/>
      <family val="2"/>
    </font>
    <font>
      <b/>
      <sz val="9"/>
      <name val="Helv"/>
    </font>
    <font>
      <sz val="9"/>
      <name val="Helv"/>
    </font>
    <font>
      <b/>
      <sz val="28"/>
      <name val="Arial"/>
      <family val="2"/>
    </font>
    <font>
      <sz val="8"/>
      <name val="Helv"/>
    </font>
    <font>
      <u/>
      <sz val="7.5"/>
      <color indexed="12"/>
      <name val="Arial"/>
      <family val="2"/>
    </font>
    <font>
      <u/>
      <sz val="7.6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24"/>
      <name val="Arial"/>
      <family val="2"/>
    </font>
    <font>
      <sz val="10"/>
      <color indexed="12"/>
      <name val="Times New Roman"/>
      <family val="1"/>
    </font>
    <font>
      <sz val="12"/>
      <name val="Helv"/>
    </font>
    <font>
      <sz val="10"/>
      <color theme="3" tint="-0.24994659260841701"/>
      <name val="Arial"/>
      <family val="2"/>
    </font>
    <font>
      <b/>
      <sz val="10"/>
      <name val="Geneva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8"/>
      <color indexed="56"/>
      <name val="Arial"/>
      <family val="2"/>
    </font>
    <font>
      <sz val="10"/>
      <color theme="3" tint="-0.499984740745262"/>
      <name val="Arial"/>
      <family val="2"/>
    </font>
    <font>
      <sz val="12"/>
      <color indexed="45"/>
      <name val="Arial"/>
      <family val="2"/>
    </font>
    <font>
      <sz val="14"/>
      <color indexed="18"/>
      <name val="Arial"/>
      <family val="2"/>
    </font>
    <font>
      <b/>
      <sz val="18"/>
      <name val="Times New Roman"/>
      <family val="1"/>
    </font>
    <font>
      <b/>
      <sz val="18"/>
      <color indexed="18"/>
      <name val="Arial"/>
      <family val="2"/>
    </font>
    <font>
      <b/>
      <u val="singleAccounting"/>
      <sz val="9"/>
      <color indexed="9"/>
      <name val="Arial"/>
      <family val="2"/>
    </font>
    <font>
      <i/>
      <sz val="10"/>
      <color indexed="16"/>
      <name val="Times New Roman"/>
      <family val="1"/>
    </font>
    <font>
      <sz val="11"/>
      <color indexed="24"/>
      <name val="Arial"/>
      <family val="2"/>
    </font>
    <font>
      <sz val="7"/>
      <color indexed="55"/>
      <name val="Bookman Old Style"/>
      <family val="1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</font>
    <font>
      <sz val="11"/>
      <color theme="1"/>
      <name val="Sky Text"/>
      <family val="2"/>
    </font>
    <font>
      <sz val="8"/>
      <name val="Tahoma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9"/>
      <color theme="6" tint="-0.499984740745262"/>
      <name val="Arial"/>
      <family val="2"/>
    </font>
    <font>
      <sz val="7"/>
      <color indexed="8"/>
      <name val="Arial"/>
      <family val="2"/>
    </font>
    <font>
      <sz val="9"/>
      <color theme="0" tint="-0.34998626667073579"/>
      <name val="Arial"/>
      <family val="2"/>
    </font>
    <font>
      <i/>
      <sz val="9"/>
      <color indexed="12"/>
      <name val="Helv"/>
    </font>
    <font>
      <sz val="8"/>
      <color indexed="8"/>
      <name val="Arial"/>
      <family val="2"/>
    </font>
    <font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 Narrow"/>
      <family val="2"/>
    </font>
    <font>
      <b/>
      <sz val="16"/>
      <color indexed="59"/>
      <name val="Arial"/>
      <family val="2"/>
    </font>
    <font>
      <b/>
      <sz val="10"/>
      <name val="MS Sans Serif"/>
      <family val="2"/>
    </font>
    <font>
      <sz val="8"/>
      <color indexed="20"/>
      <name val="Arial"/>
      <family val="2"/>
    </font>
    <font>
      <sz val="10"/>
      <color indexed="18"/>
      <name val="MS Sans Serif"/>
      <family val="2"/>
    </font>
    <font>
      <b/>
      <sz val="6"/>
      <name val="Small Fonts"/>
      <family val="2"/>
    </font>
    <font>
      <sz val="8"/>
      <name val="Wingdings"/>
      <charset val="2"/>
    </font>
    <font>
      <b/>
      <sz val="14"/>
      <color indexed="9"/>
      <name val="Arial"/>
      <family val="2"/>
    </font>
    <font>
      <b/>
      <sz val="14"/>
      <name val="Times New Roman"/>
      <family val="1"/>
    </font>
    <font>
      <b/>
      <sz val="14"/>
      <color indexed="9"/>
      <name val="Book Antiqua"/>
      <family val="1"/>
    </font>
    <font>
      <b/>
      <sz val="14"/>
      <color indexed="62"/>
      <name val="Arial"/>
      <family val="2"/>
    </font>
    <font>
      <b/>
      <sz val="8"/>
      <name val="Arial Narrow"/>
      <family val="2"/>
    </font>
    <font>
      <b/>
      <sz val="16"/>
      <color indexed="16"/>
      <name val="Arial"/>
      <family val="2"/>
    </font>
    <font>
      <sz val="10"/>
      <color indexed="18"/>
      <name val="Times New Roman"/>
      <family val="1"/>
    </font>
    <font>
      <sz val="8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i/>
      <sz val="10"/>
      <color indexed="13"/>
      <name val="MS Sans Serif"/>
      <family val="2"/>
    </font>
    <font>
      <b/>
      <sz val="12"/>
      <color indexed="12"/>
      <name val="Arial"/>
      <family val="2"/>
    </font>
    <font>
      <sz val="11"/>
      <color indexed="17"/>
      <name val="Arial"/>
      <family val="2"/>
    </font>
    <font>
      <b/>
      <sz val="10"/>
      <color indexed="9"/>
      <name val="Book Antiqua"/>
      <family val="1"/>
    </font>
    <font>
      <b/>
      <i/>
      <sz val="10"/>
      <name val="Arial"/>
      <family val="2"/>
    </font>
    <font>
      <i/>
      <sz val="10"/>
      <color indexed="62"/>
      <name val="Arial"/>
      <family val="2"/>
    </font>
    <font>
      <b/>
      <sz val="8"/>
      <color indexed="8"/>
      <name val="Helv"/>
    </font>
    <font>
      <b/>
      <sz val="11"/>
      <name val="Arial"/>
      <family val="2"/>
    </font>
    <font>
      <sz val="8"/>
      <color indexed="56"/>
      <name val="Book Antiqua"/>
      <family val="1"/>
    </font>
    <font>
      <b/>
      <sz val="10"/>
      <color theme="0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color indexed="16"/>
      <name val="Arial"/>
      <family val="2"/>
    </font>
    <font>
      <sz val="9"/>
      <name val="Helvetica-Black"/>
    </font>
    <font>
      <b/>
      <sz val="11"/>
      <color indexed="30"/>
      <name val="Arial"/>
      <family val="2"/>
    </font>
    <font>
      <b/>
      <sz val="16"/>
      <color indexed="9"/>
      <name val="Arial"/>
      <family val="2"/>
    </font>
    <font>
      <b/>
      <sz val="16"/>
      <color indexed="24"/>
      <name val="Univers 45 Light"/>
      <family val="2"/>
    </font>
    <font>
      <b/>
      <sz val="16"/>
      <color indexed="62"/>
      <name val="Arial"/>
      <family val="2"/>
    </font>
    <font>
      <b/>
      <sz val="12"/>
      <name val="Times New Roman"/>
      <family val="1"/>
    </font>
    <font>
      <sz val="10"/>
      <color indexed="12"/>
      <name val="Palatino"/>
      <family val="1"/>
    </font>
    <font>
      <sz val="8"/>
      <color indexed="10"/>
      <name val="Arial Narrow"/>
      <family val="2"/>
    </font>
    <font>
      <b/>
      <sz val="11"/>
      <name val="Times New Roman"/>
      <family val="1"/>
    </font>
    <font>
      <b/>
      <sz val="10"/>
      <color indexed="59"/>
      <name val="Arial"/>
      <family val="2"/>
    </font>
    <font>
      <sz val="12"/>
      <name val="바탕체"/>
      <family val="1"/>
      <charset val="129"/>
    </font>
    <font>
      <sz val="11"/>
      <name val="ＭＳ Ｐゴシック"/>
      <family val="3"/>
      <charset val="128"/>
    </font>
    <font>
      <sz val="10"/>
      <name val="Arial"/>
      <family val="2"/>
    </font>
    <font>
      <i/>
      <sz val="9"/>
      <color theme="0" tint="-0.249977111117893"/>
      <name val="Arial"/>
      <family val="2"/>
    </font>
    <font>
      <b/>
      <u/>
      <sz val="10"/>
      <name val="Arial"/>
      <family val="2"/>
    </font>
    <font>
      <u/>
      <sz val="9"/>
      <color theme="10"/>
      <name val="Arial"/>
      <family val="2"/>
    </font>
    <font>
      <b/>
      <u/>
      <sz val="11"/>
      <name val="Arial"/>
      <family val="2"/>
    </font>
    <font>
      <b/>
      <sz val="16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E8D9E8"/>
        <bgColor indexed="64"/>
      </patternFill>
    </fill>
    <fill>
      <patternFill patternType="solid">
        <fgColor rgb="FF00FFFF"/>
        <bgColor indexed="64"/>
      </patternFill>
    </fill>
    <fill>
      <gradientFill degree="45">
        <stop position="0">
          <color rgb="FFF7941D"/>
        </stop>
        <stop position="0.5">
          <color rgb="FFFFF200"/>
        </stop>
        <stop position="1">
          <color rgb="FFF7941D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8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8"/>
      </patternFill>
    </fill>
    <fill>
      <patternFill patternType="solid">
        <fgColor indexed="23"/>
      </patternFill>
    </fill>
    <fill>
      <patternFill patternType="gray0625">
        <fgColor indexed="40"/>
        <bgColor indexed="9"/>
      </patternFill>
    </fill>
    <fill>
      <patternFill patternType="solid">
        <fgColor indexed="5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22"/>
      </patternFill>
    </fill>
    <fill>
      <patternFill patternType="solid">
        <fgColor rgb="FF66FF33"/>
        <bgColor indexed="64"/>
      </patternFill>
    </fill>
    <fill>
      <patternFill patternType="mediumGray">
        <fgColor indexed="9"/>
      </patternFill>
    </fill>
    <fill>
      <patternFill patternType="solid">
        <fgColor indexed="12"/>
      </patternFill>
    </fill>
    <fill>
      <patternFill patternType="solid">
        <fgColor indexed="8"/>
      </patternFill>
    </fill>
    <fill>
      <patternFill patternType="solid">
        <fgColor theme="0" tint="-4.9989318521683403E-2"/>
        <bgColor auto="1"/>
      </patternFill>
    </fill>
    <fill>
      <patternFill patternType="solid">
        <fgColor indexed="22"/>
        <bgColor indexed="22"/>
      </patternFill>
    </fill>
    <fill>
      <patternFill patternType="solid">
        <fgColor rgb="FFF2F2F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24"/>
        <bgColor indexed="64"/>
      </patternFill>
    </fill>
    <fill>
      <patternFill patternType="gray0625">
        <bgColor indexed="29"/>
      </patternFill>
    </fill>
  </fills>
  <borders count="91">
    <border>
      <left/>
      <right/>
      <top/>
      <bottom/>
      <diagonal/>
    </border>
    <border>
      <left style="thin">
        <color rgb="FF660066"/>
      </left>
      <right style="thin">
        <color rgb="FF660066"/>
      </right>
      <top style="thin">
        <color rgb="FF660066"/>
      </top>
      <bottom style="thin">
        <color rgb="FF660066"/>
      </bottom>
      <diagonal/>
    </border>
    <border>
      <left style="dotted">
        <color rgb="FF660066"/>
      </left>
      <right style="dotted">
        <color rgb="FF660066"/>
      </right>
      <top style="dotted">
        <color rgb="FF660066"/>
      </top>
      <bottom style="dotted">
        <color rgb="FF660066"/>
      </bottom>
      <diagonal/>
    </border>
    <border>
      <left style="mediumDashed">
        <color rgb="FFC90044"/>
      </left>
      <right style="mediumDashed">
        <color rgb="FFC90044"/>
      </right>
      <top style="mediumDashed">
        <color rgb="FFC90044"/>
      </top>
      <bottom style="mediumDashed">
        <color rgb="FFC900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indexed="55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dashed">
        <color rgb="FF7F7F7F"/>
      </left>
      <right style="dashed">
        <color rgb="FF7F7F7F"/>
      </right>
      <top style="dashed">
        <color rgb="FF7F7F7F"/>
      </top>
      <bottom style="dashed">
        <color rgb="FF7F7F7F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19"/>
      </left>
      <right style="dashed">
        <color indexed="19"/>
      </right>
      <top style="dashed">
        <color indexed="19"/>
      </top>
      <bottom style="dashed">
        <color indexed="1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theme="3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thin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/>
      <right/>
      <top style="thin">
        <color auto="1"/>
      </top>
      <bottom/>
      <diagonal/>
    </border>
    <border>
      <left style="dotted">
        <color indexed="59"/>
      </left>
      <right style="dotted">
        <color indexed="59"/>
      </right>
      <top style="dotted">
        <color indexed="59"/>
      </top>
      <bottom style="dotted">
        <color indexed="59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dotted">
        <color indexed="57"/>
      </left>
      <right style="dotted">
        <color indexed="57"/>
      </right>
      <top style="thin">
        <color indexed="57"/>
      </top>
      <bottom style="thin">
        <color indexed="57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rgb="FF3F3F3F"/>
      </left>
      <right style="dotted">
        <color rgb="FF3F3F3F"/>
      </right>
      <top style="dotted">
        <color rgb="FF3F3F3F"/>
      </top>
      <bottom style="dotted">
        <color rgb="FF3F3F3F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4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442">
    <xf numFmtId="0" fontId="0" fillId="0" borderId="0">
      <alignment vertical="center"/>
    </xf>
    <xf numFmtId="0" fontId="9" fillId="0" borderId="0" applyNumberFormat="0" applyAlignment="0">
      <alignment vertical="center"/>
    </xf>
    <xf numFmtId="165" fontId="20" fillId="0" borderId="0" applyNumberFormat="0" applyAlignment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left" vertical="center"/>
    </xf>
    <xf numFmtId="0" fontId="12" fillId="0" borderId="0" applyNumberFormat="0" applyFill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16" fillId="0" borderId="0" applyNumberFormat="0" applyAlignment="0">
      <alignment vertical="center"/>
    </xf>
    <xf numFmtId="0" fontId="14" fillId="0" borderId="0" applyNumberForma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166" fontId="9" fillId="0" borderId="0" applyFont="0" applyFill="0" applyBorder="0" applyAlignment="0" applyProtection="0">
      <alignment horizontal="right" vertical="center"/>
    </xf>
    <xf numFmtId="0" fontId="19" fillId="0" borderId="0" applyNumberFormat="0" applyFill="0" applyProtection="0">
      <alignment horizontal="left" vertical="center"/>
    </xf>
    <xf numFmtId="164" fontId="12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2" applyNumberFormat="0" applyAlignment="0">
      <alignment vertical="center"/>
      <protection locked="0"/>
    </xf>
    <xf numFmtId="0" fontId="9" fillId="0" borderId="1" applyNumberFormat="0" applyAlignment="0">
      <alignment vertical="center"/>
      <protection locked="0"/>
    </xf>
    <xf numFmtId="0" fontId="19" fillId="0" borderId="0" applyNumberFormat="0" applyFill="0" applyBorder="0" applyAlignment="0" applyProtection="0">
      <alignment vertical="top"/>
    </xf>
    <xf numFmtId="0" fontId="9" fillId="4" borderId="0" applyNumberFormat="0" applyFont="0" applyBorder="0" applyAlignment="0" applyProtection="0">
      <alignment vertical="center"/>
    </xf>
    <xf numFmtId="0" fontId="9" fillId="5" borderId="0" applyNumberFormat="0" applyFont="0" applyBorder="0" applyAlignment="0" applyProtection="0">
      <alignment vertical="center"/>
    </xf>
    <xf numFmtId="0" fontId="14" fillId="0" borderId="0" applyFill="0" applyBorder="0" applyAlignment="0" applyProtection="0">
      <alignment vertical="center"/>
    </xf>
    <xf numFmtId="0" fontId="9" fillId="6" borderId="3" applyNumberFormat="0" applyFont="0" applyAlignment="0" applyProtection="0">
      <alignment vertical="center"/>
    </xf>
    <xf numFmtId="9" fontId="9" fillId="0" borderId="0" applyFont="0" applyFill="0" applyBorder="0" applyAlignment="0" applyProtection="0"/>
    <xf numFmtId="0" fontId="7" fillId="0" borderId="0"/>
    <xf numFmtId="167" fontId="7" fillId="0" borderId="0"/>
    <xf numFmtId="43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31" fillId="0" borderId="0"/>
    <xf numFmtId="171" fontId="29" fillId="0" borderId="0"/>
    <xf numFmtId="0" fontId="29" fillId="0" borderId="0"/>
    <xf numFmtId="171" fontId="29" fillId="0" borderId="0"/>
    <xf numFmtId="171" fontId="29" fillId="0" borderId="0"/>
    <xf numFmtId="171" fontId="25" fillId="0" borderId="0"/>
    <xf numFmtId="171" fontId="29" fillId="0" borderId="0"/>
    <xf numFmtId="171" fontId="32" fillId="0" borderId="0"/>
    <xf numFmtId="0" fontId="29" fillId="0" borderId="0"/>
    <xf numFmtId="0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32" fillId="0" borderId="0" applyNumberFormat="0" applyFont="0" applyFill="0" applyBorder="0" applyAlignment="0" applyProtection="0"/>
    <xf numFmtId="171" fontId="29" fillId="22" borderId="0" applyBorder="0" applyAlignment="0"/>
    <xf numFmtId="171" fontId="29" fillId="0" borderId="0"/>
    <xf numFmtId="17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/>
    <xf numFmtId="3" fontId="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0"/>
    <xf numFmtId="171" fontId="25" fillId="0" borderId="0"/>
    <xf numFmtId="171" fontId="25" fillId="0" borderId="0"/>
    <xf numFmtId="171" fontId="25" fillId="0" borderId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0"/>
    <xf numFmtId="171" fontId="31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0" fontId="29" fillId="0" borderId="0" applyNumberFormat="0" applyFill="0" applyBorder="0" applyAlignment="0" applyProtection="0"/>
    <xf numFmtId="3" fontId="9" fillId="0" borderId="0"/>
    <xf numFmtId="3" fontId="9" fillId="0" borderId="0"/>
    <xf numFmtId="3" fontId="9" fillId="0" borderId="0"/>
    <xf numFmtId="171" fontId="29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3" fontId="9" fillId="0" borderId="0"/>
    <xf numFmtId="171" fontId="29" fillId="0" borderId="0" applyNumberFormat="0" applyFill="0" applyBorder="0" applyAlignment="0" applyProtection="0"/>
    <xf numFmtId="171" fontId="33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29" fillId="0" borderId="0" applyNumberFormat="0" applyFill="0" applyBorder="0" applyAlignment="0" applyProtection="0"/>
    <xf numFmtId="171" fontId="25" fillId="0" borderId="0"/>
    <xf numFmtId="171" fontId="29" fillId="0" borderId="0" applyNumberFormat="0" applyFill="0" applyBorder="0" applyAlignment="0" applyProtection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33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34" fillId="0" borderId="0">
      <alignment vertical="top"/>
    </xf>
    <xf numFmtId="171" fontId="29" fillId="0" borderId="0"/>
    <xf numFmtId="0" fontId="25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4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0" fontId="29" fillId="0" borderId="0" applyNumberFormat="0" applyFill="0" applyBorder="0" applyAlignment="0" applyProtection="0"/>
    <xf numFmtId="0" fontId="25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 applyNumberForma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29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78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39" fontId="29" fillId="0" borderId="0" applyFont="0" applyFill="0" applyBorder="0" applyAlignment="0" applyProtection="0"/>
    <xf numFmtId="39" fontId="29" fillId="0" borderId="0" applyFont="0" applyFill="0" applyBorder="0" applyAlignment="0" applyProtection="0"/>
    <xf numFmtId="39" fontId="29" fillId="0" borderId="0" applyFont="0" applyFill="0" applyBorder="0" applyAlignment="0" applyProtection="0"/>
    <xf numFmtId="39" fontId="29" fillId="0" borderId="0" applyFont="0" applyFill="0" applyBorder="0" applyAlignment="0" applyProtection="0"/>
    <xf numFmtId="39" fontId="29" fillId="0" borderId="0" applyFont="0" applyFill="0" applyBorder="0" applyAlignment="0" applyProtection="0"/>
    <xf numFmtId="39" fontId="29" fillId="0" borderId="0" applyFon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33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83" fontId="29" fillId="0" borderId="0" applyFont="0" applyFill="0" applyBorder="0" applyAlignment="0" applyProtection="0"/>
    <xf numFmtId="0" fontId="33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 applyNumberFormat="0" applyFill="0" applyBorder="0" applyAlignment="0" applyProtection="0"/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34" fillId="0" borderId="0">
      <alignment vertical="top"/>
    </xf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35" fillId="0" borderId="0" applyNumberFormat="0" applyFill="0" applyBorder="0" applyAlignment="0" applyProtection="0"/>
    <xf numFmtId="171" fontId="35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23" borderId="0" applyNumberFormat="0" applyFont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84" fontId="29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9" fillId="0" borderId="0" applyFont="0" applyFill="0" applyBorder="0" applyAlignment="0" applyProtection="0"/>
    <xf numFmtId="186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188" fontId="29" fillId="0" borderId="0" applyFont="0" applyFill="0" applyBorder="0" applyAlignment="0" applyProtection="0"/>
    <xf numFmtId="187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189" fontId="29" fillId="0" borderId="0" applyFont="0" applyFill="0" applyBorder="0" applyProtection="0">
      <alignment horizontal="right"/>
    </xf>
    <xf numFmtId="190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191" fontId="31" fillId="0" borderId="0" applyFont="0" applyFill="0" applyBorder="0" applyAlignment="0" applyProtection="0"/>
    <xf numFmtId="192" fontId="31" fillId="0" borderId="0" applyFont="0" applyFill="0" applyBorder="0" applyAlignment="0" applyProtection="0"/>
    <xf numFmtId="193" fontId="29" fillId="0" borderId="0" applyFont="0" applyFill="0" applyBorder="0" applyAlignment="0" applyProtection="0"/>
    <xf numFmtId="194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31" fillId="0" borderId="0" applyFont="0" applyFill="0" applyBorder="0" applyAlignment="0" applyProtection="0"/>
    <xf numFmtId="0" fontId="33" fillId="0" borderId="0"/>
    <xf numFmtId="171" fontId="25" fillId="0" borderId="0"/>
    <xf numFmtId="171" fontId="29" fillId="0" borderId="0" applyNumberFormat="0" applyFill="0" applyBorder="0" applyAlignment="0" applyProtection="0"/>
    <xf numFmtId="171" fontId="33" fillId="0" borderId="0"/>
    <xf numFmtId="171" fontId="36" fillId="0" borderId="0"/>
    <xf numFmtId="171" fontId="36" fillId="0" borderId="0"/>
    <xf numFmtId="171" fontId="33" fillId="0" borderId="0"/>
    <xf numFmtId="171" fontId="36" fillId="0" borderId="0"/>
    <xf numFmtId="171" fontId="33" fillId="0" borderId="0"/>
    <xf numFmtId="171" fontId="36" fillId="0" borderId="0"/>
    <xf numFmtId="171" fontId="36" fillId="0" borderId="0"/>
    <xf numFmtId="171" fontId="33" fillId="0" borderId="0"/>
    <xf numFmtId="171" fontId="36" fillId="0" borderId="0"/>
    <xf numFmtId="171" fontId="36" fillId="0" borderId="0"/>
    <xf numFmtId="171" fontId="36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33" fillId="0" borderId="0"/>
    <xf numFmtId="171" fontId="29" fillId="0" borderId="0" applyNumberFormat="0" applyFill="0" applyBorder="0" applyAlignment="0" applyProtection="0"/>
    <xf numFmtId="171" fontId="33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0" fontId="33" fillId="0" borderId="0"/>
    <xf numFmtId="171" fontId="25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95" fontId="29" fillId="0" borderId="0" applyFont="0" applyFill="0" applyBorder="0" applyAlignment="0" applyProtection="0"/>
    <xf numFmtId="196" fontId="31" fillId="0" borderId="0" applyFont="0" applyFill="0" applyBorder="0" applyAlignment="0" applyProtection="0"/>
    <xf numFmtId="197" fontId="31" fillId="0" borderId="0" applyFont="0" applyFill="0" applyBorder="0" applyAlignment="0" applyProtection="0"/>
    <xf numFmtId="198" fontId="29" fillId="0" borderId="0" applyFont="0" applyFill="0" applyBorder="0" applyAlignment="0" applyProtection="0"/>
    <xf numFmtId="199" fontId="31" fillId="0" borderId="0" applyFont="0" applyFill="0" applyBorder="0" applyAlignment="0" applyProtection="0"/>
    <xf numFmtId="199" fontId="31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1" fillId="0" borderId="0" applyFont="0" applyFill="0" applyBorder="0" applyAlignment="0" applyProtection="0"/>
    <xf numFmtId="200" fontId="29" fillId="0" borderId="0" applyFont="0" applyFill="0" applyBorder="0" applyAlignment="0" applyProtection="0"/>
    <xf numFmtId="201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03" fontId="29" fillId="0" borderId="0" applyFont="0" applyFill="0" applyBorder="0" applyAlignment="0" applyProtection="0"/>
    <xf numFmtId="204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171" fontId="29" fillId="0" borderId="0"/>
    <xf numFmtId="0" fontId="33" fillId="0" borderId="0"/>
    <xf numFmtId="0" fontId="33" fillId="0" borderId="0"/>
    <xf numFmtId="0" fontId="33" fillId="0" borderId="0"/>
    <xf numFmtId="0" fontId="29" fillId="0" borderId="0" applyNumberFormat="0" applyFill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32" fillId="0" borderId="0" applyNumberFormat="0" applyFill="0" applyBorder="0" applyAlignment="0" applyProtection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0" fontId="29" fillId="0" borderId="0"/>
    <xf numFmtId="0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0" fontId="33" fillId="0" borderId="0"/>
    <xf numFmtId="171" fontId="33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Fill="0" applyBorder="0" applyProtection="0">
      <protection locked="0"/>
    </xf>
    <xf numFmtId="171" fontId="25" fillId="0" borderId="0"/>
    <xf numFmtId="171" fontId="29" fillId="0" borderId="0" applyNumberFormat="0" applyFill="0" applyBorder="0" applyAlignment="0" applyProtection="0"/>
    <xf numFmtId="171" fontId="29" fillId="0" borderId="0"/>
    <xf numFmtId="171" fontId="29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37" fillId="0" borderId="0" applyNumberFormat="0" applyFill="0" applyBorder="0" applyProtection="0">
      <alignment vertical="top"/>
    </xf>
    <xf numFmtId="171" fontId="37" fillId="0" borderId="0" applyNumberFormat="0" applyFill="0" applyBorder="0" applyProtection="0">
      <alignment vertical="top"/>
    </xf>
    <xf numFmtId="171" fontId="38" fillId="0" borderId="0"/>
    <xf numFmtId="171" fontId="36" fillId="0" borderId="0"/>
    <xf numFmtId="171" fontId="36" fillId="0" borderId="0"/>
    <xf numFmtId="171" fontId="38" fillId="0" borderId="0"/>
    <xf numFmtId="171" fontId="38" fillId="0" borderId="0"/>
    <xf numFmtId="171" fontId="36" fillId="0" borderId="0"/>
    <xf numFmtId="171" fontId="36" fillId="0" borderId="0"/>
    <xf numFmtId="171" fontId="38" fillId="0" borderId="0"/>
    <xf numFmtId="171" fontId="36" fillId="0" borderId="0"/>
    <xf numFmtId="171" fontId="36" fillId="0" borderId="0"/>
    <xf numFmtId="171" fontId="36" fillId="0" borderId="0"/>
    <xf numFmtId="171" fontId="29" fillId="0" borderId="0"/>
    <xf numFmtId="171" fontId="29" fillId="0" borderId="0"/>
    <xf numFmtId="171" fontId="29" fillId="0" borderId="0"/>
    <xf numFmtId="171" fontId="25" fillId="0" borderId="0"/>
    <xf numFmtId="171" fontId="39" fillId="0" borderId="16" applyNumberFormat="0" applyFill="0" applyAlignment="0" applyProtection="0"/>
    <xf numFmtId="171" fontId="39" fillId="0" borderId="16" applyNumberFormat="0" applyFill="0" applyAlignment="0" applyProtection="0"/>
    <xf numFmtId="171" fontId="40" fillId="0" borderId="17" applyNumberFormat="0" applyFill="0" applyProtection="0">
      <alignment horizontal="center"/>
    </xf>
    <xf numFmtId="171" fontId="40" fillId="0" borderId="17" applyNumberFormat="0" applyFill="0" applyProtection="0">
      <alignment horizontal="center"/>
    </xf>
    <xf numFmtId="171" fontId="40" fillId="0" borderId="0" applyNumberFormat="0" applyFill="0" applyBorder="0" applyProtection="0">
      <alignment horizontal="left"/>
    </xf>
    <xf numFmtId="171" fontId="40" fillId="0" borderId="0" applyNumberFormat="0" applyFill="0" applyBorder="0" applyProtection="0">
      <alignment horizontal="left"/>
    </xf>
    <xf numFmtId="171" fontId="41" fillId="0" borderId="0" applyNumberFormat="0" applyFill="0" applyBorder="0" applyProtection="0">
      <alignment horizontal="centerContinuous"/>
    </xf>
    <xf numFmtId="171" fontId="41" fillId="0" borderId="0" applyNumberFormat="0" applyFill="0" applyBorder="0" applyProtection="0">
      <alignment horizontal="centerContinuous"/>
    </xf>
    <xf numFmtId="171" fontId="29" fillId="0" borderId="0"/>
    <xf numFmtId="171" fontId="33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171" fontId="34" fillId="0" borderId="0">
      <alignment vertical="top"/>
    </xf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/>
    <xf numFmtId="171" fontId="29" fillId="0" borderId="0" applyNumberFormat="0" applyFill="0" applyBorder="0" applyAlignment="0" applyProtection="0"/>
    <xf numFmtId="171" fontId="42" fillId="0" borderId="0">
      <alignment vertical="top"/>
    </xf>
    <xf numFmtId="171" fontId="42" fillId="0" borderId="0">
      <alignment vertical="top"/>
    </xf>
    <xf numFmtId="171" fontId="42" fillId="0" borderId="0">
      <alignment vertical="top"/>
    </xf>
    <xf numFmtId="171" fontId="42" fillId="0" borderId="0">
      <alignment vertical="top"/>
    </xf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0" fontId="33" fillId="0" borderId="0"/>
    <xf numFmtId="171" fontId="29" fillId="0" borderId="0" applyNumberFormat="0" applyFill="0" applyBorder="0" applyAlignment="0" applyProtection="0"/>
    <xf numFmtId="181" fontId="29" fillId="0" borderId="0" applyFont="0" applyFill="0" applyBorder="0" applyAlignment="0" applyProtection="0"/>
    <xf numFmtId="0" fontId="29" fillId="0" borderId="0"/>
    <xf numFmtId="171" fontId="43" fillId="0" borderId="0"/>
    <xf numFmtId="171" fontId="44" fillId="0" borderId="0"/>
    <xf numFmtId="171" fontId="25" fillId="0" borderId="0"/>
    <xf numFmtId="171" fontId="25" fillId="0" borderId="0"/>
    <xf numFmtId="205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71" fontId="45" fillId="0" borderId="0"/>
    <xf numFmtId="0" fontId="46" fillId="0" borderId="0"/>
    <xf numFmtId="0" fontId="46" fillId="0" borderId="18" applyNumberFormat="0" applyProtection="0"/>
    <xf numFmtId="171" fontId="45" fillId="0" borderId="0"/>
    <xf numFmtId="16" fontId="44" fillId="0" borderId="0">
      <alignment horizontal="center"/>
    </xf>
    <xf numFmtId="175" fontId="11" fillId="0" borderId="19" applyFont="0" applyBorder="0"/>
    <xf numFmtId="0" fontId="47" fillId="24" borderId="11" applyNumberFormat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40" fontId="29" fillId="0" borderId="0" applyFont="0" applyFill="0" applyBorder="0" applyAlignment="0" applyProtection="0"/>
    <xf numFmtId="0" fontId="48" fillId="0" borderId="0" applyNumberFormat="0" applyAlignment="0" applyProtection="0"/>
    <xf numFmtId="0" fontId="48" fillId="0" borderId="20" applyNumberFormat="0" applyAlignment="0" applyProtection="0"/>
    <xf numFmtId="0" fontId="46" fillId="0" borderId="20" applyNumberFormat="0" applyAlignment="0" applyProtection="0"/>
    <xf numFmtId="0" fontId="49" fillId="0" borderId="0" applyNumberFormat="0" applyAlignment="0" applyProtection="0"/>
    <xf numFmtId="0" fontId="49" fillId="0" borderId="20" applyNumberFormat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171" fontId="29" fillId="0" borderId="0" applyFont="0" applyFill="0" applyBorder="0" applyAlignment="0" applyProtection="0"/>
    <xf numFmtId="0" fontId="46" fillId="25" borderId="21" applyNumberFormat="0" applyProtection="0"/>
    <xf numFmtId="0" fontId="46" fillId="25" borderId="22"/>
    <xf numFmtId="0" fontId="48" fillId="25" borderId="22"/>
    <xf numFmtId="0" fontId="46" fillId="7" borderId="0" applyNumberFormat="0" applyAlignment="0" applyProtection="0"/>
    <xf numFmtId="0" fontId="50" fillId="0" borderId="0" applyNumberFormat="0" applyAlignment="0" applyProtection="0"/>
    <xf numFmtId="0" fontId="51" fillId="0" borderId="0" applyNumberFormat="0" applyAlignment="0" applyProtection="0"/>
    <xf numFmtId="0" fontId="46" fillId="26" borderId="23"/>
    <xf numFmtId="207" fontId="52" fillId="0" borderId="0" applyFont="0" applyFill="0" applyBorder="0" applyAlignment="0" applyProtection="0"/>
    <xf numFmtId="208" fontId="52" fillId="0" borderId="0" applyFont="0" applyFill="0" applyBorder="0" applyAlignment="0" applyProtection="0"/>
    <xf numFmtId="171" fontId="29" fillId="0" borderId="0" applyFill="0" applyBorder="0" applyProtection="0">
      <protection locked="0"/>
    </xf>
    <xf numFmtId="171" fontId="53" fillId="0" borderId="0">
      <alignment horizontal="center" wrapText="1"/>
      <protection locked="0"/>
    </xf>
    <xf numFmtId="171" fontId="54" fillId="0" borderId="24" applyNumberFormat="0" applyFill="0" applyAlignment="0" applyProtection="0"/>
    <xf numFmtId="0" fontId="54" fillId="0" borderId="24" applyNumberFormat="0" applyFill="0" applyAlignment="0" applyProtection="0"/>
    <xf numFmtId="0" fontId="54" fillId="0" borderId="24" applyNumberFormat="0" applyFill="0" applyAlignment="0" applyProtection="0"/>
    <xf numFmtId="0" fontId="54" fillId="0" borderId="24" applyNumberFormat="0" applyFill="0" applyAlignment="0" applyProtection="0"/>
    <xf numFmtId="0" fontId="54" fillId="0" borderId="24" applyNumberFormat="0" applyFill="0" applyAlignment="0" applyProtection="0"/>
    <xf numFmtId="0" fontId="54" fillId="0" borderId="24" applyNumberFormat="0" applyFill="0" applyAlignment="0" applyProtection="0"/>
    <xf numFmtId="0" fontId="54" fillId="0" borderId="24" applyNumberFormat="0" applyFill="0" applyAlignment="0" applyProtection="0"/>
    <xf numFmtId="209" fontId="52" fillId="0" borderId="0" applyFont="0" applyFill="0" applyBorder="0" applyAlignment="0" applyProtection="0"/>
    <xf numFmtId="210" fontId="52" fillId="0" borderId="0" applyFont="0" applyFill="0" applyBorder="0" applyAlignment="0" applyProtection="0"/>
    <xf numFmtId="171" fontId="14" fillId="27" borderId="0"/>
    <xf numFmtId="211" fontId="29" fillId="0" borderId="0" applyFont="0" applyFill="0" applyBorder="0" applyAlignment="0" applyProtection="0">
      <alignment horizontal="left"/>
    </xf>
    <xf numFmtId="2" fontId="55" fillId="0" borderId="25" applyBorder="0">
      <alignment horizontal="center" vertical="center"/>
    </xf>
    <xf numFmtId="171" fontId="56" fillId="0" borderId="0" applyNumberFormat="0" applyFill="0" applyBorder="0" applyAlignment="0" applyProtection="0"/>
    <xf numFmtId="171" fontId="57" fillId="0" borderId="26"/>
    <xf numFmtId="49" fontId="58" fillId="0" borderId="0" applyBorder="0" applyProtection="0">
      <alignment horizontal="center" wrapText="1"/>
    </xf>
    <xf numFmtId="171" fontId="53" fillId="0" borderId="14" applyNumberFormat="0" applyFont="0" applyFill="0" applyAlignment="0" applyProtection="0"/>
    <xf numFmtId="171" fontId="53" fillId="0" borderId="27" applyNumberFormat="0" applyFont="0" applyFill="0" applyAlignment="0" applyProtection="0"/>
    <xf numFmtId="41" fontId="29" fillId="0" borderId="28" applyNumberFormat="0" applyFont="0" applyFill="0" applyAlignment="0" applyProtection="0"/>
    <xf numFmtId="212" fontId="24" fillId="0" borderId="0" applyFont="0" applyFill="0" applyBorder="0" applyAlignment="0">
      <alignment horizontal="right"/>
    </xf>
    <xf numFmtId="171" fontId="59" fillId="0" borderId="0"/>
    <xf numFmtId="171" fontId="60" fillId="0" borderId="0" applyFill="0" applyBorder="0" applyProtection="0"/>
    <xf numFmtId="206" fontId="29" fillId="28" borderId="29" applyNumberFormat="0">
      <alignment vertical="center"/>
    </xf>
    <xf numFmtId="213" fontId="29" fillId="29" borderId="29" applyNumberFormat="0">
      <alignment vertical="center"/>
    </xf>
    <xf numFmtId="1" fontId="29" fillId="30" borderId="29" applyNumberFormat="0">
      <alignment vertical="center"/>
    </xf>
    <xf numFmtId="206" fontId="29" fillId="31" borderId="29" applyNumberFormat="0">
      <alignment vertical="center"/>
    </xf>
    <xf numFmtId="206" fontId="29" fillId="22" borderId="29" applyNumberFormat="0">
      <alignment vertical="center"/>
    </xf>
    <xf numFmtId="214" fontId="22" fillId="32" borderId="0" applyNumberFormat="0">
      <alignment vertical="center"/>
    </xf>
    <xf numFmtId="214" fontId="22" fillId="33" borderId="0" applyNumberFormat="0">
      <alignment vertical="center"/>
    </xf>
    <xf numFmtId="3" fontId="29" fillId="0" borderId="29" applyNumberFormat="0">
      <alignment vertical="center"/>
    </xf>
    <xf numFmtId="214" fontId="22" fillId="0" borderId="29">
      <alignment vertical="center"/>
    </xf>
    <xf numFmtId="3" fontId="22" fillId="0" borderId="29" applyNumberFormat="0">
      <alignment vertical="center"/>
    </xf>
    <xf numFmtId="215" fontId="29" fillId="0" borderId="0" applyFill="0" applyBorder="0" applyAlignment="0"/>
    <xf numFmtId="216" fontId="44" fillId="0" borderId="0" applyFill="0" applyBorder="0" applyAlignment="0"/>
    <xf numFmtId="217" fontId="29" fillId="0" borderId="0" applyFill="0" applyBorder="0" applyAlignment="0"/>
    <xf numFmtId="218" fontId="29" fillId="0" borderId="0" applyFill="0" applyBorder="0" applyAlignment="0"/>
    <xf numFmtId="219" fontId="29" fillId="0" borderId="0" applyFill="0" applyBorder="0" applyAlignment="0"/>
    <xf numFmtId="220" fontId="29" fillId="0" borderId="0" applyFill="0" applyBorder="0" applyAlignment="0"/>
    <xf numFmtId="221" fontId="44" fillId="0" borderId="0" applyFill="0" applyBorder="0" applyAlignment="0"/>
    <xf numFmtId="216" fontId="44" fillId="0" borderId="0" applyFill="0" applyBorder="0" applyAlignment="0"/>
    <xf numFmtId="3" fontId="29" fillId="34" borderId="0"/>
    <xf numFmtId="9" fontId="29" fillId="0" borderId="0">
      <alignment vertical="top"/>
    </xf>
    <xf numFmtId="222" fontId="61" fillId="0" borderId="30">
      <alignment vertical="center"/>
    </xf>
    <xf numFmtId="3" fontId="62" fillId="0" borderId="0" applyFill="0" applyBorder="0" applyProtection="0"/>
    <xf numFmtId="222" fontId="63" fillId="0" borderId="31">
      <alignment vertical="center"/>
    </xf>
    <xf numFmtId="223" fontId="61" fillId="0" borderId="32">
      <alignment vertical="center"/>
    </xf>
    <xf numFmtId="223" fontId="61" fillId="0" borderId="32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222" fontId="63" fillId="0" borderId="33" applyAlignment="0" applyProtection="0"/>
    <xf numFmtId="0" fontId="64" fillId="2" borderId="5" applyNumberFormat="0" applyAlignment="0" applyProtection="0"/>
    <xf numFmtId="0" fontId="64" fillId="2" borderId="5" applyNumberFormat="0" applyAlignment="0" applyProtection="0"/>
    <xf numFmtId="0" fontId="64" fillId="2" borderId="5" applyNumberFormat="0" applyAlignment="0" applyProtection="0"/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64" fillId="2" borderId="5" applyNumberFormat="0" applyAlignment="0" applyProtection="0"/>
    <xf numFmtId="0" fontId="64" fillId="2" borderId="5" applyNumberFormat="0" applyAlignment="0" applyProtection="0"/>
    <xf numFmtId="0" fontId="64" fillId="2" borderId="5" applyNumberFormat="0" applyAlignment="0" applyProtection="0"/>
    <xf numFmtId="0" fontId="64" fillId="2" borderId="5" applyNumberFormat="0" applyAlignment="0" applyProtection="0"/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0" fontId="9" fillId="0" borderId="0" applyNumberFormat="0" applyAlignment="0">
      <alignment vertical="center"/>
    </xf>
    <xf numFmtId="2" fontId="29" fillId="35" borderId="34"/>
    <xf numFmtId="224" fontId="29" fillId="36" borderId="0" applyProtection="0">
      <alignment horizontal="center"/>
    </xf>
    <xf numFmtId="165" fontId="65" fillId="0" borderId="0" applyNumberFormat="0" applyAlignment="0">
      <alignment vertical="center"/>
    </xf>
    <xf numFmtId="221" fontId="66" fillId="33" borderId="0">
      <alignment vertical="center"/>
    </xf>
    <xf numFmtId="171" fontId="67" fillId="37" borderId="14" applyNumberFormat="0" applyProtection="0">
      <alignment horizontal="center" vertical="center" wrapText="1"/>
    </xf>
    <xf numFmtId="171" fontId="67" fillId="37" borderId="0" applyNumberFormat="0" applyBorder="0" applyProtection="0">
      <alignment horizontal="centerContinuous" vertical="center"/>
    </xf>
    <xf numFmtId="0" fontId="67" fillId="37" borderId="0" applyNumberFormat="0" applyBorder="0" applyProtection="0">
      <alignment horizontal="centerContinuous" vertical="center"/>
    </xf>
    <xf numFmtId="0" fontId="67" fillId="37" borderId="0" applyNumberFormat="0" applyBorder="0" applyProtection="0">
      <alignment horizontal="centerContinuous" vertical="center"/>
    </xf>
    <xf numFmtId="0" fontId="67" fillId="37" borderId="0" applyNumberFormat="0" applyBorder="0" applyProtection="0">
      <alignment horizontal="centerContinuous" vertical="center"/>
    </xf>
    <xf numFmtId="0" fontId="67" fillId="37" borderId="0" applyNumberFormat="0" applyBorder="0" applyProtection="0">
      <alignment horizontal="centerContinuous" vertical="center"/>
    </xf>
    <xf numFmtId="0" fontId="67" fillId="37" borderId="0" applyNumberFormat="0" applyBorder="0" applyProtection="0">
      <alignment horizontal="centerContinuous" vertical="center"/>
    </xf>
    <xf numFmtId="0" fontId="67" fillId="37" borderId="0" applyNumberFormat="0" applyBorder="0" applyProtection="0">
      <alignment horizontal="centerContinuous" vertical="center"/>
    </xf>
    <xf numFmtId="0" fontId="67" fillId="37" borderId="14" applyNumberFormat="0" applyProtection="0">
      <alignment horizontal="center" vertical="center" wrapText="1"/>
    </xf>
    <xf numFmtId="0" fontId="67" fillId="37" borderId="14" applyNumberFormat="0" applyProtection="0">
      <alignment horizontal="center" vertical="center" wrapText="1"/>
    </xf>
    <xf numFmtId="0" fontId="67" fillId="37" borderId="14" applyNumberFormat="0" applyProtection="0">
      <alignment horizontal="center" vertical="center" wrapText="1"/>
    </xf>
    <xf numFmtId="0" fontId="67" fillId="37" borderId="14" applyNumberFormat="0" applyProtection="0">
      <alignment horizontal="center" vertical="center" wrapText="1"/>
    </xf>
    <xf numFmtId="0" fontId="67" fillId="37" borderId="14" applyNumberFormat="0" applyProtection="0">
      <alignment horizontal="center" vertical="center" wrapText="1"/>
    </xf>
    <xf numFmtId="0" fontId="67" fillId="37" borderId="14" applyNumberFormat="0" applyProtection="0">
      <alignment horizontal="center" vertical="center" wrapText="1"/>
    </xf>
    <xf numFmtId="171" fontId="12" fillId="38" borderId="0" applyNumberFormat="0">
      <alignment horizontal="center" vertical="top" wrapText="1"/>
    </xf>
    <xf numFmtId="171" fontId="12" fillId="38" borderId="0" applyNumberFormat="0">
      <alignment horizontal="left" vertical="top" wrapText="1"/>
    </xf>
    <xf numFmtId="171" fontId="12" fillId="38" borderId="0" applyNumberFormat="0">
      <alignment horizontal="centerContinuous" vertical="top"/>
    </xf>
    <xf numFmtId="171" fontId="9" fillId="38" borderId="0" applyNumberFormat="0">
      <alignment horizontal="center" vertical="top" wrapText="1"/>
    </xf>
    <xf numFmtId="171" fontId="24" fillId="0" borderId="35" applyNumberFormat="0" applyFont="0" applyFill="0" applyAlignment="0" applyProtection="0">
      <alignment horizontal="left"/>
    </xf>
    <xf numFmtId="0" fontId="24" fillId="0" borderId="35" applyNumberFormat="0" applyFont="0" applyFill="0" applyAlignment="0" applyProtection="0">
      <alignment horizontal="left"/>
    </xf>
    <xf numFmtId="0" fontId="24" fillId="0" borderId="35" applyNumberFormat="0" applyFont="0" applyFill="0" applyAlignment="0" applyProtection="0">
      <alignment horizontal="left"/>
    </xf>
    <xf numFmtId="0" fontId="24" fillId="0" borderId="35" applyNumberFormat="0" applyFont="0" applyFill="0" applyAlignment="0" applyProtection="0">
      <alignment horizontal="left"/>
    </xf>
    <xf numFmtId="0" fontId="24" fillId="0" borderId="35" applyNumberFormat="0" applyFont="0" applyFill="0" applyAlignment="0" applyProtection="0">
      <alignment horizontal="left"/>
    </xf>
    <xf numFmtId="0" fontId="24" fillId="0" borderId="35" applyNumberFormat="0" applyFont="0" applyFill="0" applyAlignment="0" applyProtection="0">
      <alignment horizontal="left"/>
    </xf>
    <xf numFmtId="0" fontId="24" fillId="0" borderId="35" applyNumberFormat="0" applyFont="0" applyFill="0" applyAlignment="0" applyProtection="0">
      <alignment horizontal="left"/>
    </xf>
    <xf numFmtId="0" fontId="68" fillId="39" borderId="4">
      <alignment horizontal="center" wrapText="1"/>
    </xf>
    <xf numFmtId="225" fontId="69" fillId="0" borderId="0"/>
    <xf numFmtId="225" fontId="69" fillId="0" borderId="0"/>
    <xf numFmtId="225" fontId="69" fillId="0" borderId="0"/>
    <xf numFmtId="225" fontId="69" fillId="0" borderId="0"/>
    <xf numFmtId="225" fontId="69" fillId="0" borderId="0"/>
    <xf numFmtId="225" fontId="69" fillId="0" borderId="0"/>
    <xf numFmtId="225" fontId="69" fillId="0" borderId="0"/>
    <xf numFmtId="225" fontId="69" fillId="0" borderId="0"/>
    <xf numFmtId="226" fontId="70" fillId="0" borderId="0" applyFont="0" applyBorder="0">
      <alignment horizontal="right"/>
    </xf>
    <xf numFmtId="220" fontId="29" fillId="0" borderId="0" applyFont="0" applyFill="0" applyBorder="0" applyAlignment="0" applyProtection="0"/>
    <xf numFmtId="175" fontId="53" fillId="0" borderId="0"/>
    <xf numFmtId="227" fontId="29" fillId="0" borderId="0"/>
    <xf numFmtId="228" fontId="29" fillId="0" borderId="0"/>
    <xf numFmtId="171" fontId="14" fillId="0" borderId="0" applyFont="0" applyFill="0" applyBorder="0" applyAlignment="0" applyProtection="0">
      <alignment horizontal="right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9" fillId="0" borderId="0" applyFont="0" applyFill="0" applyBorder="0" applyAlignment="0" applyProtection="0"/>
    <xf numFmtId="229" fontId="25" fillId="0" borderId="0" applyFont="0" applyFill="0" applyBorder="0" applyAlignment="0" applyProtection="0"/>
    <xf numFmtId="22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229" fontId="14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229" fontId="25" fillId="0" borderId="0" applyFont="0" applyFill="0" applyBorder="0" applyAlignment="0" applyProtection="0"/>
    <xf numFmtId="43" fontId="72" fillId="0" borderId="0" applyFont="0" applyFill="0" applyBorder="0" applyAlignment="0" applyProtection="0"/>
    <xf numFmtId="229" fontId="25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0" fontId="74" fillId="0" borderId="0" applyFont="0" applyFill="0" applyBorder="0" applyAlignment="0" applyProtection="0"/>
    <xf numFmtId="175" fontId="75" fillId="0" borderId="0" applyFont="0" applyFill="0" applyBorder="0" applyAlignment="0" applyProtection="0">
      <alignment horizontal="centerContinuous"/>
    </xf>
    <xf numFmtId="231" fontId="29" fillId="0" borderId="0" applyFont="0" applyFill="0" applyBorder="0" applyAlignment="0" applyProtection="0"/>
    <xf numFmtId="232" fontId="75" fillId="0" borderId="0" applyFont="0" applyFill="0" applyBorder="0" applyAlignment="0" applyProtection="0">
      <alignment horizontal="centerContinuous"/>
    </xf>
    <xf numFmtId="233" fontId="29" fillId="0" borderId="0" applyFont="0" applyFill="0" applyBorder="0" applyAlignment="0" applyProtection="0"/>
    <xf numFmtId="0" fontId="76" fillId="0" borderId="0" applyNumberFormat="0" applyAlignment="0">
      <alignment horizontal="left"/>
    </xf>
    <xf numFmtId="0" fontId="23" fillId="33" borderId="0"/>
    <xf numFmtId="171" fontId="29" fillId="0" borderId="0" applyNumberFormat="0" applyAlignment="0"/>
    <xf numFmtId="234" fontId="25" fillId="0" borderId="0" applyFont="0"/>
    <xf numFmtId="234" fontId="25" fillId="0" borderId="0" applyFont="0"/>
    <xf numFmtId="235" fontId="9" fillId="0" borderId="0">
      <alignment vertical="center"/>
    </xf>
    <xf numFmtId="236" fontId="9" fillId="0" borderId="0" applyFont="0" applyFill="0" applyBorder="0" applyAlignment="0" applyProtection="0">
      <alignment vertical="center"/>
    </xf>
    <xf numFmtId="237" fontId="25" fillId="0" borderId="0" applyFont="0"/>
    <xf numFmtId="216" fontId="44" fillId="0" borderId="0" applyFont="0" applyFill="0" applyBorder="0" applyAlignment="0" applyProtection="0"/>
    <xf numFmtId="238" fontId="14" fillId="0" borderId="0" applyFont="0" applyFill="0" applyBorder="0" applyAlignment="0" applyProtection="0">
      <alignment horizontal="right"/>
    </xf>
    <xf numFmtId="239" fontId="14" fillId="0" borderId="4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235" fontId="9" fillId="0" borderId="0" applyFont="0" applyFill="0" applyBorder="0" applyAlignment="0" applyProtection="0">
      <alignment vertical="center"/>
    </xf>
    <xf numFmtId="235" fontId="9" fillId="0" borderId="0" applyFont="0" applyFill="0" applyBorder="0" applyAlignment="0" applyProtection="0">
      <alignment vertical="center"/>
    </xf>
    <xf numFmtId="240" fontId="9" fillId="0" borderId="0" applyFont="0" applyFill="0" applyBorder="0" applyAlignment="0" applyProtection="0">
      <alignment vertical="center"/>
    </xf>
    <xf numFmtId="241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242" fontId="9" fillId="0" borderId="0" applyFont="0" applyFill="0" applyBorder="0" applyAlignment="0" applyProtection="0">
      <alignment vertical="center"/>
    </xf>
    <xf numFmtId="243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244" fontId="9" fillId="0" borderId="0" applyFont="0" applyFill="0" applyBorder="0" applyAlignment="0" applyProtection="0">
      <alignment vertical="center"/>
    </xf>
    <xf numFmtId="245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246" fontId="29" fillId="0" borderId="0" applyFill="0" applyBorder="0" applyProtection="0">
      <alignment vertical="center"/>
    </xf>
    <xf numFmtId="247" fontId="29" fillId="0" borderId="0" applyFill="0" applyBorder="0" applyProtection="0">
      <alignment vertical="center"/>
    </xf>
    <xf numFmtId="248" fontId="77" fillId="0" borderId="0" applyFont="0" applyFill="0" applyBorder="0" applyAlignment="0" applyProtection="0">
      <alignment horizontal="right"/>
    </xf>
    <xf numFmtId="249" fontId="77" fillId="0" borderId="36" applyFont="0" applyFill="0" applyBorder="0" applyAlignment="0" applyProtection="0">
      <alignment horizontal="right"/>
    </xf>
    <xf numFmtId="49" fontId="78" fillId="40" borderId="0">
      <alignment vertical="center"/>
    </xf>
    <xf numFmtId="250" fontId="29" fillId="0" borderId="0" applyFill="0" applyBorder="0" applyProtection="0">
      <alignment vertical="center"/>
    </xf>
    <xf numFmtId="171" fontId="79" fillId="34" borderId="4">
      <alignment horizontal="right"/>
    </xf>
    <xf numFmtId="0" fontId="8" fillId="0" borderId="0"/>
    <xf numFmtId="251" fontId="14" fillId="34" borderId="4"/>
    <xf numFmtId="171" fontId="24" fillId="29" borderId="37" applyBorder="0" applyAlignment="0">
      <alignment horizontal="right"/>
      <protection locked="0"/>
    </xf>
    <xf numFmtId="14" fontId="14" fillId="0" borderId="0" applyFill="0" applyBorder="0" applyAlignment="0" applyProtection="0"/>
    <xf numFmtId="252" fontId="9" fillId="0" borderId="0" applyFont="0" applyFill="0" applyBorder="0" applyAlignment="0" applyProtection="0">
      <alignment vertical="center"/>
    </xf>
    <xf numFmtId="253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4" fontId="9" fillId="0" borderId="0" applyFont="0" applyFill="0" applyBorder="0" applyAlignment="0" applyProtection="0">
      <alignment vertical="center"/>
    </xf>
    <xf numFmtId="255" fontId="14" fillId="0" borderId="0" applyFont="0" applyFill="0" applyBorder="0" applyAlignment="0" applyProtection="0"/>
    <xf numFmtId="14" fontId="80" fillId="0" borderId="38" applyFill="0" applyBorder="0">
      <alignment horizontal="center" vertical="top"/>
      <protection locked="0"/>
    </xf>
    <xf numFmtId="14" fontId="42" fillId="0" borderId="0" applyFill="0" applyBorder="0" applyAlignment="0"/>
    <xf numFmtId="15" fontId="81" fillId="0" borderId="0" applyFont="0" applyFill="0" applyBorder="0" applyAlignment="0" applyProtection="0">
      <protection locked="0"/>
    </xf>
    <xf numFmtId="15" fontId="29" fillId="0" borderId="0" applyFont="0" applyFill="0" applyBorder="0" applyAlignment="0" applyProtection="0"/>
    <xf numFmtId="256" fontId="14" fillId="41" borderId="0">
      <alignment horizontal="right"/>
    </xf>
    <xf numFmtId="257" fontId="29" fillId="0" borderId="0">
      <alignment vertical="top"/>
    </xf>
    <xf numFmtId="258" fontId="29" fillId="0" borderId="0">
      <alignment vertical="top"/>
    </xf>
    <xf numFmtId="226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259" fontId="14" fillId="0" borderId="39" applyNumberFormat="0" applyFont="0" applyFill="0" applyAlignment="0" applyProtection="0"/>
    <xf numFmtId="3" fontId="14" fillId="0" borderId="5" applyNumberFormat="0" applyBorder="0"/>
    <xf numFmtId="171" fontId="74" fillId="42" borderId="0" applyNumberFormat="0" applyFont="0" applyBorder="0">
      <alignment horizontal="right"/>
      <protection locked="0"/>
    </xf>
    <xf numFmtId="220" fontId="29" fillId="0" borderId="0" applyFill="0" applyBorder="0" applyAlignment="0"/>
    <xf numFmtId="216" fontId="44" fillId="0" borderId="0" applyFill="0" applyBorder="0" applyAlignment="0"/>
    <xf numFmtId="220" fontId="29" fillId="0" borderId="0" applyFill="0" applyBorder="0" applyAlignment="0"/>
    <xf numFmtId="221" fontId="44" fillId="0" borderId="0" applyFill="0" applyBorder="0" applyAlignment="0"/>
    <xf numFmtId="216" fontId="44" fillId="0" borderId="0" applyFill="0" applyBorder="0" applyAlignment="0"/>
    <xf numFmtId="0" fontId="82" fillId="0" borderId="0" applyNumberFormat="0" applyAlignment="0">
      <alignment horizontal="left"/>
    </xf>
    <xf numFmtId="171" fontId="83" fillId="0" borderId="0" applyNumberFormat="0" applyFont="0" applyFill="0" applyBorder="0" applyAlignment="0">
      <protection locked="0"/>
    </xf>
    <xf numFmtId="171" fontId="14" fillId="2" borderId="4"/>
    <xf numFmtId="171" fontId="29" fillId="0" borderId="0" applyFont="0" applyFill="0" applyBorder="0" applyAlignment="0" applyProtection="0"/>
    <xf numFmtId="171" fontId="29" fillId="3" borderId="40" applyNumberFormat="0">
      <alignment vertical="center"/>
    </xf>
    <xf numFmtId="171" fontId="22" fillId="43" borderId="0">
      <alignment vertical="center"/>
    </xf>
    <xf numFmtId="171" fontId="22" fillId="43" borderId="41" applyNumberFormat="0">
      <alignment vertical="center"/>
    </xf>
    <xf numFmtId="222" fontId="84" fillId="44" borderId="42" applyAlignment="0">
      <alignment vertical="center"/>
      <protection locked="0"/>
    </xf>
    <xf numFmtId="222" fontId="29" fillId="45" borderId="1" applyAlignment="0">
      <alignment vertical="center"/>
      <protection locked="0"/>
    </xf>
    <xf numFmtId="251" fontId="14" fillId="0" borderId="37"/>
    <xf numFmtId="223" fontId="84" fillId="46" borderId="42">
      <alignment horizontal="left" vertical="center"/>
      <protection locked="0"/>
    </xf>
    <xf numFmtId="213" fontId="85" fillId="47" borderId="1">
      <alignment horizontal="left" vertical="center"/>
      <protection locked="0"/>
    </xf>
    <xf numFmtId="171" fontId="25" fillId="0" borderId="0" applyNumberFormat="0" applyFill="0" applyBorder="0" applyAlignment="0" applyProtection="0"/>
    <xf numFmtId="0" fontId="9" fillId="0" borderId="0" applyFill="0" applyBorder="0">
      <alignment vertical="center"/>
    </xf>
    <xf numFmtId="0" fontId="86" fillId="0" borderId="0" applyNumberFormat="0" applyFill="0" applyBorder="0" applyAlignment="0"/>
    <xf numFmtId="171" fontId="87" fillId="0" borderId="0" applyFill="0" applyBorder="0"/>
    <xf numFmtId="171" fontId="29" fillId="22" borderId="43" applyNumberFormat="0">
      <alignment vertical="center"/>
    </xf>
    <xf numFmtId="214" fontId="22" fillId="22" borderId="0" applyNumberFormat="0">
      <alignment vertical="center"/>
    </xf>
    <xf numFmtId="214" fontId="22" fillId="22" borderId="0" applyNumberFormat="0">
      <alignment vertical="center"/>
    </xf>
    <xf numFmtId="171" fontId="22" fillId="22" borderId="43" applyNumberFormat="0">
      <alignment vertical="center"/>
    </xf>
    <xf numFmtId="171" fontId="14" fillId="0" borderId="0"/>
    <xf numFmtId="171" fontId="45" fillId="0" borderId="0">
      <alignment vertical="center"/>
    </xf>
    <xf numFmtId="171" fontId="88" fillId="48" borderId="0" applyNumberFormat="0" applyFill="0" applyBorder="0" applyAlignment="0">
      <alignment horizontal="center" vertical="center"/>
    </xf>
    <xf numFmtId="171" fontId="89" fillId="0" borderId="0" applyFill="0" applyBorder="0" applyProtection="0">
      <alignment horizontal="left"/>
    </xf>
    <xf numFmtId="171" fontId="78" fillId="49" borderId="0">
      <alignment horizontal="right" vertical="center"/>
    </xf>
    <xf numFmtId="224" fontId="90" fillId="7" borderId="0" applyProtection="0"/>
    <xf numFmtId="171" fontId="60" fillId="0" borderId="0" applyFill="0" applyBorder="0"/>
    <xf numFmtId="0" fontId="29" fillId="0" borderId="0"/>
    <xf numFmtId="214" fontId="22" fillId="0" borderId="0">
      <alignment vertical="center"/>
      <protection locked="0"/>
    </xf>
    <xf numFmtId="214" fontId="22" fillId="0" borderId="0">
      <alignment vertical="center"/>
      <protection locked="0"/>
    </xf>
    <xf numFmtId="260" fontId="22" fillId="0" borderId="0">
      <alignment vertical="center"/>
      <protection locked="0"/>
    </xf>
    <xf numFmtId="206" fontId="22" fillId="0" borderId="44">
      <alignment vertical="center"/>
    </xf>
    <xf numFmtId="171" fontId="91" fillId="0" borderId="0" applyNumberFormat="0" applyFill="0" applyBorder="0" applyAlignment="0" applyProtection="0">
      <alignment horizontal="left"/>
    </xf>
    <xf numFmtId="38" fontId="14" fillId="22" borderId="0" applyNumberFormat="0" applyBorder="0" applyAlignment="0" applyProtection="0"/>
    <xf numFmtId="171" fontId="92" fillId="22" borderId="45" applyNumberFormat="0">
      <alignment vertical="center"/>
    </xf>
    <xf numFmtId="214" fontId="93" fillId="50" borderId="0" applyNumberFormat="0">
      <alignment vertical="center"/>
    </xf>
    <xf numFmtId="171" fontId="93" fillId="50" borderId="45" applyNumberFormat="0">
      <alignment vertical="center"/>
    </xf>
    <xf numFmtId="171" fontId="23" fillId="0" borderId="0" applyBorder="0">
      <alignment horizontal="left"/>
    </xf>
    <xf numFmtId="49" fontId="94" fillId="0" borderId="0" applyFill="0" applyBorder="0">
      <alignment horizontal="right"/>
    </xf>
    <xf numFmtId="49" fontId="95" fillId="0" borderId="0" applyFill="0">
      <alignment horizontal="right"/>
    </xf>
    <xf numFmtId="171" fontId="13" fillId="38" borderId="0" applyNumberFormat="0">
      <alignment vertical="center"/>
    </xf>
    <xf numFmtId="0" fontId="13" fillId="2" borderId="0" applyNumberFormat="0">
      <alignment vertical="center"/>
    </xf>
    <xf numFmtId="0" fontId="96" fillId="0" borderId="46" applyFill="0" applyAlignment="0" applyProtection="0"/>
    <xf numFmtId="261" fontId="29" fillId="51" borderId="0" applyProtection="0"/>
    <xf numFmtId="262" fontId="14" fillId="0" borderId="0" applyFont="0" applyFill="0" applyBorder="0" applyAlignment="0" applyProtection="0">
      <alignment horizontal="right"/>
    </xf>
    <xf numFmtId="171" fontId="97" fillId="0" borderId="0" applyProtection="0">
      <alignment horizontal="right"/>
    </xf>
    <xf numFmtId="0" fontId="8" fillId="0" borderId="12" applyNumberFormat="0" applyAlignment="0" applyProtection="0">
      <alignment horizontal="left" vertical="center"/>
    </xf>
    <xf numFmtId="0" fontId="8" fillId="0" borderId="9">
      <alignment horizontal="left" vertical="center"/>
    </xf>
    <xf numFmtId="171" fontId="66" fillId="0" borderId="0"/>
    <xf numFmtId="171" fontId="98" fillId="0" borderId="0"/>
    <xf numFmtId="223" fontId="99" fillId="0" borderId="47" applyFill="0" applyAlignment="0"/>
    <xf numFmtId="0" fontId="100" fillId="52" borderId="0" applyNumberFormat="0" applyAlignment="0" applyProtection="0"/>
    <xf numFmtId="223" fontId="101" fillId="0" borderId="47" applyFill="0" applyAlignment="0"/>
    <xf numFmtId="0" fontId="102" fillId="53" borderId="0" applyNumberFormat="0" applyAlignment="0" applyProtection="0"/>
    <xf numFmtId="223" fontId="103" fillId="0" borderId="48" applyFill="0" applyAlignment="0"/>
    <xf numFmtId="223" fontId="104" fillId="0" borderId="0" applyFill="0" applyBorder="0" applyAlignment="0"/>
    <xf numFmtId="223" fontId="23" fillId="0" borderId="0" applyFill="0" applyBorder="0" applyAlignment="0"/>
    <xf numFmtId="223" fontId="23" fillId="0" borderId="0" applyFill="0" applyBorder="0" applyAlignment="0"/>
    <xf numFmtId="171" fontId="105" fillId="54" borderId="4"/>
    <xf numFmtId="171" fontId="106" fillId="54" borderId="0"/>
    <xf numFmtId="171" fontId="107" fillId="50" borderId="0"/>
    <xf numFmtId="171" fontId="108" fillId="0" borderId="49"/>
    <xf numFmtId="38" fontId="109" fillId="0" borderId="0" applyNumberFormat="0" applyFill="0" applyBorder="0" applyAlignment="0" applyProtection="0"/>
    <xf numFmtId="171" fontId="110" fillId="0" borderId="0">
      <alignment vertical="center"/>
    </xf>
    <xf numFmtId="171" fontId="111" fillId="0" borderId="0"/>
    <xf numFmtId="205" fontId="112" fillId="0" borderId="0" applyFont="0" applyFill="0" applyBorder="0" applyAlignment="0" applyProtection="0">
      <alignment horizontal="right"/>
    </xf>
    <xf numFmtId="205" fontId="113" fillId="0" borderId="0"/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9" fillId="2" borderId="0" applyNumberFormat="0" applyFont="0" applyBorder="0" applyAlignment="0" applyProtection="0">
      <alignment vertical="center"/>
    </xf>
    <xf numFmtId="0" fontId="54" fillId="0" borderId="0" applyNumberFormat="0" applyFill="0" applyBorder="0" applyAlignment="0" applyProtection="0"/>
    <xf numFmtId="263" fontId="14" fillId="0" borderId="0" applyFill="0" applyBorder="0"/>
    <xf numFmtId="171" fontId="11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171" fontId="29" fillId="54" borderId="0"/>
    <xf numFmtId="9" fontId="14" fillId="34" borderId="37"/>
    <xf numFmtId="10" fontId="14" fillId="29" borderId="4" applyNumberFormat="0" applyBorder="0" applyAlignment="0" applyProtection="0"/>
    <xf numFmtId="206" fontId="117" fillId="34" borderId="50" applyNumberFormat="0">
      <alignment vertical="center"/>
      <protection locked="0"/>
    </xf>
    <xf numFmtId="43" fontId="22" fillId="2" borderId="0" applyNumberFormat="0">
      <alignment vertical="center"/>
      <protection locked="0"/>
    </xf>
    <xf numFmtId="206" fontId="22" fillId="2" borderId="50" applyNumberFormat="0">
      <alignment vertical="center"/>
      <protection locked="0"/>
    </xf>
    <xf numFmtId="0" fontId="27" fillId="8" borderId="15" applyNumberFormat="0" applyAlignment="0" applyProtection="0"/>
    <xf numFmtId="171" fontId="117" fillId="55" borderId="50" applyNumberFormat="0">
      <alignment vertical="center"/>
      <protection locked="0"/>
    </xf>
    <xf numFmtId="171" fontId="22" fillId="28" borderId="0" applyNumberFormat="0">
      <alignment vertical="center"/>
      <protection locked="0"/>
    </xf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171" fontId="22" fillId="28" borderId="50" applyNumberFormat="0">
      <alignment vertical="center"/>
      <protection locked="0"/>
    </xf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118" fillId="0" borderId="0" applyNumberFormat="0" applyFill="0" applyAlignment="0" applyProtection="0"/>
    <xf numFmtId="0" fontId="27" fillId="8" borderId="15" applyNumberFormat="0" applyAlignment="0" applyProtection="0"/>
    <xf numFmtId="0" fontId="27" fillId="8" borderId="15" applyNumberFormat="0" applyAlignment="0" applyProtection="0"/>
    <xf numFmtId="0" fontId="27" fillId="8" borderId="15" applyNumberFormat="0" applyAlignment="0" applyProtection="0"/>
    <xf numFmtId="0" fontId="27" fillId="8" borderId="15" applyNumberFormat="0" applyAlignment="0" applyProtection="0"/>
    <xf numFmtId="0" fontId="27" fillId="8" borderId="15" applyNumberFormat="0" applyAlignment="0" applyProtection="0"/>
    <xf numFmtId="171" fontId="9" fillId="0" borderId="51" applyNumberFormat="0" applyAlignment="0">
      <alignment vertical="center"/>
    </xf>
    <xf numFmtId="0" fontId="9" fillId="0" borderId="52" applyNumberFormat="0" applyAlignment="0">
      <alignment vertical="center"/>
    </xf>
    <xf numFmtId="175" fontId="119" fillId="56" borderId="0"/>
    <xf numFmtId="0" fontId="9" fillId="0" borderId="53" applyNumberFormat="0" applyAlignment="0">
      <alignment vertical="center"/>
      <protection locked="0"/>
    </xf>
    <xf numFmtId="0" fontId="9" fillId="0" borderId="49" applyNumberFormat="0" applyAlignment="0">
      <alignment vertical="center"/>
      <protection locked="0"/>
    </xf>
    <xf numFmtId="164" fontId="9" fillId="57" borderId="54" applyNumberFormat="0" applyAlignment="0">
      <alignment vertical="center"/>
      <protection locked="0"/>
    </xf>
    <xf numFmtId="223" fontId="120" fillId="46" borderId="55">
      <alignment horizontal="left" vertical="center"/>
      <protection locked="0"/>
    </xf>
    <xf numFmtId="171" fontId="118" fillId="0" borderId="0" applyNumberFormat="0" applyFill="0" applyBorder="0" applyAlignment="0" applyProtection="0"/>
    <xf numFmtId="171" fontId="9" fillId="31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9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9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60" borderId="0" applyNumberFormat="0" applyAlignment="0">
      <alignment vertical="center"/>
    </xf>
    <xf numFmtId="0" fontId="9" fillId="60" borderId="0" applyNumberFormat="0" applyAlignment="0">
      <alignment vertical="center"/>
    </xf>
    <xf numFmtId="0" fontId="9" fillId="60" borderId="0" applyNumberFormat="0" applyAlignment="0">
      <alignment vertical="center"/>
    </xf>
    <xf numFmtId="0" fontId="9" fillId="60" borderId="0" applyNumberFormat="0" applyAlignment="0">
      <alignment vertical="center"/>
    </xf>
    <xf numFmtId="0" fontId="9" fillId="60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60" borderId="0" applyNumberFormat="0" applyAlignment="0">
      <alignment vertical="center"/>
    </xf>
    <xf numFmtId="0" fontId="9" fillId="60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0" fontId="9" fillId="58" borderId="0" applyNumberFormat="0" applyAlignment="0">
      <alignment vertical="center"/>
    </xf>
    <xf numFmtId="171" fontId="9" fillId="58" borderId="0" applyNumberFormat="0" applyAlignment="0">
      <alignment vertical="center"/>
    </xf>
    <xf numFmtId="171" fontId="9" fillId="0" borderId="56" applyNumberFormat="0" applyAlignment="0">
      <alignment vertical="center"/>
      <protection locked="0"/>
    </xf>
    <xf numFmtId="0" fontId="9" fillId="0" borderId="1" applyNumberFormat="0" applyAlignment="0">
      <alignment vertical="center"/>
      <protection locked="0"/>
    </xf>
    <xf numFmtId="3" fontId="121" fillId="1" borderId="0">
      <protection locked="0"/>
    </xf>
    <xf numFmtId="264" fontId="121" fillId="1" borderId="0">
      <protection locked="0"/>
    </xf>
    <xf numFmtId="2" fontId="121" fillId="1" borderId="0"/>
    <xf numFmtId="219" fontId="121" fillId="1" borderId="0">
      <protection locked="0"/>
    </xf>
    <xf numFmtId="265" fontId="121" fillId="1" borderId="0">
      <protection locked="0"/>
    </xf>
    <xf numFmtId="171" fontId="121" fillId="1" borderId="0">
      <protection locked="0"/>
    </xf>
    <xf numFmtId="9" fontId="121" fillId="1" borderId="0">
      <alignment horizontal="right"/>
      <protection locked="0"/>
    </xf>
    <xf numFmtId="169" fontId="121" fillId="1" borderId="0">
      <protection locked="0"/>
    </xf>
    <xf numFmtId="10" fontId="121" fillId="1" borderId="0">
      <protection locked="0"/>
    </xf>
    <xf numFmtId="222" fontId="63" fillId="44" borderId="33">
      <alignment vertical="center"/>
    </xf>
    <xf numFmtId="1" fontId="29" fillId="0" borderId="0"/>
    <xf numFmtId="224" fontId="90" fillId="61" borderId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171" fontId="26" fillId="0" borderId="0"/>
    <xf numFmtId="171" fontId="26" fillId="0" borderId="0"/>
    <xf numFmtId="171" fontId="126" fillId="0" borderId="0"/>
    <xf numFmtId="223" fontId="23" fillId="0" borderId="57">
      <alignment vertical="top"/>
    </xf>
    <xf numFmtId="213" fontId="127" fillId="0" borderId="58">
      <alignment horizontal="left" vertical="center"/>
    </xf>
    <xf numFmtId="213" fontId="127" fillId="0" borderId="58">
      <alignment horizontal="left" vertical="center"/>
    </xf>
    <xf numFmtId="0" fontId="24" fillId="0" borderId="0" applyNumberFormat="0" applyFont="0" applyFill="0" applyBorder="0" applyProtection="0">
      <alignment horizontal="left" vertical="center"/>
    </xf>
    <xf numFmtId="171" fontId="29" fillId="0" borderId="0" applyNumberFormat="0" applyFill="0" applyBorder="0" applyAlignment="0" applyProtection="0">
      <alignment vertical="top"/>
      <protection locked="0"/>
    </xf>
    <xf numFmtId="171" fontId="29" fillId="0" borderId="0" applyNumberFormat="0" applyFill="0" applyBorder="0" applyAlignment="0" applyProtection="0">
      <alignment vertical="top"/>
      <protection locked="0"/>
    </xf>
    <xf numFmtId="220" fontId="29" fillId="0" borderId="0" applyFill="0" applyBorder="0" applyAlignment="0"/>
    <xf numFmtId="216" fontId="44" fillId="0" borderId="0" applyFill="0" applyBorder="0" applyAlignment="0"/>
    <xf numFmtId="2" fontId="128" fillId="62" borderId="4" applyNumberFormat="0">
      <alignment horizontal="center" vertical="center"/>
    </xf>
    <xf numFmtId="220" fontId="29" fillId="0" borderId="0" applyFill="0" applyBorder="0" applyAlignment="0"/>
    <xf numFmtId="221" fontId="44" fillId="0" borderId="0" applyFill="0" applyBorder="0" applyAlignment="0"/>
    <xf numFmtId="216" fontId="44" fillId="0" borderId="0" applyFill="0" applyBorder="0" applyAlignment="0"/>
    <xf numFmtId="224" fontId="90" fillId="52" borderId="0" applyProtection="0"/>
    <xf numFmtId="175" fontId="29" fillId="63" borderId="0"/>
    <xf numFmtId="171" fontId="78" fillId="64" borderId="0">
      <alignment horizontal="right" vertical="center"/>
    </xf>
    <xf numFmtId="171" fontId="129" fillId="0" borderId="0"/>
    <xf numFmtId="171" fontId="130" fillId="0" borderId="0" applyNumberFormat="0" applyFill="0" applyBorder="0" applyProtection="0">
      <alignment horizontal="left" vertical="center"/>
    </xf>
    <xf numFmtId="0" fontId="130" fillId="0" borderId="0" applyNumberFormat="0" applyFill="0" applyBorder="0" applyProtection="0">
      <alignment horizontal="left" vertical="center"/>
    </xf>
    <xf numFmtId="0" fontId="130" fillId="0" borderId="0" applyNumberFormat="0" applyFill="0" applyBorder="0" applyProtection="0">
      <alignment horizontal="left" vertical="center"/>
    </xf>
    <xf numFmtId="0" fontId="130" fillId="0" borderId="0" applyNumberFormat="0" applyFill="0" applyBorder="0" applyProtection="0">
      <alignment horizontal="left" vertical="center"/>
    </xf>
    <xf numFmtId="0" fontId="130" fillId="0" borderId="0" applyNumberFormat="0" applyFill="0" applyBorder="0" applyProtection="0">
      <alignment horizontal="left" vertical="center"/>
    </xf>
    <xf numFmtId="0" fontId="130" fillId="0" borderId="0" applyNumberFormat="0" applyFill="0" applyBorder="0" applyProtection="0">
      <alignment horizontal="left" vertical="center"/>
    </xf>
    <xf numFmtId="0" fontId="130" fillId="0" borderId="0" applyNumberFormat="0" applyFill="0" applyBorder="0" applyProtection="0">
      <alignment horizontal="left" vertical="center"/>
    </xf>
    <xf numFmtId="0" fontId="131" fillId="0" borderId="0" applyNumberFormat="0" applyBorder="0" applyProtection="0">
      <alignment vertical="top"/>
    </xf>
    <xf numFmtId="266" fontId="14" fillId="0" borderId="0" applyFill="0" applyBorder="0" applyProtection="0"/>
    <xf numFmtId="4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267" fontId="14" fillId="0" borderId="0" applyFont="0" applyFill="0" applyBorder="0" applyAlignment="0" applyProtection="0"/>
    <xf numFmtId="0" fontId="14" fillId="0" borderId="0"/>
    <xf numFmtId="222" fontId="29" fillId="65" borderId="4">
      <alignment vertical="center"/>
    </xf>
    <xf numFmtId="42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" fontId="29" fillId="0" borderId="0" applyFont="0" applyFill="0" applyBorder="0" applyAlignment="0" applyProtection="0"/>
    <xf numFmtId="268" fontId="14" fillId="0" borderId="0" applyFill="0" applyBorder="0"/>
    <xf numFmtId="259" fontId="113" fillId="0" borderId="0"/>
    <xf numFmtId="49" fontId="132" fillId="40" borderId="0">
      <alignment horizontal="centerContinuous" vertical="center"/>
    </xf>
    <xf numFmtId="269" fontId="113" fillId="0" borderId="0">
      <alignment horizontal="right"/>
    </xf>
    <xf numFmtId="270" fontId="14" fillId="0" borderId="0"/>
    <xf numFmtId="271" fontId="14" fillId="0" borderId="0" applyFill="0" applyAlignment="0"/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6" fillId="0" borderId="0" applyNumberFormat="0" applyAlignment="0">
      <alignment vertical="center"/>
    </xf>
    <xf numFmtId="0" fontId="133" fillId="0" borderId="0" applyNumberFormat="0" applyFill="0" applyBorder="0" applyProtection="0">
      <alignment horizontal="left"/>
    </xf>
    <xf numFmtId="171" fontId="117" fillId="28" borderId="59" applyNumberFormat="0" applyFont="0" applyFill="0" applyAlignment="0" applyProtection="0">
      <alignment vertical="center"/>
      <protection locked="0"/>
    </xf>
    <xf numFmtId="171" fontId="19" fillId="0" borderId="0" applyNumberFormat="0" applyBorder="0">
      <alignment horizontal="left" vertical="top"/>
    </xf>
    <xf numFmtId="171" fontId="134" fillId="28" borderId="59" applyNumberFormat="0" applyFill="0" applyAlignment="0" applyProtection="0">
      <alignment vertical="center"/>
      <protection locked="0"/>
    </xf>
    <xf numFmtId="171" fontId="135" fillId="0" borderId="0"/>
    <xf numFmtId="37" fontId="136" fillId="0" borderId="0"/>
    <xf numFmtId="272" fontId="137" fillId="0" borderId="0"/>
    <xf numFmtId="273" fontId="44" fillId="0" borderId="0"/>
    <xf numFmtId="171" fontId="138" fillId="0" borderId="0"/>
    <xf numFmtId="171" fontId="29" fillId="0" borderId="0"/>
    <xf numFmtId="171" fontId="138" fillId="0" borderId="0"/>
    <xf numFmtId="0" fontId="138" fillId="0" borderId="0"/>
    <xf numFmtId="0" fontId="5" fillId="0" borderId="0"/>
    <xf numFmtId="0" fontId="139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71" fontId="14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9" fillId="0" borderId="0">
      <alignment vertical="center"/>
    </xf>
    <xf numFmtId="0" fontId="73" fillId="0" borderId="0"/>
    <xf numFmtId="0" fontId="5" fillId="0" borderId="0"/>
    <xf numFmtId="0" fontId="1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171" fontId="14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3" fillId="0" borderId="0"/>
    <xf numFmtId="0" fontId="9" fillId="0" borderId="0"/>
    <xf numFmtId="171" fontId="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171" fontId="29" fillId="0" borderId="0"/>
    <xf numFmtId="0" fontId="5" fillId="0" borderId="0"/>
    <xf numFmtId="0" fontId="5" fillId="0" borderId="0"/>
    <xf numFmtId="171" fontId="5" fillId="0" borderId="0"/>
    <xf numFmtId="171" fontId="142" fillId="0" borderId="0"/>
    <xf numFmtId="0" fontId="5" fillId="0" borderId="0"/>
    <xf numFmtId="171" fontId="5" fillId="0" borderId="0"/>
    <xf numFmtId="171" fontId="5" fillId="0" borderId="0"/>
    <xf numFmtId="274" fontId="66" fillId="0" borderId="0" applyNumberFormat="0" applyFill="0" applyBorder="0" applyAlignment="0" applyProtection="0"/>
    <xf numFmtId="171" fontId="80" fillId="0" borderId="49" applyFill="0" applyBorder="0">
      <alignment vertical="top"/>
      <protection locked="0"/>
    </xf>
    <xf numFmtId="171" fontId="44" fillId="66" borderId="0" applyNumberFormat="0" applyFont="0" applyAlignment="0">
      <alignment vertical="top"/>
    </xf>
    <xf numFmtId="3" fontId="31" fillId="0" borderId="0"/>
    <xf numFmtId="4" fontId="31" fillId="0" borderId="0"/>
    <xf numFmtId="219" fontId="31" fillId="0" borderId="0"/>
    <xf numFmtId="265" fontId="31" fillId="0" borderId="0"/>
    <xf numFmtId="171" fontId="31" fillId="0" borderId="0"/>
    <xf numFmtId="171" fontId="29" fillId="0" borderId="0">
      <alignment horizontal="right"/>
    </xf>
    <xf numFmtId="171" fontId="31" fillId="0" borderId="0"/>
    <xf numFmtId="275" fontId="29" fillId="0" borderId="0"/>
    <xf numFmtId="171" fontId="44" fillId="0" borderId="0"/>
    <xf numFmtId="37" fontId="29" fillId="0" borderId="0">
      <alignment horizontal="left"/>
    </xf>
    <xf numFmtId="0" fontId="32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3" fillId="0" borderId="0" applyNumberFormat="0" applyAlignment="0" applyProtection="0"/>
    <xf numFmtId="0" fontId="73" fillId="3" borderId="49" applyNumberFormat="0" applyFont="0" applyAlignment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1" fontId="144" fillId="41" borderId="0">
      <alignment horizontal="left" vertical="top" wrapText="1"/>
    </xf>
    <xf numFmtId="165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276" fontId="113" fillId="0" borderId="0"/>
    <xf numFmtId="223" fontId="145" fillId="0" borderId="0">
      <alignment horizontal="right" vertical="center"/>
    </xf>
    <xf numFmtId="223" fontId="145" fillId="0" borderId="0">
      <alignment horizontal="right" vertical="center"/>
    </xf>
    <xf numFmtId="204" fontId="29" fillId="0" borderId="0" applyFill="0" applyBorder="0" applyProtection="0">
      <alignment vertical="center"/>
    </xf>
    <xf numFmtId="168" fontId="29" fillId="34" borderId="60"/>
    <xf numFmtId="169" fontId="29" fillId="0" borderId="0" applyFont="0" applyFill="0" applyBorder="0" applyAlignment="0" applyProtection="0"/>
    <xf numFmtId="277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1" fontId="146" fillId="0" borderId="0" applyNumberFormat="0" applyAlignment="0">
      <alignment vertical="top"/>
    </xf>
    <xf numFmtId="278" fontId="29" fillId="0" borderId="0" applyFont="0" applyFill="0" applyBorder="0" applyAlignment="0" applyProtection="0"/>
    <xf numFmtId="279" fontId="29" fillId="0" borderId="0" applyFont="0" applyFill="0" applyBorder="0" applyAlignment="0" applyProtection="0"/>
    <xf numFmtId="0" fontId="9" fillId="6" borderId="3">
      <alignment vertical="center"/>
    </xf>
    <xf numFmtId="221" fontId="147" fillId="0" borderId="0"/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148" fillId="67" borderId="61" applyNumberFormat="0" applyAlignment="0" applyProtection="0"/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0" fontId="9" fillId="3" borderId="0" applyNumberFormat="0" applyFont="0" applyBorder="0" applyAlignment="0" applyProtection="0">
      <alignment vertical="center"/>
    </xf>
    <xf numFmtId="171" fontId="149" fillId="33" borderId="7"/>
    <xf numFmtId="0" fontId="148" fillId="68" borderId="62" applyAlignment="0" applyProtection="0"/>
    <xf numFmtId="171" fontId="150" fillId="0" borderId="0" applyFill="0" applyBorder="0" applyProtection="0">
      <alignment horizontal="left"/>
    </xf>
    <xf numFmtId="171" fontId="130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280" fontId="29" fillId="0" borderId="0" applyFont="0" applyFill="0" applyBorder="0" applyAlignment="0" applyProtection="0"/>
    <xf numFmtId="14" fontId="53" fillId="0" borderId="0">
      <alignment horizontal="center" wrapText="1"/>
      <protection locked="0"/>
    </xf>
    <xf numFmtId="169" fontId="74" fillId="0" borderId="0" applyFont="0" applyFill="0" applyBorder="0" applyAlignment="0" applyProtection="0"/>
    <xf numFmtId="219" fontId="29" fillId="0" borderId="0" applyFont="0" applyFill="0" applyBorder="0" applyAlignment="0" applyProtection="0"/>
    <xf numFmtId="264" fontId="44" fillId="0" borderId="0" applyFont="0" applyFill="0" applyBorder="0" applyAlignment="0" applyProtection="0"/>
    <xf numFmtId="169" fontId="29" fillId="0" borderId="0"/>
    <xf numFmtId="10" fontId="29" fillId="0" borderId="0" applyFont="0" applyFill="0" applyBorder="0" applyAlignment="0" applyProtection="0"/>
    <xf numFmtId="10" fontId="29" fillId="0" borderId="0"/>
    <xf numFmtId="9" fontId="5" fillId="0" borderId="0" applyFont="0" applyFill="0" applyBorder="0" applyAlignment="0" applyProtection="0"/>
    <xf numFmtId="166" fontId="9" fillId="0" borderId="0" applyFont="0" applyFill="0" applyBorder="0" applyAlignment="0" applyProtection="0">
      <alignment vertical="center"/>
    </xf>
    <xf numFmtId="166" fontId="9" fillId="0" borderId="0" applyFont="0" applyFill="0" applyBorder="0" applyAlignment="0" applyProtection="0">
      <alignment vertical="center"/>
    </xf>
    <xf numFmtId="166" fontId="9" fillId="0" borderId="0" applyFont="0" applyFill="0" applyBorder="0" applyAlignment="0" applyProtection="0">
      <alignment vertical="center"/>
    </xf>
    <xf numFmtId="166" fontId="9" fillId="0" borderId="0" applyFont="0" applyFill="0" applyBorder="0" applyAlignment="0" applyProtection="0">
      <alignment vertical="center"/>
    </xf>
    <xf numFmtId="166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81" fontId="53" fillId="0" borderId="0" applyFont="0" applyFill="0" applyBorder="0" applyProtection="0">
      <alignment horizontal="right"/>
    </xf>
    <xf numFmtId="195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282" fontId="14" fillId="0" borderId="0"/>
    <xf numFmtId="171" fontId="14" fillId="0" borderId="0"/>
    <xf numFmtId="283" fontId="14" fillId="0" borderId="0"/>
    <xf numFmtId="284" fontId="14" fillId="0" borderId="0"/>
    <xf numFmtId="285" fontId="14" fillId="0" borderId="0"/>
    <xf numFmtId="286" fontId="9" fillId="0" borderId="0" applyFont="0" applyFill="0" applyBorder="0" applyAlignment="0" applyProtection="0">
      <alignment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166" fontId="9" fillId="0" borderId="0" applyFont="0" applyFill="0" applyBorder="0" applyAlignment="0" applyProtection="0">
      <alignment horizontal="right" vertical="center"/>
    </xf>
    <xf numFmtId="0" fontId="14" fillId="0" borderId="0">
      <alignment horizontal="center"/>
    </xf>
    <xf numFmtId="287" fontId="22" fillId="33" borderId="63" applyFont="0" applyFill="0" applyBorder="0" applyAlignment="0" applyProtection="0">
      <alignment horizontal="center" vertical="center"/>
    </xf>
    <xf numFmtId="288" fontId="152" fillId="0" borderId="0" applyFont="0" applyFill="0" applyBorder="0" applyAlignment="0" applyProtection="0"/>
    <xf numFmtId="171" fontId="14" fillId="0" borderId="0"/>
    <xf numFmtId="171" fontId="14" fillId="0" borderId="0"/>
    <xf numFmtId="289" fontId="14" fillId="0" borderId="0"/>
    <xf numFmtId="255" fontId="14" fillId="0" borderId="0"/>
    <xf numFmtId="290" fontId="14" fillId="0" borderId="0"/>
    <xf numFmtId="291" fontId="14" fillId="0" borderId="0"/>
    <xf numFmtId="13" fontId="29" fillId="0" borderId="0" applyFont="0" applyFill="0" applyProtection="0"/>
    <xf numFmtId="0" fontId="14" fillId="22" borderId="60"/>
    <xf numFmtId="220" fontId="29" fillId="0" borderId="0" applyFill="0" applyBorder="0" applyAlignment="0"/>
    <xf numFmtId="216" fontId="44" fillId="0" borderId="0" applyFill="0" applyBorder="0" applyAlignment="0"/>
    <xf numFmtId="220" fontId="29" fillId="0" borderId="0" applyFill="0" applyBorder="0" applyAlignment="0"/>
    <xf numFmtId="221" fontId="44" fillId="0" borderId="0" applyFill="0" applyBorder="0" applyAlignment="0"/>
    <xf numFmtId="216" fontId="44" fillId="0" borderId="0" applyFill="0" applyBorder="0" applyAlignment="0"/>
    <xf numFmtId="0" fontId="153" fillId="69" borderId="0" applyNumberFormat="0" applyBorder="0" applyAlignment="0" applyProtection="0">
      <alignment vertical="center"/>
    </xf>
    <xf numFmtId="292" fontId="29" fillId="0" borderId="0" applyFill="0" applyBorder="0">
      <alignment vertical="top"/>
    </xf>
    <xf numFmtId="171" fontId="36" fillId="0" borderId="0" applyFill="0" applyBorder="0">
      <alignment vertical="top"/>
    </xf>
    <xf numFmtId="215" fontId="29" fillId="0" borderId="0" applyFill="0" applyBorder="0">
      <alignment vertical="top"/>
    </xf>
    <xf numFmtId="293" fontId="29" fillId="0" borderId="0"/>
    <xf numFmtId="37" fontId="29" fillId="0" borderId="0" applyFont="0" applyFill="0" applyBorder="0" applyAlignment="0" applyProtection="0"/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171" fontId="154" fillId="0" borderId="14">
      <alignment horizontal="center"/>
    </xf>
    <xf numFmtId="3" fontId="44" fillId="0" borderId="0" applyFont="0" applyFill="0" applyBorder="0" applyAlignment="0" applyProtection="0"/>
    <xf numFmtId="171" fontId="44" fillId="70" borderId="0" applyNumberFormat="0" applyFont="0" applyBorder="0" applyAlignment="0" applyProtection="0"/>
    <xf numFmtId="224" fontId="29" fillId="0" borderId="0" applyFont="0" applyFill="0" applyBorder="0" applyAlignment="0" applyProtection="0"/>
    <xf numFmtId="294" fontId="29" fillId="0" borderId="0" applyFont="0" applyFill="0" applyBorder="0" applyAlignment="0" applyProtection="0"/>
    <xf numFmtId="295" fontId="29" fillId="0" borderId="0" applyFont="0" applyFill="0" applyBorder="0" applyAlignment="0" applyProtection="0"/>
    <xf numFmtId="38" fontId="29" fillId="0" borderId="0" applyFill="0" applyBorder="0">
      <alignment horizontal="center" vertical="top"/>
    </xf>
    <xf numFmtId="171" fontId="155" fillId="0" borderId="0" applyNumberFormat="0" applyFill="0" applyBorder="0" applyAlignment="0" applyProtection="0"/>
    <xf numFmtId="3" fontId="156" fillId="0" borderId="0" applyFill="0" applyBorder="0" applyProtection="0"/>
    <xf numFmtId="289" fontId="19" fillId="0" borderId="0" applyNumberFormat="0" applyFill="0" applyBorder="0" applyAlignment="0" applyProtection="0"/>
    <xf numFmtId="49" fontId="9" fillId="0" borderId="0">
      <alignment horizontal="right"/>
    </xf>
    <xf numFmtId="171" fontId="157" fillId="0" borderId="0">
      <alignment horizontal="left" vertical="center"/>
    </xf>
    <xf numFmtId="171" fontId="158" fillId="71" borderId="0" applyNumberFormat="0" applyFont="0" applyBorder="0" applyAlignment="0">
      <alignment horizontal="center"/>
    </xf>
    <xf numFmtId="206" fontId="29" fillId="0" borderId="0" applyFont="0" applyFill="0" applyBorder="0" applyAlignment="0" applyProtection="0"/>
    <xf numFmtId="296" fontId="29" fillId="0" borderId="0" applyProtection="0">
      <alignment horizontal="right"/>
    </xf>
    <xf numFmtId="297" fontId="29" fillId="0" borderId="0" applyProtection="0">
      <alignment horizontal="right"/>
    </xf>
    <xf numFmtId="298" fontId="29" fillId="0" borderId="0" applyNumberFormat="0" applyFill="0" applyBorder="0" applyAlignment="0" applyProtection="0">
      <alignment horizontal="left"/>
    </xf>
    <xf numFmtId="171" fontId="24" fillId="0" borderId="64" applyNumberFormat="0" applyFont="0" applyFill="0" applyAlignment="0" applyProtection="0"/>
    <xf numFmtId="0" fontId="24" fillId="0" borderId="64" applyNumberFormat="0" applyFont="0" applyFill="0" applyAlignment="0" applyProtection="0"/>
    <xf numFmtId="0" fontId="24" fillId="0" borderId="64" applyNumberFormat="0" applyFont="0" applyFill="0" applyAlignment="0" applyProtection="0"/>
    <xf numFmtId="0" fontId="24" fillId="0" borderId="64" applyNumberFormat="0" applyFont="0" applyFill="0" applyAlignment="0" applyProtection="0"/>
    <xf numFmtId="0" fontId="24" fillId="0" borderId="64" applyNumberFormat="0" applyFont="0" applyFill="0" applyAlignment="0" applyProtection="0"/>
    <xf numFmtId="0" fontId="24" fillId="0" borderId="64" applyNumberFormat="0" applyFont="0" applyFill="0" applyAlignment="0" applyProtection="0"/>
    <xf numFmtId="0" fontId="24" fillId="0" borderId="64" applyNumberFormat="0" applyFont="0" applyFill="0" applyAlignment="0" applyProtection="0"/>
    <xf numFmtId="171" fontId="67" fillId="37" borderId="13" applyNumberFormat="0" applyBorder="0" applyProtection="0">
      <alignment horizontal="left" wrapText="1"/>
    </xf>
    <xf numFmtId="171" fontId="67" fillId="37" borderId="0" applyNumberFormat="0" applyBorder="0" applyProtection="0">
      <alignment horizontal="left"/>
    </xf>
    <xf numFmtId="0" fontId="67" fillId="37" borderId="0" applyNumberFormat="0" applyBorder="0" applyProtection="0">
      <alignment horizontal="left"/>
    </xf>
    <xf numFmtId="0" fontId="67" fillId="37" borderId="0" applyNumberFormat="0" applyBorder="0" applyProtection="0">
      <alignment horizontal="left"/>
    </xf>
    <xf numFmtId="0" fontId="67" fillId="37" borderId="0" applyNumberFormat="0" applyBorder="0" applyProtection="0">
      <alignment horizontal="left"/>
    </xf>
    <xf numFmtId="0" fontId="67" fillId="37" borderId="0" applyNumberFormat="0" applyBorder="0" applyProtection="0">
      <alignment horizontal="left"/>
    </xf>
    <xf numFmtId="0" fontId="67" fillId="37" borderId="0" applyNumberFormat="0" applyBorder="0" applyProtection="0">
      <alignment horizontal="left"/>
    </xf>
    <xf numFmtId="0" fontId="67" fillId="37" borderId="0" applyNumberFormat="0" applyBorder="0" applyProtection="0">
      <alignment horizontal="left"/>
    </xf>
    <xf numFmtId="0" fontId="67" fillId="37" borderId="13" applyNumberFormat="0" applyBorder="0" applyProtection="0">
      <alignment horizontal="left" wrapText="1"/>
    </xf>
    <xf numFmtId="0" fontId="67" fillId="37" borderId="13" applyNumberFormat="0" applyBorder="0" applyProtection="0">
      <alignment horizontal="left" wrapText="1"/>
    </xf>
    <xf numFmtId="0" fontId="67" fillId="37" borderId="13" applyNumberFormat="0" applyBorder="0" applyProtection="0">
      <alignment horizontal="left" wrapText="1"/>
    </xf>
    <xf numFmtId="0" fontId="67" fillId="37" borderId="13" applyNumberFormat="0" applyBorder="0" applyProtection="0">
      <alignment horizontal="left" wrapText="1"/>
    </xf>
    <xf numFmtId="0" fontId="67" fillId="37" borderId="13" applyNumberFormat="0" applyBorder="0" applyProtection="0">
      <alignment horizontal="left" wrapText="1"/>
    </xf>
    <xf numFmtId="0" fontId="67" fillId="37" borderId="13" applyNumberFormat="0" applyBorder="0" applyProtection="0">
      <alignment horizontal="left" wrapText="1"/>
    </xf>
    <xf numFmtId="171" fontId="12" fillId="0" borderId="0" applyNumberFormat="0" applyFill="0" applyBorder="0">
      <alignment horizontal="left" vertical="center" wrapText="1"/>
    </xf>
    <xf numFmtId="171" fontId="9" fillId="0" borderId="0" applyNumberFormat="0" applyFill="0" applyBorder="0">
      <alignment horizontal="left" vertical="center" wrapText="1" indent="1"/>
    </xf>
    <xf numFmtId="171" fontId="24" fillId="0" borderId="65" applyNumberFormat="0" applyFont="0" applyFill="0" applyAlignment="0" applyProtection="0"/>
    <xf numFmtId="0" fontId="24" fillId="0" borderId="65" applyNumberFormat="0" applyFont="0" applyFill="0" applyAlignment="0" applyProtection="0"/>
    <xf numFmtId="0" fontId="24" fillId="0" borderId="65" applyNumberFormat="0" applyFont="0" applyFill="0" applyAlignment="0" applyProtection="0"/>
    <xf numFmtId="0" fontId="24" fillId="0" borderId="65" applyNumberFormat="0" applyFont="0" applyFill="0" applyAlignment="0" applyProtection="0"/>
    <xf numFmtId="0" fontId="24" fillId="0" borderId="65" applyNumberFormat="0" applyFont="0" applyFill="0" applyAlignment="0" applyProtection="0"/>
    <xf numFmtId="0" fontId="24" fillId="0" borderId="65" applyNumberFormat="0" applyFont="0" applyFill="0" applyAlignment="0" applyProtection="0"/>
    <xf numFmtId="0" fontId="24" fillId="0" borderId="65" applyNumberFormat="0" applyFont="0" applyFill="0" applyAlignment="0" applyProtection="0"/>
    <xf numFmtId="0" fontId="8" fillId="0" borderId="0"/>
    <xf numFmtId="171" fontId="159" fillId="72" borderId="0">
      <alignment wrapText="1"/>
    </xf>
    <xf numFmtId="0" fontId="160" fillId="0" borderId="0" applyNumberFormat="0" applyFill="0" applyBorder="0" applyProtection="0">
      <alignment horizontal="left" vertical="center"/>
    </xf>
    <xf numFmtId="0" fontId="160" fillId="0" borderId="0" applyNumberFormat="0" applyFill="0" applyBorder="0" applyProtection="0">
      <alignment horizontal="left" vertical="center"/>
    </xf>
    <xf numFmtId="0" fontId="160" fillId="0" borderId="0" applyNumberFormat="0" applyFill="0" applyBorder="0" applyProtection="0">
      <alignment horizontal="left" vertical="center"/>
    </xf>
    <xf numFmtId="0" fontId="160" fillId="0" borderId="0" applyNumberFormat="0" applyFill="0" applyBorder="0" applyProtection="0">
      <alignment horizontal="left" vertical="center"/>
    </xf>
    <xf numFmtId="0" fontId="160" fillId="0" borderId="0" applyNumberFormat="0" applyFill="0" applyBorder="0" applyProtection="0">
      <alignment horizontal="left" vertical="center"/>
    </xf>
    <xf numFmtId="0" fontId="160" fillId="0" borderId="0" applyNumberFormat="0" applyFill="0" applyBorder="0" applyProtection="0">
      <alignment horizontal="left" vertical="center"/>
    </xf>
    <xf numFmtId="0" fontId="161" fillId="72" borderId="0"/>
    <xf numFmtId="0" fontId="161" fillId="72" borderId="0">
      <alignment wrapText="1"/>
    </xf>
    <xf numFmtId="171" fontId="83" fillId="60" borderId="60" applyNumberFormat="0" applyFont="0" applyBorder="0" applyAlignment="0" applyProtection="0"/>
    <xf numFmtId="171" fontId="158" fillId="1" borderId="66" applyNumberFormat="0" applyFont="0" applyAlignment="0">
      <alignment horizontal="center"/>
    </xf>
    <xf numFmtId="0" fontId="162" fillId="22" borderId="67"/>
    <xf numFmtId="171" fontId="78" fillId="40" borderId="0">
      <alignment horizontal="right" vertical="center"/>
    </xf>
    <xf numFmtId="0" fontId="29" fillId="0" borderId="0" applyFill="0" applyBorder="0" applyProtection="0">
      <alignment horizontal="centerContinuous" vertical="top"/>
    </xf>
    <xf numFmtId="238" fontId="163" fillId="0" borderId="0" applyNumberFormat="0" applyFont="0" applyBorder="0">
      <alignment horizontal="left"/>
    </xf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71" fontId="164" fillId="0" borderId="0" applyNumberFormat="0">
      <alignment horizontal="left"/>
    </xf>
    <xf numFmtId="299" fontId="29" fillId="0" borderId="0" applyFont="0" applyFill="0" applyBorder="0" applyAlignment="0" applyProtection="0"/>
    <xf numFmtId="300" fontId="24" fillId="0" borderId="0" applyFont="0" applyFill="0" applyBorder="0" applyAlignment="0" applyProtection="0"/>
    <xf numFmtId="300" fontId="24" fillId="0" borderId="0" applyFont="0" applyFill="0" applyBorder="0" applyAlignment="0" applyProtection="0"/>
    <xf numFmtId="300" fontId="24" fillId="0" borderId="0" applyFont="0" applyFill="0" applyBorder="0" applyAlignment="0" applyProtection="0"/>
    <xf numFmtId="300" fontId="24" fillId="0" borderId="0" applyFont="0" applyFill="0" applyBorder="0" applyAlignment="0" applyProtection="0"/>
    <xf numFmtId="300" fontId="24" fillId="0" borderId="0" applyFont="0" applyFill="0" applyBorder="0" applyAlignment="0" applyProtection="0"/>
    <xf numFmtId="300" fontId="24" fillId="0" borderId="0" applyFont="0" applyFill="0" applyBorder="0" applyAlignment="0" applyProtection="0"/>
    <xf numFmtId="0" fontId="19" fillId="0" borderId="68" applyNumberFormat="0" applyFill="0" applyBorder="0" applyAlignment="0" applyProtection="0">
      <alignment horizontal="left" vertical="center" wrapText="1"/>
    </xf>
    <xf numFmtId="3" fontId="14" fillId="0" borderId="0"/>
    <xf numFmtId="1" fontId="165" fillId="0" borderId="0">
      <alignment vertical="center"/>
    </xf>
    <xf numFmtId="171" fontId="166" fillId="0" borderId="0" applyNumberFormat="0" applyFill="0" applyBorder="0" applyAlignment="0">
      <alignment horizontal="center"/>
    </xf>
    <xf numFmtId="171" fontId="44" fillId="0" borderId="0"/>
    <xf numFmtId="171" fontId="29" fillId="0" borderId="0"/>
    <xf numFmtId="0" fontId="29" fillId="58" borderId="60"/>
    <xf numFmtId="171" fontId="167" fillId="0" borderId="60">
      <alignment horizontal="center"/>
    </xf>
    <xf numFmtId="0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32" fillId="0" borderId="0" applyNumberFormat="0" applyFont="0" applyFill="0" applyBorder="0" applyAlignment="0" applyProtection="0"/>
    <xf numFmtId="15" fontId="29" fillId="0" borderId="0"/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29" fillId="0" borderId="0"/>
    <xf numFmtId="171" fontId="29" fillId="0" borderId="0"/>
    <xf numFmtId="171" fontId="29" fillId="0" borderId="0"/>
    <xf numFmtId="171" fontId="9" fillId="0" borderId="0">
      <alignment vertical="top"/>
    </xf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32" fillId="0" borderId="0" applyNumberFormat="0" applyFont="0" applyFill="0" applyBorder="0" applyAlignment="0" applyProtection="0"/>
    <xf numFmtId="171" fontId="32" fillId="0" borderId="0" applyNumberFormat="0" applyFont="0" applyFill="0" applyBorder="0" applyAlignment="0" applyProtection="0"/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9" fillId="0" borderId="0">
      <alignment vertical="top"/>
    </xf>
    <xf numFmtId="171" fontId="32" fillId="0" borderId="0" applyNumberFormat="0" applyFont="0" applyFill="0" applyBorder="0" applyAlignment="0" applyProtection="0"/>
    <xf numFmtId="171" fontId="167" fillId="0" borderId="60">
      <alignment horizontal="center"/>
    </xf>
    <xf numFmtId="171" fontId="167" fillId="0" borderId="0">
      <alignment horizontal="center" vertical="center"/>
    </xf>
    <xf numFmtId="171" fontId="168" fillId="73" borderId="0" applyNumberFormat="0" applyFill="0">
      <alignment horizontal="left" vertical="center"/>
    </xf>
    <xf numFmtId="3" fontId="169" fillId="0" borderId="0" applyNumberFormat="0" applyAlignment="0">
      <alignment horizontal="right"/>
    </xf>
    <xf numFmtId="0" fontId="170" fillId="0" borderId="0" applyNumberFormat="0" applyBorder="0" applyProtection="0">
      <alignment vertical="top"/>
    </xf>
    <xf numFmtId="0" fontId="171" fillId="0" borderId="0">
      <alignment vertical="top"/>
    </xf>
    <xf numFmtId="171" fontId="172" fillId="50" borderId="0"/>
    <xf numFmtId="0" fontId="173" fillId="0" borderId="0"/>
    <xf numFmtId="0" fontId="174" fillId="22" borderId="6"/>
    <xf numFmtId="40" fontId="175" fillId="0" borderId="0" applyBorder="0">
      <alignment horizontal="right"/>
    </xf>
    <xf numFmtId="206" fontId="176" fillId="0" borderId="69">
      <alignment vertical="center"/>
    </xf>
    <xf numFmtId="164" fontId="12" fillId="0" borderId="70" applyNumberFormat="0" applyFill="0" applyAlignment="0" applyProtection="0">
      <alignment vertical="center"/>
    </xf>
    <xf numFmtId="164" fontId="12" fillId="0" borderId="71" applyNumberFormat="0" applyFill="0" applyAlignment="0" applyProtection="0">
      <alignment vertical="center"/>
    </xf>
    <xf numFmtId="40" fontId="175" fillId="0" borderId="0" applyBorder="0">
      <alignment horizontal="right"/>
    </xf>
    <xf numFmtId="169" fontId="110" fillId="0" borderId="0"/>
    <xf numFmtId="0" fontId="177" fillId="58" borderId="72">
      <alignment horizontal="right"/>
    </xf>
    <xf numFmtId="301" fontId="14" fillId="0" borderId="0" applyFill="0" applyBorder="0" applyProtection="0"/>
    <xf numFmtId="224" fontId="178" fillId="72" borderId="0" applyProtection="0"/>
    <xf numFmtId="171" fontId="12" fillId="0" borderId="0" applyFill="0" applyBorder="0" applyProtection="0">
      <alignment horizontal="center" vertical="center"/>
    </xf>
    <xf numFmtId="164" fontId="9" fillId="0" borderId="73" applyNumberFormat="0" applyFont="0" applyFill="0" applyAlignment="0" applyProtection="0">
      <alignment vertical="center"/>
    </xf>
    <xf numFmtId="171" fontId="179" fillId="0" borderId="0" applyBorder="0" applyProtection="0">
      <alignment vertical="center"/>
    </xf>
    <xf numFmtId="259" fontId="14" fillId="0" borderId="49" applyBorder="0" applyProtection="0">
      <alignment horizontal="right" vertical="center"/>
    </xf>
    <xf numFmtId="171" fontId="180" fillId="74" borderId="0" applyBorder="0" applyProtection="0">
      <alignment horizontal="centerContinuous" vertical="center"/>
    </xf>
    <xf numFmtId="171" fontId="180" fillId="54" borderId="49" applyBorder="0" applyProtection="0">
      <alignment horizontal="centerContinuous" vertical="center"/>
    </xf>
    <xf numFmtId="171" fontId="29" fillId="0" borderId="0" applyBorder="0" applyProtection="0">
      <alignment vertical="center"/>
    </xf>
    <xf numFmtId="3" fontId="12" fillId="0" borderId="0" applyNumberFormat="0"/>
    <xf numFmtId="171" fontId="9" fillId="22" borderId="0" applyNumberFormat="0" applyFont="0" applyBorder="0" applyAlignment="0" applyProtection="0">
      <alignment vertical="center"/>
    </xf>
    <xf numFmtId="171" fontId="12" fillId="0" borderId="0" applyFill="0" applyBorder="0" applyProtection="0"/>
    <xf numFmtId="171" fontId="181" fillId="0" borderId="0" applyNumberFormat="0">
      <alignment horizontal="left"/>
    </xf>
    <xf numFmtId="171" fontId="182" fillId="0" borderId="0" applyFill="0" applyBorder="0" applyProtection="0">
      <alignment horizontal="left"/>
    </xf>
    <xf numFmtId="171" fontId="9" fillId="0" borderId="0" applyNumberFormat="0" applyFont="0" applyFill="0" applyAlignment="0" applyProtection="0">
      <alignment vertical="center"/>
    </xf>
    <xf numFmtId="171" fontId="89" fillId="0" borderId="6" applyFill="0" applyBorder="0" applyProtection="0">
      <alignment horizontal="left" vertical="top"/>
    </xf>
    <xf numFmtId="164" fontId="9" fillId="0" borderId="0" applyNumberFormat="0" applyFont="0" applyBorder="0" applyAlignment="0" applyProtection="0">
      <alignment vertical="center"/>
    </xf>
    <xf numFmtId="0" fontId="183" fillId="29" borderId="0" applyNumberFormat="0" applyBorder="0" applyAlignment="0" applyProtection="0">
      <alignment vertical="center"/>
    </xf>
    <xf numFmtId="0" fontId="71" fillId="54" borderId="72">
      <alignment horizontal="left" wrapText="1"/>
    </xf>
    <xf numFmtId="0" fontId="23" fillId="33" borderId="0"/>
    <xf numFmtId="171" fontId="149" fillId="34" borderId="0"/>
    <xf numFmtId="49" fontId="9" fillId="0" borderId="0" applyFont="0" applyFill="0" applyBorder="0" applyAlignment="0" applyProtection="0">
      <alignment horizontal="center" vertical="center"/>
    </xf>
    <xf numFmtId="49" fontId="42" fillId="0" borderId="0" applyFill="0" applyBorder="0" applyAlignment="0"/>
    <xf numFmtId="302" fontId="29" fillId="0" borderId="0" applyFill="0" applyBorder="0" applyAlignment="0"/>
    <xf numFmtId="169" fontId="44" fillId="0" borderId="0" applyFill="0" applyBorder="0" applyAlignment="0"/>
    <xf numFmtId="171" fontId="66" fillId="41" borderId="0"/>
    <xf numFmtId="171" fontId="14" fillId="41" borderId="0">
      <alignment horizontal="left"/>
    </xf>
    <xf numFmtId="171" fontId="14" fillId="41" borderId="0">
      <alignment horizontal="left" indent="1"/>
    </xf>
    <xf numFmtId="171" fontId="14" fillId="41" borderId="0">
      <alignment horizontal="left" vertical="center" indent="2"/>
    </xf>
    <xf numFmtId="41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303" fontId="14" fillId="0" borderId="0" applyFont="0" applyFill="0" applyBorder="0" applyAlignment="0" applyProtection="0"/>
    <xf numFmtId="20" fontId="152" fillId="0" borderId="74" applyFill="0" applyBorder="0">
      <alignment horizontal="center" vertical="center"/>
    </xf>
    <xf numFmtId="171" fontId="95" fillId="0" borderId="0">
      <alignment horizontal="center"/>
    </xf>
    <xf numFmtId="20" fontId="80" fillId="0" borderId="74" applyFill="0" applyBorder="0">
      <alignment horizontal="center" vertical="top"/>
      <protection locked="0"/>
    </xf>
    <xf numFmtId="20" fontId="152" fillId="0" borderId="74" applyFill="0" applyBorder="0">
      <alignment horizontal="center" vertical="center"/>
    </xf>
    <xf numFmtId="171" fontId="25" fillId="0" borderId="0" applyNumberFormat="0" applyFill="0" applyBorder="0" applyAlignment="0" applyProtection="0"/>
    <xf numFmtId="206" fontId="184" fillId="75" borderId="0" applyNumberFormat="0">
      <alignment vertical="center"/>
    </xf>
    <xf numFmtId="206" fontId="185" fillId="28" borderId="0" applyNumberFormat="0">
      <alignment vertical="center"/>
    </xf>
    <xf numFmtId="206" fontId="11" fillId="0" borderId="0" applyNumberFormat="0">
      <alignment vertical="center"/>
    </xf>
    <xf numFmtId="206" fontId="176" fillId="0" borderId="0" applyNumberFormat="0">
      <alignment vertical="center"/>
    </xf>
    <xf numFmtId="171" fontId="67" fillId="37" borderId="14" applyNumberFormat="0" applyProtection="0">
      <alignment horizontal="left" vertical="center"/>
    </xf>
    <xf numFmtId="0" fontId="67" fillId="37" borderId="14" applyNumberFormat="0" applyProtection="0">
      <alignment horizontal="left" vertical="center"/>
    </xf>
    <xf numFmtId="0" fontId="67" fillId="37" borderId="14" applyNumberFormat="0" applyProtection="0">
      <alignment horizontal="left" vertical="center"/>
    </xf>
    <xf numFmtId="0" fontId="67" fillId="37" borderId="14" applyNumberFormat="0" applyProtection="0">
      <alignment horizontal="left" vertical="center"/>
    </xf>
    <xf numFmtId="0" fontId="67" fillId="37" borderId="14" applyNumberFormat="0" applyProtection="0">
      <alignment horizontal="left" vertical="center"/>
    </xf>
    <xf numFmtId="0" fontId="67" fillId="37" borderId="14" applyNumberFormat="0" applyProtection="0">
      <alignment horizontal="left" vertical="center"/>
    </xf>
    <xf numFmtId="0" fontId="67" fillId="37" borderId="14" applyNumberFormat="0" applyProtection="0">
      <alignment horizontal="left" vertical="center"/>
    </xf>
    <xf numFmtId="3" fontId="186" fillId="0" borderId="0"/>
    <xf numFmtId="0" fontId="29" fillId="22" borderId="0" applyNumberFormat="0" applyFont="0" applyBorder="0" applyAlignment="0"/>
    <xf numFmtId="171" fontId="10" fillId="0" borderId="0">
      <alignment vertical="center"/>
    </xf>
    <xf numFmtId="171" fontId="12" fillId="0" borderId="71">
      <alignment horizontal="center" wrapText="1"/>
    </xf>
    <xf numFmtId="206" fontId="176" fillId="0" borderId="75">
      <alignment vertical="center"/>
    </xf>
    <xf numFmtId="206" fontId="176" fillId="0" borderId="69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164" fontId="12" fillId="0" borderId="0" applyNumberFormat="0" applyFill="0" applyBorder="0" applyAlignment="0" applyProtection="0">
      <alignment vertical="center"/>
    </xf>
    <xf numFmtId="0" fontId="23" fillId="0" borderId="0"/>
    <xf numFmtId="3" fontId="12" fillId="0" borderId="49" applyNumberFormat="0"/>
    <xf numFmtId="168" fontId="29" fillId="0" borderId="76"/>
    <xf numFmtId="2" fontId="187" fillId="76" borderId="77" applyBorder="0">
      <alignment horizontal="right"/>
    </xf>
    <xf numFmtId="171" fontId="9" fillId="0" borderId="0" applyNumberFormat="0" applyFont="0" applyBorder="0" applyAlignment="0" applyProtection="0">
      <alignment vertical="center"/>
    </xf>
    <xf numFmtId="0" fontId="9" fillId="0" borderId="0" applyNumberFormat="0" applyFont="0" applyBorder="0" applyAlignment="0" applyProtection="0">
      <alignment vertical="center"/>
    </xf>
    <xf numFmtId="171" fontId="188" fillId="0" borderId="0" applyNumberFormat="0" applyFill="0" applyBorder="0" applyAlignment="0">
      <protection locked="0"/>
    </xf>
    <xf numFmtId="171" fontId="9" fillId="0" borderId="0" applyNumberFormat="0" applyFont="0" applyAlignment="0" applyProtection="0">
      <alignment vertical="center"/>
    </xf>
    <xf numFmtId="171" fontId="189" fillId="0" borderId="0">
      <alignment vertical="top"/>
    </xf>
    <xf numFmtId="0" fontId="29" fillId="0" borderId="0">
      <alignment horizontal="center"/>
    </xf>
    <xf numFmtId="0" fontId="23" fillId="33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1" fontId="190" fillId="0" borderId="0">
      <alignment horizontal="center" vertical="center" textRotation="90" wrapText="1"/>
    </xf>
    <xf numFmtId="247" fontId="29" fillId="0" borderId="0" applyFont="0" applyFill="0" applyBorder="0" applyAlignment="0" applyProtection="0"/>
    <xf numFmtId="250" fontId="29" fillId="0" borderId="0" applyFont="0" applyFill="0" applyBorder="0" applyAlignment="0" applyProtection="0"/>
    <xf numFmtId="0" fontId="191" fillId="69" borderId="0" applyNumberFormat="0" applyBorder="0" applyAlignment="0" applyProtection="0">
      <alignment vertical="center"/>
    </xf>
    <xf numFmtId="171" fontId="24" fillId="37" borderId="0" applyNumberFormat="0" applyBorder="0" applyProtection="0">
      <alignment horizontal="left"/>
    </xf>
    <xf numFmtId="0" fontId="24" fillId="37" borderId="0" applyNumberFormat="0" applyBorder="0" applyProtection="0">
      <alignment horizontal="left"/>
    </xf>
    <xf numFmtId="0" fontId="24" fillId="37" borderId="0" applyNumberFormat="0" applyBorder="0" applyProtection="0">
      <alignment horizontal="left"/>
    </xf>
    <xf numFmtId="0" fontId="24" fillId="37" borderId="0" applyNumberFormat="0" applyBorder="0" applyProtection="0">
      <alignment horizontal="left"/>
    </xf>
    <xf numFmtId="0" fontId="24" fillId="37" borderId="0" applyNumberFormat="0" applyBorder="0" applyProtection="0">
      <alignment horizontal="left"/>
    </xf>
    <xf numFmtId="0" fontId="24" fillId="37" borderId="0" applyNumberFormat="0" applyBorder="0" applyProtection="0">
      <alignment horizontal="left"/>
    </xf>
    <xf numFmtId="0" fontId="24" fillId="37" borderId="0" applyNumberFormat="0" applyBorder="0" applyProtection="0">
      <alignment horizontal="left"/>
    </xf>
    <xf numFmtId="0" fontId="31" fillId="0" borderId="0" applyNumberFormat="0" applyFont="0" applyFill="0" applyBorder="0" applyProtection="0">
      <alignment horizontal="center" vertical="center" wrapText="1"/>
    </xf>
    <xf numFmtId="304" fontId="24" fillId="0" borderId="0"/>
    <xf numFmtId="305" fontId="14" fillId="0" borderId="49" applyBorder="0" applyProtection="0">
      <alignment horizontal="right"/>
    </xf>
    <xf numFmtId="306" fontId="23" fillId="0" borderId="0"/>
    <xf numFmtId="307" fontId="14" fillId="0" borderId="0" applyFill="0" applyProtection="0"/>
    <xf numFmtId="308" fontId="23" fillId="0" borderId="6" applyFont="0" applyFill="0" applyBorder="0" applyAlignment="0" applyProtection="0">
      <alignment vertical="top" wrapText="1"/>
    </xf>
    <xf numFmtId="209" fontId="192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6" fontId="69" fillId="0" borderId="0" applyFont="0" applyFill="0" applyBorder="0" applyAlignment="0" applyProtection="0"/>
    <xf numFmtId="229" fontId="69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69" fillId="0" borderId="0"/>
    <xf numFmtId="171" fontId="69" fillId="0" borderId="0"/>
    <xf numFmtId="226" fontId="29" fillId="0" borderId="0" applyFont="0" applyFill="0" applyBorder="0" applyAlignment="0" applyProtection="0"/>
    <xf numFmtId="171" fontId="193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4" fillId="0" borderId="0"/>
    <xf numFmtId="44" fontId="194" fillId="0" borderId="0" applyFont="0" applyFill="0" applyBorder="0" applyAlignment="0" applyProtection="0"/>
    <xf numFmtId="43" fontId="19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7" fillId="0" borderId="0" applyNumberForma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0" fillId="0" borderId="0" xfId="0" applyFill="1">
      <alignment vertical="center"/>
    </xf>
    <xf numFmtId="0" fontId="8" fillId="0" borderId="0" xfId="5" applyAlignment="1"/>
    <xf numFmtId="0" fontId="8" fillId="0" borderId="0" xfId="5" applyAlignment="1">
      <alignment vertical="center"/>
    </xf>
    <xf numFmtId="0" fontId="0" fillId="0" borderId="0" xfId="15" applyFont="1">
      <alignment vertical="center"/>
    </xf>
    <xf numFmtId="0" fontId="11" fillId="0" borderId="0" xfId="4" applyFill="1" applyAlignment="1">
      <alignment horizontal="left"/>
    </xf>
    <xf numFmtId="0" fontId="0" fillId="0" borderId="0" xfId="0" applyAlignment="1">
      <alignment horizontal="left" vertical="center" wrapText="1" indent="1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>
      <alignment vertical="center"/>
    </xf>
    <xf numFmtId="0" fontId="12" fillId="0" borderId="0" xfId="0" applyFont="1" applyAlignment="1">
      <alignment horizontal="left" vertical="center" wrapText="1" indent="1"/>
    </xf>
    <xf numFmtId="0" fontId="0" fillId="0" borderId="0" xfId="0" applyFill="1" applyBorder="1">
      <alignment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0" fillId="0" borderId="0" xfId="0" applyFill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15">
      <alignment vertical="center"/>
    </xf>
    <xf numFmtId="0" fontId="12" fillId="0" borderId="0" xfId="15" applyFont="1">
      <alignment vertical="center"/>
    </xf>
    <xf numFmtId="0" fontId="0" fillId="0" borderId="0" xfId="15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15" applyFont="1" applyAlignment="1" applyProtection="1">
      <alignment horizontal="center"/>
      <protection locked="0"/>
    </xf>
    <xf numFmtId="0" fontId="0" fillId="0" borderId="0" xfId="15" applyFont="1" applyFill="1" applyAlignment="1">
      <alignment horizontal="left"/>
    </xf>
    <xf numFmtId="0" fontId="10" fillId="0" borderId="0" xfId="0" applyFont="1" applyFill="1" applyBorder="1">
      <alignment vertical="center"/>
    </xf>
    <xf numFmtId="0" fontId="17" fillId="0" borderId="0" xfId="15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>
      <alignment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9" fontId="0" fillId="0" borderId="2" xfId="23" applyNumberFormat="1" applyFont="1" applyBorder="1" applyAlignment="1" applyProtection="1">
      <alignment horizontal="center" vertical="center"/>
      <protection locked="0"/>
    </xf>
    <xf numFmtId="0" fontId="0" fillId="0" borderId="0" xfId="15" applyFont="1" applyBorder="1" applyAlignment="1" applyProtection="1">
      <alignment horizontal="center" vertical="center"/>
      <protection locked="0"/>
    </xf>
    <xf numFmtId="0" fontId="0" fillId="0" borderId="0" xfId="15" applyFont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/>
    </xf>
    <xf numFmtId="0" fontId="0" fillId="0" borderId="71" xfId="0" applyBorder="1">
      <alignment vertical="center"/>
    </xf>
    <xf numFmtId="0" fontId="0" fillId="0" borderId="79" xfId="0" applyBorder="1">
      <alignment vertical="center"/>
    </xf>
    <xf numFmtId="0" fontId="176" fillId="0" borderId="78" xfId="15" applyFont="1" applyBorder="1">
      <alignment vertical="center"/>
    </xf>
    <xf numFmtId="0" fontId="22" fillId="0" borderId="71" xfId="0" applyFont="1" applyBorder="1">
      <alignment vertical="center"/>
    </xf>
    <xf numFmtId="0" fontId="22" fillId="0" borderId="79" xfId="15" applyFont="1" applyBorder="1">
      <alignment vertical="center"/>
    </xf>
    <xf numFmtId="0" fontId="0" fillId="0" borderId="7" xfId="15" applyFont="1" applyBorder="1">
      <alignment vertical="center"/>
    </xf>
    <xf numFmtId="0" fontId="0" fillId="0" borderId="0" xfId="15" applyFont="1" applyBorder="1">
      <alignment vertical="center"/>
    </xf>
    <xf numFmtId="0" fontId="9" fillId="0" borderId="7" xfId="15" applyBorder="1">
      <alignment vertical="center"/>
    </xf>
    <xf numFmtId="0" fontId="9" fillId="0" borderId="0" xfId="15" applyBorder="1">
      <alignment vertical="center"/>
    </xf>
    <xf numFmtId="0" fontId="9" fillId="0" borderId="0" xfId="15" applyBorder="1" applyAlignment="1">
      <alignment horizontal="center" vertical="center"/>
    </xf>
    <xf numFmtId="0" fontId="9" fillId="0" borderId="7" xfId="15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74" xfId="0" applyBorder="1">
      <alignment vertical="center"/>
    </xf>
    <xf numFmtId="0" fontId="0" fillId="0" borderId="52" xfId="0" applyBorder="1">
      <alignment vertical="center"/>
    </xf>
    <xf numFmtId="0" fontId="9" fillId="0" borderId="0" xfId="23" applyNumberFormat="1" applyBorder="1" applyAlignment="1" applyProtection="1">
      <alignment horizontal="center" vertical="center"/>
      <protection locked="0"/>
    </xf>
    <xf numFmtId="0" fontId="0" fillId="0" borderId="81" xfId="15" applyFont="1" applyBorder="1" applyAlignment="1" applyProtection="1">
      <alignment horizontal="center" vertical="center"/>
      <protection locked="0"/>
    </xf>
    <xf numFmtId="9" fontId="9" fillId="0" borderId="2" xfId="23" applyNumberFormat="1" applyBorder="1" applyAlignment="1" applyProtection="1">
      <alignment horizontal="center" vertical="center"/>
      <protection locked="0"/>
    </xf>
    <xf numFmtId="170" fontId="0" fillId="21" borderId="4" xfId="23" applyNumberFormat="1" applyFont="1" applyFill="1" applyBorder="1" applyAlignment="1">
      <alignment horizontal="center" vertical="center"/>
    </xf>
    <xf numFmtId="309" fontId="9" fillId="0" borderId="2" xfId="16" applyNumberFormat="1" applyFill="1" applyAlignment="1">
      <alignment horizontal="center" vertical="center"/>
      <protection locked="0"/>
    </xf>
    <xf numFmtId="9" fontId="9" fillId="0" borderId="0" xfId="15" applyNumberFormat="1" applyBorder="1" applyAlignment="1">
      <alignment horizontal="center" vertical="center"/>
    </xf>
    <xf numFmtId="221" fontId="9" fillId="0" borderId="2" xfId="23" applyNumberFormat="1" applyFill="1" applyBorder="1" applyAlignment="1" applyProtection="1">
      <alignment horizontal="center" vertical="center"/>
      <protection locked="0"/>
    </xf>
    <xf numFmtId="169" fontId="0" fillId="0" borderId="0" xfId="0" applyNumberFormat="1" applyBorder="1" applyAlignment="1">
      <alignment horizontal="center" vertical="center"/>
    </xf>
    <xf numFmtId="170" fontId="0" fillId="0" borderId="0" xfId="0" applyNumberFormat="1" applyBorder="1" applyAlignment="1">
      <alignment horizontal="center" vertical="center"/>
    </xf>
    <xf numFmtId="2" fontId="9" fillId="0" borderId="2" xfId="16" applyNumberFormat="1" applyFill="1" applyAlignment="1">
      <alignment horizontal="center" vertical="center"/>
      <protection locked="0"/>
    </xf>
    <xf numFmtId="1" fontId="9" fillId="0" borderId="2" xfId="16" applyNumberFormat="1" applyFill="1" applyAlignment="1">
      <alignment horizontal="center" vertical="center"/>
      <protection locked="0"/>
    </xf>
    <xf numFmtId="3" fontId="9" fillId="0" borderId="2" xfId="23" applyNumberFormat="1" applyBorder="1" applyAlignment="1" applyProtection="1">
      <alignment horizontal="center" vertical="center"/>
      <protection locked="0"/>
    </xf>
    <xf numFmtId="3" fontId="0" fillId="21" borderId="4" xfId="23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0" fillId="0" borderId="83" xfId="0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9" fillId="0" borderId="90" xfId="15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1" fontId="9" fillId="0" borderId="90" xfId="15" applyNumberFormat="1" applyBorder="1" applyAlignment="1">
      <alignment horizontal="center" vertical="center"/>
    </xf>
    <xf numFmtId="0" fontId="12" fillId="0" borderId="52" xfId="0" applyFont="1" applyBorder="1" applyAlignment="1">
      <alignment horizontal="right" vertical="center"/>
    </xf>
    <xf numFmtId="0" fontId="12" fillId="0" borderId="83" xfId="15" applyFont="1" applyBorder="1" applyAlignment="1">
      <alignment horizontal="center" vertical="center"/>
    </xf>
    <xf numFmtId="0" fontId="12" fillId="0" borderId="83" xfId="15" applyFont="1" applyBorder="1" applyAlignment="1">
      <alignment horizontal="center" vertical="center" wrapText="1"/>
    </xf>
    <xf numFmtId="7" fontId="12" fillId="0" borderId="0" xfId="0" applyNumberFormat="1" applyFont="1" applyAlignment="1">
      <alignment horizontal="right" vertical="center"/>
    </xf>
    <xf numFmtId="0" fontId="0" fillId="4" borderId="0" xfId="19" applyFont="1" applyAlignment="1">
      <alignment horizontal="center" vertical="center"/>
    </xf>
    <xf numFmtId="10" fontId="0" fillId="4" borderId="0" xfId="19" applyNumberFormat="1" applyFont="1" applyAlignment="1">
      <alignment horizontal="center" vertical="center"/>
    </xf>
    <xf numFmtId="0" fontId="0" fillId="0" borderId="83" xfId="0" applyBorder="1" applyAlignment="1">
      <alignment horizontal="right" vertical="center"/>
    </xf>
    <xf numFmtId="0" fontId="0" fillId="0" borderId="83" xfId="0" applyFill="1" applyBorder="1" applyAlignment="1">
      <alignment horizontal="right" vertical="center"/>
    </xf>
    <xf numFmtId="0" fontId="12" fillId="0" borderId="83" xfId="0" applyFont="1" applyBorder="1" applyAlignment="1">
      <alignment horizontal="right" vertical="center"/>
    </xf>
    <xf numFmtId="170" fontId="0" fillId="0" borderId="0" xfId="0" applyNumberFormat="1" applyAlignment="1">
      <alignment horizontal="right" vertical="center"/>
    </xf>
    <xf numFmtId="10" fontId="9" fillId="0" borderId="1" xfId="17" applyNumberFormat="1" applyFont="1" applyAlignment="1">
      <alignment horizontal="center" vertical="center"/>
      <protection locked="0"/>
    </xf>
    <xf numFmtId="168" fontId="9" fillId="0" borderId="1" xfId="17" applyNumberFormat="1" applyFont="1" applyAlignment="1">
      <alignment horizontal="center" vertical="center" wrapText="1" shrinkToFit="1"/>
      <protection locked="0"/>
    </xf>
    <xf numFmtId="0" fontId="12" fillId="0" borderId="83" xfId="0" applyFont="1" applyFill="1" applyBorder="1" applyAlignment="1">
      <alignment horizontal="right" vertical="center"/>
    </xf>
    <xf numFmtId="0" fontId="0" fillId="0" borderId="90" xfId="15" applyFont="1" applyBorder="1">
      <alignment vertical="center"/>
    </xf>
    <xf numFmtId="1" fontId="9" fillId="0" borderId="0" xfId="15" applyNumberFormat="1" applyBorder="1" applyAlignment="1">
      <alignment horizontal="center" vertical="center"/>
    </xf>
    <xf numFmtId="0" fontId="0" fillId="4" borderId="0" xfId="19" applyFont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/>
    </xf>
    <xf numFmtId="4" fontId="0" fillId="21" borderId="4" xfId="23" applyNumberFormat="1" applyFont="1" applyFill="1" applyBorder="1" applyAlignment="1">
      <alignment horizontal="center" vertical="center"/>
    </xf>
    <xf numFmtId="170" fontId="0" fillId="0" borderId="0" xfId="0" applyNumberFormat="1">
      <alignment vertical="center"/>
    </xf>
    <xf numFmtId="310" fontId="0" fillId="0" borderId="0" xfId="0" applyNumberFormat="1">
      <alignment vertical="center"/>
    </xf>
    <xf numFmtId="0" fontId="9" fillId="0" borderId="88" xfId="15" applyBorder="1">
      <alignment vertical="center"/>
    </xf>
    <xf numFmtId="0" fontId="0" fillId="0" borderId="90" xfId="0" applyFont="1" applyBorder="1">
      <alignment vertical="center"/>
    </xf>
    <xf numFmtId="0" fontId="9" fillId="0" borderId="90" xfId="15" applyBorder="1">
      <alignment vertical="center"/>
    </xf>
    <xf numFmtId="0" fontId="9" fillId="0" borderId="74" xfId="15" applyBorder="1">
      <alignment vertical="center"/>
    </xf>
    <xf numFmtId="9" fontId="0" fillId="0" borderId="90" xfId="0" applyNumberFormat="1" applyBorder="1" applyAlignment="1">
      <alignment horizontal="center" vertical="center"/>
    </xf>
    <xf numFmtId="309" fontId="9" fillId="0" borderId="0" xfId="15" applyNumberFormat="1" applyBorder="1" applyAlignment="1">
      <alignment horizontal="center" vertical="center"/>
    </xf>
    <xf numFmtId="309" fontId="9" fillId="0" borderId="90" xfId="15" applyNumberFormat="1" applyBorder="1" applyAlignment="1">
      <alignment horizontal="center" vertical="center"/>
    </xf>
    <xf numFmtId="0" fontId="0" fillId="0" borderId="90" xfId="0" applyBorder="1">
      <alignment vertical="center"/>
    </xf>
    <xf numFmtId="2" fontId="0" fillId="0" borderId="0" xfId="15" applyNumberFormat="1" applyFont="1" applyBorder="1" applyAlignment="1">
      <alignment horizontal="center" vertical="center"/>
    </xf>
    <xf numFmtId="169" fontId="0" fillId="0" borderId="90" xfId="0" applyNumberFormat="1" applyBorder="1" applyAlignment="1">
      <alignment horizontal="center" vertical="center"/>
    </xf>
    <xf numFmtId="2" fontId="0" fillId="0" borderId="90" xfId="15" applyNumberFormat="1" applyFont="1" applyBorder="1" applyAlignment="1">
      <alignment horizontal="center" vertical="center"/>
    </xf>
    <xf numFmtId="170" fontId="0" fillId="0" borderId="90" xfId="0" applyNumberFormat="1" applyBorder="1" applyAlignment="1">
      <alignment horizontal="center" vertical="center"/>
    </xf>
    <xf numFmtId="0" fontId="176" fillId="0" borderId="78" xfId="15" applyFont="1" applyBorder="1" applyAlignment="1">
      <alignment horizontal="left" vertical="center"/>
    </xf>
    <xf numFmtId="0" fontId="19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7" fontId="0" fillId="0" borderId="0" xfId="0" applyNumberFormat="1" applyBorder="1">
      <alignment vertical="center"/>
    </xf>
    <xf numFmtId="0" fontId="196" fillId="0" borderId="0" xfId="0" applyFont="1" applyAlignment="1">
      <alignment horizontal="right" vertical="center"/>
    </xf>
    <xf numFmtId="7" fontId="0" fillId="0" borderId="52" xfId="0" applyNumberFormat="1" applyBorder="1">
      <alignment vertical="center"/>
    </xf>
    <xf numFmtId="0" fontId="0" fillId="0" borderId="88" xfId="15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7" fillId="0" borderId="90" xfId="15" applyFont="1" applyBorder="1" applyAlignment="1">
      <alignment horizontal="left" vertical="center"/>
    </xf>
    <xf numFmtId="0" fontId="17" fillId="0" borderId="90" xfId="15" applyFont="1" applyBorder="1">
      <alignment vertical="center"/>
    </xf>
    <xf numFmtId="169" fontId="0" fillId="0" borderId="0" xfId="0" applyNumberFormat="1" applyBorder="1">
      <alignment vertical="center"/>
    </xf>
    <xf numFmtId="170" fontId="9" fillId="0" borderId="2" xfId="23" applyNumberFormat="1" applyBorder="1" applyAlignment="1" applyProtection="1">
      <alignment horizontal="center" vertical="center"/>
      <protection locked="0"/>
    </xf>
    <xf numFmtId="0" fontId="0" fillId="0" borderId="72" xfId="15" applyFont="1" applyBorder="1" applyAlignment="1">
      <alignment horizontal="center" vertical="center" wrapText="1"/>
    </xf>
    <xf numFmtId="0" fontId="9" fillId="0" borderId="90" xfId="15" applyFont="1" applyBorder="1">
      <alignment vertical="center"/>
    </xf>
    <xf numFmtId="310" fontId="9" fillId="4" borderId="90" xfId="19" applyNumberFormat="1" applyBorder="1" applyAlignment="1">
      <alignment horizontal="center" vertical="center"/>
    </xf>
    <xf numFmtId="310" fontId="9" fillId="4" borderId="7" xfId="19" applyNumberFormat="1" applyBorder="1" applyAlignment="1">
      <alignment horizontal="center" vertical="center"/>
    </xf>
    <xf numFmtId="310" fontId="0" fillId="4" borderId="90" xfId="19" applyNumberFormat="1" applyFont="1" applyBorder="1" applyAlignment="1">
      <alignment horizontal="center" vertical="center"/>
    </xf>
    <xf numFmtId="168" fontId="22" fillId="0" borderId="1" xfId="17" applyNumberFormat="1" applyFont="1" applyAlignment="1">
      <alignment horizontal="center" vertical="center" wrapText="1"/>
      <protection locked="0"/>
    </xf>
    <xf numFmtId="9" fontId="0" fillId="21" borderId="4" xfId="23" applyNumberFormat="1" applyFont="1" applyFill="1" applyBorder="1" applyAlignment="1">
      <alignment horizontal="center" vertical="center"/>
    </xf>
    <xf numFmtId="309" fontId="0" fillId="21" borderId="4" xfId="23" applyNumberFormat="1" applyFont="1" applyFill="1" applyBorder="1" applyAlignment="1">
      <alignment horizontal="center" vertical="center"/>
    </xf>
    <xf numFmtId="0" fontId="141" fillId="0" borderId="0" xfId="0" applyFont="1">
      <alignment vertical="center"/>
    </xf>
    <xf numFmtId="310" fontId="9" fillId="4" borderId="84" xfId="19" applyNumberFormat="1" applyBorder="1" applyAlignment="1">
      <alignment horizontal="right" vertical="center"/>
    </xf>
    <xf numFmtId="9" fontId="9" fillId="0" borderId="0" xfId="23" applyNumberFormat="1" applyBorder="1" applyAlignment="1" applyProtection="1">
      <alignment horizontal="center" vertical="center"/>
      <protection locked="0"/>
    </xf>
    <xf numFmtId="221" fontId="0" fillId="0" borderId="90" xfId="0" applyNumberFormat="1" applyBorder="1" applyAlignment="1">
      <alignment horizontal="center" vertical="center"/>
    </xf>
    <xf numFmtId="221" fontId="0" fillId="0" borderId="0" xfId="0" applyNumberFormat="1" applyBorder="1" applyAlignment="1">
      <alignment horizontal="center" vertical="center"/>
    </xf>
    <xf numFmtId="310" fontId="0" fillId="0" borderId="0" xfId="0" applyNumberFormat="1" applyAlignment="1">
      <alignment horizontal="center" vertical="center"/>
    </xf>
    <xf numFmtId="0" fontId="0" fillId="0" borderId="88" xfId="0" applyBorder="1" applyAlignment="1">
      <alignment horizontal="center" vertical="center"/>
    </xf>
    <xf numFmtId="310" fontId="9" fillId="4" borderId="0" xfId="19" applyNumberFormat="1" applyBorder="1" applyAlignment="1">
      <alignment horizontal="center" vertical="center"/>
    </xf>
    <xf numFmtId="310" fontId="9" fillId="4" borderId="80" xfId="19" applyNumberFormat="1" applyBorder="1" applyAlignment="1">
      <alignment horizontal="center" vertical="center"/>
    </xf>
    <xf numFmtId="0" fontId="0" fillId="0" borderId="81" xfId="15" applyFont="1" applyBorder="1" applyAlignment="1">
      <alignment horizontal="center" vertical="center" wrapText="1"/>
    </xf>
    <xf numFmtId="3" fontId="0" fillId="0" borderId="86" xfId="15" applyNumberFormat="1" applyFont="1" applyBorder="1" applyAlignment="1" applyProtection="1">
      <alignment horizontal="center" vertical="center"/>
      <protection locked="0"/>
    </xf>
    <xf numFmtId="0" fontId="0" fillId="0" borderId="88" xfId="0" applyBorder="1">
      <alignment vertical="center"/>
    </xf>
    <xf numFmtId="3" fontId="0" fillId="0" borderId="90" xfId="15" applyNumberFormat="1" applyFont="1" applyBorder="1" applyAlignment="1" applyProtection="1">
      <alignment horizontal="center" vertical="center"/>
      <protection locked="0"/>
    </xf>
    <xf numFmtId="3" fontId="9" fillId="0" borderId="0" xfId="15" applyNumberFormat="1" applyBorder="1" applyAlignment="1">
      <alignment horizontal="center" vertical="center"/>
    </xf>
    <xf numFmtId="0" fontId="0" fillId="0" borderId="7" xfId="15" applyFont="1" applyBorder="1" applyAlignment="1">
      <alignment horizontal="center" vertical="center"/>
    </xf>
    <xf numFmtId="0" fontId="0" fillId="0" borderId="90" xfId="0" applyFill="1" applyBorder="1" applyAlignment="1">
      <alignment horizontal="right" vertical="center"/>
    </xf>
    <xf numFmtId="0" fontId="12" fillId="0" borderId="86" xfId="0" applyFont="1" applyBorder="1" applyAlignment="1">
      <alignment horizontal="right" vertical="center"/>
    </xf>
    <xf numFmtId="0" fontId="15" fillId="0" borderId="90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170" fontId="0" fillId="0" borderId="7" xfId="0" applyNumberFormat="1" applyBorder="1" applyAlignment="1">
      <alignment horizontal="center" vertical="center"/>
    </xf>
    <xf numFmtId="169" fontId="9" fillId="0" borderId="2" xfId="23" applyNumberFormat="1" applyBorder="1" applyAlignment="1" applyProtection="1">
      <alignment horizontal="center" vertical="center"/>
      <protection locked="0"/>
    </xf>
    <xf numFmtId="0" fontId="0" fillId="0" borderId="89" xfId="0" applyBorder="1">
      <alignment vertical="center"/>
    </xf>
    <xf numFmtId="0" fontId="0" fillId="0" borderId="87" xfId="0" applyBorder="1">
      <alignment vertical="center"/>
    </xf>
    <xf numFmtId="0" fontId="0" fillId="0" borderId="90" xfId="15" applyFont="1" applyBorder="1" applyAlignment="1">
      <alignment horizontal="left" vertical="center"/>
    </xf>
    <xf numFmtId="0" fontId="0" fillId="0" borderId="90" xfId="0" applyBorder="1" applyAlignment="1">
      <alignment horizontal="left" vertical="center" wrapText="1"/>
    </xf>
    <xf numFmtId="221" fontId="9" fillId="0" borderId="0" xfId="23" applyNumberFormat="1" applyFill="1" applyBorder="1" applyAlignment="1" applyProtection="1">
      <alignment horizontal="center" vertical="center"/>
      <protection locked="0"/>
    </xf>
    <xf numFmtId="0" fontId="0" fillId="0" borderId="90" xfId="0" applyFont="1" applyBorder="1" applyAlignment="1">
      <alignment vertical="center" wrapText="1"/>
    </xf>
    <xf numFmtId="0" fontId="9" fillId="0" borderId="0" xfId="15" applyFont="1" applyBorder="1">
      <alignment vertical="center"/>
    </xf>
    <xf numFmtId="0" fontId="9" fillId="0" borderId="8" xfId="15" applyFont="1" applyBorder="1">
      <alignment vertical="center"/>
    </xf>
    <xf numFmtId="3" fontId="0" fillId="0" borderId="0" xfId="0" applyNumberFormat="1" applyBorder="1" applyAlignment="1">
      <alignment horizontal="center" vertical="center"/>
    </xf>
    <xf numFmtId="0" fontId="9" fillId="0" borderId="7" xfId="15" applyFont="1" applyBorder="1">
      <alignment vertical="center"/>
    </xf>
    <xf numFmtId="0" fontId="0" fillId="0" borderId="81" xfId="0" applyBorder="1" applyAlignment="1">
      <alignment horizontal="center" vertical="center" wrapText="1"/>
    </xf>
    <xf numFmtId="0" fontId="0" fillId="0" borderId="86" xfId="15" applyFont="1" applyBorder="1">
      <alignment vertical="center"/>
    </xf>
    <xf numFmtId="3" fontId="0" fillId="4" borderId="0" xfId="19" applyNumberFormat="1" applyFont="1" applyBorder="1" applyAlignment="1">
      <alignment horizontal="center" vertical="center"/>
    </xf>
    <xf numFmtId="3" fontId="0" fillId="4" borderId="90" xfId="19" applyNumberFormat="1" applyFont="1" applyBorder="1" applyAlignment="1">
      <alignment horizontal="center" vertical="center"/>
    </xf>
    <xf numFmtId="3" fontId="0" fillId="4" borderId="87" xfId="19" applyNumberFormat="1" applyFont="1" applyBorder="1" applyAlignment="1">
      <alignment horizontal="center" vertical="center"/>
    </xf>
    <xf numFmtId="3" fontId="9" fillId="4" borderId="87" xfId="19" applyNumberFormat="1" applyBorder="1" applyAlignment="1">
      <alignment horizontal="center" vertical="center"/>
    </xf>
    <xf numFmtId="310" fontId="0" fillId="0" borderId="7" xfId="0" applyNumberFormat="1" applyBorder="1" applyAlignment="1">
      <alignment horizontal="center" vertical="center"/>
    </xf>
    <xf numFmtId="264" fontId="0" fillId="21" borderId="4" xfId="23" applyNumberFormat="1" applyFont="1" applyFill="1" applyBorder="1" applyAlignment="1">
      <alignment horizontal="center" vertical="center"/>
    </xf>
    <xf numFmtId="311" fontId="0" fillId="0" borderId="0" xfId="0" applyNumberFormat="1">
      <alignment vertical="center"/>
    </xf>
    <xf numFmtId="0" fontId="0" fillId="0" borderId="0" xfId="0" applyNumberFormat="1">
      <alignment vertical="center"/>
    </xf>
    <xf numFmtId="9" fontId="9" fillId="0" borderId="90" xfId="15" applyNumberFormat="1" applyBorder="1" applyAlignment="1">
      <alignment horizontal="center" vertical="center"/>
    </xf>
    <xf numFmtId="3" fontId="23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horizontal="right" vertical="center" wrapText="1"/>
    </xf>
    <xf numFmtId="0" fontId="0" fillId="0" borderId="83" xfId="0" applyFont="1" applyBorder="1" applyAlignment="1">
      <alignment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310" fontId="0" fillId="4" borderId="0" xfId="19" applyNumberFormat="1" applyFont="1" applyBorder="1" applyAlignment="1">
      <alignment horizontal="center" vertical="center"/>
    </xf>
    <xf numFmtId="310" fontId="9" fillId="4" borderId="49" xfId="19" applyNumberFormat="1" applyBorder="1" applyAlignment="1">
      <alignment horizontal="center" vertical="center"/>
    </xf>
    <xf numFmtId="221" fontId="0" fillId="0" borderId="7" xfId="0" applyNumberFormat="1" applyBorder="1" applyAlignment="1">
      <alignment horizontal="center" vertical="center"/>
    </xf>
    <xf numFmtId="310" fontId="12" fillId="4" borderId="7" xfId="19" applyNumberFormat="1" applyFont="1" applyBorder="1" applyAlignment="1">
      <alignment horizontal="center" vertical="center"/>
    </xf>
    <xf numFmtId="310" fontId="12" fillId="4" borderId="74" xfId="19" applyNumberFormat="1" applyFont="1" applyBorder="1" applyAlignment="1">
      <alignment horizontal="center" vertical="center"/>
    </xf>
    <xf numFmtId="221" fontId="9" fillId="0" borderId="2" xfId="16" applyNumberFormat="1" applyFill="1" applyAlignment="1">
      <alignment horizontal="center" vertical="center"/>
      <protection locked="0"/>
    </xf>
    <xf numFmtId="169" fontId="0" fillId="0" borderId="2" xfId="23" applyNumberFormat="1" applyFont="1" applyBorder="1" applyAlignment="1" applyProtection="1">
      <alignment horizontal="center" vertical="center"/>
      <protection locked="0"/>
    </xf>
    <xf numFmtId="169" fontId="0" fillId="21" borderId="4" xfId="23" applyNumberFormat="1" applyFont="1" applyFill="1" applyBorder="1" applyAlignment="1">
      <alignment horizontal="center" vertical="center"/>
    </xf>
    <xf numFmtId="312" fontId="0" fillId="4" borderId="8" xfId="19" applyNumberFormat="1" applyFont="1" applyBorder="1" applyAlignment="1">
      <alignment horizontal="center" vertical="center"/>
    </xf>
    <xf numFmtId="312" fontId="0" fillId="4" borderId="0" xfId="19" applyNumberFormat="1" applyFont="1" applyBorder="1" applyAlignment="1">
      <alignment horizontal="center" vertical="center"/>
    </xf>
    <xf numFmtId="312" fontId="12" fillId="4" borderId="0" xfId="19" applyNumberFormat="1" applyFont="1" applyAlignment="1">
      <alignment horizontal="center" vertical="center"/>
    </xf>
    <xf numFmtId="310" fontId="0" fillId="0" borderId="0" xfId="0" applyNumberFormat="1" applyBorder="1">
      <alignment vertical="center"/>
    </xf>
    <xf numFmtId="7" fontId="12" fillId="0" borderId="83" xfId="15" applyNumberFormat="1" applyFont="1" applyBorder="1" applyAlignment="1">
      <alignment horizontal="center" vertical="center"/>
    </xf>
    <xf numFmtId="0" fontId="0" fillId="0" borderId="90" xfId="0" applyBorder="1" applyAlignment="1">
      <alignment horizontal="right" vertical="center" wrapText="1"/>
    </xf>
    <xf numFmtId="0" fontId="12" fillId="0" borderId="90" xfId="0" applyFont="1" applyBorder="1">
      <alignment vertical="center"/>
    </xf>
    <xf numFmtId="0" fontId="0" fillId="0" borderId="0" xfId="0" applyAlignment="1">
      <alignment horizontal="centerContinuous" vertical="center"/>
    </xf>
    <xf numFmtId="169" fontId="0" fillId="0" borderId="0" xfId="0" applyNumberFormat="1" applyBorder="1" applyAlignment="1">
      <alignment horizontal="centerContinuous" vertical="center"/>
    </xf>
    <xf numFmtId="0" fontId="19" fillId="0" borderId="90" xfId="18" applyBorder="1" applyAlignment="1">
      <alignment horizontal="centerContinuous" vertical="center"/>
    </xf>
    <xf numFmtId="2" fontId="19" fillId="0" borderId="90" xfId="18" applyNumberFormat="1" applyBorder="1" applyAlignment="1">
      <alignment horizontal="centerContinuous" vertical="center"/>
    </xf>
    <xf numFmtId="2" fontId="0" fillId="0" borderId="90" xfId="15" applyNumberFormat="1" applyFont="1" applyBorder="1" applyAlignment="1">
      <alignment horizontal="centerContinuous" vertical="center"/>
    </xf>
    <xf numFmtId="0" fontId="12" fillId="0" borderId="80" xfId="15" applyFont="1" applyBorder="1">
      <alignment vertical="center"/>
    </xf>
    <xf numFmtId="0" fontId="0" fillId="0" borderId="49" xfId="0" applyBorder="1">
      <alignment vertical="center"/>
    </xf>
    <xf numFmtId="0" fontId="0" fillId="0" borderId="78" xfId="0" applyFont="1" applyBorder="1" applyAlignment="1">
      <alignment vertical="center"/>
    </xf>
    <xf numFmtId="0" fontId="0" fillId="0" borderId="86" xfId="0" applyBorder="1">
      <alignment vertical="center"/>
    </xf>
    <xf numFmtId="0" fontId="197" fillId="0" borderId="87" xfId="2441" applyBorder="1">
      <alignment vertical="center"/>
    </xf>
    <xf numFmtId="0" fontId="197" fillId="0" borderId="0" xfId="2441" applyBorder="1">
      <alignment vertical="center"/>
    </xf>
    <xf numFmtId="0" fontId="0" fillId="0" borderId="80" xfId="0" applyBorder="1">
      <alignment vertical="center"/>
    </xf>
    <xf numFmtId="0" fontId="12" fillId="0" borderId="0" xfId="0" applyFont="1" applyAlignment="1">
      <alignment horizontal="left" vertical="center" indent="1"/>
    </xf>
    <xf numFmtId="0" fontId="19" fillId="0" borderId="0" xfId="18" applyAlignment="1">
      <alignment horizontal="right" vertical="center" wrapText="1"/>
    </xf>
    <xf numFmtId="0" fontId="198" fillId="0" borderId="0" xfId="0" applyFont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22" fillId="0" borderId="0" xfId="0" applyFont="1" applyFill="1">
      <alignment vertical="center"/>
    </xf>
    <xf numFmtId="0" fontId="199" fillId="0" borderId="0" xfId="0" applyFont="1" applyFill="1">
      <alignment vertical="center"/>
    </xf>
    <xf numFmtId="0" fontId="19" fillId="0" borderId="0" xfId="18" applyAlignment="1">
      <alignment vertical="center"/>
    </xf>
    <xf numFmtId="0" fontId="19" fillId="0" borderId="0" xfId="18" applyFill="1" applyBorder="1" applyAlignment="1">
      <alignment vertical="center"/>
    </xf>
    <xf numFmtId="0" fontId="19" fillId="0" borderId="0" xfId="18" applyAlignment="1">
      <alignment vertical="center" wrapText="1"/>
    </xf>
    <xf numFmtId="0" fontId="0" fillId="0" borderId="89" xfId="0" applyFont="1" applyBorder="1" applyAlignment="1">
      <alignment vertical="center"/>
    </xf>
    <xf numFmtId="0" fontId="0" fillId="0" borderId="89" xfId="0" applyFill="1" applyBorder="1">
      <alignment vertical="center"/>
    </xf>
    <xf numFmtId="0" fontId="0" fillId="0" borderId="84" xfId="0" applyFill="1" applyBorder="1">
      <alignment vertical="center"/>
    </xf>
    <xf numFmtId="0" fontId="0" fillId="0" borderId="84" xfId="0" applyBorder="1">
      <alignment vertical="center"/>
    </xf>
    <xf numFmtId="0" fontId="176" fillId="0" borderId="83" xfId="0" applyFont="1" applyBorder="1">
      <alignment vertical="center"/>
    </xf>
    <xf numFmtId="0" fontId="176" fillId="4" borderId="0" xfId="19" applyFont="1" applyAlignment="1">
      <alignment horizontal="left" vertical="center" wrapText="1"/>
    </xf>
    <xf numFmtId="310" fontId="176" fillId="4" borderId="90" xfId="19" applyNumberFormat="1" applyFont="1" applyBorder="1" applyAlignment="1">
      <alignment horizontal="center" vertical="center"/>
    </xf>
    <xf numFmtId="0" fontId="19" fillId="0" borderId="0" xfId="18" applyAlignment="1">
      <alignment horizontal="center" vertical="center" wrapText="1"/>
    </xf>
    <xf numFmtId="0" fontId="173" fillId="0" borderId="0" xfId="0" applyFont="1" applyFill="1" applyAlignment="1">
      <alignment horizontal="center" vertical="center" wrapText="1"/>
    </xf>
    <xf numFmtId="0" fontId="176" fillId="0" borderId="86" xfId="15" applyFont="1" applyBorder="1" applyAlignment="1">
      <alignment horizontal="center" vertical="center" wrapText="1"/>
    </xf>
    <xf numFmtId="0" fontId="176" fillId="0" borderId="87" xfId="15" applyFont="1" applyBorder="1" applyAlignment="1">
      <alignment horizontal="center" vertical="center" wrapText="1"/>
    </xf>
    <xf numFmtId="0" fontId="176" fillId="0" borderId="88" xfId="15" applyFont="1" applyBorder="1" applyAlignment="1">
      <alignment horizontal="center" vertical="center" wrapText="1"/>
    </xf>
    <xf numFmtId="0" fontId="176" fillId="0" borderId="80" xfId="15" applyFont="1" applyBorder="1" applyAlignment="1">
      <alignment horizontal="center" vertical="center" wrapText="1"/>
    </xf>
    <xf numFmtId="0" fontId="176" fillId="0" borderId="49" xfId="15" applyFont="1" applyBorder="1" applyAlignment="1">
      <alignment horizontal="center" vertical="center" wrapText="1"/>
    </xf>
    <xf numFmtId="0" fontId="176" fillId="0" borderId="74" xfId="15" applyFont="1" applyBorder="1" applyAlignment="1">
      <alignment horizontal="center" vertical="center" wrapText="1"/>
    </xf>
    <xf numFmtId="0" fontId="176" fillId="0" borderId="86" xfId="15" applyFont="1" applyBorder="1" applyAlignment="1">
      <alignment horizontal="center" vertical="center"/>
    </xf>
    <xf numFmtId="0" fontId="176" fillId="0" borderId="87" xfId="15" applyFont="1" applyBorder="1" applyAlignment="1">
      <alignment horizontal="center" vertical="center"/>
    </xf>
    <xf numFmtId="0" fontId="176" fillId="0" borderId="88" xfId="15" applyFont="1" applyBorder="1" applyAlignment="1">
      <alignment horizontal="center" vertical="center"/>
    </xf>
    <xf numFmtId="0" fontId="176" fillId="0" borderId="80" xfId="15" applyFont="1" applyBorder="1" applyAlignment="1">
      <alignment horizontal="center" vertical="center"/>
    </xf>
    <xf numFmtId="0" fontId="176" fillId="0" borderId="49" xfId="15" applyFont="1" applyBorder="1" applyAlignment="1">
      <alignment horizontal="center" vertical="center"/>
    </xf>
    <xf numFmtId="0" fontId="176" fillId="0" borderId="74" xfId="15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</cellXfs>
  <cellStyles count="2442">
    <cellStyle name=" _x0007_LÓ_x0018_Ä" xfId="31"/>
    <cellStyle name=" _x0007_LÓ_x0018_ÄþÍ" xfId="32"/>
    <cellStyle name=" _x0007_LÓ_x0018_ÄþÍN^NuNVþˆHÁ_x0001__x0018_(n" xfId="33"/>
    <cellStyle name=" _x0007_LÓ_x0018_ÄþÍN^NuNVþˆHÁ_x0001__x0018_(n 2" xfId="34"/>
    <cellStyle name=" _x0007_LÓ_x0018_ÄþÍN^NuNVþˆHÁ_x0001__x0018_(n 3" xfId="35"/>
    <cellStyle name=" _x0007_LÓ_x0018_ÄþÍN^NuNVþˆHÁ_x0001__x0018_(n 4" xfId="36"/>
    <cellStyle name=" _x0007_LÓ_x0018_ÄþÍN^NuNVþˆHÁ_x0001__x0018_(n_0910 outlook PL bottom up 190209 - MTP v4 - Top Down View" xfId="37"/>
    <cellStyle name="_x000d__x000a_JournalTemplate=C:\COMFO\CTALK\JOURSTD.TPL_x000d__x000a_LbStateAddress=3 3 0 251 1 89 2 311_x000d__x000a_LbStateJou" xfId="38"/>
    <cellStyle name="%" xfId="39"/>
    <cellStyle name="% 2" xfId="40"/>
    <cellStyle name="%_Enterprise 5Y Plan tab" xfId="41"/>
    <cellStyle name="%_Enterprises 5Y Plan v10 - Draft" xfId="42"/>
    <cellStyle name="%_Enterprises 5Y Plan v11" xfId="43"/>
    <cellStyle name="%_Finance QRF3 Consolidated Forecast V2a" xfId="44"/>
    <cellStyle name="%_NGA Capex QRF2 V1" xfId="45"/>
    <cellStyle name="%_Resource Schedule" xfId="46"/>
    <cellStyle name="%_Total P&amp;L" xfId="47"/>
    <cellStyle name="%_Total P&amp;L_1" xfId="48"/>
    <cellStyle name="%_Total P&amp;L_Total P&amp;L" xfId="49"/>
    <cellStyle name="******************************************" xfId="50"/>
    <cellStyle name="*TD" xfId="51"/>
    <cellStyle name="]_x000d__x000a_Zoomed=1_x000d__x000a_Row=0_x000d__x000a_Column=0_x000d__x000a_Height=0_x000d__x000a_Width=0_x000d__x000a_FontName=FoxFont_x000d__x000a_FontStyle=0_x000d__x000a_FontSize=9_x000d__x000a_PrtFontName=FoxPrin" xfId="52"/>
    <cellStyle name="_%(SignOnly)" xfId="53"/>
    <cellStyle name="_%(SignSpaceOnly)" xfId="54"/>
    <cellStyle name="_04 12 10 0506 Budget Plan Pack - Director Sign off Version1" xfId="55"/>
    <cellStyle name="_04 12 10 0506 Budget Plan Pack - Director Sign off Version1_Book2" xfId="56"/>
    <cellStyle name="_04 12 10 0506 Budget Plan Pack - Director Sign off Version1_Book5" xfId="57"/>
    <cellStyle name="_04 12 10 0506 Budget Plan Pack - Director Sign off Version1_BTU CAPEX QRF2 submissionv2 " xfId="58"/>
    <cellStyle name="_04 12 10 0506 Budget Plan Pack - Director Sign off Version1_BTU CAPEX QRF2 submissionv2 _NGA Capex QRF2 V1" xfId="59"/>
    <cellStyle name="_04 12 10 0506 Budget Plan Pack - Director Sign off Version1_BTU CAPEX QRF2 submissionv2 _Total P&amp;L" xfId="60"/>
    <cellStyle name="_04 12 10 0506 Budget Plan Pack - Director Sign off Version1_NGA Capex QRF2 V1" xfId="61"/>
    <cellStyle name="_04 12 10 0506 Budget Plan Pack - Director Sign off Version1_P&amp;L" xfId="62"/>
    <cellStyle name="_04 12 10 0506 Budget Plan Pack - Director Sign off Version1_P&amp;L_NGA Capex QRF2 V1" xfId="63"/>
    <cellStyle name="_04 12 10 0506 Budget Plan Pack - Director Sign off Version1_P&amp;L_Total P&amp;L" xfId="64"/>
    <cellStyle name="_04 12 10 0506 Budget Plan Pack - Director Sign off Version1_P4 Result-040808" xfId="65"/>
    <cellStyle name="_04 12 10 0506 Budget Plan Pack - Director Sign off Version1_QRF 2 Capex CIO Final 11 Sept 08" xfId="66"/>
    <cellStyle name="_04 12 10 0506 Budget Plan Pack - Director Sign off Version1_QRF2 Capex Template V1a - CIO - RC 0708" xfId="67"/>
    <cellStyle name="_04 12 10 0506 Budget Plan Pack - Director Sign off Version1_QRF2 Capex Template V1a - CIO - RC 0708_NGA Capex QRF2 V1" xfId="68"/>
    <cellStyle name="_04 12 10 0506 Budget Plan Pack - Director Sign off Version1_QRF2 Capex Template V1a - CIO - RC 0708_Total P&amp;L" xfId="69"/>
    <cellStyle name="_04 12 10 0506 Budget Plan Pack - Director Sign off Version1_QRF4 V1a 15 Jan 09- CIO" xfId="70"/>
    <cellStyle name="_04 12 10 0506 Budget Plan Pack - Director Sign off Version1_QRF4 V1a Template - BTU with NGA updated" xfId="71"/>
    <cellStyle name="_04 12 10 0506 Budget Plan Pack - Director Sign off Version1_QRF4 V1a Template - GC" xfId="72"/>
    <cellStyle name="_04 12 10 0506 Budget Plan Pack - Director Sign off Version1_Total P&amp;L" xfId="73"/>
    <cellStyle name="_04 12 15 - 0506 Budget Plan Pack - Director Sign off Version 5.01" xfId="74"/>
    <cellStyle name="_04 12 15 - 0506 Budget Plan Pack - Director Sign off Version 5.01_Book2" xfId="75"/>
    <cellStyle name="_04 12 15 - 0506 Budget Plan Pack - Director Sign off Version 5.01_Book5" xfId="76"/>
    <cellStyle name="_04 12 15 - 0506 Budget Plan Pack - Director Sign off Version 5.01_BTU CAPEX QRF2 submissionv2 " xfId="77"/>
    <cellStyle name="_04 12 15 - 0506 Budget Plan Pack - Director Sign off Version 5.01_BTU CAPEX QRF2 submissionv2 _NGA Capex QRF2 V1" xfId="78"/>
    <cellStyle name="_04 12 15 - 0506 Budget Plan Pack - Director Sign off Version 5.01_BTU CAPEX QRF2 submissionv2 _Total P&amp;L" xfId="79"/>
    <cellStyle name="_04 12 15 - 0506 Budget Plan Pack - Director Sign off Version 5.01_NGA Capex QRF2 V1" xfId="80"/>
    <cellStyle name="_04 12 15 - 0506 Budget Plan Pack - Director Sign off Version 5.01_P&amp;L" xfId="81"/>
    <cellStyle name="_04 12 15 - 0506 Budget Plan Pack - Director Sign off Version 5.01_P&amp;L_NGA Capex QRF2 V1" xfId="82"/>
    <cellStyle name="_04 12 15 - 0506 Budget Plan Pack - Director Sign off Version 5.01_P&amp;L_Total P&amp;L" xfId="83"/>
    <cellStyle name="_04 12 15 - 0506 Budget Plan Pack - Director Sign off Version 5.01_P4 Result-040808" xfId="84"/>
    <cellStyle name="_04 12 15 - 0506 Budget Plan Pack - Director Sign off Version 5.01_QRF 2 Capex CIO Final 11 Sept 08" xfId="85"/>
    <cellStyle name="_04 12 15 - 0506 Budget Plan Pack - Director Sign off Version 5.01_QRF2 Capex Template V1a - CIO - RC 0708" xfId="86"/>
    <cellStyle name="_04 12 15 - 0506 Budget Plan Pack - Director Sign off Version 5.01_QRF2 Capex Template V1a - CIO - RC 0708_NGA Capex QRF2 V1" xfId="87"/>
    <cellStyle name="_04 12 15 - 0506 Budget Plan Pack - Director Sign off Version 5.01_QRF2 Capex Template V1a - CIO - RC 0708_Total P&amp;L" xfId="88"/>
    <cellStyle name="_04 12 15 - 0506 Budget Plan Pack - Director Sign off Version 5.01_QRF4 V1a 15 Jan 09- CIO" xfId="89"/>
    <cellStyle name="_04 12 15 - 0506 Budget Plan Pack - Director Sign off Version 5.01_QRF4 V1a Template - BTU with NGA updated" xfId="90"/>
    <cellStyle name="_04 12 15 - 0506 Budget Plan Pack - Director Sign off Version 5.01_QRF4 V1a Template - GC" xfId="91"/>
    <cellStyle name="_04 12 15 - 0506 Budget Plan Pack - Director Sign off Version 5.01_Total P&amp;L" xfId="92"/>
    <cellStyle name="_05 02 08 - 0506 Budget Plan v14.3" xfId="93"/>
    <cellStyle name="_05 02 08 - 0506 Budget Plan v14.3_Book2" xfId="94"/>
    <cellStyle name="_05 02 08 - 0506 Budget Plan v14.3_Book5" xfId="95"/>
    <cellStyle name="_05 02 08 - 0506 Budget Plan v14.3_BTU CAPEX QRF2 submissionv2 " xfId="96"/>
    <cellStyle name="_05 02 08 - 0506 Budget Plan v14.3_BTU CAPEX QRF2 submissionv2 _NGA Capex QRF2 V1" xfId="97"/>
    <cellStyle name="_05 02 08 - 0506 Budget Plan v14.3_BTU CAPEX QRF2 submissionv2 _Total P&amp;L" xfId="98"/>
    <cellStyle name="_05 02 08 - 0506 Budget Plan v14.3_NGA Capex QRF2 V1" xfId="99"/>
    <cellStyle name="_05 02 08 - 0506 Budget Plan v14.3_P&amp;L" xfId="100"/>
    <cellStyle name="_05 02 08 - 0506 Budget Plan v14.3_P&amp;L_NGA Capex QRF2 V1" xfId="101"/>
    <cellStyle name="_05 02 08 - 0506 Budget Plan v14.3_P&amp;L_Total P&amp;L" xfId="102"/>
    <cellStyle name="_05 02 08 - 0506 Budget Plan v14.3_P4 Result-040808" xfId="103"/>
    <cellStyle name="_05 02 08 - 0506 Budget Plan v14.3_QRF 2 Capex CIO Final 11 Sept 08" xfId="104"/>
    <cellStyle name="_05 02 08 - 0506 Budget Plan v14.3_QRF2 Capex Template V1a - CIO - RC 0708" xfId="105"/>
    <cellStyle name="_05 02 08 - 0506 Budget Plan v14.3_QRF2 Capex Template V1a - CIO - RC 0708_NGA Capex QRF2 V1" xfId="106"/>
    <cellStyle name="_05 02 08 - 0506 Budget Plan v14.3_QRF2 Capex Template V1a - CIO - RC 0708_Total P&amp;L" xfId="107"/>
    <cellStyle name="_05 02 08 - 0506 Budget Plan v14.3_QRF4 V1a 15 Jan 09- CIO" xfId="108"/>
    <cellStyle name="_05 02 08 - 0506 Budget Plan v14.3_QRF4 V1a Template - BTU with NGA updated" xfId="109"/>
    <cellStyle name="_05 02 08 - 0506 Budget Plan v14.3_QRF4 V1a Template - GC" xfId="110"/>
    <cellStyle name="_05 02 08 - 0506 Budget Plan v14.3_Total P&amp;L" xfId="111"/>
    <cellStyle name="_0708 QPB Marketing" xfId="112"/>
    <cellStyle name="_0809QRF4AnnexDIssue1 0" xfId="113"/>
    <cellStyle name="_10 year view - 06.12.041" xfId="114"/>
    <cellStyle name="_10 year view - 07.12.04" xfId="115"/>
    <cellStyle name="_10 year view market" xfId="116"/>
    <cellStyle name="_11.Property cost reporting schedules Q3 (BT Property Submission)" xfId="117"/>
    <cellStyle name="_115065" xfId="118"/>
    <cellStyle name="_2004-5 Q3 Campaign Weekly Report.xls Chart 1" xfId="119"/>
    <cellStyle name="_2004-5 Q3 Campaign Weekly Report.xls Chart 2" xfId="120"/>
    <cellStyle name="_2004-5 Q3 Campaign Weekly Report.xls Chart 3" xfId="121"/>
    <cellStyle name="_2004-5 Q3 Campaign Weekly Report.xls Chart 4" xfId="122"/>
    <cellStyle name="_2005-6 Q3 Campaign Weekly Report" xfId="123"/>
    <cellStyle name="_2005-6 Q3 Campaign Weekly Report8" xfId="124"/>
    <cellStyle name="_2006 Headcount New Org New Structure 17-02-06" xfId="125"/>
    <cellStyle name="_2006 Headcount New Org New Structure 17-02-06_BT Retail 5 Year Plan Master v5" xfId="126"/>
    <cellStyle name="_2007 Budget TV Backup" xfId="127"/>
    <cellStyle name="_2007 Budget TV Backup_BT Retail 5 Year Plan Master v5" xfId="128"/>
    <cellStyle name="_2008&amp;9 QRF2 Forecast Summary (P4 v5)" xfId="129"/>
    <cellStyle name="_2008&amp;9 QRF3 Forecast Summary (P6 v5)" xfId="130"/>
    <cellStyle name="_2008&amp;9 QRF4 Forecast Summary (P10 v4)" xfId="131"/>
    <cellStyle name="_21C_BUDGET_POSITION_05063" xfId="132"/>
    <cellStyle name="_3_9 Content Acq_ Basic ratecards_Fixed fees_ Shopping template" xfId="133"/>
    <cellStyle name="_3_9 Content Acq_ Basic ratecards_Fixed fees_ Shopping template_BT Retail 5 Year Plan Master v5" xfId="134"/>
    <cellStyle name="_3_9 Fixed fees_Shopping_SVOD sent" xfId="135"/>
    <cellStyle name="_3_9 Fixed fees_Shopping_SVOD sent_BT Retail 5 Year Plan Master v5" xfId="136"/>
    <cellStyle name="_3_9 rate cards sent" xfId="137"/>
    <cellStyle name="_3_9 rate cards sent 28 Mar 07 phasing UKTV FTV" xfId="138"/>
    <cellStyle name="_3_9 rate cards sent 28 Mar 07 phasing UKTV FTV_BT Retail 5 Year Plan Master v5" xfId="139"/>
    <cellStyle name="_3_9 rate cards sent_BT Retail 5 Year Plan Master v5" xfId="140"/>
    <cellStyle name="_3rd Party Contract Rationalisation 13 July" xfId="141"/>
    <cellStyle name="_56820-66820 March 2006" xfId="142"/>
    <cellStyle name="_9 Property Cost Reporting Schedules QRF3" xfId="143"/>
    <cellStyle name="_Abandonment Rates" xfId="144"/>
    <cellStyle name="_Absolute latest PL 05_06 with actual 04_05 outurn" xfId="145"/>
    <cellStyle name="_Absolute latest PL 05_06 with actual 04_05 outurn_Book2" xfId="146"/>
    <cellStyle name="_Absolute latest PL 05_06 with actual 04_05 outurn_Book5" xfId="147"/>
    <cellStyle name="_Absolute latest PL 05_06 with actual 04_05 outurn_BTU CAPEX QRF2 submissionv2 " xfId="148"/>
    <cellStyle name="_Absolute latest PL 05_06 with actual 04_05 outurn_BTU CAPEX QRF2 submissionv2 _NGA Capex QRF2 V1" xfId="149"/>
    <cellStyle name="_Absolute latest PL 05_06 with actual 04_05 outurn_BTU CAPEX QRF2 submissionv2 _Total P&amp;L" xfId="150"/>
    <cellStyle name="_Absolute latest PL 05_06 with actual 04_05 outurn_NGA Capex QRF2 V1" xfId="151"/>
    <cellStyle name="_Absolute latest PL 05_06 with actual 04_05 outurn_P&amp;L" xfId="152"/>
    <cellStyle name="_Absolute latest PL 05_06 with actual 04_05 outurn_P&amp;L_NGA Capex QRF2 V1" xfId="153"/>
    <cellStyle name="_Absolute latest PL 05_06 with actual 04_05 outurn_P&amp;L_Total P&amp;L" xfId="154"/>
    <cellStyle name="_Absolute latest PL 05_06 with actual 04_05 outurn_P4 Result-040808" xfId="155"/>
    <cellStyle name="_Absolute latest PL 05_06 with actual 04_05 outurn_QRF 2 Capex CIO Final 11 Sept 08" xfId="156"/>
    <cellStyle name="_Absolute latest PL 05_06 with actual 04_05 outurn_QRF2 Capex Template V1a - CIO - RC 0708" xfId="157"/>
    <cellStyle name="_Absolute latest PL 05_06 with actual 04_05 outurn_QRF2 Capex Template V1a - CIO - RC 0708_NGA Capex QRF2 V1" xfId="158"/>
    <cellStyle name="_Absolute latest PL 05_06 with actual 04_05 outurn_QRF2 Capex Template V1a - CIO - RC 0708_Total P&amp;L" xfId="159"/>
    <cellStyle name="_Absolute latest PL 05_06 with actual 04_05 outurn_QRF4 V1a 15 Jan 09- CIO" xfId="160"/>
    <cellStyle name="_Absolute latest PL 05_06 with actual 04_05 outurn_QRF4 V1a Template - BTU with NGA updated" xfId="161"/>
    <cellStyle name="_Absolute latest PL 05_06 with actual 04_05 outurn_QRF4 V1a Template - GC" xfId="162"/>
    <cellStyle name="_Absolute latest PL 05_06 with actual 04_05 outurn_Total P&amp;L" xfId="163"/>
    <cellStyle name="_AFI22 PPC 0708 NCC to GL 011008" xfId="164"/>
    <cellStyle name="_AMI_new universe data requirement BT 21July05 copy" xfId="165"/>
    <cellStyle name="_AMI_technology penetration" xfId="166"/>
    <cellStyle name="_AMI_universe definition" xfId="167"/>
    <cellStyle name="_assumptions" xfId="168"/>
    <cellStyle name="_ATV ratecards resent 24 Mar 07" xfId="169"/>
    <cellStyle name="_ATV ratecards resent 24 Mar 07_BT Retail 5 Year Plan Master v5" xfId="170"/>
    <cellStyle name="_BB EBITDA Master Pre XFERS" xfId="171"/>
    <cellStyle name="_BB EBITDA Master Pre XFERS V2" xfId="172"/>
    <cellStyle name="_BB EBITDA Master Pre XFERS V2_Book2" xfId="173"/>
    <cellStyle name="_BB EBITDA Master Pre XFERS V2_Book5" xfId="174"/>
    <cellStyle name="_BB EBITDA Master Pre XFERS V2_BTU CAPEX QRF2 submissionv2 " xfId="175"/>
    <cellStyle name="_BB EBITDA Master Pre XFERS V2_BTU CAPEX QRF2 submissionv2 _NGA Capex QRF2 V1" xfId="176"/>
    <cellStyle name="_BB EBITDA Master Pre XFERS V2_BTU CAPEX QRF2 submissionv2 _Total P&amp;L" xfId="177"/>
    <cellStyle name="_BB EBITDA Master Pre XFERS V2_NGA Capex QRF2 V1" xfId="178"/>
    <cellStyle name="_BB EBITDA Master Pre XFERS V2_P&amp;L" xfId="179"/>
    <cellStyle name="_BB EBITDA Master Pre XFERS V2_P&amp;L_NGA Capex QRF2 V1" xfId="180"/>
    <cellStyle name="_BB EBITDA Master Pre XFERS V2_P&amp;L_Total P&amp;L" xfId="181"/>
    <cellStyle name="_BB EBITDA Master Pre XFERS V2_P4 Result-040808" xfId="182"/>
    <cellStyle name="_BB EBITDA Master Pre XFERS V2_QRF 2 Capex CIO Final 11 Sept 08" xfId="183"/>
    <cellStyle name="_BB EBITDA Master Pre XFERS V2_QRF2 Capex Template V1a - CIO - RC 0708" xfId="184"/>
    <cellStyle name="_BB EBITDA Master Pre XFERS V2_QRF2 Capex Template V1a - CIO - RC 0708_NGA Capex QRF2 V1" xfId="185"/>
    <cellStyle name="_BB EBITDA Master Pre XFERS V2_QRF2 Capex Template V1a - CIO - RC 0708_Total P&amp;L" xfId="186"/>
    <cellStyle name="_BB EBITDA Master Pre XFERS V2_QRF4 V1a 15 Jan 09- CIO" xfId="187"/>
    <cellStyle name="_BB EBITDA Master Pre XFERS V2_QRF4 V1a Template - BTU with NGA updated" xfId="188"/>
    <cellStyle name="_BB EBITDA Master Pre XFERS V2_QRF4 V1a Template - GC" xfId="189"/>
    <cellStyle name="_BB EBITDA Master Pre XFERS V2_Total P&amp;L" xfId="190"/>
    <cellStyle name="_BB EBITDA Master Pre XFERS_Book2" xfId="191"/>
    <cellStyle name="_BB EBITDA Master Pre XFERS_Book5" xfId="192"/>
    <cellStyle name="_BB EBITDA Master Pre XFERS_BTU CAPEX QRF2 submissionv2 " xfId="193"/>
    <cellStyle name="_BB EBITDA Master Pre XFERS_BTU CAPEX QRF2 submissionv2 _NGA Capex QRF2 V1" xfId="194"/>
    <cellStyle name="_BB EBITDA Master Pre XFERS_BTU CAPEX QRF2 submissionv2 _Total P&amp;L" xfId="195"/>
    <cellStyle name="_BB EBITDA Master Pre XFERS_NGA Capex QRF2 V1" xfId="196"/>
    <cellStyle name="_BB EBITDA Master Pre XFERS_P&amp;L" xfId="197"/>
    <cellStyle name="_BB EBITDA Master Pre XFERS_P&amp;L_NGA Capex QRF2 V1" xfId="198"/>
    <cellStyle name="_BB EBITDA Master Pre XFERS_P&amp;L_Total P&amp;L" xfId="199"/>
    <cellStyle name="_BB EBITDA Master Pre XFERS_P4 Result-040808" xfId="200"/>
    <cellStyle name="_BB EBITDA Master Pre XFERS_QRF 2 Capex CIO Final 11 Sept 08" xfId="201"/>
    <cellStyle name="_BB EBITDA Master Pre XFERS_QRF2 Capex Template V1a - CIO - RC 0708" xfId="202"/>
    <cellStyle name="_BB EBITDA Master Pre XFERS_QRF2 Capex Template V1a - CIO - RC 0708_NGA Capex QRF2 V1" xfId="203"/>
    <cellStyle name="_BB EBITDA Master Pre XFERS_QRF2 Capex Template V1a - CIO - RC 0708_Total P&amp;L" xfId="204"/>
    <cellStyle name="_BB EBITDA Master Pre XFERS_QRF4 V1a 15 Jan 09- CIO" xfId="205"/>
    <cellStyle name="_BB EBITDA Master Pre XFERS_QRF4 V1a Template - BTU with NGA updated" xfId="206"/>
    <cellStyle name="_BB EBITDA Master Pre XFERS_QRF4 V1a Template - GC" xfId="207"/>
    <cellStyle name="_BB EBITDA Master Pre XFERS_Total P&amp;L" xfId="208"/>
    <cellStyle name="_BB price adj 07Mar fin version1" xfId="209"/>
    <cellStyle name="_BB Talk data 06-07" xfId="210"/>
    <cellStyle name="_BBE Master 22 Mar" xfId="211"/>
    <cellStyle name="_BC EBITDA Master Pre Xfers" xfId="212"/>
    <cellStyle name="_BC EBITDA Master Pre Xfers_Book2" xfId="213"/>
    <cellStyle name="_BC EBITDA Master Pre Xfers_Book5" xfId="214"/>
    <cellStyle name="_BC EBITDA Master Pre Xfers_BTU CAPEX QRF2 submissionv2 " xfId="215"/>
    <cellStyle name="_BC EBITDA Master Pre Xfers_BTU CAPEX QRF2 submissionv2 _NGA Capex QRF2 V1" xfId="216"/>
    <cellStyle name="_BC EBITDA Master Pre Xfers_BTU CAPEX QRF2 submissionv2 _Total P&amp;L" xfId="217"/>
    <cellStyle name="_BC EBITDA Master Pre Xfers_NGA Capex QRF2 V1" xfId="218"/>
    <cellStyle name="_BC EBITDA Master Pre Xfers_P&amp;L" xfId="219"/>
    <cellStyle name="_BC EBITDA Master Pre Xfers_P&amp;L_NGA Capex QRF2 V1" xfId="220"/>
    <cellStyle name="_BC EBITDA Master Pre Xfers_P&amp;L_Total P&amp;L" xfId="221"/>
    <cellStyle name="_BC EBITDA Master Pre Xfers_P4 Result-040808" xfId="222"/>
    <cellStyle name="_BC EBITDA Master Pre Xfers_QRF 2 Capex CIO Final 11 Sept 08" xfId="223"/>
    <cellStyle name="_BC EBITDA Master Pre Xfers_QRF2 Capex Template V1a - CIO - RC 0708" xfId="224"/>
    <cellStyle name="_BC EBITDA Master Pre Xfers_QRF2 Capex Template V1a - CIO - RC 0708_NGA Capex QRF2 V1" xfId="225"/>
    <cellStyle name="_BC EBITDA Master Pre Xfers_QRF2 Capex Template V1a - CIO - RC 0708_Total P&amp;L" xfId="226"/>
    <cellStyle name="_BC EBITDA Master Pre Xfers_QRF4 V1a 15 Jan 09- CIO" xfId="227"/>
    <cellStyle name="_BC EBITDA Master Pre Xfers_QRF4 V1a Template - BTU with NGA updated" xfId="228"/>
    <cellStyle name="_BC EBITDA Master Pre Xfers_QRF4 V1a Template - GC" xfId="229"/>
    <cellStyle name="_BC EBITDA Master Pre Xfers_Total P&amp;L" xfId="230"/>
    <cellStyle name="_BD Det Rep wd2 am-Julie Hyperion 020708" xfId="231"/>
    <cellStyle name="_BD Det Rep wd2 am-Julie Hyperion 020708_NGA Capex QRF2 V1" xfId="232"/>
    <cellStyle name="_BD Det Rep wd2 am-Julie Hyperion 020708_Total P&amp;L" xfId="233"/>
    <cellStyle name="_BD Detailed Rep wd4 pm" xfId="234"/>
    <cellStyle name="_BD Detailed Rep wd4 pm_NGA Capex QRF2 V1" xfId="235"/>
    <cellStyle name="_BD Detailed Rep wd4 pm_Total P&amp;L" xfId="236"/>
    <cellStyle name="_BD Detailed Report p4 wd3 pm-JL 050808" xfId="237"/>
    <cellStyle name="_BD Detailed Report p4 wd3 pm-JL 050808_NGA Capex QRF2 V1" xfId="238"/>
    <cellStyle name="_BD Detailed Report p4 wd3 pm-JL 050808_Total P&amp;L" xfId="239"/>
    <cellStyle name="_Board data may" xfId="240"/>
    <cellStyle name="_Board data may_NGA Capex QRF2 V1" xfId="241"/>
    <cellStyle name="_Board data may_Total P&amp;L" xfId="242"/>
    <cellStyle name="_Book1" xfId="243"/>
    <cellStyle name="_Book1 (2)" xfId="244"/>
    <cellStyle name="_Book1_TC STRAT PLAN PRESENTATION MASTER -  BUSINESS REVIEW UPDATE - 19 FEB" xfId="245"/>
    <cellStyle name="_Book2 Chart 1" xfId="246"/>
    <cellStyle name="_Book3" xfId="247"/>
    <cellStyle name="_Book4" xfId="248"/>
    <cellStyle name="_Book4_NGA Capex QRF2 V1" xfId="249"/>
    <cellStyle name="_Book4_NGA Capex QRF2 V1_Total P&amp;L" xfId="250"/>
    <cellStyle name="_Book4_Service Delivery Capex Template QRF2 V1" xfId="251"/>
    <cellStyle name="_Book4_Service Design Network Capex Template QRF2 V11" xfId="252"/>
    <cellStyle name="_Book4_Service Design System Development Capex Template QRF2 V22" xfId="253"/>
    <cellStyle name="_Book4_Service Design System Development Capex Template QRF2 V22_Total P&amp;L" xfId="254"/>
    <cellStyle name="_Book5" xfId="255"/>
    <cellStyle name="_Broadnet Integration 13 July" xfId="256"/>
    <cellStyle name="_BT Bus Strat Plan 210705c" xfId="257"/>
    <cellStyle name="_BTB Draft Calendarization Nov 05 (2)" xfId="258"/>
    <cellStyle name="_BTB Strat Plan Summary 300806a" xfId="259"/>
    <cellStyle name="_BTB submission schedules 29 November 10am" xfId="260"/>
    <cellStyle name="_btb summary 120906" xfId="261"/>
    <cellStyle name="_btb summary 120906 v2" xfId="262"/>
    <cellStyle name="_btb summary 120906 v2 (2)" xfId="263"/>
    <cellStyle name="_BTB VOIP strat plan" xfId="264"/>
    <cellStyle name="_BTB VOIP strat plan v2 (2)" xfId="265"/>
    <cellStyle name="_btb vols and PV analysis 051006 (2)" xfId="266"/>
    <cellStyle name="_BTB volumes by product 060906" xfId="267"/>
    <cellStyle name="_BTU CAPEX QRF2 submissionv2 " xfId="268"/>
    <cellStyle name="_BTU CAPEX QRF2 submissionv2 _NGA Capex QRF2 V1" xfId="269"/>
    <cellStyle name="_BTU CAPEX QRF2 submissionv2 _Total P&amp;L" xfId="270"/>
    <cellStyle name="_BTW Q2 cost template Split" xfId="271"/>
    <cellStyle name="_BU analysis of cost savings v5 (2) (4)" xfId="272"/>
    <cellStyle name="_BU analysis of cost savings v5 (3)" xfId="273"/>
    <cellStyle name="_Budget Challenge Allocation" xfId="274"/>
    <cellStyle name="_Budget Challenge Allocation North Targets" xfId="275"/>
    <cellStyle name="_Budget Challenge Allocation North Targets_Book2" xfId="276"/>
    <cellStyle name="_Budget Challenge Allocation North Targets_Book5" xfId="277"/>
    <cellStyle name="_Budget Challenge Allocation North Targets_BTU CAPEX QRF2 submissionv2 " xfId="278"/>
    <cellStyle name="_Budget Challenge Allocation North Targets_BTU CAPEX QRF2 submissionv2 _NGA Capex QRF2 V1" xfId="279"/>
    <cellStyle name="_Budget Challenge Allocation North Targets_BTU CAPEX QRF2 submissionv2 _Total P&amp;L" xfId="280"/>
    <cellStyle name="_Budget Challenge Allocation North Targets_NGA Capex QRF2 V1" xfId="281"/>
    <cellStyle name="_Budget Challenge Allocation North Targets_P&amp;L" xfId="282"/>
    <cellStyle name="_Budget Challenge Allocation North Targets_P&amp;L_NGA Capex QRF2 V1" xfId="283"/>
    <cellStyle name="_Budget Challenge Allocation North Targets_P&amp;L_Total P&amp;L" xfId="284"/>
    <cellStyle name="_Budget Challenge Allocation North Targets_P4 Result-040808" xfId="285"/>
    <cellStyle name="_Budget Challenge Allocation North Targets_QRF 2 Capex CIO Final 11 Sept 08" xfId="286"/>
    <cellStyle name="_Budget Challenge Allocation North Targets_QRF2 Capex Template V1a - CIO - RC 0708" xfId="287"/>
    <cellStyle name="_Budget Challenge Allocation North Targets_QRF2 Capex Template V1a - CIO - RC 0708_NGA Capex QRF2 V1" xfId="288"/>
    <cellStyle name="_Budget Challenge Allocation North Targets_QRF2 Capex Template V1a - CIO - RC 0708_Total P&amp;L" xfId="289"/>
    <cellStyle name="_Budget Challenge Allocation North Targets_QRF4 V1a 15 Jan 09- CIO" xfId="290"/>
    <cellStyle name="_Budget Challenge Allocation North Targets_QRF4 V1a Template - BTU with NGA updated" xfId="291"/>
    <cellStyle name="_Budget Challenge Allocation North Targets_QRF4 V1a Template - GC" xfId="292"/>
    <cellStyle name="_Budget Challenge Allocation North Targets_Total P&amp;L" xfId="293"/>
    <cellStyle name="_Budget Challenge Allocation_Book2" xfId="294"/>
    <cellStyle name="_Budget Challenge Allocation_Book5" xfId="295"/>
    <cellStyle name="_Budget Challenge Allocation_BTU CAPEX QRF2 submissionv2 " xfId="296"/>
    <cellStyle name="_Budget Challenge Allocation_BTU CAPEX QRF2 submissionv2 _NGA Capex QRF2 V1" xfId="297"/>
    <cellStyle name="_Budget Challenge Allocation_BTU CAPEX QRF2 submissionv2 _Total P&amp;L" xfId="298"/>
    <cellStyle name="_Budget Challenge Allocation_NGA Capex QRF2 V1" xfId="299"/>
    <cellStyle name="_Budget Challenge Allocation_P&amp;L" xfId="300"/>
    <cellStyle name="_Budget Challenge Allocation_P&amp;L_NGA Capex QRF2 V1" xfId="301"/>
    <cellStyle name="_Budget Challenge Allocation_P&amp;L_Total P&amp;L" xfId="302"/>
    <cellStyle name="_Budget Challenge Allocation_P4 Result-040808" xfId="303"/>
    <cellStyle name="_Budget Challenge Allocation_QRF 2 Capex CIO Final 11 Sept 08" xfId="304"/>
    <cellStyle name="_Budget Challenge Allocation_QRF2 Capex Template V1a - CIO - RC 0708" xfId="305"/>
    <cellStyle name="_Budget Challenge Allocation_QRF2 Capex Template V1a - CIO - RC 0708_NGA Capex QRF2 V1" xfId="306"/>
    <cellStyle name="_Budget Challenge Allocation_QRF2 Capex Template V1a - CIO - RC 0708_Total P&amp;L" xfId="307"/>
    <cellStyle name="_Budget Challenge Allocation_QRF4 V1a 15 Jan 09- CIO" xfId="308"/>
    <cellStyle name="_Budget Challenge Allocation_QRF4 V1a Template - BTU with NGA updated" xfId="309"/>
    <cellStyle name="_Budget Challenge Allocation_QRF4 V1a Template - GC" xfId="310"/>
    <cellStyle name="_Budget Challenge Allocation_Total P&amp;L" xfId="311"/>
    <cellStyle name="_Budget PVE Data" xfId="312"/>
    <cellStyle name="_Budget PVE Data_Book2" xfId="313"/>
    <cellStyle name="_Budget PVE Data_Book5" xfId="314"/>
    <cellStyle name="_Budget PVE Data_BTU CAPEX QRF2 submissionv2 " xfId="315"/>
    <cellStyle name="_Budget PVE Data_BTU CAPEX QRF2 submissionv2 _NGA Capex QRF2 V1" xfId="316"/>
    <cellStyle name="_Budget PVE Data_BTU CAPEX QRF2 submissionv2 _Total P&amp;L" xfId="317"/>
    <cellStyle name="_Budget PVE Data_NGA Capex QRF2 V1" xfId="318"/>
    <cellStyle name="_Budget PVE Data_P&amp;L" xfId="319"/>
    <cellStyle name="_Budget PVE Data_P&amp;L_NGA Capex QRF2 V1" xfId="320"/>
    <cellStyle name="_Budget PVE Data_P&amp;L_Total P&amp;L" xfId="321"/>
    <cellStyle name="_Budget PVE Data_P4 Result-040808" xfId="322"/>
    <cellStyle name="_Budget PVE Data_QRF 2 Capex CIO Final 11 Sept 08" xfId="323"/>
    <cellStyle name="_Budget PVE Data_QRF2 Capex Template V1a - CIO - RC 0708" xfId="324"/>
    <cellStyle name="_Budget PVE Data_QRF2 Capex Template V1a - CIO - RC 0708_NGA Capex QRF2 V1" xfId="325"/>
    <cellStyle name="_Budget PVE Data_QRF2 Capex Template V1a - CIO - RC 0708_Total P&amp;L" xfId="326"/>
    <cellStyle name="_Budget PVE Data_QRF4 V1a 15 Jan 09- CIO" xfId="327"/>
    <cellStyle name="_Budget PVE Data_QRF4 V1a Template - BTU with NGA updated" xfId="328"/>
    <cellStyle name="_Budget PVE Data_QRF4 V1a Template - GC" xfId="329"/>
    <cellStyle name="_Budget PVE Data_Total P&amp;L" xfId="330"/>
    <cellStyle name="_BUDGET SPLIT @ GM - BBE v5" xfId="331"/>
    <cellStyle name="_Budget TLC Pre Xfers" xfId="332"/>
    <cellStyle name="_Budget TLC Pre Xfers_Book2" xfId="333"/>
    <cellStyle name="_Budget TLC Pre Xfers_Book5" xfId="334"/>
    <cellStyle name="_Budget TLC Pre Xfers_BTU CAPEX QRF2 submissionv2 " xfId="335"/>
    <cellStyle name="_Budget TLC Pre Xfers_BTU CAPEX QRF2 submissionv2 _NGA Capex QRF2 V1" xfId="336"/>
    <cellStyle name="_Budget TLC Pre Xfers_BTU CAPEX QRF2 submissionv2 _Total P&amp;L" xfId="337"/>
    <cellStyle name="_Budget TLC Pre Xfers_NGA Capex QRF2 V1" xfId="338"/>
    <cellStyle name="_Budget TLC Pre Xfers_P&amp;L" xfId="339"/>
    <cellStyle name="_Budget TLC Pre Xfers_P&amp;L_NGA Capex QRF2 V1" xfId="340"/>
    <cellStyle name="_Budget TLC Pre Xfers_P&amp;L_Total P&amp;L" xfId="341"/>
    <cellStyle name="_Budget TLC Pre Xfers_P4 Result-040808" xfId="342"/>
    <cellStyle name="_Budget TLC Pre Xfers_QRF 2 Capex CIO Final 11 Sept 08" xfId="343"/>
    <cellStyle name="_Budget TLC Pre Xfers_QRF2 Capex Template V1a - CIO - RC 0708" xfId="344"/>
    <cellStyle name="_Budget TLC Pre Xfers_QRF2 Capex Template V1a - CIO - RC 0708_NGA Capex QRF2 V1" xfId="345"/>
    <cellStyle name="_Budget TLC Pre Xfers_QRF2 Capex Template V1a - CIO - RC 0708_Total P&amp;L" xfId="346"/>
    <cellStyle name="_Budget TLC Pre Xfers_QRF4 V1a 15 Jan 09- CIO" xfId="347"/>
    <cellStyle name="_Budget TLC Pre Xfers_QRF4 V1a Template - BTU with NGA updated" xfId="348"/>
    <cellStyle name="_Budget TLC Pre Xfers_QRF4 V1a Template - GC" xfId="349"/>
    <cellStyle name="_Budget TLC Pre Xfers_Total P&amp;L" xfId="350"/>
    <cellStyle name="_Budget to MW 6th Feb (3)" xfId="351"/>
    <cellStyle name="_Business Demogs" xfId="352"/>
    <cellStyle name="_Capex1" xfId="353"/>
    <cellStyle name="_CFO Financials 2007" xfId="354"/>
    <cellStyle name="_CFO Financials 2007_BT Retail 5 Year Plan Master v5" xfId="355"/>
    <cellStyle name="_Channel Base Case Vols" xfId="356"/>
    <cellStyle name="_CIO Capex (updated with P6) (QRF 2 Capex CIO Final 19 Sept 08)" xfId="357"/>
    <cellStyle name="_CIO Capex Schedule_working" xfId="358"/>
    <cellStyle name="_CIO Capex Schedule_working_Book2" xfId="359"/>
    <cellStyle name="_CIO Capex Schedule_working_Book2_NGA Capex QRF2 V1" xfId="360"/>
    <cellStyle name="_CIO Capex Schedule_working_Book2_NGA Capex QRF2 V1_Total P&amp;L" xfId="361"/>
    <cellStyle name="_CIO Capex Schedule_working_Book2_Service Delivery Capex Template QRF2 V1" xfId="362"/>
    <cellStyle name="_CIO Capex Schedule_working_Book2_Service Delivery Capex Template QRF2 V1_Total P&amp;L" xfId="363"/>
    <cellStyle name="_CIO Capex Schedule_working_Book2_Service Design Network Capex Template QRF2 V11" xfId="364"/>
    <cellStyle name="_CIO Capex Schedule_working_Book2_Service Design Network Capex Template QRF2 V11_Total P&amp;L" xfId="365"/>
    <cellStyle name="_CIO Capex Schedule_working_Book2_Service Design System Development Capex Template QRF2 V22" xfId="366"/>
    <cellStyle name="_CIO Capex Schedule_working_Book2_Service Design System Development Capex Template QRF2 V22_Total P&amp;L" xfId="367"/>
    <cellStyle name="_CIO Capex Schedule_working_Book2_Total P&amp;L" xfId="368"/>
    <cellStyle name="_CIO Capex Schedule_working_Book5" xfId="369"/>
    <cellStyle name="_CIO Capex Schedule_working_Book5_NGA Capex QRF2 V1" xfId="370"/>
    <cellStyle name="_CIO Capex Schedule_working_Book5_NGA Capex QRF2 V1_Total P&amp;L" xfId="371"/>
    <cellStyle name="_CIO Capex Schedule_working_Book5_Service Delivery Capex Template QRF2 V1" xfId="372"/>
    <cellStyle name="_CIO Capex Schedule_working_Book5_Service Delivery Capex Template QRF2 V1_Total P&amp;L" xfId="373"/>
    <cellStyle name="_CIO Capex Schedule_working_Book5_Service Design Network Capex Template QRF2 V11" xfId="374"/>
    <cellStyle name="_CIO Capex Schedule_working_Book5_Service Design Network Capex Template QRF2 V11_Total P&amp;L" xfId="375"/>
    <cellStyle name="_CIO Capex Schedule_working_Book5_Service Design System Development Capex Template QRF2 V22" xfId="376"/>
    <cellStyle name="_CIO Capex Schedule_working_Book5_Service Design System Development Capex Template QRF2 V22_Total P&amp;L" xfId="377"/>
    <cellStyle name="_CIO Capex Schedule_working_Book5_Total P&amp;L" xfId="378"/>
    <cellStyle name="_CIO Capex Schedule_working_NGA Capex QRF2 V1" xfId="379"/>
    <cellStyle name="_CIO Capex Schedule_working_NGA Capex QRF2 V1_Total P&amp;L" xfId="380"/>
    <cellStyle name="_CIO Capex Schedule_working_P4 Result-040808" xfId="381"/>
    <cellStyle name="_CIO Capex Schedule_working_P4 Result-040808_NGA Capex QRF2 V1" xfId="382"/>
    <cellStyle name="_CIO Capex Schedule_working_P4 Result-040808_NGA Capex QRF2 V1_Total P&amp;L" xfId="383"/>
    <cellStyle name="_CIO Capex Schedule_working_P4 Result-040808_Service Delivery Capex Template QRF2 V1" xfId="384"/>
    <cellStyle name="_CIO Capex Schedule_working_P4 Result-040808_Service Delivery Capex Template QRF2 V1_Total P&amp;L" xfId="385"/>
    <cellStyle name="_CIO Capex Schedule_working_P4 Result-040808_Service Design Network Capex Template QRF2 V11" xfId="386"/>
    <cellStyle name="_CIO Capex Schedule_working_P4 Result-040808_Service Design Network Capex Template QRF2 V11_Total P&amp;L" xfId="387"/>
    <cellStyle name="_CIO Capex Schedule_working_P4 Result-040808_Service Design System Development Capex Template QRF2 V22" xfId="388"/>
    <cellStyle name="_CIO Capex Schedule_working_P4 Result-040808_Service Design System Development Capex Template QRF2 V22_Total P&amp;L" xfId="389"/>
    <cellStyle name="_CIO Capex Schedule_working_P4 Result-040808_Total P&amp;L" xfId="390"/>
    <cellStyle name="_CIO Capex Schedule_working_QRF 2 Capex CIO Final 11 Sept 08" xfId="391"/>
    <cellStyle name="_CIO Capex Schedule_working_QRF 2 Capex CIO Final 11 Sept 08_NGA Capex QRF2 V1" xfId="392"/>
    <cellStyle name="_CIO Capex Schedule_working_QRF 2 Capex CIO Final 11 Sept 08_NGA Capex QRF2 V1_Total P&amp;L" xfId="393"/>
    <cellStyle name="_CIO Capex Schedule_working_QRF 2 Capex CIO Final 11 Sept 08_Service Delivery Capex Template QRF2 V1" xfId="394"/>
    <cellStyle name="_CIO Capex Schedule_working_QRF 2 Capex CIO Final 11 Sept 08_Service Delivery Capex Template QRF2 V1_Total P&amp;L" xfId="395"/>
    <cellStyle name="_CIO Capex Schedule_working_QRF 2 Capex CIO Final 11 Sept 08_Service Design Network Capex Template QRF2 V11" xfId="396"/>
    <cellStyle name="_CIO Capex Schedule_working_QRF 2 Capex CIO Final 11 Sept 08_Service Design Network Capex Template QRF2 V11_Total P&amp;L" xfId="397"/>
    <cellStyle name="_CIO Capex Schedule_working_QRF 2 Capex CIO Final 11 Sept 08_Service Design System Development Capex Template QRF2 V22" xfId="398"/>
    <cellStyle name="_CIO Capex Schedule_working_QRF 2 Capex CIO Final 11 Sept 08_Service Design System Development Capex Template QRF2 V22_Total P&amp;L" xfId="399"/>
    <cellStyle name="_CIO Capex Schedule_working_QRF 2 Capex CIO Final 11 Sept 08_Total P&amp;L" xfId="400"/>
    <cellStyle name="_CIO Capex Schedule_working_QRF2 Capex Template V1a - CIO - RC 0708" xfId="401"/>
    <cellStyle name="_CIO Capex Schedule_working_QRF2 Capex Template V1a - CIO - RC 0708_NGA Capex QRF2 V1" xfId="402"/>
    <cellStyle name="_CIO Capex Schedule_working_QRF2 Capex Template V1a - CIO - RC 0708_NGA Capex QRF2 V1_Total P&amp;L" xfId="403"/>
    <cellStyle name="_CIO Capex Schedule_working_QRF2 Capex Template V1a - CIO - RC 0708_Service Delivery Capex Template QRF2 V1" xfId="404"/>
    <cellStyle name="_CIO Capex Schedule_working_QRF2 Capex Template V1a - CIO - RC 0708_Service Design Network Capex Template QRF2 V11" xfId="405"/>
    <cellStyle name="_CIO Capex Schedule_working_QRF2 Capex Template V1a - CIO - RC 0708_Service Design System Development Capex Template QRF2 V22" xfId="406"/>
    <cellStyle name="_CIO Capex Schedule_working_QRF2 Capex Template V1a - CIO - RC 0708_Service Design System Development Capex Template QRF2 V22_Total P&amp;L" xfId="407"/>
    <cellStyle name="_CIO Capex Schedule_working_QRF4 V1a 15 Jan 09- CIO" xfId="408"/>
    <cellStyle name="_CIO Capex Schedule_working_QRF4 V1a 15 Jan 09- CIO_NGA Capex QRF2 V1" xfId="409"/>
    <cellStyle name="_CIO Capex Schedule_working_QRF4 V1a 15 Jan 09- CIO_NGA Capex QRF2 V1_Total P&amp;L" xfId="410"/>
    <cellStyle name="_CIO Capex Schedule_working_QRF4 V1a 15 Jan 09- CIO_Service Delivery Capex Template QRF2 V1" xfId="411"/>
    <cellStyle name="_CIO Capex Schedule_working_QRF4 V1a 15 Jan 09- CIO_Service Delivery Capex Template QRF2 V1_Total P&amp;L" xfId="412"/>
    <cellStyle name="_CIO Capex Schedule_working_QRF4 V1a 15 Jan 09- CIO_Service Design Network Capex Template QRF2 V11" xfId="413"/>
    <cellStyle name="_CIO Capex Schedule_working_QRF4 V1a 15 Jan 09- CIO_Service Design Network Capex Template QRF2 V11_Total P&amp;L" xfId="414"/>
    <cellStyle name="_CIO Capex Schedule_working_QRF4 V1a 15 Jan 09- CIO_Service Design System Development Capex Template QRF2 V22" xfId="415"/>
    <cellStyle name="_CIO Capex Schedule_working_QRF4 V1a 15 Jan 09- CIO_Service Design System Development Capex Template QRF2 V22_Total P&amp;L" xfId="416"/>
    <cellStyle name="_CIO Capex Schedule_working_QRF4 V1a 15 Jan 09- CIO_Total P&amp;L" xfId="417"/>
    <cellStyle name="_CIO Capex Schedule_working_QRF4 V1a Template - BTU with NGA updated" xfId="418"/>
    <cellStyle name="_CIO Capex Schedule_working_QRF4 V1a Template - BTU with NGA updated_NGA Capex QRF2 V1" xfId="419"/>
    <cellStyle name="_CIO Capex Schedule_working_QRF4 V1a Template - BTU with NGA updated_NGA Capex QRF2 V1_Total P&amp;L" xfId="420"/>
    <cellStyle name="_CIO Capex Schedule_working_QRF4 V1a Template - BTU with NGA updated_Service Delivery Capex Template QRF2 V1" xfId="421"/>
    <cellStyle name="_CIO Capex Schedule_working_QRF4 V1a Template - BTU with NGA updated_Service Delivery Capex Template QRF2 V1_Total P&amp;L" xfId="422"/>
    <cellStyle name="_CIO Capex Schedule_working_QRF4 V1a Template - BTU with NGA updated_Service Design Network Capex Template QRF2 V11" xfId="423"/>
    <cellStyle name="_CIO Capex Schedule_working_QRF4 V1a Template - BTU with NGA updated_Service Design Network Capex Template QRF2 V11_Total P&amp;L" xfId="424"/>
    <cellStyle name="_CIO Capex Schedule_working_QRF4 V1a Template - BTU with NGA updated_Service Design System Development Capex Template QRF2 V22" xfId="425"/>
    <cellStyle name="_CIO Capex Schedule_working_QRF4 V1a Template - BTU with NGA updated_Service Design System Development Capex Template QRF2 V22_Total P&amp;L" xfId="426"/>
    <cellStyle name="_CIO Capex Schedule_working_QRF4 V1a Template - BTU with NGA updated_Total P&amp;L" xfId="427"/>
    <cellStyle name="_CIO Capex Schedule_working_QRF4 V1a Template - GC" xfId="428"/>
    <cellStyle name="_CIO Capex Schedule_working_QRF4 V1a Template - GC_NGA Capex QRF2 V1" xfId="429"/>
    <cellStyle name="_CIO Capex Schedule_working_QRF4 V1a Template - GC_NGA Capex QRF2 V1_Total P&amp;L" xfId="430"/>
    <cellStyle name="_CIO Capex Schedule_working_QRF4 V1a Template - GC_Service Delivery Capex Template QRF2 V1" xfId="431"/>
    <cellStyle name="_CIO Capex Schedule_working_QRF4 V1a Template - GC_Service Delivery Capex Template QRF2 V1_Total P&amp;L" xfId="432"/>
    <cellStyle name="_CIO Capex Schedule_working_QRF4 V1a Template - GC_Service Design Network Capex Template QRF2 V11" xfId="433"/>
    <cellStyle name="_CIO Capex Schedule_working_QRF4 V1a Template - GC_Service Design Network Capex Template QRF2 V11_Total P&amp;L" xfId="434"/>
    <cellStyle name="_CIO Capex Schedule_working_QRF4 V1a Template - GC_Service Design System Development Capex Template QRF2 V22" xfId="435"/>
    <cellStyle name="_CIO Capex Schedule_working_QRF4 V1a Template - GC_Service Design System Development Capex Template QRF2 V22_Total P&amp;L" xfId="436"/>
    <cellStyle name="_CIO Capex Schedule_working_QRF4 V1a Template - GC_Total P&amp;L" xfId="437"/>
    <cellStyle name="_CIO Capex Schedule_working_Service Delivery Capex Template QRF2 V1" xfId="438"/>
    <cellStyle name="_CIO Capex Schedule_working_Service Design Network Capex Template QRF2 V11" xfId="439"/>
    <cellStyle name="_CIO Capex Schedule_working_Service Design System Development Capex Template QRF2 V22" xfId="440"/>
    <cellStyle name="_CIO Capex Schedule_working_Service Design System Development Capex Template QRF2 V22_Total P&amp;L" xfId="441"/>
    <cellStyle name="_CIO Flash wd-1 Rep" xfId="442"/>
    <cellStyle name="_CIO Flash wd-1 Rep_NGA Capex QRF2 V1" xfId="443"/>
    <cellStyle name="_CIO Flash wd-1 Rep_Total P&amp;L" xfId="444"/>
    <cellStyle name="_CIO Result-P3 040708-Anthony-Peter" xfId="445"/>
    <cellStyle name="_CIO Result-P3 040708-Anthony-Peter_NGA Capex QRF2 V1" xfId="446"/>
    <cellStyle name="_CIO Result-P3 040708-Anthony-Peter_Total P&amp;L" xfId="447"/>
    <cellStyle name="_Combined Bank Financial Model - DB Final plus Summary" xfId="448"/>
    <cellStyle name="_Combined Bank Financial Model - DB Final plus Summary_BT Retail 5 Year Plan Master v5" xfId="449"/>
    <cellStyle name="_Comma" xfId="450"/>
    <cellStyle name="_Comma_2007 Budget TV Backup" xfId="451"/>
    <cellStyle name="_Comma_3_9 Content Acq_ Basic ratecards_Fixed fees_ Shopping template" xfId="452"/>
    <cellStyle name="_Comma_3_9 Fixed fees_Shopping_SVOD sent" xfId="453"/>
    <cellStyle name="_Comma_3_9 rate cards sent" xfId="454"/>
    <cellStyle name="_Comma_3_9 rate cards sent 28 Mar 07 phasing UKTV FTV" xfId="455"/>
    <cellStyle name="_Comma_ATV ratecards resent 24 Mar 07" xfId="456"/>
    <cellStyle name="_comparison of SGA submissions against ESSBASE 130906" xfId="457"/>
    <cellStyle name="_Consolidated Opex savings and reinvestments v2 (3)" xfId="458"/>
    <cellStyle name="_Consolidated Opex savings and reinvestmentsv1" xfId="459"/>
    <cellStyle name="_Consumer OR Propositions - draft v4.11" xfId="460"/>
    <cellStyle name="_Consumer Strat Plan Centre" xfId="461"/>
    <cellStyle name="_Consumer Volumes" xfId="462"/>
    <cellStyle name="_Content Budget - latest Forecast (3)" xfId="463"/>
    <cellStyle name="_Content Budget - latest Forecast (3)_BT Retail 5 Year Plan Master v5" xfId="464"/>
    <cellStyle name="_Copy of BTB Strat Plan 050906 submission" xfId="465"/>
    <cellStyle name="_Copy of BTB Strat Plan 050906a submission" xfId="466"/>
    <cellStyle name="_Copy of BTB Strat Plan 050906b submission" xfId="467"/>
    <cellStyle name="_Copy of PPC_Workings0708 P12 200608" xfId="468"/>
    <cellStyle name="_Core conv high level replan Nov05 v6 0" xfId="469"/>
    <cellStyle name="_Corporate QPB Assumptions - RAG status (Channel Copy) v 3" xfId="470"/>
    <cellStyle name="_Corporate QPB Assumptions - RAG status (Channel Copy) v 4" xfId="471"/>
    <cellStyle name="_Cost Reporting template" xfId="472"/>
    <cellStyle name="_Cost Reporting template v1" xfId="473"/>
    <cellStyle name="_Cost Savings and Reinvestments" xfId="474"/>
    <cellStyle name="_COT Targeting document v3 PW update" xfId="475"/>
    <cellStyle name="_Currency" xfId="476"/>
    <cellStyle name="_Currency_2007 Budget TV Backup" xfId="477"/>
    <cellStyle name="_Currency_3_9 Content Acq_ Basic ratecards_Fixed fees_ Shopping template" xfId="478"/>
    <cellStyle name="_Currency_3_9 Fixed fees_Shopping_SVOD sent" xfId="479"/>
    <cellStyle name="_Currency_3_9 rate cards sent" xfId="480"/>
    <cellStyle name="_Currency_3_9 rate cards sent 28 Mar 07 phasing UKTV FTV" xfId="481"/>
    <cellStyle name="_Currency_ATV ratecards resent 24 Mar 07" xfId="482"/>
    <cellStyle name="_Currency_FinancialModel - NTL &amp; Virgin Mobile" xfId="483"/>
    <cellStyle name="_Currency_France BP - Nick" xfId="484"/>
    <cellStyle name="_Currency_GE Business Plan" xfId="485"/>
    <cellStyle name="_Currency_GE Business Plan 2" xfId="486"/>
    <cellStyle name="_Currency_HBO GE Channel - 12-03-01 - SPE Prices" xfId="487"/>
    <cellStyle name="_Currency_HBO GE Channel Model - 09-02-01" xfId="488"/>
    <cellStyle name="_Currency_Spain Business Plan" xfId="489"/>
    <cellStyle name="_Currency_Tiger benchmarking" xfId="490"/>
    <cellStyle name="_CurrencySpace" xfId="491"/>
    <cellStyle name="_CurrencySpace_2007 Budget TV Backup" xfId="492"/>
    <cellStyle name="_CurrencySpace_3_9 Content Acq_ Basic ratecards_Fixed fees_ Shopping template" xfId="493"/>
    <cellStyle name="_CurrencySpace_3_9 Fixed fees_Shopping_SVOD sent" xfId="494"/>
    <cellStyle name="_CurrencySpace_3_9 rate cards sent" xfId="495"/>
    <cellStyle name="_CurrencySpace_3_9 rate cards sent 28 Mar 07 phasing UKTV FTV" xfId="496"/>
    <cellStyle name="_CurrencySpace_ATV ratecards resent 24 Mar 07" xfId="497"/>
    <cellStyle name="_Daily Family Report1" xfId="498"/>
    <cellStyle name="_Defence Master Gov Feb06  Amended for PV V2" xfId="499"/>
    <cellStyle name="_Design DC project template" xfId="500"/>
    <cellStyle name="_Design DC project template_NGA Capex QRF2 V1" xfId="501"/>
    <cellStyle name="_Design DC project template_NGA Capex QRF2 V1_Total P&amp;L" xfId="502"/>
    <cellStyle name="_Design DC project template_Service Delivery Capex Template QRF2 V1" xfId="503"/>
    <cellStyle name="_Design DC project template_Service Design Network Capex Template QRF2 V11" xfId="504"/>
    <cellStyle name="_Design DC project template_Service Design System Development Capex Template QRF2 V22" xfId="505"/>
    <cellStyle name="_Design DC project template_Service Design System Development Capex Template QRF2 V22_Total P&amp;L" xfId="506"/>
    <cellStyle name="_development prioritisation v2.11" xfId="507"/>
    <cellStyle name="_development prioritisation v2.11_Book2" xfId="508"/>
    <cellStyle name="_development prioritisation v2.11_Book5" xfId="509"/>
    <cellStyle name="_development prioritisation v2.11_BTU CAPEX QRF2 submissionv2 " xfId="510"/>
    <cellStyle name="_development prioritisation v2.11_BTU CAPEX QRF2 submissionv2 _NGA Capex QRF2 V1" xfId="511"/>
    <cellStyle name="_development prioritisation v2.11_BTU CAPEX QRF2 submissionv2 _Total P&amp;L" xfId="512"/>
    <cellStyle name="_development prioritisation v2.11_NGA Capex QRF2 V1" xfId="513"/>
    <cellStyle name="_development prioritisation v2.11_P&amp;L" xfId="514"/>
    <cellStyle name="_development prioritisation v2.11_P&amp;L_NGA Capex QRF2 V1" xfId="515"/>
    <cellStyle name="_development prioritisation v2.11_P&amp;L_Total P&amp;L" xfId="516"/>
    <cellStyle name="_development prioritisation v2.11_P4 Result-040808" xfId="517"/>
    <cellStyle name="_development prioritisation v2.11_QRF 2 Capex CIO Final 11 Sept 08" xfId="518"/>
    <cellStyle name="_development prioritisation v2.11_QRF2 Capex Template V1a - CIO - RC 0708" xfId="519"/>
    <cellStyle name="_development prioritisation v2.11_QRF2 Capex Template V1a - CIO - RC 0708_NGA Capex QRF2 V1" xfId="520"/>
    <cellStyle name="_development prioritisation v2.11_QRF2 Capex Template V1a - CIO - RC 0708_Total P&amp;L" xfId="521"/>
    <cellStyle name="_development prioritisation v2.11_QRF4 V1a 15 Jan 09- CIO" xfId="522"/>
    <cellStyle name="_development prioritisation v2.11_QRF4 V1a Template - BTU with NGA updated" xfId="523"/>
    <cellStyle name="_development prioritisation v2.11_QRF4 V1a Template - GC" xfId="524"/>
    <cellStyle name="_development prioritisation v2.11_Total P&amp;L" xfId="525"/>
    <cellStyle name="_Differences table template" xfId="526"/>
    <cellStyle name="_eBilling 010407a" xfId="527"/>
    <cellStyle name="_Efficiency summary table - 090710" xfId="528"/>
    <cellStyle name="_Enterprises - Conferencing v12a" xfId="529"/>
    <cellStyle name="_Enterprises - Conferencing v12b SR for Alex" xfId="530"/>
    <cellStyle name="_Enterprises - Conferencing v13a" xfId="531"/>
    <cellStyle name="_Euro" xfId="532"/>
    <cellStyle name="_Ext PPC - Runs to GL (2)" xfId="533"/>
    <cellStyle name="_Flextech Ad Revenue Model" xfId="534"/>
    <cellStyle name="_Flextech Ad Revenue Model_BT Retail 5 Year Plan Master v5" xfId="535"/>
    <cellStyle name="_Front Row detail" xfId="536"/>
    <cellStyle name="_Front Row detail_BT Retail 5 Year Plan Master v5" xfId="537"/>
    <cellStyle name="_GFR Headcount" xfId="538"/>
    <cellStyle name="_Glasgow seats requirement July19th version 2" xfId="539"/>
    <cellStyle name="_Group budget (period 5 view)" xfId="540"/>
    <cellStyle name="_Group budget (period 5 view)_NGA Capex QRF2 V1" xfId="541"/>
    <cellStyle name="_Group budget (period 5 view)_NGA Capex QRF2 V1_Total P&amp;L" xfId="542"/>
    <cellStyle name="_Group budget (period 5 view)_Service Delivery Capex Template QRF2 V1" xfId="543"/>
    <cellStyle name="_Group budget (period 5 view)_Service Design Network Capex Template QRF2 V11" xfId="544"/>
    <cellStyle name="_Group budget (period 5 view)_Service Design System Development Capex Template QRF2 V22" xfId="545"/>
    <cellStyle name="_Group budget (period 5 view)_Service Design System Development Capex Template QRF2 V22_Total P&amp;L" xfId="546"/>
    <cellStyle name="_Group Cost Transformation template Q2" xfId="547"/>
    <cellStyle name="_Group Links v1" xfId="548"/>
    <cellStyle name="_Group Links v1_BT Retail 5 Year Plan Master v5" xfId="549"/>
    <cellStyle name="_Group QRF3 089 Templates (Nov 08) v5 (2)" xfId="550"/>
    <cellStyle name="_Heading" xfId="551"/>
    <cellStyle name="_Heading_BT Retail 5 Year Plan Master v5" xfId="552"/>
    <cellStyle name="_HFM Template" xfId="553"/>
    <cellStyle name="_Highlight" xfId="554"/>
    <cellStyle name="_IA - REPORT PERIOD 11" xfId="555"/>
    <cellStyle name="_ICT Strat Plan 220906V2" xfId="556"/>
    <cellStyle name="_investment analysis v7" xfId="557"/>
    <cellStyle name="_investment analysis v7 (2)" xfId="558"/>
    <cellStyle name="_johnson installs" xfId="559"/>
    <cellStyle name="_Karate Hydraulics 6 October 06 (wk27) - v1" xfId="560"/>
    <cellStyle name="_key metrics (5)" xfId="561"/>
    <cellStyle name="_LEM QPB Assumptions - RAG status (Channel copy) v 3" xfId="562"/>
    <cellStyle name="_LEM QPB Assumptions - RAG status (Channel copy) v 5 (2)" xfId="563"/>
    <cellStyle name="_LOB Q1 cost template v1" xfId="564"/>
    <cellStyle name="_MBC 2006_7 VCS Input - Dec 2005" xfId="565"/>
    <cellStyle name="_MBC FC" xfId="566"/>
    <cellStyle name="_Multiple" xfId="567"/>
    <cellStyle name="_Multiple_2007 Budget TV Backup" xfId="568"/>
    <cellStyle name="_Multiple_3_9 Content Acq_ Basic ratecards_Fixed fees_ Shopping template" xfId="569"/>
    <cellStyle name="_Multiple_3_9 Fixed fees_Shopping_SVOD sent" xfId="570"/>
    <cellStyle name="_Multiple_3_9 rate cards sent" xfId="571"/>
    <cellStyle name="_Multiple_3_9 rate cards sent 28 Mar 07 phasing UKTV FTV" xfId="572"/>
    <cellStyle name="_Multiple_ATV ratecards resent 24 Mar 07" xfId="573"/>
    <cellStyle name="_Multiple_France BP - Nick" xfId="574"/>
    <cellStyle name="_Multiple_GE Business Plan" xfId="575"/>
    <cellStyle name="_Multiple_GE Business Plan 2" xfId="576"/>
    <cellStyle name="_Multiple_HBO GE Channel - 12-03-01 - SPE Prices" xfId="577"/>
    <cellStyle name="_Multiple_HBO GE Channel Model - 09-02-01" xfId="578"/>
    <cellStyle name="_Multiple_Spain Business Plan" xfId="579"/>
    <cellStyle name="_MultipleSpace" xfId="580"/>
    <cellStyle name="_MultipleSpace_2007 Budget TV Backup" xfId="581"/>
    <cellStyle name="_MultipleSpace_3_9 Content Acq_ Basic ratecards_Fixed fees_ Shopping template" xfId="582"/>
    <cellStyle name="_MultipleSpace_3_9 Fixed fees_Shopping_SVOD sent" xfId="583"/>
    <cellStyle name="_MultipleSpace_3_9 rate cards sent" xfId="584"/>
    <cellStyle name="_MultipleSpace_3_9 rate cards sent 28 Mar 07 phasing UKTV FTV" xfId="585"/>
    <cellStyle name="_MultipleSpace_ATV ratecards resent 24 Mar 07" xfId="586"/>
    <cellStyle name="_MultipleSpace_France BP - Nick" xfId="587"/>
    <cellStyle name="_MultipleSpace_GE Business Plan" xfId="588"/>
    <cellStyle name="_MultipleSpace_GE Business Plan 2" xfId="589"/>
    <cellStyle name="_MultipleSpace_GE Business Plan 2_HBO GE Channel - 12-03-01 - SPE Prices" xfId="590"/>
    <cellStyle name="_MultipleSpace_GE Business Plan 2_HBO GE Channel Model - 09-02-01" xfId="591"/>
    <cellStyle name="_MultipleSpace_HBO GE Channel - 12-03-01 - SPE Prices" xfId="592"/>
    <cellStyle name="_MultipleSpace_HBO GE Channel Model - 09-02-01" xfId="593"/>
    <cellStyle name="_MultipleSpace_Spain Business Plan" xfId="594"/>
    <cellStyle name="_NCCImpactAnalysis7fxhv010908" xfId="595"/>
    <cellStyle name="_Network and TV Ops 13 July" xfId="596"/>
    <cellStyle name="_Noida Total PIP per Interval" xfId="597"/>
    <cellStyle name="_Non-Pay Consolidation" xfId="598"/>
    <cellStyle name="_Non-Pay Consolidation_Book2" xfId="599"/>
    <cellStyle name="_Non-Pay Consolidation_Book5" xfId="600"/>
    <cellStyle name="_Non-Pay Consolidation_BTU CAPEX QRF2 submissionv2 " xfId="601"/>
    <cellStyle name="_Non-Pay Consolidation_Operation Q1 Plan V2 - Volume Movements Q-Q Y-Y enhanced frames -  18th April 2006" xfId="602"/>
    <cellStyle name="_Non-Pay Consolidation_P&amp;L" xfId="603"/>
    <cellStyle name="_Non-Pay Consolidation_P4 Result-040808" xfId="604"/>
    <cellStyle name="_Non-Pay Consolidation_QRF 2 Capex CIO Final 11 Sept 08" xfId="605"/>
    <cellStyle name="_Non-Pay Consolidation_QRF2 Capex Template V1a - CIO - RC 0708" xfId="606"/>
    <cellStyle name="_Non-Pay Consolidation_QRF4 V1a 15 Jan 09- CIO" xfId="607"/>
    <cellStyle name="_Non-Pay Consolidation_QRF4 V1a Template - BTU with NGA updated" xfId="608"/>
    <cellStyle name="_Non-Pay Consolidation_QRF4 V1a Template - GC" xfId="609"/>
    <cellStyle name="_North Non-Pay SG 24 Mar-06" xfId="610"/>
    <cellStyle name="_North Non-Pay SG 24 Mar-06_Book2" xfId="611"/>
    <cellStyle name="_North Non-Pay SG 24 Mar-06_Book5" xfId="612"/>
    <cellStyle name="_North Non-Pay SG 24 Mar-06_BTU CAPEX QRF2 submissionv2 " xfId="613"/>
    <cellStyle name="_North Non-Pay SG 24 Mar-06_BTU CAPEX QRF2 submissionv2 _NGA Capex QRF2 V1" xfId="614"/>
    <cellStyle name="_North Non-Pay SG 24 Mar-06_BTU CAPEX QRF2 submissionv2 _Total P&amp;L" xfId="615"/>
    <cellStyle name="_North Non-Pay SG 24 Mar-06_NGA Capex QRF2 V1" xfId="616"/>
    <cellStyle name="_North Non-Pay SG 24 Mar-06_P&amp;L" xfId="617"/>
    <cellStyle name="_North Non-Pay SG 24 Mar-06_P&amp;L_NGA Capex QRF2 V1" xfId="618"/>
    <cellStyle name="_North Non-Pay SG 24 Mar-06_P&amp;L_Total P&amp;L" xfId="619"/>
    <cellStyle name="_North Non-Pay SG 24 Mar-06_P4 Result-040808" xfId="620"/>
    <cellStyle name="_North Non-Pay SG 24 Mar-06_QRF 2 Capex CIO Final 11 Sept 08" xfId="621"/>
    <cellStyle name="_North Non-Pay SG 24 Mar-06_QRF2 Capex Template V1a - CIO - RC 0708" xfId="622"/>
    <cellStyle name="_North Non-Pay SG 24 Mar-06_QRF2 Capex Template V1a - CIO - RC 0708_NGA Capex QRF2 V1" xfId="623"/>
    <cellStyle name="_North Non-Pay SG 24 Mar-06_QRF2 Capex Template V1a - CIO - RC 0708_Total P&amp;L" xfId="624"/>
    <cellStyle name="_North Non-Pay SG 24 Mar-06_QRF4 V1a 15 Jan 09- CIO" xfId="625"/>
    <cellStyle name="_North Non-Pay SG 24 Mar-06_QRF4 V1a Template - BTU with NGA updated" xfId="626"/>
    <cellStyle name="_North Non-Pay SG 24 Mar-06_QRF4 V1a Template - GC" xfId="627"/>
    <cellStyle name="_North Non-Pay SG 24 Mar-06_Total P&amp;L" xfId="628"/>
    <cellStyle name="_OC- Business_P1ver1" xfId="629"/>
    <cellStyle name="_October-06 bonus accruals NAM" xfId="630"/>
    <cellStyle name="_One Plan Daily Report 30th March Final 2006-2007 ver1 (2) (2)" xfId="631"/>
    <cellStyle name="_OneIT Inv Reg" xfId="632"/>
    <cellStyle name="_Operation Q1 Plan V2 - Volume Movements Q-Q Y-Y enhanced frames -  18th April 2006" xfId="633"/>
    <cellStyle name="_Operation Q1 Plan V2 - Volume Movements Q-Q Y-Y enhanced frames -  18th April 2006_Book2" xfId="634"/>
    <cellStyle name="_Operation Q1 Plan V2 - Volume Movements Q-Q Y-Y enhanced frames -  18th April 2006_Book5" xfId="635"/>
    <cellStyle name="_Operation Q1 Plan V2 - Volume Movements Q-Q Y-Y enhanced frames -  18th April 2006_BTU CAPEX QRF2 submissionv2 " xfId="636"/>
    <cellStyle name="_Operation Q1 Plan V2 - Volume Movements Q-Q Y-Y enhanced frames -  18th April 2006_BTU CAPEX QRF2 submissionv2 _NGA Capex QRF2 V1" xfId="637"/>
    <cellStyle name="_Operation Q1 Plan V2 - Volume Movements Q-Q Y-Y enhanced frames -  18th April 2006_BTU CAPEX QRF2 submissionv2 _Total P&amp;L" xfId="638"/>
    <cellStyle name="_Operation Q1 Plan V2 - Volume Movements Q-Q Y-Y enhanced frames -  18th April 2006_NGA Capex QRF2 V1" xfId="639"/>
    <cellStyle name="_Operation Q1 Plan V2 - Volume Movements Q-Q Y-Y enhanced frames -  18th April 2006_P&amp;L" xfId="640"/>
    <cellStyle name="_Operation Q1 Plan V2 - Volume Movements Q-Q Y-Y enhanced frames -  18th April 2006_P&amp;L_NGA Capex QRF2 V1" xfId="641"/>
    <cellStyle name="_Operation Q1 Plan V2 - Volume Movements Q-Q Y-Y enhanced frames -  18th April 2006_P&amp;L_Total P&amp;L" xfId="642"/>
    <cellStyle name="_Operation Q1 Plan V2 - Volume Movements Q-Q Y-Y enhanced frames -  18th April 2006_P4 Result-040808" xfId="643"/>
    <cellStyle name="_Operation Q1 Plan V2 - Volume Movements Q-Q Y-Y enhanced frames -  18th April 2006_QRF 2 Capex CIO Final 11 Sept 08" xfId="644"/>
    <cellStyle name="_Operation Q1 Plan V2 - Volume Movements Q-Q Y-Y enhanced frames -  18th April 2006_QRF2 Capex Template V1a - CIO - RC 0708" xfId="645"/>
    <cellStyle name="_Operation Q1 Plan V2 - Volume Movements Q-Q Y-Y enhanced frames -  18th April 2006_QRF2 Capex Template V1a - CIO - RC 0708_NGA Capex QRF2 V1" xfId="646"/>
    <cellStyle name="_Operation Q1 Plan V2 - Volume Movements Q-Q Y-Y enhanced frames -  18th April 2006_QRF2 Capex Template V1a - CIO - RC 0708_Total P&amp;L" xfId="647"/>
    <cellStyle name="_Operation Q1 Plan V2 - Volume Movements Q-Q Y-Y enhanced frames -  18th April 2006_QRF4 V1a 15 Jan 09- CIO" xfId="648"/>
    <cellStyle name="_Operation Q1 Plan V2 - Volume Movements Q-Q Y-Y enhanced frames -  18th April 2006_QRF4 V1a Template - BTU with NGA updated" xfId="649"/>
    <cellStyle name="_Operation Q1 Plan V2 - Volume Movements Q-Q Y-Y enhanced frames -  18th April 2006_QRF4 V1a Template - GC" xfId="650"/>
    <cellStyle name="_Operation Q1 Plan V2 - Volume Movements Q-Q Y-Y enhanced frames -  18th April 2006_Total P&amp;L" xfId="651"/>
    <cellStyle name="_Operation Q1 Plan V2 - Volume Movements Q-Q Y-Y enhanced frames -  7th April 20062" xfId="652"/>
    <cellStyle name="_Operation Q1 Plan V2 - Volume Movements Q-Q Y-Y enhanced frames -  7th April 20062_Book2" xfId="653"/>
    <cellStyle name="_Operation Q1 Plan V2 - Volume Movements Q-Q Y-Y enhanced frames -  7th April 20062_Book5" xfId="654"/>
    <cellStyle name="_Operation Q1 Plan V2 - Volume Movements Q-Q Y-Y enhanced frames -  7th April 20062_BTU CAPEX QRF2 submissionv2 " xfId="655"/>
    <cellStyle name="_Operation Q1 Plan V2 - Volume Movements Q-Q Y-Y enhanced frames -  7th April 20062_BTU CAPEX QRF2 submissionv2 _NGA Capex QRF2 V1" xfId="656"/>
    <cellStyle name="_Operation Q1 Plan V2 - Volume Movements Q-Q Y-Y enhanced frames -  7th April 20062_BTU CAPEX QRF2 submissionv2 _Total P&amp;L" xfId="657"/>
    <cellStyle name="_Operation Q1 Plan V2 - Volume Movements Q-Q Y-Y enhanced frames -  7th April 20062_NGA Capex QRF2 V1" xfId="658"/>
    <cellStyle name="_Operation Q1 Plan V2 - Volume Movements Q-Q Y-Y enhanced frames -  7th April 20062_P&amp;L" xfId="659"/>
    <cellStyle name="_Operation Q1 Plan V2 - Volume Movements Q-Q Y-Y enhanced frames -  7th April 20062_P&amp;L_NGA Capex QRF2 V1" xfId="660"/>
    <cellStyle name="_Operation Q1 Plan V2 - Volume Movements Q-Q Y-Y enhanced frames -  7th April 20062_P&amp;L_Total P&amp;L" xfId="661"/>
    <cellStyle name="_Operation Q1 Plan V2 - Volume Movements Q-Q Y-Y enhanced frames -  7th April 20062_P4 Result-040808" xfId="662"/>
    <cellStyle name="_Operation Q1 Plan V2 - Volume Movements Q-Q Y-Y enhanced frames -  7th April 20062_QRF 2 Capex CIO Final 11 Sept 08" xfId="663"/>
    <cellStyle name="_Operation Q1 Plan V2 - Volume Movements Q-Q Y-Y enhanced frames -  7th April 20062_QRF2 Capex Template V1a - CIO - RC 0708" xfId="664"/>
    <cellStyle name="_Operation Q1 Plan V2 - Volume Movements Q-Q Y-Y enhanced frames -  7th April 20062_QRF2 Capex Template V1a - CIO - RC 0708_NGA Capex QRF2 V1" xfId="665"/>
    <cellStyle name="_Operation Q1 Plan V2 - Volume Movements Q-Q Y-Y enhanced frames -  7th April 20062_QRF2 Capex Template V1a - CIO - RC 0708_Total P&amp;L" xfId="666"/>
    <cellStyle name="_Operation Q1 Plan V2 - Volume Movements Q-Q Y-Y enhanced frames -  7th April 20062_QRF4 V1a 15 Jan 09- CIO" xfId="667"/>
    <cellStyle name="_Operation Q1 Plan V2 - Volume Movements Q-Q Y-Y enhanced frames -  7th April 20062_QRF4 V1a Template - BTU with NGA updated" xfId="668"/>
    <cellStyle name="_Operation Q1 Plan V2 - Volume Movements Q-Q Y-Y enhanced frames -  7th April 20062_QRF4 V1a Template - GC" xfId="669"/>
    <cellStyle name="_Operation Q1 Plan V2 - Volume Movements Q-Q Y-Y enhanced frames -  7th April 20062_Total P&amp;L" xfId="670"/>
    <cellStyle name="_OpexSavings" xfId="671"/>
    <cellStyle name="_Ops FY 06 v fy07  mvmnt schedule 13 Aprilv22" xfId="672"/>
    <cellStyle name="_Ops FY 06 v fy07  mvmnt schedule 13 Aprilv22_Book2" xfId="673"/>
    <cellStyle name="_Ops FY 06 v fy07  mvmnt schedule 13 Aprilv22_Book5" xfId="674"/>
    <cellStyle name="_Ops FY 06 v fy07  mvmnt schedule 13 Aprilv22_BTU CAPEX QRF2 submissionv2 " xfId="675"/>
    <cellStyle name="_Ops FY 06 v fy07  mvmnt schedule 13 Aprilv22_BTU CAPEX QRF2 submissionv2 _NGA Capex QRF2 V1" xfId="676"/>
    <cellStyle name="_Ops FY 06 v fy07  mvmnt schedule 13 Aprilv22_BTU CAPEX QRF2 submissionv2 _Total P&amp;L" xfId="677"/>
    <cellStyle name="_Ops FY 06 v fy07  mvmnt schedule 13 Aprilv22_NGA Capex QRF2 V1" xfId="678"/>
    <cellStyle name="_Ops FY 06 v fy07  mvmnt schedule 13 Aprilv22_P&amp;L" xfId="679"/>
    <cellStyle name="_Ops FY 06 v fy07  mvmnt schedule 13 Aprilv22_P&amp;L_NGA Capex QRF2 V1" xfId="680"/>
    <cellStyle name="_Ops FY 06 v fy07  mvmnt schedule 13 Aprilv22_P&amp;L_Total P&amp;L" xfId="681"/>
    <cellStyle name="_Ops FY 06 v fy07  mvmnt schedule 13 Aprilv22_P4 Result-040808" xfId="682"/>
    <cellStyle name="_Ops FY 06 v fy07  mvmnt schedule 13 Aprilv22_QRF 2 Capex CIO Final 11 Sept 08" xfId="683"/>
    <cellStyle name="_Ops FY 06 v fy07  mvmnt schedule 13 Aprilv22_QRF2 Capex Template V1a - CIO - RC 0708" xfId="684"/>
    <cellStyle name="_Ops FY 06 v fy07  mvmnt schedule 13 Aprilv22_QRF2 Capex Template V1a - CIO - RC 0708_NGA Capex QRF2 V1" xfId="685"/>
    <cellStyle name="_Ops FY 06 v fy07  mvmnt schedule 13 Aprilv22_QRF2 Capex Template V1a - CIO - RC 0708_Total P&amp;L" xfId="686"/>
    <cellStyle name="_Ops FY 06 v fy07  mvmnt schedule 13 Aprilv22_QRF4 V1a 15 Jan 09- CIO" xfId="687"/>
    <cellStyle name="_Ops FY 06 v fy07  mvmnt schedule 13 Aprilv22_QRF4 V1a Template - BTU with NGA updated" xfId="688"/>
    <cellStyle name="_Ops FY 06 v fy07  mvmnt schedule 13 Aprilv22_QRF4 V1a Template - GC" xfId="689"/>
    <cellStyle name="_Ops FY 06 v fy07  mvmnt schedule 13 Aprilv22_Total P&amp;L" xfId="690"/>
    <cellStyle name="_P05 0607 View" xfId="691"/>
    <cellStyle name="_P07 BTW Schedule from RTU_revised2" xfId="692"/>
    <cellStyle name="_p1 mapping" xfId="693"/>
    <cellStyle name="_p12 Monthly commentary Input" xfId="694"/>
    <cellStyle name="_p12 Monthly commentary Input_Book2" xfId="695"/>
    <cellStyle name="_p12 Monthly commentary Input_Book5" xfId="696"/>
    <cellStyle name="_p12 Monthly commentary Input_BTU CAPEX QRF2 submissionv2 " xfId="697"/>
    <cellStyle name="_p12 Monthly commentary Input_BTU CAPEX QRF2 submissionv2 _NGA Capex QRF2 V1" xfId="698"/>
    <cellStyle name="_p12 Monthly commentary Input_BTU CAPEX QRF2 submissionv2 _Total P&amp;L" xfId="699"/>
    <cellStyle name="_p12 Monthly commentary Input_NGA Capex QRF2 V1" xfId="700"/>
    <cellStyle name="_p12 Monthly commentary Input_P&amp;L" xfId="701"/>
    <cellStyle name="_p12 Monthly commentary Input_P&amp;L_NGA Capex QRF2 V1" xfId="702"/>
    <cellStyle name="_p12 Monthly commentary Input_P&amp;L_Total P&amp;L" xfId="703"/>
    <cellStyle name="_p12 Monthly commentary Input_P4 Result-040808" xfId="704"/>
    <cellStyle name="_p12 Monthly commentary Input_QRF 2 Capex CIO Final 11 Sept 08" xfId="705"/>
    <cellStyle name="_p12 Monthly commentary Input_QRF2 Capex Template V1a - CIO - RC 0708" xfId="706"/>
    <cellStyle name="_p12 Monthly commentary Input_QRF2 Capex Template V1a - CIO - RC 0708_NGA Capex QRF2 V1" xfId="707"/>
    <cellStyle name="_p12 Monthly commentary Input_QRF2 Capex Template V1a - CIO - RC 0708_Total P&amp;L" xfId="708"/>
    <cellStyle name="_p12 Monthly commentary Input_QRF4 V1a 15 Jan 09- CIO" xfId="709"/>
    <cellStyle name="_p12 Monthly commentary Input_QRF4 V1a Template - BTU with NGA updated" xfId="710"/>
    <cellStyle name="_p12 Monthly commentary Input_QRF4 V1a Template - GC" xfId="711"/>
    <cellStyle name="_p12 Monthly commentary Input_Total P&amp;L" xfId="712"/>
    <cellStyle name="_P2 BBE Pay Analysis Summary1" xfId="713"/>
    <cellStyle name="_P2 BBE Pay Analysis Summary1_NGA Capex QRF2 V1" xfId="714"/>
    <cellStyle name="_P2 BBE Pay Analysis Summary1_Total P&amp;L" xfId="715"/>
    <cellStyle name="_P3_DESIGN_CAPEX REPORT_FINAL" xfId="716"/>
    <cellStyle name="_P3_DESIGN_CAPEX REPORT_FINAL_NGA Capex QRF2 V1" xfId="717"/>
    <cellStyle name="_P3_DESIGN_CAPEX REPORT_FINAL_Total P&amp;L" xfId="718"/>
    <cellStyle name="_P4 Result-040808" xfId="719"/>
    <cellStyle name="_P4 Result-040808_NGA Capex QRF2 V1" xfId="720"/>
    <cellStyle name="_P4 Result-040808_Total P&amp;L" xfId="721"/>
    <cellStyle name="_P4_OPENREACH_CAPEX REPORT_WD4_V2 (2)" xfId="722"/>
    <cellStyle name="_P4_OPENREACH_CAPEX REPORT_WD4_V2 (2)_NGA Capex QRF2 V1" xfId="723"/>
    <cellStyle name="_P4_OPENREACH_CAPEX REPORT_WD4_V2 (2)_Total P&amp;L" xfId="724"/>
    <cellStyle name="_P5 YTD inter analysisv2" xfId="725"/>
    <cellStyle name="_Percent" xfId="726"/>
    <cellStyle name="_Percent_France BP - Nick" xfId="727"/>
    <cellStyle name="_Percent_GE Business Plan" xfId="728"/>
    <cellStyle name="_Percent_GE Business Plan 2" xfId="729"/>
    <cellStyle name="_Percent_GE Business Plan 2_HBO GE Channel - 12-03-01 - SPE Prices" xfId="730"/>
    <cellStyle name="_Percent_GE Business Plan 2_HBO GE Channel Model - 09-02-01" xfId="731"/>
    <cellStyle name="_Percent_HBO GE Channel - 12-03-01 - SPE Prices" xfId="732"/>
    <cellStyle name="_Percent_HBO GE Channel Model - 09-02-01" xfId="733"/>
    <cellStyle name="_Percent_Spain Business Plan" xfId="734"/>
    <cellStyle name="_PercentSpace" xfId="735"/>
    <cellStyle name="_PercentSpace_France BP - Nick" xfId="736"/>
    <cellStyle name="_PercentSpace_GE Business Plan" xfId="737"/>
    <cellStyle name="_PercentSpace_GE Business Plan 2" xfId="738"/>
    <cellStyle name="_PercentSpace_GE Business Plan 2_HBO GE Channel - 12-03-01 - SPE Prices" xfId="739"/>
    <cellStyle name="_PercentSpace_GE Business Plan 2_HBO GE Channel Model - 09-02-01" xfId="740"/>
    <cellStyle name="_PercentSpace_HBO GE Channel - 12-03-01 - SPE Prices" xfId="741"/>
    <cellStyle name="_PercentSpace_HBO GE Channel Model - 09-02-01" xfId="742"/>
    <cellStyle name="_PercentSpace_Spain Business Plan" xfId="743"/>
    <cellStyle name="_PL Stratplan 0607 - BTB Mobility Submission (StratPlan)_V7" xfId="744"/>
    <cellStyle name="_PPC 0506 v1.10" xfId="745"/>
    <cellStyle name="_PPC Carrier Price List Summary07-08-110308v1" xfId="746"/>
    <cellStyle name="_PPC Carrier Price List Summary240108v1" xfId="747"/>
    <cellStyle name="_PPC External NCC vs GL Plus OSP detail020708" xfId="748"/>
    <cellStyle name="_PPC Price Database030108" xfId="749"/>
    <cellStyle name="_PPC_Workings Internals 0607 P12 070808" xfId="750"/>
    <cellStyle name="_PPC_Workings0708 P12 200608 - Protected path" xfId="751"/>
    <cellStyle name="_PPC200607Revenuereconciliation" xfId="752"/>
    <cellStyle name="_PPC200607Revenuereconciliation020708" xfId="753"/>
    <cellStyle name="_PPC200607Revenuereconciliation050308" xfId="754"/>
    <cellStyle name="_PPC200708Revenuereconciliation040708" xfId="755"/>
    <cellStyle name="_PPC200708Revenuereconciliation160508" xfId="756"/>
    <cellStyle name="_PPCRevenueYearOnYear180808" xfId="757"/>
    <cellStyle name="_Priority Matrix 090105vr v2" xfId="758"/>
    <cellStyle name="_Priority Matrix 090105vr v2_Book2" xfId="759"/>
    <cellStyle name="_Priority Matrix 090105vr v2_Book5" xfId="760"/>
    <cellStyle name="_Priority Matrix 090105vr v2_BTU CAPEX QRF2 submissionv2 " xfId="761"/>
    <cellStyle name="_Priority Matrix 090105vr v2_BTU CAPEX QRF2 submissionv2 _NGA Capex QRF2 V1" xfId="762"/>
    <cellStyle name="_Priority Matrix 090105vr v2_BTU CAPEX QRF2 submissionv2 _Total P&amp;L" xfId="763"/>
    <cellStyle name="_Priority Matrix 090105vr v2_NGA Capex QRF2 V1" xfId="764"/>
    <cellStyle name="_Priority Matrix 090105vr v2_P&amp;L" xfId="765"/>
    <cellStyle name="_Priority Matrix 090105vr v2_P&amp;L_NGA Capex QRF2 V1" xfId="766"/>
    <cellStyle name="_Priority Matrix 090105vr v2_P&amp;L_Total P&amp;L" xfId="767"/>
    <cellStyle name="_Priority Matrix 090105vr v2_P4 Result-040808" xfId="768"/>
    <cellStyle name="_Priority Matrix 090105vr v2_QRF 2 Capex CIO Final 11 Sept 08" xfId="769"/>
    <cellStyle name="_Priority Matrix 090105vr v2_QRF2 Capex Template V1a - CIO - RC 0708" xfId="770"/>
    <cellStyle name="_Priority Matrix 090105vr v2_QRF2 Capex Template V1a - CIO - RC 0708_NGA Capex QRF2 V1" xfId="771"/>
    <cellStyle name="_Priority Matrix 090105vr v2_QRF2 Capex Template V1a - CIO - RC 0708_Total P&amp;L" xfId="772"/>
    <cellStyle name="_Priority Matrix 090105vr v2_QRF4 V1a 15 Jan 09- CIO" xfId="773"/>
    <cellStyle name="_Priority Matrix 090105vr v2_QRF4 V1a Template - BTU with NGA updated" xfId="774"/>
    <cellStyle name="_Priority Matrix 090105vr v2_QRF4 V1a Template - GC" xfId="775"/>
    <cellStyle name="_Priority Matrix 090105vr v2_Total P&amp;L" xfId="776"/>
    <cellStyle name="_Prirotised capex v7 DB" xfId="777"/>
    <cellStyle name="_Prirotised capex v7 DB_Book2" xfId="778"/>
    <cellStyle name="_Prirotised capex v7 DB_Book5" xfId="779"/>
    <cellStyle name="_Prirotised capex v7 DB_BTU CAPEX QRF2 submissionv2 " xfId="780"/>
    <cellStyle name="_Prirotised capex v7 DB_BTU CAPEX QRF2 submissionv2 _NGA Capex QRF2 V1" xfId="781"/>
    <cellStyle name="_Prirotised capex v7 DB_BTU CAPEX QRF2 submissionv2 _Total P&amp;L" xfId="782"/>
    <cellStyle name="_Prirotised capex v7 DB_NGA Capex QRF2 V1" xfId="783"/>
    <cellStyle name="_Prirotised capex v7 DB_P&amp;L" xfId="784"/>
    <cellStyle name="_Prirotised capex v7 DB_P&amp;L_NGA Capex QRF2 V1" xfId="785"/>
    <cellStyle name="_Prirotised capex v7 DB_P&amp;L_Total P&amp;L" xfId="786"/>
    <cellStyle name="_Prirotised capex v7 DB_P4 Result-040808" xfId="787"/>
    <cellStyle name="_Prirotised capex v7 DB_QRF 2 Capex CIO Final 11 Sept 08" xfId="788"/>
    <cellStyle name="_Prirotised capex v7 DB_QRF2 Capex Template V1a - CIO - RC 0708" xfId="789"/>
    <cellStyle name="_Prirotised capex v7 DB_QRF2 Capex Template V1a - CIO - RC 0708_NGA Capex QRF2 V1" xfId="790"/>
    <cellStyle name="_Prirotised capex v7 DB_QRF2 Capex Template V1a - CIO - RC 0708_Total P&amp;L" xfId="791"/>
    <cellStyle name="_Prirotised capex v7 DB_QRF4 V1a 15 Jan 09- CIO" xfId="792"/>
    <cellStyle name="_Prirotised capex v7 DB_QRF4 V1a Template - BTU with NGA updated" xfId="793"/>
    <cellStyle name="_Prirotised capex v7 DB_QRF4 V1a Template - GC" xfId="794"/>
    <cellStyle name="_Prirotised capex v7 DB_Total P&amp;L" xfId="795"/>
    <cellStyle name="_PROGRAMMES for 0708" xfId="796"/>
    <cellStyle name="_Project United Reserves June2009" xfId="797"/>
    <cellStyle name="_Property cost reporting schedules (BT Property Submission)" xfId="798"/>
    <cellStyle name="_Property Q4 cost template" xfId="799"/>
    <cellStyle name="_PVE QPB 06-07 North-South combined" xfId="800"/>
    <cellStyle name="_PVE QPB 06-07 North-South combined V5 (2)" xfId="801"/>
    <cellStyle name="_PVE QPB 06-07 North-South combined V5 (2)_Book2" xfId="802"/>
    <cellStyle name="_PVE QPB 06-07 North-South combined V5 (2)_Book5" xfId="803"/>
    <cellStyle name="_PVE QPB 06-07 North-South combined V5 (2)_BTU CAPEX QRF2 submissionv2 " xfId="804"/>
    <cellStyle name="_PVE QPB 06-07 North-South combined V5 (2)_BTU CAPEX QRF2 submissionv2 _NGA Capex QRF2 V1" xfId="805"/>
    <cellStyle name="_PVE QPB 06-07 North-South combined V5 (2)_BTU CAPEX QRF2 submissionv2 _Total P&amp;L" xfId="806"/>
    <cellStyle name="_PVE QPB 06-07 North-South combined V5 (2)_NGA Capex QRF2 V1" xfId="807"/>
    <cellStyle name="_PVE QPB 06-07 North-South combined V5 (2)_P&amp;L" xfId="808"/>
    <cellStyle name="_PVE QPB 06-07 North-South combined V5 (2)_P&amp;L_NGA Capex QRF2 V1" xfId="809"/>
    <cellStyle name="_PVE QPB 06-07 North-South combined V5 (2)_P&amp;L_Total P&amp;L" xfId="810"/>
    <cellStyle name="_PVE QPB 06-07 North-South combined V5 (2)_P4 Result-040808" xfId="811"/>
    <cellStyle name="_PVE QPB 06-07 North-South combined V5 (2)_QRF 2 Capex CIO Final 11 Sept 08" xfId="812"/>
    <cellStyle name="_PVE QPB 06-07 North-South combined V5 (2)_QRF2 Capex Template V1a - CIO - RC 0708" xfId="813"/>
    <cellStyle name="_PVE QPB 06-07 North-South combined V5 (2)_QRF2 Capex Template V1a - CIO - RC 0708_NGA Capex QRF2 V1" xfId="814"/>
    <cellStyle name="_PVE QPB 06-07 North-South combined V5 (2)_QRF2 Capex Template V1a - CIO - RC 0708_Total P&amp;L" xfId="815"/>
    <cellStyle name="_PVE QPB 06-07 North-South combined V5 (2)_QRF4 V1a 15 Jan 09- CIO" xfId="816"/>
    <cellStyle name="_PVE QPB 06-07 North-South combined V5 (2)_QRF4 V1a Template - BTU with NGA updated" xfId="817"/>
    <cellStyle name="_PVE QPB 06-07 North-South combined V5 (2)_QRF4 V1a Template - GC" xfId="818"/>
    <cellStyle name="_PVE QPB 06-07 North-South combined V5 (2)_Total P&amp;L" xfId="819"/>
    <cellStyle name="_PVE QPB 06-07 North-South combined V9 July update" xfId="820"/>
    <cellStyle name="_PVE QPB 06-07 North-South combined V9 July update_Book2" xfId="821"/>
    <cellStyle name="_PVE QPB 06-07 North-South combined V9 July update_Book5" xfId="822"/>
    <cellStyle name="_PVE QPB 06-07 North-South combined V9 July update_BTU CAPEX QRF2 submissionv2 " xfId="823"/>
    <cellStyle name="_PVE QPB 06-07 North-South combined V9 July update_BTU CAPEX QRF2 submissionv2 _NGA Capex QRF2 V1" xfId="824"/>
    <cellStyle name="_PVE QPB 06-07 North-South combined V9 July update_BTU CAPEX QRF2 submissionv2 _Total P&amp;L" xfId="825"/>
    <cellStyle name="_PVE QPB 06-07 North-South combined V9 July update_NGA Capex QRF2 V1" xfId="826"/>
    <cellStyle name="_PVE QPB 06-07 North-South combined V9 July update_P&amp;L" xfId="827"/>
    <cellStyle name="_PVE QPB 06-07 North-South combined V9 July update_P&amp;L_NGA Capex QRF2 V1" xfId="828"/>
    <cellStyle name="_PVE QPB 06-07 North-South combined V9 July update_P&amp;L_Total P&amp;L" xfId="829"/>
    <cellStyle name="_PVE QPB 06-07 North-South combined V9 July update_P4 Result-040808" xfId="830"/>
    <cellStyle name="_PVE QPB 06-07 North-South combined V9 July update_QRF 2 Capex CIO Final 11 Sept 08" xfId="831"/>
    <cellStyle name="_PVE QPB 06-07 North-South combined V9 July update_QRF2 Capex Template V1a - CIO - RC 0708" xfId="832"/>
    <cellStyle name="_PVE QPB 06-07 North-South combined V9 July update_QRF2 Capex Template V1a - CIO - RC 0708_NGA Capex QRF2 V1" xfId="833"/>
    <cellStyle name="_PVE QPB 06-07 North-South combined V9 July update_QRF2 Capex Template V1a - CIO - RC 0708_Total P&amp;L" xfId="834"/>
    <cellStyle name="_PVE QPB 06-07 North-South combined V9 July update_QRF4 V1a 15 Jan 09- CIO" xfId="835"/>
    <cellStyle name="_PVE QPB 06-07 North-South combined V9 July update_QRF4 V1a Template - BTU with NGA updated" xfId="836"/>
    <cellStyle name="_PVE QPB 06-07 North-South combined V9 July update_QRF4 V1a Template - GC" xfId="837"/>
    <cellStyle name="_PVE QPB 06-07 North-South combined V9 July update_Total P&amp;L" xfId="838"/>
    <cellStyle name="_PVE QPB 06-07 North-South combined_Book2" xfId="839"/>
    <cellStyle name="_PVE QPB 06-07 North-South combined_Book5" xfId="840"/>
    <cellStyle name="_PVE QPB 06-07 North-South combined_BTU CAPEX QRF2 submissionv2 " xfId="841"/>
    <cellStyle name="_PVE QPB 06-07 North-South combined_BTU CAPEX QRF2 submissionv2 _NGA Capex QRF2 V1" xfId="842"/>
    <cellStyle name="_PVE QPB 06-07 North-South combined_BTU CAPEX QRF2 submissionv2 _Total P&amp;L" xfId="843"/>
    <cellStyle name="_PVE QPB 06-07 North-South combined_NGA Capex QRF2 V1" xfId="844"/>
    <cellStyle name="_PVE QPB 06-07 North-South combined_P&amp;L" xfId="845"/>
    <cellStyle name="_PVE QPB 06-07 North-South combined_P&amp;L_NGA Capex QRF2 V1" xfId="846"/>
    <cellStyle name="_PVE QPB 06-07 North-South combined_P&amp;L_Total P&amp;L" xfId="847"/>
    <cellStyle name="_PVE QPB 06-07 North-South combined_P4 Result-040808" xfId="848"/>
    <cellStyle name="_PVE QPB 06-07 North-South combined_QRF 2 Capex CIO Final 11 Sept 08" xfId="849"/>
    <cellStyle name="_PVE QPB 06-07 North-South combined_QRF2 Capex Template V1a - CIO - RC 0708" xfId="850"/>
    <cellStyle name="_PVE QPB 06-07 North-South combined_QRF2 Capex Template V1a - CIO - RC 0708_NGA Capex QRF2 V1" xfId="851"/>
    <cellStyle name="_PVE QPB 06-07 North-South combined_QRF2 Capex Template V1a - CIO - RC 0708_Total P&amp;L" xfId="852"/>
    <cellStyle name="_PVE QPB 06-07 North-South combined_QRF4 V1a 15 Jan 09- CIO" xfId="853"/>
    <cellStyle name="_PVE QPB 06-07 North-South combined_QRF4 V1a Template - BTU with NGA updated" xfId="854"/>
    <cellStyle name="_PVE QPB 06-07 North-South combined_QRF4 V1a Template - GC" xfId="855"/>
    <cellStyle name="_PVE QPB 06-07 North-South combined_Total P&amp;L" xfId="856"/>
    <cellStyle name="_Q1  Q2 plan v3 110505" xfId="857"/>
    <cellStyle name="_Q1 PVE on TCC 03_04_06 Ver1" xfId="858"/>
    <cellStyle name="_Q1 PVE on TCC 03_04_06 Ver1_Book2" xfId="859"/>
    <cellStyle name="_Q1 PVE on TCC 03_04_06 Ver1_Book5" xfId="860"/>
    <cellStyle name="_Q1 PVE on TCC 03_04_06 Ver1_BTU CAPEX QRF2 submissionv2 " xfId="861"/>
    <cellStyle name="_Q1 PVE on TCC 03_04_06 Ver1_BTU CAPEX QRF2 submissionv2 _NGA Capex QRF2 V1" xfId="862"/>
    <cellStyle name="_Q1 PVE on TCC 03_04_06 Ver1_BTU CAPEX QRF2 submissionv2 _Total P&amp;L" xfId="863"/>
    <cellStyle name="_Q1 PVE on TCC 03_04_06 Ver1_NGA Capex QRF2 V1" xfId="864"/>
    <cellStyle name="_Q1 PVE on TCC 03_04_06 Ver1_P&amp;L" xfId="865"/>
    <cellStyle name="_Q1 PVE on TCC 03_04_06 Ver1_P&amp;L_NGA Capex QRF2 V1" xfId="866"/>
    <cellStyle name="_Q1 PVE on TCC 03_04_06 Ver1_P&amp;L_Total P&amp;L" xfId="867"/>
    <cellStyle name="_Q1 PVE on TCC 03_04_06 Ver1_P4 Result-040808" xfId="868"/>
    <cellStyle name="_Q1 PVE on TCC 03_04_06 Ver1_QRF 2 Capex CIO Final 11 Sept 08" xfId="869"/>
    <cellStyle name="_Q1 PVE on TCC 03_04_06 Ver1_QRF2 Capex Template V1a - CIO - RC 0708" xfId="870"/>
    <cellStyle name="_Q1 PVE on TCC 03_04_06 Ver1_QRF2 Capex Template V1a - CIO - RC 0708_NGA Capex QRF2 V1" xfId="871"/>
    <cellStyle name="_Q1 PVE on TCC 03_04_06 Ver1_QRF2 Capex Template V1a - CIO - RC 0708_Total P&amp;L" xfId="872"/>
    <cellStyle name="_Q1 PVE on TCC 03_04_06 Ver1_QRF4 V1a 15 Jan 09- CIO" xfId="873"/>
    <cellStyle name="_Q1 PVE on TCC 03_04_06 Ver1_QRF4 V1a Template - BTU with NGA updated" xfId="874"/>
    <cellStyle name="_Q1 PVE on TCC 03_04_06 Ver1_QRF4 V1a Template - GC" xfId="875"/>
    <cellStyle name="_Q1 PVE on TCC 03_04_06 Ver1_Total P&amp;L" xfId="876"/>
    <cellStyle name="_Q2 TM Costs_v3" xfId="877"/>
    <cellStyle name="_Q2 value plan v2 040505" xfId="878"/>
    <cellStyle name="_Q4 vs Q1 PVE Ver2.xls" xfId="879"/>
    <cellStyle name="_Q4 vs Q1 PVE Ver2.xls_Book2" xfId="880"/>
    <cellStyle name="_Q4 vs Q1 PVE Ver2.xls_Book5" xfId="881"/>
    <cellStyle name="_Q4 vs Q1 PVE Ver2.xls_BTU CAPEX QRF2 submissionv2 " xfId="882"/>
    <cellStyle name="_Q4 vs Q1 PVE Ver2.xls_BTU CAPEX QRF2 submissionv2 _NGA Capex QRF2 V1" xfId="883"/>
    <cellStyle name="_Q4 vs Q1 PVE Ver2.xls_BTU CAPEX QRF2 submissionv2 _Total P&amp;L" xfId="884"/>
    <cellStyle name="_Q4 vs Q1 PVE Ver2.xls_NGA Capex QRF2 V1" xfId="885"/>
    <cellStyle name="_Q4 vs Q1 PVE Ver2.xls_P&amp;L" xfId="886"/>
    <cellStyle name="_Q4 vs Q1 PVE Ver2.xls_P&amp;L_NGA Capex QRF2 V1" xfId="887"/>
    <cellStyle name="_Q4 vs Q1 PVE Ver2.xls_P&amp;L_Total P&amp;L" xfId="888"/>
    <cellStyle name="_Q4 vs Q1 PVE Ver2.xls_P4 Result-040808" xfId="889"/>
    <cellStyle name="_Q4 vs Q1 PVE Ver2.xls_QRF 2 Capex CIO Final 11 Sept 08" xfId="890"/>
    <cellStyle name="_Q4 vs Q1 PVE Ver2.xls_QRF2 Capex Template V1a - CIO - RC 0708" xfId="891"/>
    <cellStyle name="_Q4 vs Q1 PVE Ver2.xls_QRF2 Capex Template V1a - CIO - RC 0708_NGA Capex QRF2 V1" xfId="892"/>
    <cellStyle name="_Q4 vs Q1 PVE Ver2.xls_QRF2 Capex Template V1a - CIO - RC 0708_Total P&amp;L" xfId="893"/>
    <cellStyle name="_Q4 vs Q1 PVE Ver2.xls_QRF4 V1a 15 Jan 09- CIO" xfId="894"/>
    <cellStyle name="_Q4 vs Q1 PVE Ver2.xls_QRF4 V1a Template - BTU with NGA updated" xfId="895"/>
    <cellStyle name="_Q4 vs Q1 PVE Ver2.xls_QRF4 V1a Template - GC" xfId="896"/>
    <cellStyle name="_Q4 vs Q1 PVE Ver2.xls_Total P&amp;L" xfId="897"/>
    <cellStyle name="_Q4_0506_Mobile_Connections_v2" xfId="898"/>
    <cellStyle name="_QPB EBITDA 06_07 - 08_09 master 9 January" xfId="899"/>
    <cellStyle name="_QPB EBITDA 06_07 - 08_09 v1" xfId="900"/>
    <cellStyle name="_QRF 2 Capex CIO Final 11 Sept 08" xfId="901"/>
    <cellStyle name="_QRF1 BU Template - CEO v5 20-7-08 (Final)" xfId="902"/>
    <cellStyle name="_QRF2 Capex Template V1a - CIO - RC 0708" xfId="903"/>
    <cellStyle name="_QRF2 Capex Template V1a - CIO - RC 0708_NGA Capex QRF2 V1" xfId="904"/>
    <cellStyle name="_QRF2 Capex Template V1a - CIO - RC 0708_Total P&amp;L" xfId="905"/>
    <cellStyle name="_QRF4 Cost Reporting - Prop" xfId="906"/>
    <cellStyle name="_Qtr on Qtr PVEO" xfId="907"/>
    <cellStyle name="_Qtr on Qtr PVEO_Book2" xfId="908"/>
    <cellStyle name="_Qtr on Qtr PVEO_Book5" xfId="909"/>
    <cellStyle name="_Qtr on Qtr PVEO_BTU CAPEX QRF2 submissionv2 " xfId="910"/>
    <cellStyle name="_Qtr on Qtr PVEO_BTU CAPEX QRF2 submissionv2 _NGA Capex QRF2 V1" xfId="911"/>
    <cellStyle name="_Qtr on Qtr PVEO_BTU CAPEX QRF2 submissionv2 _Total P&amp;L" xfId="912"/>
    <cellStyle name="_Qtr on Qtr PVEO_NGA Capex QRF2 V1" xfId="913"/>
    <cellStyle name="_Qtr on Qtr PVEO_P&amp;L" xfId="914"/>
    <cellStyle name="_Qtr on Qtr PVEO_P&amp;L_NGA Capex QRF2 V1" xfId="915"/>
    <cellStyle name="_Qtr on Qtr PVEO_P&amp;L_Total P&amp;L" xfId="916"/>
    <cellStyle name="_Qtr on Qtr PVEO_P4 Result-040808" xfId="917"/>
    <cellStyle name="_Qtr on Qtr PVEO_QRF 2 Capex CIO Final 11 Sept 08" xfId="918"/>
    <cellStyle name="_Qtr on Qtr PVEO_QRF2 Capex Template V1a - CIO - RC 0708" xfId="919"/>
    <cellStyle name="_Qtr on Qtr PVEO_QRF2 Capex Template V1a - CIO - RC 0708_NGA Capex QRF2 V1" xfId="920"/>
    <cellStyle name="_Qtr on Qtr PVEO_QRF2 Capex Template V1a - CIO - RC 0708_Total P&amp;L" xfId="921"/>
    <cellStyle name="_Qtr on Qtr PVEO_QRF4 V1a 15 Jan 09- CIO" xfId="922"/>
    <cellStyle name="_Qtr on Qtr PVEO_QRF4 V1a Template - BTU with NGA updated" xfId="923"/>
    <cellStyle name="_Qtr on Qtr PVEO_QRF4 V1a Template - GC" xfId="924"/>
    <cellStyle name="_Qtr on Qtr PVEO_Total P&amp;L" xfId="925"/>
    <cellStyle name="_quarterly active movement history v2 (2)" xfId="926"/>
    <cellStyle name="_Radianz COE" xfId="927"/>
    <cellStyle name="_Radianz COE (2)" xfId="928"/>
    <cellStyle name="_RBS200809RevenueReconciliation080708" xfId="929"/>
    <cellStyle name="_RD TinT summary April" xfId="930"/>
    <cellStyle name="_Regions Strat Plan 18-8-05 v2" xfId="931"/>
    <cellStyle name="_Reinvestments 2b" xfId="932"/>
    <cellStyle name="_Retail Consumer 5 yr plan master v9" xfId="933"/>
    <cellStyle name="_Retail Data Pack Q3 vs 050209" xfId="934"/>
    <cellStyle name="_Retail Q2 cost template Split 1010" xfId="935"/>
    <cellStyle name="_Retail Strategic Plan - Summary Reference File v2- 17 Nov 2006" xfId="936"/>
    <cellStyle name="_REVENUE AND GM MASTER - BOTTOM UP 4 NOV" xfId="937"/>
    <cellStyle name="_REVENUE AND GM MASTER - BOTTOM UP 4 NOVc" xfId="938"/>
    <cellStyle name="_Revenue and Volume template" xfId="939"/>
    <cellStyle name="_ROI MD Data Prioritisation 170205" xfId="940"/>
    <cellStyle name="_ROI MD Data Prioritisation 170205_Book2" xfId="941"/>
    <cellStyle name="_ROI MD Data Prioritisation 170205_Book5" xfId="942"/>
    <cellStyle name="_ROI MD Data Prioritisation 170205_BTU CAPEX QRF2 submissionv2 " xfId="943"/>
    <cellStyle name="_ROI MD Data Prioritisation 170205_BTU CAPEX QRF2 submissionv2 _NGA Capex QRF2 V1" xfId="944"/>
    <cellStyle name="_ROI MD Data Prioritisation 170205_BTU CAPEX QRF2 submissionv2 _Total P&amp;L" xfId="945"/>
    <cellStyle name="_ROI MD Data Prioritisation 170205_NGA Capex QRF2 V1" xfId="946"/>
    <cellStyle name="_ROI MD Data Prioritisation 170205_P&amp;L" xfId="947"/>
    <cellStyle name="_ROI MD Data Prioritisation 170205_P&amp;L_NGA Capex QRF2 V1" xfId="948"/>
    <cellStyle name="_ROI MD Data Prioritisation 170205_P&amp;L_Total P&amp;L" xfId="949"/>
    <cellStyle name="_ROI MD Data Prioritisation 170205_P4 Result-040808" xfId="950"/>
    <cellStyle name="_ROI MD Data Prioritisation 170205_QRF 2 Capex CIO Final 11 Sept 08" xfId="951"/>
    <cellStyle name="_ROI MD Data Prioritisation 170205_QRF2 Capex Template V1a - CIO - RC 0708" xfId="952"/>
    <cellStyle name="_ROI MD Data Prioritisation 170205_QRF2 Capex Template V1a - CIO - RC 0708_NGA Capex QRF2 V1" xfId="953"/>
    <cellStyle name="_ROI MD Data Prioritisation 170205_QRF2 Capex Template V1a - CIO - RC 0708_Total P&amp;L" xfId="954"/>
    <cellStyle name="_ROI MD Data Prioritisation 170205_QRF4 V1a 15 Jan 09- CIO" xfId="955"/>
    <cellStyle name="_ROI MD Data Prioritisation 170205_QRF4 V1a Template - BTU with NGA updated" xfId="956"/>
    <cellStyle name="_ROI MD Data Prioritisation 170205_QRF4 V1a Template - GC" xfId="957"/>
    <cellStyle name="_ROI MD Data Prioritisation 170205_Total P&amp;L" xfId="958"/>
    <cellStyle name="_Sarbox Control Sheet" xfId="959"/>
    <cellStyle name="_Savings Plan 4 21st June" xfId="960"/>
    <cellStyle name="_Seating Capacity - with attrition &amp; recruitment.xls Chart 1" xfId="961"/>
    <cellStyle name="_Seating Capacity - with attrition &amp; recruitment.xls Chart 1-1" xfId="962"/>
    <cellStyle name="_Seating Capacity Template" xfId="963"/>
    <cellStyle name="_SHARE 0506" xfId="964"/>
    <cellStyle name="_Simple Covenant Model v8 Virgin" xfId="965"/>
    <cellStyle name="_Softswitch Deployment 13 July" xfId="966"/>
    <cellStyle name="_STRAT PLAN _ KEY VOLUMES FOR ONE IT- 21 November 2006 (2)" xfId="967"/>
    <cellStyle name="_Strat Plan _QPB (Nov 28th Submission) templates" xfId="968"/>
    <cellStyle name="_Strat Plan 230806" xfId="969"/>
    <cellStyle name="_Strat Plan BU Submissions 110906 v3" xfId="970"/>
    <cellStyle name="_strat plan bu submissions 250906 v7e" xfId="971"/>
    <cellStyle name="_Strat Plan Scenario 5b1" xfId="972"/>
    <cellStyle name="_Strat Plan Scenario 5d BU base case template" xfId="973"/>
    <cellStyle name="_Strat Plan Schedules - BT Business" xfId="974"/>
    <cellStyle name="_SubHeading" xfId="975"/>
    <cellStyle name="_SubHeading_BT Retail 5 Year Plan Master v5" xfId="976"/>
    <cellStyle name="_Summary Info" xfId="977"/>
    <cellStyle name="_Summary Info_Book2" xfId="978"/>
    <cellStyle name="_Summary Info_Book5" xfId="979"/>
    <cellStyle name="_Summary Info_BTU CAPEX QRF2 submissionv2 " xfId="980"/>
    <cellStyle name="_Summary Info_P&amp;L" xfId="981"/>
    <cellStyle name="_Summary Info_P4 Result-040808" xfId="982"/>
    <cellStyle name="_Summary Info_QRF 2 Capex CIO Final 11 Sept 08" xfId="983"/>
    <cellStyle name="_Summary Info_QRF2 Capex Template V1a - CIO - RC 0708" xfId="984"/>
    <cellStyle name="_Summary Info_QRF4 V1a 15 Jan 09- CIO" xfId="985"/>
    <cellStyle name="_Summary Info_QRF4 V1a Template - BTU with NGA updated" xfId="986"/>
    <cellStyle name="_Summary Info_QRF4 V1a Template - GC" xfId="987"/>
    <cellStyle name="_Summary of Group requirements" xfId="988"/>
    <cellStyle name="_Summary of Group requirements1" xfId="989"/>
    <cellStyle name="_summary PLs v4 - 7 November" xfId="990"/>
    <cellStyle name="_Systems Mapping 13 July" xfId="991"/>
    <cellStyle name="_Table" xfId="992"/>
    <cellStyle name="_Table_BT Retail 5 Year Plan Master v5" xfId="993"/>
    <cellStyle name="_TableHead" xfId="994"/>
    <cellStyle name="_TableHead_BT Retail 5 Year Plan Master v5" xfId="995"/>
    <cellStyle name="_TableRowHead" xfId="996"/>
    <cellStyle name="_TableRowHead_BT Retail 5 Year Plan Master v5" xfId="997"/>
    <cellStyle name="_TableSuperHead" xfId="998"/>
    <cellStyle name="_TableSuperHead_BT Retail 5 Year Plan Master v5" xfId="999"/>
    <cellStyle name="_TC STRAT PLAN PRESENTATION MASTER -  BUSINESS REVIEW UPDATE - 19 FEB" xfId="1000"/>
    <cellStyle name="_TCA map comparison" xfId="1001"/>
    <cellStyle name="_Temp PVE QPB 06-07 North-South" xfId="1002"/>
    <cellStyle name="_Temp PVE QPB 06-07 North-South_Book2" xfId="1003"/>
    <cellStyle name="_Temp PVE QPB 06-07 North-South_Book5" xfId="1004"/>
    <cellStyle name="_Temp PVE QPB 06-07 North-South_BTU CAPEX QRF2 submissionv2 " xfId="1005"/>
    <cellStyle name="_Temp PVE QPB 06-07 North-South_BTU CAPEX QRF2 submissionv2 _NGA Capex QRF2 V1" xfId="1006"/>
    <cellStyle name="_Temp PVE QPB 06-07 North-South_BTU CAPEX QRF2 submissionv2 _Total P&amp;L" xfId="1007"/>
    <cellStyle name="_Temp PVE QPB 06-07 North-South_NGA Capex QRF2 V1" xfId="1008"/>
    <cellStyle name="_Temp PVE QPB 06-07 North-South_P&amp;L" xfId="1009"/>
    <cellStyle name="_Temp PVE QPB 06-07 North-South_P&amp;L_NGA Capex QRF2 V1" xfId="1010"/>
    <cellStyle name="_Temp PVE QPB 06-07 North-South_P&amp;L_Total P&amp;L" xfId="1011"/>
    <cellStyle name="_Temp PVE QPB 06-07 North-South_P4 Result-040808" xfId="1012"/>
    <cellStyle name="_Temp PVE QPB 06-07 North-South_QRF 2 Capex CIO Final 11 Sept 08" xfId="1013"/>
    <cellStyle name="_Temp PVE QPB 06-07 North-South_QRF2 Capex Template V1a - CIO - RC 0708" xfId="1014"/>
    <cellStyle name="_Temp PVE QPB 06-07 North-South_QRF2 Capex Template V1a - CIO - RC 0708_NGA Capex QRF2 V1" xfId="1015"/>
    <cellStyle name="_Temp PVE QPB 06-07 North-South_QRF2 Capex Template V1a - CIO - RC 0708_Total P&amp;L" xfId="1016"/>
    <cellStyle name="_Temp PVE QPB 06-07 North-South_QRF4 V1a 15 Jan 09- CIO" xfId="1017"/>
    <cellStyle name="_Temp PVE QPB 06-07 North-South_QRF4 V1a Template - BTU with NGA updated" xfId="1018"/>
    <cellStyle name="_Temp PVE QPB 06-07 North-South_QRF4 V1a Template - GC" xfId="1019"/>
    <cellStyle name="_Temp PVE QPB 06-07 North-South_Total P&amp;L" xfId="1020"/>
    <cellStyle name="_TEMP4- EPS Model v0049 November 2008 MTP FINAL{GB_181108a}Penfida_v1" xfId="1021"/>
    <cellStyle name="_Template 2 August 2006 v15a - Consumer" xfId="1022"/>
    <cellStyle name="_Template_04005&amp;0506 Restatement 240908v2" xfId="1023"/>
    <cellStyle name="_Template_0607 PPC restatement 010708v3NL" xfId="1024"/>
    <cellStyle name="_Template_0607 Restatement 150808v9" xfId="1025"/>
    <cellStyle name="_test capex (5)" xfId="1026"/>
    <cellStyle name="_Total Annual plan incl AMC 020605" xfId="1027"/>
    <cellStyle name="_Total Annual plan incl AMC 030805 AMC plan only scenario 8a1" xfId="1028"/>
    <cellStyle name="_Total Annual plan incl AMC 2006051" xfId="1029"/>
    <cellStyle name="_Total Annual plan incl AMC 250705 AMC plan only scenario 41" xfId="1030"/>
    <cellStyle name="_Total Value  Broadband plan scenario 121005 v2 (2)" xfId="1031"/>
    <cellStyle name="_tracker to vs 6" xfId="1032"/>
    <cellStyle name="_value q2 plans post clarkson 2004" xfId="1033"/>
    <cellStyle name="_Virgin p&amp;l" xfId="1034"/>
    <cellStyle name="_Virgin p&amp;l_BT Consumer 5 Year Plan - Lucy 300609" xfId="1035"/>
    <cellStyle name="_Virgin p&amp;l_BT Retail 5 Year Model - HARD CODED - Sep16" xfId="1036"/>
    <cellStyle name="_Virgin p&amp;l_BT Retail 5 Year Plan Master v5" xfId="1037"/>
    <cellStyle name="_Voice 0506 plans DL inputs 180305" xfId="1038"/>
    <cellStyle name="_Voice 0506 plans V4" xfId="1039"/>
    <cellStyle name="_WEEKLY 0506" xfId="1040"/>
    <cellStyle name="_Wholesale Q1 cost template to Group v2" xfId="1041"/>
    <cellStyle name="_WHS P x V P07 v1" xfId="1042"/>
    <cellStyle name="_Worksheet in Consumer Q3 Campaign Case V0.4" xfId="1043"/>
    <cellStyle name="’Ê‰Ý_Region Orders (2)" xfId="1044"/>
    <cellStyle name="=C:\WINNT\SYSTEM32\COMMAND.COM" xfId="1045"/>
    <cellStyle name="=C:\WINNT35\SYSTEM32\COMMAND.COM" xfId="1046"/>
    <cellStyle name="•W€_Pacific Region P&amp;L" xfId="1047"/>
    <cellStyle name="0,0_x000a__x000a_NA_x000a__x000a_" xfId="1048"/>
    <cellStyle name="0,0_x000d__x000a_NA_x000d__x000a_" xfId="1049"/>
    <cellStyle name="0hidden" xfId="1050"/>
    <cellStyle name="0REPORT" xfId="1051"/>
    <cellStyle name="1" xfId="1052"/>
    <cellStyle name="1. Calculation" xfId="1053"/>
    <cellStyle name="1. Calculation 2" xfId="1054"/>
    <cellStyle name="1_BT Retail 5 Year Plan Master v5" xfId="1055"/>
    <cellStyle name="15.2" xfId="1056"/>
    <cellStyle name="1decimal" xfId="1057"/>
    <cellStyle name="2. Parameter" xfId="1058"/>
    <cellStyle name="20% - Accent1 2" xfId="1059"/>
    <cellStyle name="20% - Accent1 3" xfId="1060"/>
    <cellStyle name="20% - Accent1 4" xfId="1061"/>
    <cellStyle name="20% - Accent1 5" xfId="1062"/>
    <cellStyle name="20% - Accent2 2" xfId="1063"/>
    <cellStyle name="20% - Accent2 3" xfId="1064"/>
    <cellStyle name="20% - Accent2 4" xfId="1065"/>
    <cellStyle name="20% - Accent2 5" xfId="1066"/>
    <cellStyle name="20% - Accent3 2" xfId="1067"/>
    <cellStyle name="20% - Accent3 3" xfId="1068"/>
    <cellStyle name="20% - Accent3 4" xfId="1069"/>
    <cellStyle name="20% - Accent3 5" xfId="1070"/>
    <cellStyle name="20% - Accent4 2" xfId="1071"/>
    <cellStyle name="20% - Accent4 3" xfId="1072"/>
    <cellStyle name="20% - Accent4 4" xfId="1073"/>
    <cellStyle name="20% - Accent4 5" xfId="1074"/>
    <cellStyle name="20% - Accent5 2" xfId="1075"/>
    <cellStyle name="20% - Accent5 3" xfId="1076"/>
    <cellStyle name="20% - Accent5 4" xfId="1077"/>
    <cellStyle name="20% - Accent5 5" xfId="1078"/>
    <cellStyle name="20% - Accent6 2" xfId="1079"/>
    <cellStyle name="20% - Accent6 3" xfId="1080"/>
    <cellStyle name="20% - Accent6 4" xfId="1081"/>
    <cellStyle name="20% - Accent6 5" xfId="1082"/>
    <cellStyle name="2dp" xfId="1083"/>
    <cellStyle name="3. Input Data" xfId="1084"/>
    <cellStyle name="3. Input Data 2" xfId="1085"/>
    <cellStyle name="3a. Calculated Input" xfId="1086"/>
    <cellStyle name="4. Estimate" xfId="1087"/>
    <cellStyle name="4. Estimate 2" xfId="1088"/>
    <cellStyle name="40% - Accent1 2" xfId="1089"/>
    <cellStyle name="40% - Accent1 3" xfId="1090"/>
    <cellStyle name="40% - Accent1 4" xfId="1091"/>
    <cellStyle name="40% - Accent1 5" xfId="1092"/>
    <cellStyle name="40% - Accent1 6" xfId="1093"/>
    <cellStyle name="40% - Accent2 2" xfId="1094"/>
    <cellStyle name="40% - Accent2 3" xfId="1095"/>
    <cellStyle name="40% - Accent2 4" xfId="1096"/>
    <cellStyle name="40% - Accent2 5" xfId="1097"/>
    <cellStyle name="40% - Accent3 2" xfId="1098"/>
    <cellStyle name="40% - Accent3 3" xfId="1099"/>
    <cellStyle name="40% - Accent3 4" xfId="1100"/>
    <cellStyle name="40% - Accent3 5" xfId="1101"/>
    <cellStyle name="40% - Accent4 2" xfId="1102"/>
    <cellStyle name="40% - Accent4 3" xfId="1103"/>
    <cellStyle name="40% - Accent4 4" xfId="1104"/>
    <cellStyle name="40% - Accent4 5" xfId="1105"/>
    <cellStyle name="40% - Accent5 2" xfId="1106"/>
    <cellStyle name="40% - Accent5 3" xfId="1107"/>
    <cellStyle name="40% - Accent5 4" xfId="1108"/>
    <cellStyle name="40% - Accent5 5" xfId="1109"/>
    <cellStyle name="40% - Accent6 2" xfId="1110"/>
    <cellStyle name="40% - Accent6 3" xfId="1111"/>
    <cellStyle name="40% - Accent6 4" xfId="1112"/>
    <cellStyle name="40% - Accent6 5" xfId="1113"/>
    <cellStyle name="4dp" xfId="1114"/>
    <cellStyle name="5. Direct Link" xfId="1115"/>
    <cellStyle name="5. Linked Input" xfId="1116"/>
    <cellStyle name="5a. WB Input" xfId="1117"/>
    <cellStyle name="6. Output" xfId="1118"/>
    <cellStyle name="7. Note" xfId="1119"/>
    <cellStyle name="8. Logic" xfId="1120"/>
    <cellStyle name="9. Blank" xfId="1121"/>
    <cellStyle name="ÅëÈ­ [0]_laroux" xfId="1122"/>
    <cellStyle name="ÅëÈ­_laroux" xfId="1123"/>
    <cellStyle name="AFE" xfId="1124"/>
    <cellStyle name="args.style" xfId="1125"/>
    <cellStyle name="Assumption" xfId="1126"/>
    <cellStyle name="Assumption 2" xfId="1127"/>
    <cellStyle name="Assumption 3" xfId="1128"/>
    <cellStyle name="Assumption 4" xfId="1129"/>
    <cellStyle name="Assumption 5" xfId="1130"/>
    <cellStyle name="Assumption 6" xfId="1131"/>
    <cellStyle name="Assumption 7" xfId="1132"/>
    <cellStyle name="ÄÞ¸¶ [0]_laroux" xfId="1133"/>
    <cellStyle name="ÄÞ¸¶_laroux" xfId="1134"/>
    <cellStyle name="AxlColour" xfId="1135"/>
    <cellStyle name="BlankZero" xfId="1136"/>
    <cellStyle name="Blue" xfId="1137"/>
    <cellStyle name="Body" xfId="1138"/>
    <cellStyle name="bold blue" xfId="1139"/>
    <cellStyle name="BoldItalic" xfId="1140"/>
    <cellStyle name="Border Heavy" xfId="1141"/>
    <cellStyle name="Border Thin" xfId="1142"/>
    <cellStyle name="Bottom Border" xfId="1143"/>
    <cellStyle name="BritPound" xfId="1144"/>
    <cellStyle name="Ç¥ÁØ_ÀÎÀç°³¹ß¿ø" xfId="1145"/>
    <cellStyle name="C02_Text" xfId="1146"/>
    <cellStyle name="Calc" xfId="1147"/>
    <cellStyle name="Calc - Blue" xfId="1148"/>
    <cellStyle name="Calc - Feed" xfId="1149"/>
    <cellStyle name="Calc - Green" xfId="1150"/>
    <cellStyle name="Calc - Grey" xfId="1151"/>
    <cellStyle name="Calc - Light" xfId="1152"/>
    <cellStyle name="Calc - Light White" xfId="1153"/>
    <cellStyle name="Calc - White" xfId="1154"/>
    <cellStyle name="Calc - White Light" xfId="1155"/>
    <cellStyle name="Calc - White_AOP Budget Bible 211105 v1" xfId="1156"/>
    <cellStyle name="Calc Currency (0)" xfId="1157"/>
    <cellStyle name="Calc Currency (2)" xfId="1158"/>
    <cellStyle name="Calc Percent (0)" xfId="1159"/>
    <cellStyle name="Calc Percent (1)" xfId="1160"/>
    <cellStyle name="Calc Percent (2)" xfId="1161"/>
    <cellStyle name="Calc Units (0)" xfId="1162"/>
    <cellStyle name="Calc Units (1)" xfId="1163"/>
    <cellStyle name="Calc Units (2)" xfId="1164"/>
    <cellStyle name="Calc White" xfId="1165"/>
    <cellStyle name="Calc_%" xfId="1166"/>
    <cellStyle name="Calc-Col total" xfId="1167"/>
    <cellStyle name="Calculated" xfId="1168"/>
    <cellStyle name="Calculation" xfId="1" builtinId="22" customBuiltin="1"/>
    <cellStyle name="Calculation - Info only" xfId="1169"/>
    <cellStyle name="Calculation - Row total" xfId="1170"/>
    <cellStyle name="Calculation - Row total 2" xfId="1171"/>
    <cellStyle name="Calculation 10" xfId="1172"/>
    <cellStyle name="Calculation 11" xfId="1173"/>
    <cellStyle name="Calculation 12" xfId="1174"/>
    <cellStyle name="Calculation 13" xfId="1175"/>
    <cellStyle name="Calculation 14" xfId="1176"/>
    <cellStyle name="Calculation 15" xfId="1177"/>
    <cellStyle name="Calculation 16" xfId="1178"/>
    <cellStyle name="Calculation 17" xfId="1179"/>
    <cellStyle name="Calculation 18" xfId="1180"/>
    <cellStyle name="Calculation 19" xfId="1181"/>
    <cellStyle name="Calculation 2" xfId="1182"/>
    <cellStyle name="Calculation 2 10" xfId="1183"/>
    <cellStyle name="Calculation 2 11" xfId="1184"/>
    <cellStyle name="Calculation 2 12" xfId="1185"/>
    <cellStyle name="Calculation 2 13" xfId="1186"/>
    <cellStyle name="Calculation 2 2" xfId="1187"/>
    <cellStyle name="Calculation 2 3" xfId="1188"/>
    <cellStyle name="Calculation 2 4" xfId="1189"/>
    <cellStyle name="Calculation 2 5" xfId="1190"/>
    <cellStyle name="Calculation 2 6" xfId="1191"/>
    <cellStyle name="Calculation 2 7" xfId="1192"/>
    <cellStyle name="Calculation 2 8" xfId="1193"/>
    <cellStyle name="Calculation 2 9" xfId="1194"/>
    <cellStyle name="Calculation 20" xfId="1195"/>
    <cellStyle name="Calculation 21" xfId="1196"/>
    <cellStyle name="Calculation 22" xfId="1197"/>
    <cellStyle name="Calculation 23" xfId="1198"/>
    <cellStyle name="Calculation 3" xfId="1199"/>
    <cellStyle name="Calculation 3 10" xfId="1200"/>
    <cellStyle name="Calculation 3 11" xfId="1201"/>
    <cellStyle name="Calculation 3 12" xfId="1202"/>
    <cellStyle name="Calculation 3 13" xfId="1203"/>
    <cellStyle name="Calculation 3 2" xfId="1204"/>
    <cellStyle name="Calculation 3 3" xfId="1205"/>
    <cellStyle name="Calculation 3 4" xfId="1206"/>
    <cellStyle name="Calculation 3 5" xfId="1207"/>
    <cellStyle name="Calculation 3 6" xfId="1208"/>
    <cellStyle name="Calculation 3 7" xfId="1209"/>
    <cellStyle name="Calculation 3 8" xfId="1210"/>
    <cellStyle name="Calculation 3 9" xfId="1211"/>
    <cellStyle name="Calculation 4" xfId="1212"/>
    <cellStyle name="Calculation 4 10" xfId="1213"/>
    <cellStyle name="Calculation 4 11" xfId="1214"/>
    <cellStyle name="Calculation 4 12" xfId="1215"/>
    <cellStyle name="Calculation 4 13" xfId="1216"/>
    <cellStyle name="Calculation 4 2" xfId="1217"/>
    <cellStyle name="Calculation 4 3" xfId="1218"/>
    <cellStyle name="Calculation 4 4" xfId="1219"/>
    <cellStyle name="Calculation 4 5" xfId="1220"/>
    <cellStyle name="Calculation 4 6" xfId="1221"/>
    <cellStyle name="Calculation 4 7" xfId="1222"/>
    <cellStyle name="Calculation 4 8" xfId="1223"/>
    <cellStyle name="Calculation 4 9" xfId="1224"/>
    <cellStyle name="Calculation 5" xfId="1225"/>
    <cellStyle name="Calculation 6" xfId="1226"/>
    <cellStyle name="Calculation 7" xfId="1227"/>
    <cellStyle name="Calculation 8" xfId="1228"/>
    <cellStyle name="Calculation 9" xfId="1229"/>
    <cellStyle name="Calculation1" xfId="1230"/>
    <cellStyle name="Check" xfId="1231"/>
    <cellStyle name="Checksum" xfId="2"/>
    <cellStyle name="Checksum 2" xfId="1232"/>
    <cellStyle name="Clear" xfId="1233"/>
    <cellStyle name="Column Heading" xfId="1234"/>
    <cellStyle name="Column Heading (No Wrap)" xfId="1235"/>
    <cellStyle name="Column Heading (No Wrap) 2" xfId="1236"/>
    <cellStyle name="Column Heading (No Wrap) 3" xfId="1237"/>
    <cellStyle name="Column Heading (No Wrap) 4" xfId="1238"/>
    <cellStyle name="Column Heading (No Wrap) 5" xfId="1239"/>
    <cellStyle name="Column Heading (No Wrap) 6" xfId="1240"/>
    <cellStyle name="Column Heading (No Wrap) 7" xfId="1241"/>
    <cellStyle name="Column Heading 2" xfId="1242"/>
    <cellStyle name="Column Heading 3" xfId="1243"/>
    <cellStyle name="Column Heading 4" xfId="1244"/>
    <cellStyle name="Column Heading 5" xfId="1245"/>
    <cellStyle name="Column Heading 6" xfId="1246"/>
    <cellStyle name="Column Heading 7" xfId="1247"/>
    <cellStyle name="Column label" xfId="1248"/>
    <cellStyle name="Column label (left aligned)" xfId="1249"/>
    <cellStyle name="Column label (no wrap)" xfId="1250"/>
    <cellStyle name="Column label (not bold)" xfId="1251"/>
    <cellStyle name="Column Total" xfId="1252"/>
    <cellStyle name="Column Total 2" xfId="1253"/>
    <cellStyle name="Column Total 3" xfId="1254"/>
    <cellStyle name="Column Total 4" xfId="1255"/>
    <cellStyle name="Column Total 5" xfId="1256"/>
    <cellStyle name="Column Total 6" xfId="1257"/>
    <cellStyle name="Column Total 7" xfId="1258"/>
    <cellStyle name="ColumnLabel" xfId="1259"/>
    <cellStyle name="Comma  - Style1" xfId="1260"/>
    <cellStyle name="Comma  - Style2" xfId="1261"/>
    <cellStyle name="Comma  - Style3" xfId="1262"/>
    <cellStyle name="Comma  - Style4" xfId="1263"/>
    <cellStyle name="Comma  - Style5" xfId="1264"/>
    <cellStyle name="Comma  - Style6" xfId="1265"/>
    <cellStyle name="Comma  - Style7" xfId="1266"/>
    <cellStyle name="Comma  - Style8" xfId="1267"/>
    <cellStyle name="Comma ," xfId="1268"/>
    <cellStyle name="Comma [00]" xfId="1269"/>
    <cellStyle name="comma [1]" xfId="1270"/>
    <cellStyle name="Comma [1] 2" xfId="1271"/>
    <cellStyle name="Comma [2]" xfId="1272"/>
    <cellStyle name="Comma 0" xfId="1273"/>
    <cellStyle name="Comma 10" xfId="1274"/>
    <cellStyle name="Comma 11" xfId="1275"/>
    <cellStyle name="Comma 12" xfId="1276"/>
    <cellStyle name="Comma 13" xfId="1277"/>
    <cellStyle name="Comma 14" xfId="1278"/>
    <cellStyle name="Comma 15" xfId="1279"/>
    <cellStyle name="Comma 16" xfId="1280"/>
    <cellStyle name="Comma 16 2" xfId="1281"/>
    <cellStyle name="Comma 17" xfId="1282"/>
    <cellStyle name="Comma 18" xfId="1283"/>
    <cellStyle name="Comma 19" xfId="1284"/>
    <cellStyle name="Comma 2" xfId="26"/>
    <cellStyle name="Comma 2 2" xfId="1285"/>
    <cellStyle name="Comma 2 2 2" xfId="1286"/>
    <cellStyle name="Comma 2 3" xfId="1287"/>
    <cellStyle name="Comma 2 4" xfId="1288"/>
    <cellStyle name="Comma 2 5" xfId="1289"/>
    <cellStyle name="Comma 2 6" xfId="1290"/>
    <cellStyle name="Comma 20" xfId="1291"/>
    <cellStyle name="Comma 21" xfId="1292"/>
    <cellStyle name="Comma 22" xfId="1293"/>
    <cellStyle name="Comma 23" xfId="1294"/>
    <cellStyle name="Comma 24" xfId="1295"/>
    <cellStyle name="Comma 25" xfId="1296"/>
    <cellStyle name="Comma 26" xfId="2408"/>
    <cellStyle name="Comma 27" xfId="2411"/>
    <cellStyle name="Comma 28" xfId="2414"/>
    <cellStyle name="Comma 29" xfId="2417"/>
    <cellStyle name="Comma 3" xfId="29"/>
    <cellStyle name="Comma 3 2" xfId="1297"/>
    <cellStyle name="Comma 30" xfId="2420"/>
    <cellStyle name="Comma 31" xfId="2423"/>
    <cellStyle name="Comma 32" xfId="2427"/>
    <cellStyle name="Comma 33" xfId="2429"/>
    <cellStyle name="Comma 34" xfId="2436"/>
    <cellStyle name="Comma 35" xfId="2439"/>
    <cellStyle name="Comma 4" xfId="1298"/>
    <cellStyle name="Comma 4 2" xfId="1299"/>
    <cellStyle name="Comma 5" xfId="1300"/>
    <cellStyle name="Comma 5 2" xfId="1301"/>
    <cellStyle name="Comma 6" xfId="1302"/>
    <cellStyle name="Comma 6 2" xfId="1303"/>
    <cellStyle name="Comma 7" xfId="1304"/>
    <cellStyle name="Comma 8" xfId="1305"/>
    <cellStyle name="Comma 9" xfId="1306"/>
    <cellStyle name="Comma.0" xfId="1307"/>
    <cellStyle name="Comma1" xfId="1308"/>
    <cellStyle name="Comma2 [0]" xfId="1309"/>
    <cellStyle name="Comma3" xfId="1310"/>
    <cellStyle name="CommaRounded" xfId="1311"/>
    <cellStyle name="Copied" xfId="1312"/>
    <cellStyle name="CopyrightRow" xfId="1313"/>
    <cellStyle name="COST1" xfId="1314"/>
    <cellStyle name="Currency - Euro" xfId="1315"/>
    <cellStyle name="Currency - Euro 2" xfId="1316"/>
    <cellStyle name="Currency (0dp)" xfId="1317"/>
    <cellStyle name="Currency (2dp)" xfId="1318"/>
    <cellStyle name="Currency [0] - Euro" xfId="1319"/>
    <cellStyle name="Currency [00]" xfId="1320"/>
    <cellStyle name="Currency 0" xfId="1321"/>
    <cellStyle name="Currency 2" xfId="1322"/>
    <cellStyle name="Currency 2 2" xfId="1323"/>
    <cellStyle name="Currency 3" xfId="1324"/>
    <cellStyle name="Currency 4" xfId="1325"/>
    <cellStyle name="Currency 5" xfId="1326"/>
    <cellStyle name="Currency 6" xfId="2426"/>
    <cellStyle name="Currency Dollar" xfId="1327"/>
    <cellStyle name="Currency Dollar (2dp)" xfId="1328"/>
    <cellStyle name="Currency EUR" xfId="1329"/>
    <cellStyle name="Currency EUR (2dp)" xfId="1330"/>
    <cellStyle name="Currency Euro" xfId="1331"/>
    <cellStyle name="Currency Euro (2dp)" xfId="1332"/>
    <cellStyle name="Currency GBP" xfId="1333"/>
    <cellStyle name="Currency GBP (2dp)" xfId="1334"/>
    <cellStyle name="Currency Pound" xfId="1335"/>
    <cellStyle name="Currency Pound (2dp)" xfId="1336"/>
    <cellStyle name="Currency USD" xfId="1337"/>
    <cellStyle name="Currency USD (2dp)" xfId="1338"/>
    <cellStyle name="Currency-$" xfId="1339"/>
    <cellStyle name="Currency-£" xfId="1340"/>
    <cellStyle name="Currency0" xfId="1341"/>
    <cellStyle name="Currency2" xfId="1342"/>
    <cellStyle name="Currency-Denomination" xfId="1343"/>
    <cellStyle name="Currency-F" xfId="1344"/>
    <cellStyle name="Data Input" xfId="1345"/>
    <cellStyle name="Data Section Heading" xfId="1346"/>
    <cellStyle name="DATA_Amount" xfId="1347"/>
    <cellStyle name="DataEntry" xfId="1348"/>
    <cellStyle name="Date" xfId="1349"/>
    <cellStyle name="Date (Month)" xfId="1350"/>
    <cellStyle name="Date (Year)" xfId="1351"/>
    <cellStyle name="Date 10" xfId="1352"/>
    <cellStyle name="Date 11" xfId="1353"/>
    <cellStyle name="Date 12" xfId="1354"/>
    <cellStyle name="Date 13" xfId="1355"/>
    <cellStyle name="Date 14" xfId="1356"/>
    <cellStyle name="Date 15" xfId="1357"/>
    <cellStyle name="Date 16" xfId="1358"/>
    <cellStyle name="Date 17" xfId="1359"/>
    <cellStyle name="Date 18" xfId="1360"/>
    <cellStyle name="Date 19" xfId="1361"/>
    <cellStyle name="Date 2" xfId="1362"/>
    <cellStyle name="Date 20" xfId="1363"/>
    <cellStyle name="Date 21" xfId="1364"/>
    <cellStyle name="Date 22" xfId="1365"/>
    <cellStyle name="Date 23" xfId="1366"/>
    <cellStyle name="Date 24" xfId="1367"/>
    <cellStyle name="Date 25" xfId="1368"/>
    <cellStyle name="Date 26" xfId="1369"/>
    <cellStyle name="Date 27" xfId="1370"/>
    <cellStyle name="Date 28" xfId="1371"/>
    <cellStyle name="Date 29" xfId="1372"/>
    <cellStyle name="Date 3" xfId="1373"/>
    <cellStyle name="Date 30" xfId="1374"/>
    <cellStyle name="Date 31" xfId="1375"/>
    <cellStyle name="Date 32" xfId="1376"/>
    <cellStyle name="Date 33" xfId="1377"/>
    <cellStyle name="Date 34" xfId="1378"/>
    <cellStyle name="Date 4" xfId="1379"/>
    <cellStyle name="Date 5" xfId="1380"/>
    <cellStyle name="Date 6" xfId="1381"/>
    <cellStyle name="Date 7" xfId="1382"/>
    <cellStyle name="Date 8" xfId="1383"/>
    <cellStyle name="Date 9" xfId="1384"/>
    <cellStyle name="Date Aligned" xfId="1385"/>
    <cellStyle name="Date Entry" xfId="1386"/>
    <cellStyle name="Date Short" xfId="1387"/>
    <cellStyle name="Date_200809Provisions and Other Adjustments P6 200809" xfId="1388"/>
    <cellStyle name="Day" xfId="1389"/>
    <cellStyle name="Decimal_0dp" xfId="1390"/>
    <cellStyle name="Delta" xfId="1391"/>
    <cellStyle name="Delta%" xfId="1392"/>
    <cellStyle name="Dezimal [0]_BC Vorlage für Olympia VOTServices" xfId="1393"/>
    <cellStyle name="Dezimal_BC Vorlage für Olympia VOTServices" xfId="1394"/>
    <cellStyle name="Dotted Line" xfId="1395"/>
    <cellStyle name="Download" xfId="1396"/>
    <cellStyle name="Enter" xfId="1397"/>
    <cellStyle name="Enter Currency (0)" xfId="1398"/>
    <cellStyle name="Enter Currency (2)" xfId="1399"/>
    <cellStyle name="Enter Units (0)" xfId="1400"/>
    <cellStyle name="Enter Units (1)" xfId="1401"/>
    <cellStyle name="Enter Units (2)" xfId="1402"/>
    <cellStyle name="Entered" xfId="1403"/>
    <cellStyle name="Entry" xfId="1404"/>
    <cellStyle name="entry box" xfId="1405"/>
    <cellStyle name="Euro" xfId="1406"/>
    <cellStyle name="Exception" xfId="1407"/>
    <cellStyle name="Exception - Light" xfId="1408"/>
    <cellStyle name="Exception_AOP Budget Bible 211105 v1" xfId="1409"/>
    <cellStyle name="External data" xfId="1410"/>
    <cellStyle name="External data 2" xfId="1411"/>
    <cellStyle name="External Input" xfId="1412"/>
    <cellStyle name="External label" xfId="1413"/>
    <cellStyle name="External label 2" xfId="1414"/>
    <cellStyle name="EY House" xfId="1415"/>
    <cellStyle name="EYCalc" xfId="1416"/>
    <cellStyle name="EYCallUp" xfId="1417"/>
    <cellStyle name="F01_Note heading" xfId="1418"/>
    <cellStyle name="Feeder Field" xfId="1419"/>
    <cellStyle name="Feeder Field - Light" xfId="1420"/>
    <cellStyle name="Feeder Field Light" xfId="1421"/>
    <cellStyle name="Feeder Field_AOP Budget Bible 211105 v1" xfId="1422"/>
    <cellStyle name="Fixed" xfId="1423"/>
    <cellStyle name="fo]_x000d__x000a_UserName=Murat Zelef_x000d__x000a_UserCompany=Bumerang_x000d__x000a__x000d__x000a_[File Paths]_x000d__x000a_WorkingDirectory=C:\EQUIS\DLWIN_x000d__x000a_DownLoader=C" xfId="1424"/>
    <cellStyle name="font" xfId="1425"/>
    <cellStyle name="Footnote" xfId="1426"/>
    <cellStyle name="Forecast Cell Column Heading" xfId="1427"/>
    <cellStyle name="Formula Different" xfId="1428"/>
    <cellStyle name="G1_bold figures" xfId="1429"/>
    <cellStyle name="General" xfId="1430"/>
    <cellStyle name="General No - Black" xfId="1431"/>
    <cellStyle name="General No (Black)" xfId="1432"/>
    <cellStyle name="General No (Red)" xfId="1433"/>
    <cellStyle name="Grand Total" xfId="1434"/>
    <cellStyle name="Green" xfId="1435"/>
    <cellStyle name="Grey" xfId="1436"/>
    <cellStyle name="Greyed out" xfId="1437"/>
    <cellStyle name="Greyed out - Light" xfId="1438"/>
    <cellStyle name="Greyed out_AOP Budget Bible 211105 v1" xfId="1439"/>
    <cellStyle name="H 2" xfId="1440"/>
    <cellStyle name="H_bold_col_head" xfId="1441"/>
    <cellStyle name="H_light_col_head" xfId="1442"/>
    <cellStyle name="H0" xfId="1443"/>
    <cellStyle name="H0 2" xfId="1444"/>
    <cellStyle name="H1" xfId="3"/>
    <cellStyle name="H1 height" xfId="1445"/>
    <cellStyle name="H2" xfId="4"/>
    <cellStyle name="H3" xfId="5"/>
    <cellStyle name="H4" xfId="6"/>
    <cellStyle name="Hard Code" xfId="1446"/>
    <cellStyle name="Hard Percent" xfId="1447"/>
    <cellStyle name="Header" xfId="1448"/>
    <cellStyle name="Header1" xfId="1449"/>
    <cellStyle name="Header2" xfId="1450"/>
    <cellStyle name="Header3" xfId="1451"/>
    <cellStyle name="Heading" xfId="1452"/>
    <cellStyle name="Heading 1 2" xfId="1453"/>
    <cellStyle name="Heading 1 2 2" xfId="1454"/>
    <cellStyle name="Heading 1 Height" xfId="1455"/>
    <cellStyle name="Heading 2 2" xfId="1456"/>
    <cellStyle name="Heading 3 2" xfId="1457"/>
    <cellStyle name="Heading 4 2" xfId="1458"/>
    <cellStyle name="Heading 5" xfId="1459"/>
    <cellStyle name="Heading 5 2" xfId="1460"/>
    <cellStyle name="Heading.1" xfId="1461"/>
    <cellStyle name="Heading.2" xfId="1462"/>
    <cellStyle name="Heading.3" xfId="1463"/>
    <cellStyle name="Heading.4" xfId="1464"/>
    <cellStyle name="Headings" xfId="1465"/>
    <cellStyle name="Headline1" xfId="1466"/>
    <cellStyle name="Headline3" xfId="1467"/>
    <cellStyle name="hidden" xfId="1468"/>
    <cellStyle name="Hide" xfId="1469"/>
    <cellStyle name="Highlight" xfId="7"/>
    <cellStyle name="Highlight 10" xfId="1470"/>
    <cellStyle name="Highlight 11" xfId="1471"/>
    <cellStyle name="Highlight 12" xfId="1472"/>
    <cellStyle name="Highlight 13" xfId="1473"/>
    <cellStyle name="Highlight 14" xfId="1474"/>
    <cellStyle name="Highlight 15" xfId="1475"/>
    <cellStyle name="Highlight 16" xfId="1476"/>
    <cellStyle name="Highlight 17" xfId="1477"/>
    <cellStyle name="Highlight 18" xfId="1478"/>
    <cellStyle name="Highlight 19" xfId="1479"/>
    <cellStyle name="Highlight 2" xfId="1480"/>
    <cellStyle name="Highlight 20" xfId="1481"/>
    <cellStyle name="Highlight 21" xfId="1482"/>
    <cellStyle name="Highlight 22" xfId="1483"/>
    <cellStyle name="Highlight 23" xfId="1484"/>
    <cellStyle name="Highlight 24" xfId="1485"/>
    <cellStyle name="Highlight 25" xfId="1486"/>
    <cellStyle name="Highlight 26" xfId="1487"/>
    <cellStyle name="Highlight 27" xfId="1488"/>
    <cellStyle name="Highlight 28" xfId="1489"/>
    <cellStyle name="Highlight 29" xfId="1490"/>
    <cellStyle name="Highlight 3" xfId="1491"/>
    <cellStyle name="Highlight 30" xfId="1492"/>
    <cellStyle name="Highlight 31" xfId="1493"/>
    <cellStyle name="Highlight 32" xfId="1494"/>
    <cellStyle name="Highlight 33" xfId="1495"/>
    <cellStyle name="Highlight 34" xfId="1496"/>
    <cellStyle name="Highlight 4" xfId="1497"/>
    <cellStyle name="Highlight 5" xfId="1498"/>
    <cellStyle name="Highlight 6" xfId="1499"/>
    <cellStyle name="Highlight 7" xfId="1500"/>
    <cellStyle name="Highlight 8" xfId="1501"/>
    <cellStyle name="Highlight 9" xfId="1502"/>
    <cellStyle name="Highlight_Data_annex_for_Analysys_Mason_RRxxx" xfId="1503"/>
    <cellStyle name="hours" xfId="1504"/>
    <cellStyle name="Hyperlink" xfId="2441" builtinId="8"/>
    <cellStyle name="Hyperlink 2" xfId="1505"/>
    <cellStyle name="Hyperlink 3" xfId="1506"/>
    <cellStyle name="Hyperlink 4" xfId="1507"/>
    <cellStyle name="Important" xfId="1508"/>
    <cellStyle name="Input - %" xfId="1509"/>
    <cellStyle name="Input [yellow]" xfId="1510"/>
    <cellStyle name="Input 1" xfId="1511"/>
    <cellStyle name="Input 1 - Light" xfId="1512"/>
    <cellStyle name="Input 1_AOP Budget Bible 211105 v1" xfId="1513"/>
    <cellStyle name="Input 10" xfId="1514"/>
    <cellStyle name="Input 2" xfId="1515"/>
    <cellStyle name="Input 2 - Light" xfId="1516"/>
    <cellStyle name="Input 2 2" xfId="1517"/>
    <cellStyle name="Input 2 3" xfId="1518"/>
    <cellStyle name="Input 2 4" xfId="1519"/>
    <cellStyle name="Input 2 5" xfId="1520"/>
    <cellStyle name="Input 2 6" xfId="1521"/>
    <cellStyle name="Input 2 7" xfId="1522"/>
    <cellStyle name="Input 2_AOP Budget Bible 211105 v1" xfId="1523"/>
    <cellStyle name="Input 3" xfId="1524"/>
    <cellStyle name="Input 3 2" xfId="1525"/>
    <cellStyle name="Input 3 3" xfId="1526"/>
    <cellStyle name="Input 3 4" xfId="1527"/>
    <cellStyle name="Input 3 5" xfId="1528"/>
    <cellStyle name="Input 3 6" xfId="1529"/>
    <cellStyle name="Input 3 7" xfId="1530"/>
    <cellStyle name="Input 4" xfId="1531"/>
    <cellStyle name="Input 4 2" xfId="1532"/>
    <cellStyle name="Input 4 3" xfId="1533"/>
    <cellStyle name="Input 4 4" xfId="1534"/>
    <cellStyle name="Input 4 5" xfId="1535"/>
    <cellStyle name="Input 4 6" xfId="1536"/>
    <cellStyle name="Input 4 7" xfId="1537"/>
    <cellStyle name="Input 5" xfId="1538"/>
    <cellStyle name="Input 6" xfId="1539"/>
    <cellStyle name="Input 7" xfId="1540"/>
    <cellStyle name="Input 8" xfId="1541"/>
    <cellStyle name="Input 9" xfId="1542"/>
    <cellStyle name="Input calculation" xfId="1543"/>
    <cellStyle name="Input calculation 2" xfId="1544"/>
    <cellStyle name="Input Cells" xfId="1545"/>
    <cellStyle name="Input data" xfId="16"/>
    <cellStyle name="Input data 2" xfId="1546"/>
    <cellStyle name="Input data 3" xfId="1547"/>
    <cellStyle name="Input estimate" xfId="1548"/>
    <cellStyle name="Input label" xfId="1549"/>
    <cellStyle name="Input Link" xfId="1550"/>
    <cellStyle name="Input link (different workbook)" xfId="1551"/>
    <cellStyle name="Input link 10" xfId="1552"/>
    <cellStyle name="Input link 11" xfId="1553"/>
    <cellStyle name="Input link 12" xfId="1554"/>
    <cellStyle name="Input link 13" xfId="1555"/>
    <cellStyle name="Input link 14" xfId="1556"/>
    <cellStyle name="Input link 15" xfId="1557"/>
    <cellStyle name="Input link 16" xfId="1558"/>
    <cellStyle name="Input link 17" xfId="1559"/>
    <cellStyle name="Input link 18" xfId="1560"/>
    <cellStyle name="Input link 19" xfId="1561"/>
    <cellStyle name="Input link 2" xfId="1562"/>
    <cellStyle name="Input link 20" xfId="1563"/>
    <cellStyle name="Input link 21" xfId="1564"/>
    <cellStyle name="Input link 22" xfId="1565"/>
    <cellStyle name="Input link 23" xfId="1566"/>
    <cellStyle name="Input link 24" xfId="1567"/>
    <cellStyle name="Input link 25" xfId="1568"/>
    <cellStyle name="Input link 26" xfId="1569"/>
    <cellStyle name="Input link 27" xfId="1570"/>
    <cellStyle name="Input link 28" xfId="1571"/>
    <cellStyle name="Input link 29" xfId="1572"/>
    <cellStyle name="Input link 3" xfId="1573"/>
    <cellStyle name="Input link 30" xfId="1574"/>
    <cellStyle name="Input link 31" xfId="1575"/>
    <cellStyle name="Input link 32" xfId="1576"/>
    <cellStyle name="Input link 33" xfId="1577"/>
    <cellStyle name="Input link 34" xfId="1578"/>
    <cellStyle name="Input link 35" xfId="1579"/>
    <cellStyle name="Input link 36" xfId="1580"/>
    <cellStyle name="Input link 37" xfId="1581"/>
    <cellStyle name="Input link 38" xfId="1582"/>
    <cellStyle name="Input link 39" xfId="1583"/>
    <cellStyle name="Input link 4" xfId="1584"/>
    <cellStyle name="Input link 40" xfId="1585"/>
    <cellStyle name="Input link 41" xfId="1586"/>
    <cellStyle name="Input link 5" xfId="1587"/>
    <cellStyle name="Input link 6" xfId="1588"/>
    <cellStyle name="Input link 7" xfId="1589"/>
    <cellStyle name="Input link 8" xfId="1590"/>
    <cellStyle name="Input link 9" xfId="1591"/>
    <cellStyle name="Input link_5yp Voice base case 23_11_05 consumer" xfId="1592"/>
    <cellStyle name="Input parameter" xfId="17"/>
    <cellStyle name="Input parameter 2" xfId="1593"/>
    <cellStyle name="Input parameter 3" xfId="1594"/>
    <cellStyle name="Input-#0" xfId="1595"/>
    <cellStyle name="Input-#1" xfId="1596"/>
    <cellStyle name="Input-#2" xfId="1597"/>
    <cellStyle name="Input-$0" xfId="1598"/>
    <cellStyle name="Input-$2" xfId="1599"/>
    <cellStyle name="Input-$4" xfId="1600"/>
    <cellStyle name="Input-%0" xfId="1601"/>
    <cellStyle name="Input-%1" xfId="1602"/>
    <cellStyle name="Input-%2" xfId="1603"/>
    <cellStyle name="Input-reformat" xfId="1604"/>
    <cellStyle name="Intega" xfId="1605"/>
    <cellStyle name="Key Output" xfId="1606"/>
    <cellStyle name="Komma [0]_PLDT" xfId="1607"/>
    <cellStyle name="Komma_PLDT" xfId="1608"/>
    <cellStyle name="KPMG Heading 1" xfId="1609"/>
    <cellStyle name="KPMG Heading 2" xfId="1610"/>
    <cellStyle name="KPMG Heading 3" xfId="1611"/>
    <cellStyle name="KPMG Heading 4" xfId="1612"/>
    <cellStyle name="KPMG Normal" xfId="1613"/>
    <cellStyle name="KPMG Normal Text" xfId="1614"/>
    <cellStyle name="Label" xfId="1615"/>
    <cellStyle name="Label - Total" xfId="1616"/>
    <cellStyle name="Label from list" xfId="1617"/>
    <cellStyle name="Label from list 2" xfId="1618"/>
    <cellStyle name="left" xfId="1619"/>
    <cellStyle name="Lien hypertexte visité_SSJB  MICHELIN" xfId="1620"/>
    <cellStyle name="Lien hypertexte_SSJB  MICHELIN" xfId="1621"/>
    <cellStyle name="Link Currency (0)" xfId="1622"/>
    <cellStyle name="Link Currency (2)" xfId="1623"/>
    <cellStyle name="Link Input" xfId="1624"/>
    <cellStyle name="Link Units (0)" xfId="1625"/>
    <cellStyle name="Link Units (1)" xfId="1626"/>
    <cellStyle name="Link Units (2)" xfId="1627"/>
    <cellStyle name="Linked" xfId="1628"/>
    <cellStyle name="Linked Cells" xfId="1629"/>
    <cellStyle name="LTM Cell Column Heading" xfId="1630"/>
    <cellStyle name="Main Header" xfId="1631"/>
    <cellStyle name="Main Title" xfId="1632"/>
    <cellStyle name="Main Title 2" xfId="1633"/>
    <cellStyle name="Main Title 3" xfId="1634"/>
    <cellStyle name="Main Title 4" xfId="1635"/>
    <cellStyle name="Main Title 5" xfId="1636"/>
    <cellStyle name="Main Title 6" xfId="1637"/>
    <cellStyle name="Main Title 7" xfId="1638"/>
    <cellStyle name="MainHeading" xfId="1639"/>
    <cellStyle name="max" xfId="1640"/>
    <cellStyle name="Migliaia_pldt" xfId="1641"/>
    <cellStyle name="Millares [0]_0086-W02 GFR 506" xfId="1642"/>
    <cellStyle name="Millares_margenclientesFEB00" xfId="1643"/>
    <cellStyle name="Milliers [0]_!!!GO" xfId="1644"/>
    <cellStyle name="Milliers_!!!GO" xfId="1645"/>
    <cellStyle name="Millions" xfId="1646"/>
    <cellStyle name="min" xfId="1647"/>
    <cellStyle name="Model data" xfId="1648"/>
    <cellStyle name="Moneda [0]_margenclientesFEB00" xfId="1649"/>
    <cellStyle name="Moneda_margenclientesFEB00" xfId="1650"/>
    <cellStyle name="Monétaire [0]_!!!GO" xfId="1651"/>
    <cellStyle name="Monétaire_!!!GO" xfId="1652"/>
    <cellStyle name="Month" xfId="1653"/>
    <cellStyle name="months" xfId="1654"/>
    <cellStyle name="Multiple" xfId="1655"/>
    <cellStyle name="Multiple Cell Column Heading" xfId="1656"/>
    <cellStyle name="Multiple2" xfId="1657"/>
    <cellStyle name="MW" xfId="1658"/>
    <cellStyle name="MWth" xfId="1659"/>
    <cellStyle name="Name" xfId="8"/>
    <cellStyle name="Name 10" xfId="1660"/>
    <cellStyle name="Name 11" xfId="1661"/>
    <cellStyle name="Name 12" xfId="1662"/>
    <cellStyle name="Name 13" xfId="1663"/>
    <cellStyle name="Name 14" xfId="1664"/>
    <cellStyle name="Name 15" xfId="1665"/>
    <cellStyle name="Name 16" xfId="1666"/>
    <cellStyle name="Name 17" xfId="1667"/>
    <cellStyle name="Name 18" xfId="1668"/>
    <cellStyle name="Name 19" xfId="1669"/>
    <cellStyle name="Name 2" xfId="1670"/>
    <cellStyle name="Name 20" xfId="1671"/>
    <cellStyle name="Name 21" xfId="1672"/>
    <cellStyle name="Name 22" xfId="1673"/>
    <cellStyle name="Name 23" xfId="1674"/>
    <cellStyle name="Name 24" xfId="1675"/>
    <cellStyle name="Name 25" xfId="1676"/>
    <cellStyle name="Name 26" xfId="1677"/>
    <cellStyle name="Name 27" xfId="1678"/>
    <cellStyle name="Name 28" xfId="1679"/>
    <cellStyle name="Name 29" xfId="1680"/>
    <cellStyle name="Name 3" xfId="1681"/>
    <cellStyle name="Name 30" xfId="1682"/>
    <cellStyle name="Name 31" xfId="1683"/>
    <cellStyle name="Name 32" xfId="1684"/>
    <cellStyle name="Name 33" xfId="1685"/>
    <cellStyle name="Name 34" xfId="1686"/>
    <cellStyle name="Name 4" xfId="1687"/>
    <cellStyle name="Name 5" xfId="1688"/>
    <cellStyle name="Name 6" xfId="1689"/>
    <cellStyle name="Name 7" xfId="1690"/>
    <cellStyle name="Name 8" xfId="1691"/>
    <cellStyle name="Name 9" xfId="1692"/>
    <cellStyle name="Name_Data_annex_for_Analysys_Mason_RRxxx" xfId="1693"/>
    <cellStyle name="Named Range" xfId="1694"/>
    <cellStyle name="Named Range Tag" xfId="1695"/>
    <cellStyle name="Named Range_AOP Budget Bible 211105 v1" xfId="1696"/>
    <cellStyle name="Names" xfId="1697"/>
    <cellStyle name="no dec" xfId="1698"/>
    <cellStyle name="Normal" xfId="0" builtinId="0"/>
    <cellStyle name="Normal - Style1" xfId="1699"/>
    <cellStyle name="Normal 1" xfId="1700"/>
    <cellStyle name="Normal 10" xfId="1701"/>
    <cellStyle name="Normal 10 2" xfId="1702"/>
    <cellStyle name="Normal 11" xfId="1703"/>
    <cellStyle name="Normal 12" xfId="1704"/>
    <cellStyle name="Normal 13" xfId="1705"/>
    <cellStyle name="Normal 14" xfId="1706"/>
    <cellStyle name="Normal 15" xfId="1707"/>
    <cellStyle name="Normal 16" xfId="1708"/>
    <cellStyle name="Normal 17" xfId="1709"/>
    <cellStyle name="Normal 18" xfId="1710"/>
    <cellStyle name="Normal 19" xfId="1711"/>
    <cellStyle name="Normal 2" xfId="25"/>
    <cellStyle name="Normal 2 10" xfId="1712"/>
    <cellStyle name="Normal 2 11" xfId="1713"/>
    <cellStyle name="Normal 2 12" xfId="1714"/>
    <cellStyle name="Normal 2 13" xfId="1715"/>
    <cellStyle name="Normal 2 14" xfId="1716"/>
    <cellStyle name="Normal 2 15" xfId="1717"/>
    <cellStyle name="Normal 2 16" xfId="1718"/>
    <cellStyle name="Normal 2 17" xfId="1719"/>
    <cellStyle name="Normal 2 18" xfId="1720"/>
    <cellStyle name="Normal 2 19" xfId="1721"/>
    <cellStyle name="Normal 2 2" xfId="1722"/>
    <cellStyle name="Normal 2 2 10" xfId="1723"/>
    <cellStyle name="Normal 2 2 11" xfId="1724"/>
    <cellStyle name="Normal 2 2 12" xfId="1725"/>
    <cellStyle name="Normal 2 2 13" xfId="1726"/>
    <cellStyle name="Normal 2 2 14" xfId="1727"/>
    <cellStyle name="Normal 2 2 15" xfId="1728"/>
    <cellStyle name="Normal 2 2 16" xfId="1729"/>
    <cellStyle name="Normal 2 2 2" xfId="1730"/>
    <cellStyle name="Normal 2 2 3" xfId="1731"/>
    <cellStyle name="Normal 2 2 4" xfId="1732"/>
    <cellStyle name="Normal 2 2 5" xfId="1733"/>
    <cellStyle name="Normal 2 2 6" xfId="1734"/>
    <cellStyle name="Normal 2 2 7" xfId="1735"/>
    <cellStyle name="Normal 2 2 8" xfId="1736"/>
    <cellStyle name="Normal 2 2 9" xfId="1737"/>
    <cellStyle name="Normal 2 20" xfId="1738"/>
    <cellStyle name="Normal 2 21" xfId="1739"/>
    <cellStyle name="Normal 2 22" xfId="1740"/>
    <cellStyle name="Normal 2 23" xfId="1741"/>
    <cellStyle name="Normal 2 24" xfId="1742"/>
    <cellStyle name="Normal 2 25" xfId="1743"/>
    <cellStyle name="Normal 2 26" xfId="1744"/>
    <cellStyle name="Normal 2 27" xfId="1745"/>
    <cellStyle name="Normal 2 28" xfId="1746"/>
    <cellStyle name="Normal 2 29" xfId="1747"/>
    <cellStyle name="Normal 2 3" xfId="1748"/>
    <cellStyle name="Normal 2 30" xfId="1749"/>
    <cellStyle name="Normal 2 31" xfId="1750"/>
    <cellStyle name="Normal 2 32" xfId="2434"/>
    <cellStyle name="Normal 2 4" xfId="1751"/>
    <cellStyle name="Normal 2 5" xfId="1752"/>
    <cellStyle name="Normal 2 6" xfId="1753"/>
    <cellStyle name="Normal 2 7" xfId="1754"/>
    <cellStyle name="Normal 2 8" xfId="1755"/>
    <cellStyle name="Normal 2 9" xfId="1756"/>
    <cellStyle name="Normal 2_QRF4 Consolidated Forecast v2b" xfId="1757"/>
    <cellStyle name="Normal 20" xfId="1758"/>
    <cellStyle name="Normal 21" xfId="1759"/>
    <cellStyle name="Normal 22" xfId="1760"/>
    <cellStyle name="Normal 23" xfId="1761"/>
    <cellStyle name="Normal 24" xfId="1762"/>
    <cellStyle name="Normal 25" xfId="1763"/>
    <cellStyle name="Normal 26" xfId="1764"/>
    <cellStyle name="Normal 27" xfId="1765"/>
    <cellStyle name="Normal 28" xfId="1766"/>
    <cellStyle name="Normal 29" xfId="1767"/>
    <cellStyle name="Normal 3" xfId="24"/>
    <cellStyle name="Normal 3 10" xfId="1768"/>
    <cellStyle name="Normal 3 11" xfId="1769"/>
    <cellStyle name="Normal 3 12" xfId="1770"/>
    <cellStyle name="Normal 3 13" xfId="1771"/>
    <cellStyle name="Normal 3 14" xfId="1772"/>
    <cellStyle name="Normal 3 15" xfId="1773"/>
    <cellStyle name="Normal 3 2" xfId="1774"/>
    <cellStyle name="Normal 3 2 2" xfId="1775"/>
    <cellStyle name="Normal 3 3" xfId="1776"/>
    <cellStyle name="Normal 3 4" xfId="1777"/>
    <cellStyle name="Normal 3 5" xfId="1778"/>
    <cellStyle name="Normal 3 6" xfId="1779"/>
    <cellStyle name="Normal 3 7" xfId="1780"/>
    <cellStyle name="Normal 3 8" xfId="1781"/>
    <cellStyle name="Normal 3 9" xfId="1782"/>
    <cellStyle name="Normal 30" xfId="1783"/>
    <cellStyle name="Normal 31" xfId="1784"/>
    <cellStyle name="Normal 32" xfId="1785"/>
    <cellStyle name="Normal 33" xfId="1786"/>
    <cellStyle name="Normal 34" xfId="1787"/>
    <cellStyle name="Normal 35" xfId="1788"/>
    <cellStyle name="Normal 36" xfId="1789"/>
    <cellStyle name="Normal 37" xfId="1790"/>
    <cellStyle name="Normal 38" xfId="1791"/>
    <cellStyle name="Normal 39" xfId="1792"/>
    <cellStyle name="Normal 4" xfId="28"/>
    <cellStyle name="Normal 4 2" xfId="1793"/>
    <cellStyle name="Normal 40" xfId="1794"/>
    <cellStyle name="Normal 41" xfId="1795"/>
    <cellStyle name="Normal 42" xfId="1796"/>
    <cellStyle name="Normal 43" xfId="1797"/>
    <cellStyle name="Normal 44" xfId="1798"/>
    <cellStyle name="Normal 45" xfId="1799"/>
    <cellStyle name="Normal 46" xfId="1800"/>
    <cellStyle name="Normal 47" xfId="1801"/>
    <cellStyle name="Normal 48" xfId="1802"/>
    <cellStyle name="Normal 49" xfId="1803"/>
    <cellStyle name="Normal 5" xfId="1804"/>
    <cellStyle name="Normal 5 2" xfId="1805"/>
    <cellStyle name="Normal 5 3" xfId="1806"/>
    <cellStyle name="Normal 50" xfId="2407"/>
    <cellStyle name="Normal 51" xfId="2410"/>
    <cellStyle name="Normal 52" xfId="2413"/>
    <cellStyle name="Normal 53" xfId="2416"/>
    <cellStyle name="Normal 54" xfId="2419"/>
    <cellStyle name="Normal 55" xfId="2422"/>
    <cellStyle name="Normal 56" xfId="2425"/>
    <cellStyle name="Normal 57" xfId="2428"/>
    <cellStyle name="Normal 58" xfId="2431"/>
    <cellStyle name="Normal 59" xfId="2432"/>
    <cellStyle name="Normal 6" xfId="1807"/>
    <cellStyle name="Normal 60" xfId="2433"/>
    <cellStyle name="Normal 61" xfId="2435"/>
    <cellStyle name="Normal 62" xfId="2438"/>
    <cellStyle name="Normal 7" xfId="1808"/>
    <cellStyle name="Normal 7 2" xfId="1809"/>
    <cellStyle name="Normal 8" xfId="1810"/>
    <cellStyle name="Normal 9" xfId="1811"/>
    <cellStyle name="Normal Bold" xfId="1812"/>
    <cellStyle name="Normal Entry" xfId="1813"/>
    <cellStyle name="Normal Hidden" xfId="1814"/>
    <cellStyle name="Normal-#0" xfId="1815"/>
    <cellStyle name="Normal-#2" xfId="1816"/>
    <cellStyle name="Normal-$0" xfId="1817"/>
    <cellStyle name="Normal-$2" xfId="1818"/>
    <cellStyle name="Normal-$4" xfId="1819"/>
    <cellStyle name="Normal-%1" xfId="1820"/>
    <cellStyle name="Normal-%2" xfId="1821"/>
    <cellStyle name="Normal-¢2" xfId="1822"/>
    <cellStyle name="Normale_FINSTAT" xfId="1823"/>
    <cellStyle name="NormalL_Summary_Summary " xfId="1824"/>
    <cellStyle name="Normalny_Arkusz1" xfId="1825"/>
    <cellStyle name="Note" xfId="9" builtinId="10" customBuiltin="1"/>
    <cellStyle name="Note 10" xfId="1826"/>
    <cellStyle name="Note 11" xfId="1827"/>
    <cellStyle name="Note 12" xfId="1828"/>
    <cellStyle name="Note 13" xfId="1829"/>
    <cellStyle name="Note 14" xfId="1830"/>
    <cellStyle name="Note 15" xfId="1831"/>
    <cellStyle name="Note 16" xfId="1832"/>
    <cellStyle name="Note 17" xfId="1833"/>
    <cellStyle name="Note 2" xfId="1834"/>
    <cellStyle name="Note 2 10" xfId="1835"/>
    <cellStyle name="Note 2 11" xfId="1836"/>
    <cellStyle name="Note 2 12" xfId="1837"/>
    <cellStyle name="Note 2 13" xfId="1838"/>
    <cellStyle name="Note 2 2" xfId="1839"/>
    <cellStyle name="Note 2 3" xfId="1840"/>
    <cellStyle name="Note 2 4" xfId="1841"/>
    <cellStyle name="Note 2 5" xfId="1842"/>
    <cellStyle name="Note 2 6" xfId="1843"/>
    <cellStyle name="Note 2 7" xfId="1844"/>
    <cellStyle name="Note 2 8" xfId="1845"/>
    <cellStyle name="Note 2 9" xfId="1846"/>
    <cellStyle name="Note 3" xfId="1847"/>
    <cellStyle name="Note 3 10" xfId="1848"/>
    <cellStyle name="Note 3 11" xfId="1849"/>
    <cellStyle name="Note 3 12" xfId="1850"/>
    <cellStyle name="Note 3 13" xfId="1851"/>
    <cellStyle name="Note 3 2" xfId="1852"/>
    <cellStyle name="Note 3 3" xfId="1853"/>
    <cellStyle name="Note 3 4" xfId="1854"/>
    <cellStyle name="Note 3 5" xfId="1855"/>
    <cellStyle name="Note 3 6" xfId="1856"/>
    <cellStyle name="Note 3 7" xfId="1857"/>
    <cellStyle name="Note 3 8" xfId="1858"/>
    <cellStyle name="Note 3 9" xfId="1859"/>
    <cellStyle name="Note 4" xfId="1860"/>
    <cellStyle name="Note 4 10" xfId="1861"/>
    <cellStyle name="Note 4 11" xfId="1862"/>
    <cellStyle name="Note 4 12" xfId="1863"/>
    <cellStyle name="Note 4 13" xfId="1864"/>
    <cellStyle name="Note 4 2" xfId="1865"/>
    <cellStyle name="Note 4 3" xfId="1866"/>
    <cellStyle name="Note 4 4" xfId="1867"/>
    <cellStyle name="Note 4 5" xfId="1868"/>
    <cellStyle name="Note 4 6" xfId="1869"/>
    <cellStyle name="Note 4 7" xfId="1870"/>
    <cellStyle name="Note 4 8" xfId="1871"/>
    <cellStyle name="Note 4 9" xfId="1872"/>
    <cellStyle name="Note 5" xfId="1873"/>
    <cellStyle name="Note 6" xfId="1874"/>
    <cellStyle name="Note 7" xfId="1875"/>
    <cellStyle name="Note 8" xfId="1876"/>
    <cellStyle name="Note 9" xfId="1877"/>
    <cellStyle name="NoteOrSource" xfId="18"/>
    <cellStyle name="Notes_multi" xfId="1878"/>
    <cellStyle name="Number" xfId="10"/>
    <cellStyle name="Number (2dp)" xfId="1879"/>
    <cellStyle name="Number 10" xfId="1880"/>
    <cellStyle name="Number 11" xfId="1881"/>
    <cellStyle name="Number 12" xfId="1882"/>
    <cellStyle name="Number 13" xfId="1883"/>
    <cellStyle name="Number 14" xfId="1884"/>
    <cellStyle name="Number 15" xfId="1885"/>
    <cellStyle name="Number 16" xfId="1886"/>
    <cellStyle name="Number 17" xfId="1887"/>
    <cellStyle name="Number 18" xfId="1888"/>
    <cellStyle name="Number 19" xfId="1889"/>
    <cellStyle name="Number 2" xfId="1890"/>
    <cellStyle name="Number 20" xfId="1891"/>
    <cellStyle name="Number 21" xfId="1892"/>
    <cellStyle name="Number 22" xfId="1893"/>
    <cellStyle name="Number 23" xfId="1894"/>
    <cellStyle name="Number 24" xfId="1895"/>
    <cellStyle name="Number 25" xfId="1896"/>
    <cellStyle name="Number 26" xfId="1897"/>
    <cellStyle name="Number 27" xfId="1898"/>
    <cellStyle name="Number 28" xfId="1899"/>
    <cellStyle name="Number 29" xfId="1900"/>
    <cellStyle name="Number 3" xfId="1901"/>
    <cellStyle name="Number 30" xfId="1902"/>
    <cellStyle name="Number 31" xfId="1903"/>
    <cellStyle name="Number 32" xfId="1904"/>
    <cellStyle name="Number 33" xfId="1905"/>
    <cellStyle name="Number 34" xfId="1906"/>
    <cellStyle name="Number 4" xfId="1907"/>
    <cellStyle name="Number 5" xfId="1908"/>
    <cellStyle name="Number 6" xfId="1909"/>
    <cellStyle name="Number 7" xfId="1910"/>
    <cellStyle name="Number 8" xfId="1911"/>
    <cellStyle name="Number 9" xfId="1912"/>
    <cellStyle name="Number_5yp Voice base case 23_11_05 consumer" xfId="1913"/>
    <cellStyle name="Number1" xfId="1914"/>
    <cellStyle name="NumberLabel" xfId="1915"/>
    <cellStyle name="NumberLabel 2" xfId="1916"/>
    <cellStyle name="Numbers" xfId="1917"/>
    <cellStyle name="Numeric point input" xfId="1918"/>
    <cellStyle name="Numeric(0)" xfId="1919"/>
    <cellStyle name="Numeric(1)" xfId="1920"/>
    <cellStyle name="Numeric(2)" xfId="1921"/>
    <cellStyle name="Obsolete" xfId="1922"/>
    <cellStyle name="Œ…‹æØ‚è [0.00]_Region Orders (2)" xfId="1923"/>
    <cellStyle name="Œ…‹æØ‚è_Region Orders (2)" xfId="1924"/>
    <cellStyle name="Ofcom Note" xfId="21"/>
    <cellStyle name="Ofcom Output" xfId="19"/>
    <cellStyle name="OfcomConfidential" xfId="22"/>
    <cellStyle name="OfcomConfidential 2" xfId="1925"/>
    <cellStyle name="Onedec" xfId="1926"/>
    <cellStyle name="Output" xfId="11" builtinId="21" customBuiltin="1"/>
    <cellStyle name="Output 10" xfId="1927"/>
    <cellStyle name="Output 11" xfId="1928"/>
    <cellStyle name="Output 12" xfId="1929"/>
    <cellStyle name="Output 13" xfId="1930"/>
    <cellStyle name="Output 14" xfId="1931"/>
    <cellStyle name="Output 15" xfId="1932"/>
    <cellStyle name="Output 2" xfId="1933"/>
    <cellStyle name="Output 2 10" xfId="1934"/>
    <cellStyle name="Output 2 11" xfId="1935"/>
    <cellStyle name="Output 2 12" xfId="1936"/>
    <cellStyle name="Output 2 13" xfId="1937"/>
    <cellStyle name="Output 2 14" xfId="1938"/>
    <cellStyle name="Output 2 2" xfId="1939"/>
    <cellStyle name="Output 2 3" xfId="1940"/>
    <cellStyle name="Output 2 4" xfId="1941"/>
    <cellStyle name="Output 2 5" xfId="1942"/>
    <cellStyle name="Output 2 6" xfId="1943"/>
    <cellStyle name="Output 2 7" xfId="1944"/>
    <cellStyle name="Output 2 8" xfId="1945"/>
    <cellStyle name="Output 2 9" xfId="1946"/>
    <cellStyle name="Output 3" xfId="1947"/>
    <cellStyle name="Output 3 10" xfId="1948"/>
    <cellStyle name="Output 3 11" xfId="1949"/>
    <cellStyle name="Output 3 12" xfId="1950"/>
    <cellStyle name="Output 3 13" xfId="1951"/>
    <cellStyle name="Output 3 2" xfId="1952"/>
    <cellStyle name="Output 3 3" xfId="1953"/>
    <cellStyle name="Output 3 4" xfId="1954"/>
    <cellStyle name="Output 3 5" xfId="1955"/>
    <cellStyle name="Output 3 6" xfId="1956"/>
    <cellStyle name="Output 3 7" xfId="1957"/>
    <cellStyle name="Output 3 8" xfId="1958"/>
    <cellStyle name="Output 3 9" xfId="1959"/>
    <cellStyle name="Output 4" xfId="1960"/>
    <cellStyle name="Output 4 10" xfId="1961"/>
    <cellStyle name="Output 4 11" xfId="1962"/>
    <cellStyle name="Output 4 12" xfId="1963"/>
    <cellStyle name="Output 4 13" xfId="1964"/>
    <cellStyle name="Output 4 2" xfId="1965"/>
    <cellStyle name="Output 4 3" xfId="1966"/>
    <cellStyle name="Output 4 4" xfId="1967"/>
    <cellStyle name="Output 4 5" xfId="1968"/>
    <cellStyle name="Output 4 6" xfId="1969"/>
    <cellStyle name="Output 4 7" xfId="1970"/>
    <cellStyle name="Output 4 8" xfId="1971"/>
    <cellStyle name="Output 4 9" xfId="1972"/>
    <cellStyle name="Output 5" xfId="1973"/>
    <cellStyle name="Output 6" xfId="1974"/>
    <cellStyle name="Output 7" xfId="1975"/>
    <cellStyle name="Output 8" xfId="1976"/>
    <cellStyle name="Output 9" xfId="1977"/>
    <cellStyle name="Output Line Items" xfId="1978"/>
    <cellStyle name="Output2" xfId="1979"/>
    <cellStyle name="Page Heading Large" xfId="1980"/>
    <cellStyle name="Page Heading Small" xfId="1981"/>
    <cellStyle name="Page Number" xfId="1982"/>
    <cellStyle name="pct_sub" xfId="1983"/>
    <cellStyle name="per.style" xfId="1984"/>
    <cellStyle name="Percent" xfId="23" builtinId="5"/>
    <cellStyle name="Percent (0)" xfId="1985"/>
    <cellStyle name="Percent [0]" xfId="1986"/>
    <cellStyle name="Percent [00]" xfId="1987"/>
    <cellStyle name="Percent [1]" xfId="1988"/>
    <cellStyle name="Percent [2]" xfId="1989"/>
    <cellStyle name="Percent [2] 2" xfId="1990"/>
    <cellStyle name="Percent 10" xfId="1991"/>
    <cellStyle name="Percent 11" xfId="1992"/>
    <cellStyle name="Percent 12" xfId="1993"/>
    <cellStyle name="Percent 13" xfId="1994"/>
    <cellStyle name="Percent 14" xfId="1995"/>
    <cellStyle name="Percent 15" xfId="1996"/>
    <cellStyle name="Percent 16" xfId="1997"/>
    <cellStyle name="Percent 17" xfId="1998"/>
    <cellStyle name="Percent 18" xfId="1999"/>
    <cellStyle name="Percent 19" xfId="2000"/>
    <cellStyle name="Percent 2" xfId="27"/>
    <cellStyle name="Percent 2 2" xfId="2001"/>
    <cellStyle name="Percent 2 3" xfId="2002"/>
    <cellStyle name="Percent 2 4" xfId="2003"/>
    <cellStyle name="Percent 20" xfId="2004"/>
    <cellStyle name="Percent 21" xfId="2005"/>
    <cellStyle name="Percent 22" xfId="2006"/>
    <cellStyle name="Percent 23" xfId="2007"/>
    <cellStyle name="Percent 24" xfId="2008"/>
    <cellStyle name="Percent 25" xfId="2409"/>
    <cellStyle name="Percent 26" xfId="2412"/>
    <cellStyle name="Percent 27" xfId="2415"/>
    <cellStyle name="Percent 28" xfId="2418"/>
    <cellStyle name="Percent 29" xfId="2421"/>
    <cellStyle name="Percent 3" xfId="30"/>
    <cellStyle name="Percent 3 2" xfId="2009"/>
    <cellStyle name="Percent 3 3" xfId="2010"/>
    <cellStyle name="Percent 30" xfId="2424"/>
    <cellStyle name="Percent 31" xfId="2430"/>
    <cellStyle name="Percent 32" xfId="2437"/>
    <cellStyle name="Percent 33" xfId="2440"/>
    <cellStyle name="Percent 4" xfId="2011"/>
    <cellStyle name="Percent 4 2" xfId="2012"/>
    <cellStyle name="Percent 5" xfId="2013"/>
    <cellStyle name="Percent 6" xfId="2014"/>
    <cellStyle name="Percent 7" xfId="2015"/>
    <cellStyle name="Percent 8" xfId="2016"/>
    <cellStyle name="Percent 9" xfId="2017"/>
    <cellStyle name="Percent Hard" xfId="2018"/>
    <cellStyle name="Percent(0)" xfId="2019"/>
    <cellStyle name="Percent(1)" xfId="2020"/>
    <cellStyle name="Percent(2)" xfId="2021"/>
    <cellStyle name="Percent2" xfId="2022"/>
    <cellStyle name="Percent2Margin" xfId="2023"/>
    <cellStyle name="Percent3" xfId="2024"/>
    <cellStyle name="Percent4" xfId="2025"/>
    <cellStyle name="Percent5" xfId="2026"/>
    <cellStyle name="Percentage" xfId="12"/>
    <cellStyle name="Percentage (2dp)" xfId="2027"/>
    <cellStyle name="Percentage 10" xfId="2028"/>
    <cellStyle name="Percentage 11" xfId="2029"/>
    <cellStyle name="Percentage 12" xfId="2030"/>
    <cellStyle name="Percentage 13" xfId="2031"/>
    <cellStyle name="Percentage 14" xfId="2032"/>
    <cellStyle name="Percentage 15" xfId="2033"/>
    <cellStyle name="Percentage 16" xfId="2034"/>
    <cellStyle name="Percentage 17" xfId="2035"/>
    <cellStyle name="Percentage 18" xfId="2036"/>
    <cellStyle name="Percentage 19" xfId="2037"/>
    <cellStyle name="Percentage 2" xfId="2038"/>
    <cellStyle name="Percentage 20" xfId="2039"/>
    <cellStyle name="Percentage 21" xfId="2040"/>
    <cellStyle name="Percentage 22" xfId="2041"/>
    <cellStyle name="Percentage 23" xfId="2042"/>
    <cellStyle name="Percentage 24" xfId="2043"/>
    <cellStyle name="Percentage 25" xfId="2044"/>
    <cellStyle name="Percentage 26" xfId="2045"/>
    <cellStyle name="Percentage 27" xfId="2046"/>
    <cellStyle name="Percentage 28" xfId="2047"/>
    <cellStyle name="Percentage 29" xfId="2048"/>
    <cellStyle name="Percentage 3" xfId="2049"/>
    <cellStyle name="Percentage 30" xfId="2050"/>
    <cellStyle name="Percentage 31" xfId="2051"/>
    <cellStyle name="Percentage 32" xfId="2052"/>
    <cellStyle name="Percentage 33" xfId="2053"/>
    <cellStyle name="Percentage 34" xfId="2054"/>
    <cellStyle name="Percentage 4" xfId="2055"/>
    <cellStyle name="Percentage 5" xfId="2056"/>
    <cellStyle name="Percentage 6" xfId="2057"/>
    <cellStyle name="Percentage 7" xfId="2058"/>
    <cellStyle name="Percentage 8" xfId="2059"/>
    <cellStyle name="Percentage 9" xfId="2060"/>
    <cellStyle name="Percentage_5yp Voice base case 23_11_05 consumer" xfId="2061"/>
    <cellStyle name="phasing" xfId="2062"/>
    <cellStyle name="PlusMinus" xfId="2063"/>
    <cellStyle name="Pounds" xfId="2064"/>
    <cellStyle name="Pounds1" xfId="2065"/>
    <cellStyle name="Pounds2" xfId="2066"/>
    <cellStyle name="Pounds3" xfId="2067"/>
    <cellStyle name="Pounds4" xfId="2068"/>
    <cellStyle name="Pounds5" xfId="2069"/>
    <cellStyle name="Pounds6" xfId="2070"/>
    <cellStyle name="Pourcentage_pldt" xfId="2071"/>
    <cellStyle name="Prefilled" xfId="2072"/>
    <cellStyle name="PrePop Currency (0)" xfId="2073"/>
    <cellStyle name="PrePop Currency (2)" xfId="2074"/>
    <cellStyle name="PrePop Units (0)" xfId="2075"/>
    <cellStyle name="PrePop Units (1)" xfId="2076"/>
    <cellStyle name="PrePop Units (2)" xfId="2077"/>
    <cellStyle name="Pres_Table_Header" xfId="2078"/>
    <cellStyle name="Price" xfId="2079"/>
    <cellStyle name="Price  .00" xfId="2080"/>
    <cellStyle name="Price_06_07 Camera budgets 040906 (revised) V3_200906" xfId="2081"/>
    <cellStyle name="pricing" xfId="2082"/>
    <cellStyle name="PropGenCurrencyFormat" xfId="2083"/>
    <cellStyle name="PSChar" xfId="2084"/>
    <cellStyle name="PSDate" xfId="2085"/>
    <cellStyle name="PSDec" xfId="2086"/>
    <cellStyle name="PSHeading" xfId="2087"/>
    <cellStyle name="PSInt" xfId="2088"/>
    <cellStyle name="PSSpacer" xfId="2089"/>
    <cellStyle name="Punctuated(0)" xfId="2090"/>
    <cellStyle name="Punctuated(1)" xfId="2091"/>
    <cellStyle name="Punctuated(2)" xfId="2092"/>
    <cellStyle name="QA_Highlight" xfId="20"/>
    <cellStyle name="Qty" xfId="2093"/>
    <cellStyle name="Quarterly" xfId="2094"/>
    <cellStyle name="Rack_kit" xfId="2095"/>
    <cellStyle name="Red" xfId="2096"/>
    <cellStyle name="Ref Numbers" xfId="2097"/>
    <cellStyle name="Reference" xfId="2098"/>
    <cellStyle name="regstoresfromspecstores" xfId="2099"/>
    <cellStyle name="REPORT" xfId="2100"/>
    <cellStyle name="Results % 3 dp" xfId="2101"/>
    <cellStyle name="Results 3 dp" xfId="2102"/>
    <cellStyle name="RevList" xfId="2103"/>
    <cellStyle name="Row and Column Total" xfId="2104"/>
    <cellStyle name="Row and Column Total 2" xfId="2105"/>
    <cellStyle name="Row and Column Total 3" xfId="2106"/>
    <cellStyle name="Row and Column Total 4" xfId="2107"/>
    <cellStyle name="Row and Column Total 5" xfId="2108"/>
    <cellStyle name="Row and Column Total 6" xfId="2109"/>
    <cellStyle name="Row and Column Total 7" xfId="2110"/>
    <cellStyle name="Row Heading" xfId="2111"/>
    <cellStyle name="Row Heading (No Wrap)" xfId="2112"/>
    <cellStyle name="Row Heading (No Wrap) 2" xfId="2113"/>
    <cellStyle name="Row Heading (No Wrap) 3" xfId="2114"/>
    <cellStyle name="Row Heading (No Wrap) 4" xfId="2115"/>
    <cellStyle name="Row Heading (No Wrap) 5" xfId="2116"/>
    <cellStyle name="Row Heading (No Wrap) 6" xfId="2117"/>
    <cellStyle name="Row Heading (No Wrap) 7" xfId="2118"/>
    <cellStyle name="Row Heading 2" xfId="2119"/>
    <cellStyle name="Row Heading 3" xfId="2120"/>
    <cellStyle name="Row Heading 4" xfId="2121"/>
    <cellStyle name="Row Heading 5" xfId="2122"/>
    <cellStyle name="Row Heading 6" xfId="2123"/>
    <cellStyle name="Row Heading 7" xfId="2124"/>
    <cellStyle name="Row label" xfId="2125"/>
    <cellStyle name="Row label (indent)" xfId="2126"/>
    <cellStyle name="Row Total" xfId="2127"/>
    <cellStyle name="Row Total 2" xfId="2128"/>
    <cellStyle name="Row Total 3" xfId="2129"/>
    <cellStyle name="Row Total 4" xfId="2130"/>
    <cellStyle name="Row Total 5" xfId="2131"/>
    <cellStyle name="Row Total 6" xfId="2132"/>
    <cellStyle name="Row Total 7" xfId="2133"/>
    <cellStyle name="Section Heading" xfId="2134"/>
    <cellStyle name="Section Title" xfId="2135"/>
    <cellStyle name="Section Title 2" xfId="2136"/>
    <cellStyle name="Section Title 3" xfId="2137"/>
    <cellStyle name="Section Title 4" xfId="2138"/>
    <cellStyle name="Section Title 5" xfId="2139"/>
    <cellStyle name="Section Title 6" xfId="2140"/>
    <cellStyle name="Section Title 7" xfId="2141"/>
    <cellStyle name="Section Title no wrap" xfId="2142"/>
    <cellStyle name="Section Title wrap" xfId="2143"/>
    <cellStyle name="Shaded" xfId="2144"/>
    <cellStyle name="SHADEDSTORES" xfId="2145"/>
    <cellStyle name="sheet title" xfId="2146"/>
    <cellStyle name="Single Cell Column Heading" xfId="2147"/>
    <cellStyle name="Slide Title" xfId="2148"/>
    <cellStyle name="SMALL" xfId="2149"/>
    <cellStyle name="Small Number" xfId="2150"/>
    <cellStyle name="Small Number 2" xfId="2151"/>
    <cellStyle name="Small Number 3" xfId="2152"/>
    <cellStyle name="Small Number 4" xfId="2153"/>
    <cellStyle name="Small Number 5" xfId="2154"/>
    <cellStyle name="Small Number 6" xfId="2155"/>
    <cellStyle name="Small Number 7" xfId="2156"/>
    <cellStyle name="Small Page Heading" xfId="2157"/>
    <cellStyle name="Small Percentage" xfId="2158"/>
    <cellStyle name="Small Percentage 2" xfId="2159"/>
    <cellStyle name="Small Percentage 3" xfId="2160"/>
    <cellStyle name="Small Percentage 4" xfId="2161"/>
    <cellStyle name="Small Percentage 5" xfId="2162"/>
    <cellStyle name="Small Percentage 6" xfId="2163"/>
    <cellStyle name="Small Percentage 7" xfId="2164"/>
    <cellStyle name="Source" xfId="13"/>
    <cellStyle name="Source 2" xfId="2165"/>
    <cellStyle name="Source Line" xfId="2166"/>
    <cellStyle name="sp" xfId="2167"/>
    <cellStyle name="specstores" xfId="2168"/>
    <cellStyle name="Standaard_tabel 2" xfId="2169"/>
    <cellStyle name="Standard_Actual_TLR_data_from_081024" xfId="2170"/>
    <cellStyle name="String point input" xfId="2171"/>
    <cellStyle name="style" xfId="2172"/>
    <cellStyle name="Style 1" xfId="2173"/>
    <cellStyle name="Style 1 2" xfId="2174"/>
    <cellStyle name="Style 1 2 2" xfId="2175"/>
    <cellStyle name="Style 10" xfId="2176"/>
    <cellStyle name="Style 11" xfId="2177"/>
    <cellStyle name="Style 12" xfId="2178"/>
    <cellStyle name="Style 13" xfId="2179"/>
    <cellStyle name="Style 14" xfId="2180"/>
    <cellStyle name="Style 15" xfId="2181"/>
    <cellStyle name="Style 16" xfId="2182"/>
    <cellStyle name="Style 17" xfId="2183"/>
    <cellStyle name="Style 18" xfId="2184"/>
    <cellStyle name="Style 19" xfId="2185"/>
    <cellStyle name="Style 2" xfId="2186"/>
    <cellStyle name="Style 20" xfId="2187"/>
    <cellStyle name="Style 21" xfId="2188"/>
    <cellStyle name="Style 22" xfId="2189"/>
    <cellStyle name="Style 23" xfId="2190"/>
    <cellStyle name="Style 24" xfId="2191"/>
    <cellStyle name="Style 25" xfId="2192"/>
    <cellStyle name="Style 26" xfId="2193"/>
    <cellStyle name="Style 27" xfId="2194"/>
    <cellStyle name="Style 28" xfId="2195"/>
    <cellStyle name="Style 29" xfId="2196"/>
    <cellStyle name="Style 3" xfId="2197"/>
    <cellStyle name="Style 30" xfId="2198"/>
    <cellStyle name="Style 31" xfId="2199"/>
    <cellStyle name="Style 32" xfId="2200"/>
    <cellStyle name="Style 33" xfId="2201"/>
    <cellStyle name="Style 34" xfId="2202"/>
    <cellStyle name="Style 35" xfId="2203"/>
    <cellStyle name="Style 36" xfId="2204"/>
    <cellStyle name="Style 37" xfId="2205"/>
    <cellStyle name="Style 38" xfId="2206"/>
    <cellStyle name="Style 39" xfId="2207"/>
    <cellStyle name="Style 4" xfId="2208"/>
    <cellStyle name="Style 40" xfId="2209"/>
    <cellStyle name="Style 41" xfId="2210"/>
    <cellStyle name="Style 42" xfId="2211"/>
    <cellStyle name="Style 43" xfId="2212"/>
    <cellStyle name="Style 44" xfId="2213"/>
    <cellStyle name="Style 45" xfId="2214"/>
    <cellStyle name="Style 46" xfId="2215"/>
    <cellStyle name="Style 47" xfId="2216"/>
    <cellStyle name="Style 48" xfId="2217"/>
    <cellStyle name="Style 49" xfId="2218"/>
    <cellStyle name="Style 5" xfId="2219"/>
    <cellStyle name="Style 50" xfId="2220"/>
    <cellStyle name="Style 51" xfId="2221"/>
    <cellStyle name="Style 52" xfId="2222"/>
    <cellStyle name="Style 53" xfId="2223"/>
    <cellStyle name="Style 54" xfId="2224"/>
    <cellStyle name="Style 55" xfId="2225"/>
    <cellStyle name="Style 56" xfId="2226"/>
    <cellStyle name="Style 57" xfId="2227"/>
    <cellStyle name="Style 58" xfId="2228"/>
    <cellStyle name="Style 59" xfId="2229"/>
    <cellStyle name="Style 6" xfId="2230"/>
    <cellStyle name="Style 60" xfId="2231"/>
    <cellStyle name="Style 61" xfId="2232"/>
    <cellStyle name="Style 62" xfId="2233"/>
    <cellStyle name="Style 63" xfId="2234"/>
    <cellStyle name="Style 64" xfId="2235"/>
    <cellStyle name="Style 65" xfId="2236"/>
    <cellStyle name="Style 66" xfId="2237"/>
    <cellStyle name="Style 67" xfId="2238"/>
    <cellStyle name="Style 68" xfId="2239"/>
    <cellStyle name="Style 69" xfId="2240"/>
    <cellStyle name="Style 7" xfId="2241"/>
    <cellStyle name="Style 8" xfId="2242"/>
    <cellStyle name="Style 9" xfId="2243"/>
    <cellStyle name="style_£k" xfId="2244"/>
    <cellStyle name="style1" xfId="2245"/>
    <cellStyle name="style2" xfId="2246"/>
    <cellStyle name="subcalc" xfId="2247"/>
    <cellStyle name="SubHeading1" xfId="2248"/>
    <cellStyle name="SubHeading2" xfId="2249"/>
    <cellStyle name="Subsection Heading" xfId="2250"/>
    <cellStyle name="Sub-section heading" xfId="2251"/>
    <cellStyle name="subtitle" xfId="2252"/>
    <cellStyle name="Subtotal" xfId="2253"/>
    <cellStyle name="Sub-Total" xfId="2254"/>
    <cellStyle name="Sub-total row" xfId="2255"/>
    <cellStyle name="Sub-total row 2" xfId="2256"/>
    <cellStyle name="Subtotal_£k" xfId="2257"/>
    <cellStyle name="Summe" xfId="2258"/>
    <cellStyle name="System_Text" xfId="2259"/>
    <cellStyle name="t" xfId="2260"/>
    <cellStyle name="Table Blue" xfId="2261"/>
    <cellStyle name="Table Col Head" xfId="2262"/>
    <cellStyle name="Table finish row" xfId="2263"/>
    <cellStyle name="Table Head" xfId="2264"/>
    <cellStyle name="Table Head Aligned" xfId="2265"/>
    <cellStyle name="Table Head Blue" xfId="2266"/>
    <cellStyle name="Table Head Green" xfId="2267"/>
    <cellStyle name="Table Head_2003 Non Install Capex Summary 14-04-03" xfId="2268"/>
    <cellStyle name="Table Heading" xfId="2269"/>
    <cellStyle name="Table shading" xfId="2270"/>
    <cellStyle name="Table Sub Head" xfId="2271"/>
    <cellStyle name="Table Sub Heading" xfId="2272"/>
    <cellStyle name="Table Title" xfId="2273"/>
    <cellStyle name="Table unfinish row" xfId="2274"/>
    <cellStyle name="Table Units" xfId="2275"/>
    <cellStyle name="Table unshading" xfId="2276"/>
    <cellStyle name="Table_Header_shading" xfId="2277"/>
    <cellStyle name="TableContent" xfId="2278"/>
    <cellStyle name="TableTitle" xfId="2279"/>
    <cellStyle name="test" xfId="2280"/>
    <cellStyle name="Text" xfId="2281"/>
    <cellStyle name="Text Indent A" xfId="2282"/>
    <cellStyle name="Text Indent B" xfId="2283"/>
    <cellStyle name="Text Indent C" xfId="2284"/>
    <cellStyle name="Text Level 1" xfId="2285"/>
    <cellStyle name="Text Level 2" xfId="2286"/>
    <cellStyle name="Text Level 3" xfId="2287"/>
    <cellStyle name="Text Level 4" xfId="2288"/>
    <cellStyle name="þ_x001d_ð &amp;ý&amp;†ýG_x0008_?_x0009_X_x000a__x0007__x0001__x0001_" xfId="2289"/>
    <cellStyle name="þ_x001d_ð &amp;ý&amp;†ýG_x0008_€_x0009_X_x000a__x0007__x0001__x0001_" xfId="2290"/>
    <cellStyle name="þ_x001d_ð &amp;ý&amp;†ýG_x0008__x0009_X_x000a__x0007__x0001__x0001_" xfId="2291"/>
    <cellStyle name="Thousands" xfId="2292"/>
    <cellStyle name="Time" xfId="2293"/>
    <cellStyle name="TIME Detail" xfId="2294"/>
    <cellStyle name="Time Entry" xfId="2295"/>
    <cellStyle name="Time_BT Retail 5 Year Plan Master v5" xfId="2296"/>
    <cellStyle name="Times 12" xfId="2297"/>
    <cellStyle name="Title 1" xfId="2298"/>
    <cellStyle name="Title 2" xfId="2299"/>
    <cellStyle name="Title 3" xfId="2300"/>
    <cellStyle name="Title 4" xfId="2301"/>
    <cellStyle name="Title Heading" xfId="2302"/>
    <cellStyle name="Title Heading 2" xfId="2303"/>
    <cellStyle name="Title Heading 3" xfId="2304"/>
    <cellStyle name="Title Heading 4" xfId="2305"/>
    <cellStyle name="Title Heading 5" xfId="2306"/>
    <cellStyle name="Title Heading 6" xfId="2307"/>
    <cellStyle name="Title Heading 7" xfId="2308"/>
    <cellStyle name="Title Line" xfId="2309"/>
    <cellStyle name="TitlePage" xfId="2310"/>
    <cellStyle name="titre1" xfId="2311"/>
    <cellStyle name="Top Row" xfId="2312"/>
    <cellStyle name="Total" xfId="14" builtinId="25" customBuiltin="1"/>
    <cellStyle name="Total - Grand" xfId="2313"/>
    <cellStyle name="Total - Sub" xfId="2314"/>
    <cellStyle name="Total 10" xfId="2315"/>
    <cellStyle name="Total 11" xfId="2316"/>
    <cellStyle name="Total 12" xfId="2317"/>
    <cellStyle name="Total 13" xfId="2318"/>
    <cellStyle name="Total 14" xfId="2319"/>
    <cellStyle name="Total 15" xfId="2320"/>
    <cellStyle name="Total 2" xfId="2321"/>
    <cellStyle name="Total 2 10" xfId="2322"/>
    <cellStyle name="Total 2 11" xfId="2323"/>
    <cellStyle name="Total 2 12" xfId="2324"/>
    <cellStyle name="Total 2 13" xfId="2325"/>
    <cellStyle name="Total 2 2" xfId="2326"/>
    <cellStyle name="Total 2 3" xfId="2327"/>
    <cellStyle name="Total 2 4" xfId="2328"/>
    <cellStyle name="Total 2 5" xfId="2329"/>
    <cellStyle name="Total 2 6" xfId="2330"/>
    <cellStyle name="Total 2 7" xfId="2331"/>
    <cellStyle name="Total 2 8" xfId="2332"/>
    <cellStyle name="Total 2 9" xfId="2333"/>
    <cellStyle name="Total 3" xfId="2334"/>
    <cellStyle name="Total 3 10" xfId="2335"/>
    <cellStyle name="Total 3 11" xfId="2336"/>
    <cellStyle name="Total 3 12" xfId="2337"/>
    <cellStyle name="Total 3 13" xfId="2338"/>
    <cellStyle name="Total 3 2" xfId="2339"/>
    <cellStyle name="Total 3 3" xfId="2340"/>
    <cellStyle name="Total 3 4" xfId="2341"/>
    <cellStyle name="Total 3 5" xfId="2342"/>
    <cellStyle name="Total 3 6" xfId="2343"/>
    <cellStyle name="Total 3 7" xfId="2344"/>
    <cellStyle name="Total 3 8" xfId="2345"/>
    <cellStyle name="Total 3 9" xfId="2346"/>
    <cellStyle name="Total 4" xfId="2347"/>
    <cellStyle name="Total 4 10" xfId="2348"/>
    <cellStyle name="Total 4 11" xfId="2349"/>
    <cellStyle name="Total 4 12" xfId="2350"/>
    <cellStyle name="Total 4 13" xfId="2351"/>
    <cellStyle name="Total 4 2" xfId="2352"/>
    <cellStyle name="Total 4 3" xfId="2353"/>
    <cellStyle name="Total 4 4" xfId="2354"/>
    <cellStyle name="Total 4 5" xfId="2355"/>
    <cellStyle name="Total 4 6" xfId="2356"/>
    <cellStyle name="Total 4 7" xfId="2357"/>
    <cellStyle name="Total 4 8" xfId="2358"/>
    <cellStyle name="Total 4 9" xfId="2359"/>
    <cellStyle name="Total 5" xfId="2360"/>
    <cellStyle name="Total 6" xfId="2361"/>
    <cellStyle name="Total 7" xfId="2362"/>
    <cellStyle name="Total 8" xfId="2363"/>
    <cellStyle name="Total 9" xfId="2364"/>
    <cellStyle name="total label" xfId="2365"/>
    <cellStyle name="Total Row" xfId="2366"/>
    <cellStyle name="total variable" xfId="2367"/>
    <cellStyle name="Totals" xfId="2368"/>
    <cellStyle name="Unhighlight" xfId="15"/>
    <cellStyle name="Unhighlight 2" xfId="2369"/>
    <cellStyle name="Unhighlight 3" xfId="2370"/>
    <cellStyle name="Unprotect" xfId="2371"/>
    <cellStyle name="Untotal row" xfId="2372"/>
    <cellStyle name="Update" xfId="2373"/>
    <cellStyle name="UPPER" xfId="2374"/>
    <cellStyle name="URLRow" xfId="2375"/>
    <cellStyle name="Valuta (0)_pldt" xfId="2376"/>
    <cellStyle name="Valuta [0]_PLDT" xfId="2377"/>
    <cellStyle name="Valuta_pldt" xfId="2378"/>
    <cellStyle name="Verticle Header" xfId="2379"/>
    <cellStyle name="Währung [0]_BC Vorlage für Olympia VOTServices" xfId="2380"/>
    <cellStyle name="Währung_BC Vorlage für Olympia VOTServices" xfId="2381"/>
    <cellStyle name="Word_Table_Header" xfId="2382"/>
    <cellStyle name="WP Header" xfId="2383"/>
    <cellStyle name="WP Header 2" xfId="2384"/>
    <cellStyle name="WP Header 3" xfId="2385"/>
    <cellStyle name="WP Header 4" xfId="2386"/>
    <cellStyle name="WP Header 5" xfId="2387"/>
    <cellStyle name="WP Header 6" xfId="2388"/>
    <cellStyle name="WP Header 7" xfId="2389"/>
    <cellStyle name="wrap" xfId="2390"/>
    <cellStyle name="x [1]" xfId="2391"/>
    <cellStyle name="year" xfId="2392"/>
    <cellStyle name="yeardate" xfId="2393"/>
    <cellStyle name="years" xfId="2394"/>
    <cellStyle name="YesNo" xfId="2395"/>
    <cellStyle name="콤마 [0]_AGSFILEO" xfId="2396"/>
    <cellStyle name="千位[0]_laroux" xfId="2397"/>
    <cellStyle name="千位_laroux" xfId="2398"/>
    <cellStyle name="千位分隔[0]_2.5G报价模板" xfId="2399"/>
    <cellStyle name="千位分隔_2.5G报价模板" xfId="2400"/>
    <cellStyle name="千分位[0]_laroux" xfId="2401"/>
    <cellStyle name="千分位_laroux" xfId="2402"/>
    <cellStyle name="常规_Core Network(DXC)_OSN 3500&amp;2500 Template" xfId="2403"/>
    <cellStyle name="普通_laroux" xfId="2404"/>
    <cellStyle name="桁区切り_GRASH1" xfId="2405"/>
    <cellStyle name="標準_2002_04-09 JT GA Voice flatfile" xfId="240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8080"/>
      <rgbColor rgb="00BFDCF9"/>
      <rgbColor rgb="00C00000"/>
      <rgbColor rgb="00008000"/>
      <rgbColor rgb="000000C0"/>
      <rgbColor rgb="00808000"/>
      <rgbColor rgb="00FF00FF"/>
      <rgbColor rgb="000060C0"/>
      <rgbColor rgb="00E0E0E0"/>
      <rgbColor rgb="00A0A0A0"/>
      <rgbColor rgb="00A0A0A0"/>
      <rgbColor rgb="00E4E4E4"/>
      <rgbColor rgb="007B7B7B"/>
      <rgbColor rgb="00C8C8C8"/>
      <rgbColor rgb="00565656"/>
      <rgbColor rgb="00FAFAFA"/>
      <rgbColor rgb="00323232"/>
      <rgbColor rgb="00000000"/>
      <rgbColor rgb="00660066"/>
      <rgbColor rgb="00E3738F"/>
      <rgbColor rgb="00CAA6CA"/>
      <rgbColor rgb="00CC0033"/>
      <rgbColor rgb="009B599B"/>
      <rgbColor rgb="00F2BFCC"/>
      <rgbColor rgb="00853385"/>
      <rgbColor rgb="00EB99AD"/>
      <rgbColor rgb="00E8D9E8"/>
      <rgbColor rgb="00DB4C70"/>
      <rgbColor rgb="00B27FB2"/>
      <rgbColor rgb="00FAE5EA"/>
      <rgbColor rgb="00FAE5EA"/>
      <rgbColor rgb="00FFC0C0"/>
      <rgbColor rgb="00FFC0FF"/>
      <rgbColor rgb="00FFF1C9"/>
      <rgbColor rgb="008080FF"/>
      <rgbColor rgb="000080FF"/>
      <rgbColor rgb="00C0C000"/>
      <rgbColor rgb="00FFE0A0"/>
      <rgbColor rgb="00FF8000"/>
      <rgbColor rgb="00C06000"/>
      <rgbColor rgb="00C000C0"/>
      <rgbColor rgb="00C0C0C0"/>
      <rgbColor rgb="00003A47"/>
      <rgbColor rgb="0000C000"/>
      <rgbColor rgb="00006000"/>
      <rgbColor rgb="00606000"/>
      <rgbColor rgb="00804000"/>
      <rgbColor rgb="00FF80FF"/>
      <rgbColor rgb="00800080"/>
      <rgbColor rgb="00808080"/>
    </indexedColors>
    <mruColors>
      <color rgb="FFCCCCCC"/>
      <color rgb="FF642566"/>
      <color rgb="FFE65767"/>
      <color rgb="FFA9CF38"/>
      <color rgb="FFED0973"/>
      <color rgb="FFA67DAA"/>
      <color rgb="FFFFF200"/>
      <color rgb="FF00ABBD"/>
      <color rgb="FFF7941D"/>
      <color rgb="FFA9CE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628650</xdr:colOff>
      <xdr:row>2</xdr:row>
      <xdr:rowOff>19050</xdr:rowOff>
    </xdr:to>
    <xdr:pic>
      <xdr:nvPicPr>
        <xdr:cNvPr id="5188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57150"/>
          <a:ext cx="2209800" cy="647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1624853</xdr:colOff>
      <xdr:row>60</xdr:row>
      <xdr:rowOff>11206</xdr:rowOff>
    </xdr:from>
    <xdr:to>
      <xdr:col>1</xdr:col>
      <xdr:colOff>2454088</xdr:colOff>
      <xdr:row>62</xdr:row>
      <xdr:rowOff>134470</xdr:rowOff>
    </xdr:to>
    <xdr:sp macro="" textlink="">
      <xdr:nvSpPr>
        <xdr:cNvPr id="3" name="TextBox 2"/>
        <xdr:cNvSpPr txBox="1"/>
      </xdr:nvSpPr>
      <xdr:spPr>
        <a:xfrm>
          <a:off x="1983441" y="11811000"/>
          <a:ext cx="829235" cy="4370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100"/>
            <a:t>Status-quo</a:t>
          </a:r>
        </a:p>
      </xdr:txBody>
    </xdr:sp>
    <xdr:clientData/>
  </xdr:twoCellAnchor>
  <xdr:twoCellAnchor>
    <xdr:from>
      <xdr:col>1</xdr:col>
      <xdr:colOff>291351</xdr:colOff>
      <xdr:row>64</xdr:row>
      <xdr:rowOff>129986</xdr:rowOff>
    </xdr:from>
    <xdr:to>
      <xdr:col>1</xdr:col>
      <xdr:colOff>2449607</xdr:colOff>
      <xdr:row>67</xdr:row>
      <xdr:rowOff>123264</xdr:rowOff>
    </xdr:to>
    <xdr:sp macro="" textlink="">
      <xdr:nvSpPr>
        <xdr:cNvPr id="5" name="TextBox 4"/>
        <xdr:cNvSpPr txBox="1"/>
      </xdr:nvSpPr>
      <xdr:spPr>
        <a:xfrm>
          <a:off x="649939" y="13655486"/>
          <a:ext cx="2158256" cy="46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100"/>
            <a:t>Stop contacting LP under new process</a:t>
          </a:r>
        </a:p>
      </xdr:txBody>
    </xdr:sp>
    <xdr:clientData/>
  </xdr:twoCellAnchor>
  <xdr:twoCellAnchor>
    <xdr:from>
      <xdr:col>1</xdr:col>
      <xdr:colOff>1620371</xdr:colOff>
      <xdr:row>77</xdr:row>
      <xdr:rowOff>0</xdr:rowOff>
    </xdr:from>
    <xdr:to>
      <xdr:col>1</xdr:col>
      <xdr:colOff>2449606</xdr:colOff>
      <xdr:row>79</xdr:row>
      <xdr:rowOff>118782</xdr:rowOff>
    </xdr:to>
    <xdr:sp macro="" textlink="">
      <xdr:nvSpPr>
        <xdr:cNvPr id="6" name="TextBox 5"/>
        <xdr:cNvSpPr txBox="1"/>
      </xdr:nvSpPr>
      <xdr:spPr>
        <a:xfrm>
          <a:off x="1978959" y="14623676"/>
          <a:ext cx="829235" cy="4325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100"/>
            <a:t>Status</a:t>
          </a:r>
          <a:r>
            <a:rPr lang="en-GB" sz="1100" baseline="0"/>
            <a:t> </a:t>
          </a:r>
          <a:r>
            <a:rPr lang="en-GB" sz="1100"/>
            <a:t>quo</a:t>
          </a:r>
        </a:p>
      </xdr:txBody>
    </xdr:sp>
    <xdr:clientData/>
  </xdr:twoCellAnchor>
  <xdr:twoCellAnchor>
    <xdr:from>
      <xdr:col>1</xdr:col>
      <xdr:colOff>280145</xdr:colOff>
      <xdr:row>82</xdr:row>
      <xdr:rowOff>2242</xdr:rowOff>
    </xdr:from>
    <xdr:to>
      <xdr:col>1</xdr:col>
      <xdr:colOff>2445124</xdr:colOff>
      <xdr:row>85</xdr:row>
      <xdr:rowOff>22412</xdr:rowOff>
    </xdr:to>
    <xdr:sp macro="" textlink="">
      <xdr:nvSpPr>
        <xdr:cNvPr id="7" name="TextBox 6"/>
        <xdr:cNvSpPr txBox="1"/>
      </xdr:nvSpPr>
      <xdr:spPr>
        <a:xfrm>
          <a:off x="638733" y="16508507"/>
          <a:ext cx="2164979" cy="4908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100"/>
            <a:t>Stop</a:t>
          </a:r>
          <a:r>
            <a:rPr lang="en-GB" sz="1100" baseline="0"/>
            <a:t> contacting LP under new process</a:t>
          </a:r>
        </a:p>
      </xdr:txBody>
    </xdr:sp>
    <xdr:clientData/>
  </xdr:twoCellAnchor>
  <xdr:twoCellAnchor>
    <xdr:from>
      <xdr:col>1</xdr:col>
      <xdr:colOff>257733</xdr:colOff>
      <xdr:row>69</xdr:row>
      <xdr:rowOff>96368</xdr:rowOff>
    </xdr:from>
    <xdr:to>
      <xdr:col>1</xdr:col>
      <xdr:colOff>2449607</xdr:colOff>
      <xdr:row>72</xdr:row>
      <xdr:rowOff>145676</xdr:rowOff>
    </xdr:to>
    <xdr:sp macro="" textlink="">
      <xdr:nvSpPr>
        <xdr:cNvPr id="11" name="TextBox 10"/>
        <xdr:cNvSpPr txBox="1"/>
      </xdr:nvSpPr>
      <xdr:spPr>
        <a:xfrm>
          <a:off x="616321" y="13308103"/>
          <a:ext cx="2191874" cy="5199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Still contacting LP under new process</a:t>
          </a:r>
          <a:endParaRPr lang="en-GB">
            <a:effectLst/>
          </a:endParaRPr>
        </a:p>
      </xdr:txBody>
    </xdr:sp>
    <xdr:clientData/>
  </xdr:twoCellAnchor>
  <xdr:twoCellAnchor>
    <xdr:from>
      <xdr:col>1</xdr:col>
      <xdr:colOff>257733</xdr:colOff>
      <xdr:row>86</xdr:row>
      <xdr:rowOff>145678</xdr:rowOff>
    </xdr:from>
    <xdr:to>
      <xdr:col>1</xdr:col>
      <xdr:colOff>2427195</xdr:colOff>
      <xdr:row>90</xdr:row>
      <xdr:rowOff>0</xdr:rowOff>
    </xdr:to>
    <xdr:sp macro="" textlink="">
      <xdr:nvSpPr>
        <xdr:cNvPr id="14" name="TextBox 13"/>
        <xdr:cNvSpPr txBox="1"/>
      </xdr:nvSpPr>
      <xdr:spPr>
        <a:xfrm>
          <a:off x="616321" y="16181296"/>
          <a:ext cx="2169462" cy="48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Still contacting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LP under new process</a:t>
          </a:r>
          <a:endParaRPr lang="en-GB">
            <a:effectLst/>
          </a:endParaRPr>
        </a:p>
      </xdr:txBody>
    </xdr:sp>
    <xdr:clientData/>
  </xdr:twoCellAnchor>
  <xdr:twoCellAnchor>
    <xdr:from>
      <xdr:col>1</xdr:col>
      <xdr:colOff>1620371</xdr:colOff>
      <xdr:row>94</xdr:row>
      <xdr:rowOff>0</xdr:rowOff>
    </xdr:from>
    <xdr:to>
      <xdr:col>1</xdr:col>
      <xdr:colOff>2449606</xdr:colOff>
      <xdr:row>96</xdr:row>
      <xdr:rowOff>118782</xdr:rowOff>
    </xdr:to>
    <xdr:sp macro="" textlink="">
      <xdr:nvSpPr>
        <xdr:cNvPr id="8" name="TextBox 7"/>
        <xdr:cNvSpPr txBox="1"/>
      </xdr:nvSpPr>
      <xdr:spPr>
        <a:xfrm>
          <a:off x="1978959" y="17447559"/>
          <a:ext cx="829235" cy="4325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100"/>
            <a:t>Status quo</a:t>
          </a:r>
        </a:p>
      </xdr:txBody>
    </xdr:sp>
    <xdr:clientData/>
  </xdr:twoCellAnchor>
  <xdr:twoCellAnchor>
    <xdr:from>
      <xdr:col>1</xdr:col>
      <xdr:colOff>280145</xdr:colOff>
      <xdr:row>98</xdr:row>
      <xdr:rowOff>2242</xdr:rowOff>
    </xdr:from>
    <xdr:to>
      <xdr:col>1</xdr:col>
      <xdr:colOff>2445124</xdr:colOff>
      <xdr:row>101</xdr:row>
      <xdr:rowOff>11206</xdr:rowOff>
    </xdr:to>
    <xdr:sp macro="" textlink="">
      <xdr:nvSpPr>
        <xdr:cNvPr id="9" name="TextBox 8"/>
        <xdr:cNvSpPr txBox="1"/>
      </xdr:nvSpPr>
      <xdr:spPr>
        <a:xfrm>
          <a:off x="638733" y="19175507"/>
          <a:ext cx="2164979" cy="4796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100"/>
            <a:t>Stop contacting LP under new process</a:t>
          </a:r>
        </a:p>
      </xdr:txBody>
    </xdr:sp>
    <xdr:clientData/>
  </xdr:twoCellAnchor>
  <xdr:twoCellAnchor>
    <xdr:from>
      <xdr:col>1</xdr:col>
      <xdr:colOff>257733</xdr:colOff>
      <xdr:row>102</xdr:row>
      <xdr:rowOff>0</xdr:rowOff>
    </xdr:from>
    <xdr:to>
      <xdr:col>1</xdr:col>
      <xdr:colOff>2427195</xdr:colOff>
      <xdr:row>105</xdr:row>
      <xdr:rowOff>0</xdr:rowOff>
    </xdr:to>
    <xdr:sp macro="" textlink="">
      <xdr:nvSpPr>
        <xdr:cNvPr id="10" name="TextBox 9"/>
        <xdr:cNvSpPr txBox="1"/>
      </xdr:nvSpPr>
      <xdr:spPr>
        <a:xfrm>
          <a:off x="616321" y="19005178"/>
          <a:ext cx="2169462" cy="48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Still contacting LP under new process</a:t>
          </a:r>
          <a:endParaRPr lang="en-GB">
            <a:effectLst/>
          </a:endParaRPr>
        </a:p>
      </xdr:txBody>
    </xdr:sp>
    <xdr:clientData/>
  </xdr:twoCellAnchor>
  <xdr:twoCellAnchor>
    <xdr:from>
      <xdr:col>8</xdr:col>
      <xdr:colOff>661143</xdr:colOff>
      <xdr:row>9</xdr:row>
      <xdr:rowOff>179295</xdr:rowOff>
    </xdr:from>
    <xdr:to>
      <xdr:col>19</xdr:col>
      <xdr:colOff>705992</xdr:colOff>
      <xdr:row>11</xdr:row>
      <xdr:rowOff>89648</xdr:rowOff>
    </xdr:to>
    <xdr:sp macro="" textlink="">
      <xdr:nvSpPr>
        <xdr:cNvPr id="4" name="TextBox 3"/>
        <xdr:cNvSpPr txBox="1"/>
      </xdr:nvSpPr>
      <xdr:spPr>
        <a:xfrm>
          <a:off x="10690408" y="2700619"/>
          <a:ext cx="7933790" cy="31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000" b="0" i="0" u="sng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http://stakeholders.ofcom.org.uk/binaries/research/statistics/2015oct/Switching_Tracker_2015_data_tables_for_publication_20150925.pdf</a:t>
          </a:r>
          <a:r>
            <a:rPr lang="en-GB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8</xdr:col>
      <xdr:colOff>661143</xdr:colOff>
      <xdr:row>10</xdr:row>
      <xdr:rowOff>186018</xdr:rowOff>
    </xdr:from>
    <xdr:to>
      <xdr:col>19</xdr:col>
      <xdr:colOff>717197</xdr:colOff>
      <xdr:row>11</xdr:row>
      <xdr:rowOff>280146</xdr:rowOff>
    </xdr:to>
    <xdr:sp macro="" textlink="">
      <xdr:nvSpPr>
        <xdr:cNvPr id="13" name="TextBox 12"/>
        <xdr:cNvSpPr txBox="1"/>
      </xdr:nvSpPr>
      <xdr:spPr>
        <a:xfrm>
          <a:off x="10690408" y="2909047"/>
          <a:ext cx="7944995" cy="295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000" b="0" i="0" u="sng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http://stakeholders.ofcom.org.uk/market-data-research/other/telecoms-research/mobile_switching/quantitative/</a:t>
          </a:r>
          <a:r>
            <a:rPr lang="en-GB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6</xdr:col>
      <xdr:colOff>5</xdr:colOff>
      <xdr:row>9</xdr:row>
      <xdr:rowOff>183096</xdr:rowOff>
    </xdr:from>
    <xdr:to>
      <xdr:col>8</xdr:col>
      <xdr:colOff>661150</xdr:colOff>
      <xdr:row>11</xdr:row>
      <xdr:rowOff>93449</xdr:rowOff>
    </xdr:to>
    <xdr:sp macro="" textlink="">
      <xdr:nvSpPr>
        <xdr:cNvPr id="15" name="TextBox 14"/>
        <xdr:cNvSpPr txBox="1"/>
      </xdr:nvSpPr>
      <xdr:spPr>
        <a:xfrm>
          <a:off x="8718181" y="2704420"/>
          <a:ext cx="3339351" cy="31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Ofcom 2015 Switching</a:t>
          </a:r>
          <a:r>
            <a:rPr lang="en-GB" sz="900" baseline="0">
              <a:latin typeface="Arial" panose="020B0604020202020204" pitchFamily="34" charset="0"/>
              <a:cs typeface="Arial" panose="020B0604020202020204" pitchFamily="34" charset="0"/>
            </a:rPr>
            <a:t> Tracker:</a:t>
          </a:r>
          <a:endParaRPr lang="en-GB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3414</xdr:colOff>
      <xdr:row>10</xdr:row>
      <xdr:rowOff>194883</xdr:rowOff>
    </xdr:from>
    <xdr:to>
      <xdr:col>8</xdr:col>
      <xdr:colOff>663409</xdr:colOff>
      <xdr:row>11</xdr:row>
      <xdr:rowOff>290376</xdr:rowOff>
    </xdr:to>
    <xdr:sp macro="" textlink="">
      <xdr:nvSpPr>
        <xdr:cNvPr id="16" name="TextBox 15"/>
        <xdr:cNvSpPr txBox="1"/>
      </xdr:nvSpPr>
      <xdr:spPr>
        <a:xfrm>
          <a:off x="8721590" y="2917912"/>
          <a:ext cx="1971084" cy="29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Ofcom 2015 Mobile</a:t>
          </a:r>
          <a:r>
            <a:rPr lang="en-GB" sz="900" baseline="0">
              <a:latin typeface="Arial" panose="020B0604020202020204" pitchFamily="34" charset="0"/>
              <a:cs typeface="Arial" panose="020B0604020202020204" pitchFamily="34" charset="0"/>
            </a:rPr>
            <a:t> r</a:t>
          </a:r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esearch:</a:t>
          </a:r>
        </a:p>
      </xdr:txBody>
    </xdr:sp>
    <xdr:clientData/>
  </xdr:twoCellAnchor>
  <xdr:twoCellAnchor>
    <xdr:from>
      <xdr:col>5</xdr:col>
      <xdr:colOff>443757</xdr:colOff>
      <xdr:row>9</xdr:row>
      <xdr:rowOff>22410</xdr:rowOff>
    </xdr:from>
    <xdr:to>
      <xdr:col>8</xdr:col>
      <xdr:colOff>611844</xdr:colOff>
      <xdr:row>10</xdr:row>
      <xdr:rowOff>77760</xdr:rowOff>
    </xdr:to>
    <xdr:sp macro="" textlink="">
      <xdr:nvSpPr>
        <xdr:cNvPr id="17" name="TextBox 16"/>
        <xdr:cNvSpPr txBox="1"/>
      </xdr:nvSpPr>
      <xdr:spPr>
        <a:xfrm>
          <a:off x="8411139" y="2543734"/>
          <a:ext cx="1972234" cy="257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Input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sources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eamble1">
    <outlinePr summaryBelow="0"/>
    <pageSetUpPr autoPageBreaks="0"/>
  </sheetPr>
  <dimension ref="A1:H50"/>
  <sheetViews>
    <sheetView showGridLines="0" defaultGridColor="0" colorId="22" zoomScaleNormal="95" zoomScaleSheetLayoutView="75" workbookViewId="0">
      <pane ySplit="2" topLeftCell="A3" activePane="bottomLeft" state="frozen"/>
      <selection pane="bottomLeft" activeCell="C7" sqref="C7"/>
    </sheetView>
  </sheetViews>
  <sheetFormatPr defaultColWidth="12.7109375" defaultRowHeight="12"/>
  <cols>
    <col min="1" max="1" width="24.5703125" style="7" customWidth="1"/>
    <col min="2" max="2" width="25.5703125" style="7" customWidth="1"/>
    <col min="3" max="3" width="37.5703125" style="7" customWidth="1"/>
    <col min="4" max="4" width="14.5703125" style="7" customWidth="1"/>
    <col min="5" max="5" width="15" style="7" customWidth="1"/>
  </cols>
  <sheetData>
    <row r="1" spans="1:6" ht="12" customHeight="1">
      <c r="C1" s="15"/>
    </row>
    <row r="2" spans="1:6" ht="42" customHeight="1">
      <c r="A2"/>
      <c r="B2"/>
      <c r="C2"/>
      <c r="D2"/>
      <c r="E2"/>
      <c r="F2" s="16" t="str">
        <f>Workbook.Title</f>
        <v>Mobile switching: Benefits to switchers</v>
      </c>
    </row>
    <row r="3" spans="1:6" ht="14.25" customHeight="1">
      <c r="A3"/>
      <c r="B3"/>
      <c r="C3"/>
      <c r="D3"/>
      <c r="E3"/>
    </row>
    <row r="4" spans="1:6" s="1" customFormat="1" ht="15.75" customHeight="1">
      <c r="A4" s="5" t="s">
        <v>6</v>
      </c>
      <c r="C4"/>
      <c r="D4" s="9"/>
    </row>
    <row r="5" spans="1:6" ht="12.75" customHeight="1">
      <c r="A5"/>
      <c r="B5"/>
      <c r="C5"/>
      <c r="D5"/>
      <c r="E5"/>
    </row>
    <row r="6" spans="1:6">
      <c r="A6" s="10" t="s">
        <v>4</v>
      </c>
      <c r="B6" s="17" t="s">
        <v>243</v>
      </c>
      <c r="C6"/>
      <c r="D6"/>
    </row>
    <row r="7" spans="1:6">
      <c r="A7" s="10"/>
      <c r="B7" s="8"/>
      <c r="C7"/>
      <c r="D7"/>
      <c r="E7"/>
    </row>
    <row r="8" spans="1:6">
      <c r="A8" s="6" t="s">
        <v>3</v>
      </c>
      <c r="B8" s="7" t="s">
        <v>156</v>
      </c>
      <c r="C8"/>
      <c r="D8" s="12"/>
      <c r="E8"/>
    </row>
    <row r="9" spans="1:6">
      <c r="A9" s="6" t="s">
        <v>2</v>
      </c>
      <c r="B9" s="7" t="s">
        <v>157</v>
      </c>
      <c r="C9"/>
    </row>
    <row r="10" spans="1:6">
      <c r="A10" s="6" t="s">
        <v>5</v>
      </c>
      <c r="B10" s="7" t="s">
        <v>158</v>
      </c>
      <c r="C10" s="11"/>
      <c r="D10"/>
    </row>
    <row r="11" spans="1:6">
      <c r="C11" s="1"/>
      <c r="D11"/>
      <c r="E11"/>
    </row>
    <row r="12" spans="1:6">
      <c r="A12" s="10" t="s">
        <v>10</v>
      </c>
      <c r="B12" s="7" t="s">
        <v>159</v>
      </c>
      <c r="C12"/>
      <c r="D12"/>
      <c r="E12"/>
    </row>
    <row r="13" spans="1:6" s="19" customFormat="1">
      <c r="A13" s="10"/>
      <c r="B13" s="7"/>
    </row>
    <row r="14" spans="1:6" s="19" customFormat="1">
      <c r="A14" s="204" t="s">
        <v>207</v>
      </c>
      <c r="B14" s="7"/>
    </row>
    <row r="15" spans="1:6">
      <c r="C15"/>
      <c r="D15"/>
      <c r="E15"/>
    </row>
    <row r="16" spans="1:6" ht="18">
      <c r="A16" s="5" t="s">
        <v>7</v>
      </c>
      <c r="B16" s="1"/>
      <c r="C16"/>
      <c r="D16" s="1"/>
      <c r="E16" s="1"/>
      <c r="F16" s="1"/>
    </row>
    <row r="17" spans="1:8">
      <c r="A17"/>
      <c r="B17"/>
      <c r="C17"/>
      <c r="D17"/>
      <c r="E17"/>
    </row>
    <row r="18" spans="1:8" ht="19.5" customHeight="1">
      <c r="A18" s="2" t="s">
        <v>0</v>
      </c>
      <c r="B18" s="2" t="s">
        <v>1</v>
      </c>
      <c r="C18" s="3"/>
      <c r="E18" s="2"/>
      <c r="F18" s="2"/>
    </row>
    <row r="19" spans="1:8" ht="18" customHeight="1">
      <c r="A19" s="7" t="s">
        <v>7</v>
      </c>
      <c r="B19" s="7" t="s">
        <v>8</v>
      </c>
      <c r="F19" s="7"/>
    </row>
    <row r="20" spans="1:8" ht="15.75" customHeight="1">
      <c r="F20" s="7"/>
    </row>
    <row r="21" spans="1:8">
      <c r="A21" s="12" t="s">
        <v>11</v>
      </c>
      <c r="F21" s="7"/>
    </row>
    <row r="22" spans="1:8" s="1" customFormat="1" ht="23.25" customHeight="1">
      <c r="A22" s="174" t="s">
        <v>29</v>
      </c>
      <c r="B22" s="199" t="s">
        <v>205</v>
      </c>
      <c r="C22" s="213"/>
      <c r="D22" s="213"/>
      <c r="E22" s="213"/>
      <c r="F22" s="213"/>
      <c r="G22" s="214"/>
      <c r="H22" s="215"/>
    </row>
    <row r="23" spans="1:8" ht="24.75" customHeight="1">
      <c r="A23" s="174" t="s">
        <v>52</v>
      </c>
      <c r="B23" s="199" t="s">
        <v>204</v>
      </c>
      <c r="C23" s="213"/>
      <c r="D23" s="213"/>
      <c r="E23" s="213"/>
      <c r="F23" s="213"/>
      <c r="G23" s="151"/>
      <c r="H23" s="216"/>
    </row>
    <row r="24" spans="1:8" ht="24" customHeight="1">
      <c r="A24" s="174" t="s">
        <v>53</v>
      </c>
      <c r="B24" s="199" t="s">
        <v>208</v>
      </c>
      <c r="C24" s="213"/>
      <c r="D24" s="213"/>
      <c r="E24" s="213"/>
      <c r="F24" s="213"/>
      <c r="G24" s="151"/>
      <c r="H24" s="216"/>
    </row>
    <row r="27" spans="1:8">
      <c r="F27" s="7"/>
    </row>
    <row r="37" spans="3:3" ht="12.75">
      <c r="C37" s="34"/>
    </row>
    <row r="38" spans="3:3" ht="12.75">
      <c r="C38" s="34"/>
    </row>
    <row r="39" spans="3:3" ht="12.75">
      <c r="C39" s="34"/>
    </row>
    <row r="40" spans="3:3" ht="12.75">
      <c r="C40" s="34"/>
    </row>
    <row r="47" spans="3:3" ht="12.75">
      <c r="C47" s="34"/>
    </row>
    <row r="48" spans="3:3" ht="12.75">
      <c r="C48" s="34"/>
    </row>
    <row r="49" spans="3:3" ht="12.75">
      <c r="C49" s="34"/>
    </row>
    <row r="50" spans="3:3" ht="12.75">
      <c r="C50" s="34"/>
    </row>
  </sheetData>
  <phoneticPr fontId="0" type="noConversion"/>
  <dataValidations count="1">
    <dataValidation type="list" allowBlank="1" showInputMessage="1" promptTitle="Input Parameter" prompt="Select from list" sqref="B9">
      <formula1>"Work in progress, Ready for review, Approved for release, Archived"</formula1>
    </dataValidation>
  </dataValidations>
  <pageMargins left="0.70866141732283472" right="0.70866141732283472" top="0.51181102362204722" bottom="0.51181102362204722" header="0.51181102362204722" footer="0.35433070866141736"/>
  <pageSetup paperSize="9" orientation="landscape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 fitToPage="1"/>
  </sheetPr>
  <dimension ref="A1:XEN254"/>
  <sheetViews>
    <sheetView showGridLines="0" tabSelected="1" defaultGridColor="0" colorId="22" zoomScale="85" zoomScaleNormal="85" workbookViewId="0">
      <pane ySplit="1" topLeftCell="A2" activePane="bottomLeft" state="frozen"/>
      <selection pane="bottomLeft" activeCell="D3" sqref="D3"/>
    </sheetView>
  </sheetViews>
  <sheetFormatPr defaultColWidth="12.7109375" defaultRowHeight="12" customHeight="1" zeroHeight="1" outlineLevelCol="1"/>
  <cols>
    <col min="1" max="1" width="1.5703125" style="19" customWidth="1"/>
    <col min="2" max="2" width="56.5703125" style="19" customWidth="1"/>
    <col min="3" max="3" width="7.42578125" style="19" customWidth="1"/>
    <col min="4" max="4" width="35.7109375" style="19" customWidth="1"/>
    <col min="5" max="5" width="18.140625" style="19" customWidth="1"/>
    <col min="6" max="6" width="7.42578125" style="19" customWidth="1"/>
    <col min="7" max="7" width="19.7109375" style="19" customWidth="1"/>
    <col min="8" max="8" width="20.5703125" style="19" hidden="1" customWidth="1" outlineLevel="1"/>
    <col min="9" max="9" width="14.7109375" style="19" customWidth="1" collapsed="1"/>
    <col min="10" max="10" width="21.85546875" style="19" hidden="1" customWidth="1" outlineLevel="1"/>
    <col min="11" max="11" width="19.5703125" style="19" customWidth="1" collapsed="1"/>
    <col min="12" max="12" width="19.140625" style="19" hidden="1" customWidth="1" outlineLevel="1"/>
    <col min="13" max="13" width="20.140625" style="19" customWidth="1" collapsed="1"/>
    <col min="14" max="14" width="20.28515625" style="19" hidden="1" customWidth="1" outlineLevel="1"/>
    <col min="15" max="15" width="20.85546875" style="19" customWidth="1" collapsed="1"/>
    <col min="16" max="16367" width="12.7109375" style="19"/>
    <col min="16368" max="16368" width="9.42578125" style="19" hidden="1" customWidth="1"/>
    <col min="16369" max="16384" width="11.42578125" style="19" customWidth="1"/>
  </cols>
  <sheetData>
    <row r="1" spans="1:90" s="14" customFormat="1" ht="64.150000000000006" customHeight="1">
      <c r="A1" s="209" t="s">
        <v>16</v>
      </c>
      <c r="B1" s="208"/>
      <c r="G1" s="221" t="s">
        <v>51</v>
      </c>
      <c r="H1" s="221"/>
      <c r="I1" s="221"/>
      <c r="J1" s="221"/>
    </row>
    <row r="2" spans="1:90">
      <c r="D2" s="23"/>
    </row>
    <row r="3" spans="1:90" ht="33" customHeight="1">
      <c r="B3" s="80" t="s">
        <v>30</v>
      </c>
      <c r="C3" s="80"/>
      <c r="D3" s="126" t="s">
        <v>161</v>
      </c>
      <c r="F3" s="129"/>
      <c r="G3" s="52"/>
      <c r="H3" s="52"/>
      <c r="I3" s="172"/>
      <c r="J3" s="52"/>
      <c r="K3" s="52"/>
      <c r="L3" s="52"/>
      <c r="M3" s="52"/>
      <c r="O3" s="52"/>
    </row>
    <row r="4" spans="1:90" ht="13.5" customHeight="1">
      <c r="G4" s="52"/>
      <c r="H4" s="52"/>
      <c r="I4" s="172"/>
      <c r="J4" s="52"/>
      <c r="K4" s="52"/>
      <c r="L4" s="52"/>
      <c r="M4" s="52"/>
      <c r="O4" s="52"/>
    </row>
    <row r="5" spans="1:90" ht="15" customHeight="1">
      <c r="B5" s="80" t="s">
        <v>34</v>
      </c>
      <c r="C5" s="80"/>
      <c r="D5" s="87">
        <v>3.5000000000000003E-2</v>
      </c>
      <c r="E5" s="210" t="s">
        <v>240</v>
      </c>
      <c r="I5" s="68"/>
    </row>
    <row r="6" spans="1:90" ht="15" customHeight="1">
      <c r="B6" s="80" t="s">
        <v>36</v>
      </c>
      <c r="C6" s="80"/>
      <c r="D6" s="88">
        <v>10</v>
      </c>
      <c r="M6" s="52"/>
      <c r="O6" s="52"/>
    </row>
    <row r="7" spans="1:90" ht="11.25" customHeight="1">
      <c r="M7" s="52"/>
      <c r="O7" s="52"/>
    </row>
    <row r="8" spans="1:90" ht="20.25" customHeight="1">
      <c r="B8" s="68" t="s">
        <v>186</v>
      </c>
      <c r="C8" s="68"/>
    </row>
    <row r="9" spans="1:90" ht="15" customHeight="1">
      <c r="B9" s="18" t="s">
        <v>150</v>
      </c>
      <c r="C9" s="18"/>
      <c r="D9" s="185">
        <f>NPV_harm_reduction_time_savings</f>
        <v>21703141.189545467</v>
      </c>
      <c r="F9" s="26"/>
    </row>
    <row r="10" spans="1:90" ht="15.75" customHeight="1">
      <c r="B10" s="69" t="s">
        <v>184</v>
      </c>
      <c r="C10" s="69"/>
      <c r="D10" s="186">
        <f>NPV_harm_reduction_double_paying</f>
        <v>7639840.8799367342</v>
      </c>
      <c r="G10" s="200"/>
      <c r="H10" s="201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40"/>
    </row>
    <row r="11" spans="1:90" ht="15.75" customHeight="1">
      <c r="B11" s="18" t="s">
        <v>185</v>
      </c>
      <c r="C11" s="69"/>
      <c r="D11" s="186">
        <f>NPV_harm_reduction_loss_of_service</f>
        <v>-180508.24463904716</v>
      </c>
      <c r="G11" s="104"/>
      <c r="H11" s="202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32"/>
    </row>
    <row r="12" spans="1:90" ht="24.75" customHeight="1">
      <c r="B12" s="70" t="s">
        <v>32</v>
      </c>
      <c r="C12" s="70"/>
      <c r="D12" s="187">
        <f>NPV_harm_reduction_total</f>
        <v>29162473.824843161</v>
      </c>
      <c r="G12" s="203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53"/>
    </row>
    <row r="13" spans="1:90" ht="39.75" customHeight="1">
      <c r="B13" s="205" t="s">
        <v>241</v>
      </c>
      <c r="C13" s="70"/>
      <c r="D13" s="70"/>
    </row>
    <row r="14" spans="1:90" s="54" customFormat="1" ht="15" customHeight="1">
      <c r="B14" s="77"/>
      <c r="C14" s="77"/>
      <c r="D14" s="77"/>
      <c r="G14" s="114"/>
      <c r="I14" s="114"/>
    </row>
    <row r="15" spans="1:90" s="17" customFormat="1" ht="10.5" customHeight="1">
      <c r="B15" s="111"/>
      <c r="C15" s="111"/>
      <c r="D15" s="111"/>
      <c r="F15" s="111"/>
      <c r="G15" s="111"/>
      <c r="H15" s="111"/>
      <c r="I15" s="111"/>
      <c r="J15" s="188"/>
      <c r="L15" s="112"/>
      <c r="N15" s="112"/>
      <c r="P15" s="112"/>
      <c r="R15" s="112"/>
      <c r="T15" s="112"/>
      <c r="V15" s="112"/>
      <c r="X15" s="112"/>
      <c r="Z15" s="112"/>
      <c r="AB15" s="112"/>
      <c r="AD15" s="112"/>
      <c r="AF15" s="112"/>
      <c r="AH15" s="112"/>
      <c r="AJ15" s="112"/>
      <c r="AL15" s="112"/>
      <c r="AN15" s="112"/>
      <c r="AP15" s="112"/>
      <c r="AR15" s="112"/>
      <c r="AT15" s="112"/>
      <c r="AV15" s="112"/>
      <c r="AX15" s="112"/>
      <c r="AZ15" s="112">
        <v>0</v>
      </c>
      <c r="BB15" s="112">
        <v>0</v>
      </c>
      <c r="BD15" s="112">
        <v>0</v>
      </c>
      <c r="BF15" s="112">
        <v>0</v>
      </c>
      <c r="BH15" s="112">
        <v>0</v>
      </c>
      <c r="BJ15" s="112">
        <v>0</v>
      </c>
      <c r="BL15" s="112">
        <v>0</v>
      </c>
      <c r="BN15" s="112">
        <v>0</v>
      </c>
      <c r="BP15" s="112">
        <v>0</v>
      </c>
      <c r="BR15" s="112">
        <v>0</v>
      </c>
      <c r="BT15" s="112">
        <v>0</v>
      </c>
      <c r="BV15" s="112">
        <v>0</v>
      </c>
      <c r="BX15" s="112">
        <v>0</v>
      </c>
      <c r="BZ15" s="112">
        <v>0</v>
      </c>
      <c r="CB15" s="112">
        <v>0</v>
      </c>
      <c r="CD15" s="112">
        <v>0</v>
      </c>
      <c r="CF15" s="112">
        <v>0</v>
      </c>
      <c r="CH15" s="112">
        <v>0</v>
      </c>
      <c r="CJ15" s="112">
        <v>0</v>
      </c>
      <c r="CL15" s="112">
        <v>0</v>
      </c>
    </row>
    <row r="16" spans="1:90" ht="18" customHeight="1">
      <c r="D16" s="33"/>
      <c r="E16" s="78" t="s">
        <v>35</v>
      </c>
      <c r="G16" s="189" t="s">
        <v>23</v>
      </c>
      <c r="H16" s="111"/>
      <c r="I16" s="78" t="s">
        <v>23</v>
      </c>
      <c r="J16" s="111"/>
      <c r="K16" s="189" t="s">
        <v>23</v>
      </c>
      <c r="L16" s="111"/>
      <c r="M16" s="78" t="s">
        <v>23</v>
      </c>
    </row>
    <row r="17" spans="2:14" ht="54.75" customHeight="1">
      <c r="B17" s="206" t="s">
        <v>92</v>
      </c>
      <c r="C17" s="71"/>
      <c r="D17" s="33"/>
      <c r="E17" s="79" t="str">
        <f>scenario_choice</f>
        <v>Option 1 (core proposals)</v>
      </c>
      <c r="G17" s="79" t="s">
        <v>161</v>
      </c>
      <c r="H17" s="111"/>
      <c r="I17" s="79" t="s">
        <v>162</v>
      </c>
      <c r="J17" s="111"/>
      <c r="K17" s="79" t="s">
        <v>163</v>
      </c>
      <c r="L17" s="111"/>
      <c r="M17" s="79" t="s">
        <v>164</v>
      </c>
    </row>
    <row r="18" spans="2:14" ht="16.5" customHeight="1">
      <c r="B18" s="34" t="s">
        <v>181</v>
      </c>
      <c r="C18" s="34"/>
      <c r="D18" s="35" t="s">
        <v>27</v>
      </c>
      <c r="E18" s="67">
        <f>INDEX(G18:M18,1,MATCH(scenario_choice,G$17:M$17,0))</f>
        <v>3168815</v>
      </c>
      <c r="G18" s="66">
        <v>3168815</v>
      </c>
      <c r="H18" s="210" t="s">
        <v>206</v>
      </c>
      <c r="I18" s="66">
        <v>3168815</v>
      </c>
      <c r="J18" s="210" t="s">
        <v>206</v>
      </c>
      <c r="K18" s="66">
        <v>3168815</v>
      </c>
      <c r="L18" s="210" t="s">
        <v>206</v>
      </c>
      <c r="M18" s="66">
        <v>3168815</v>
      </c>
      <c r="N18" s="210" t="s">
        <v>206</v>
      </c>
    </row>
    <row r="19" spans="2:14" ht="18" customHeight="1">
      <c r="B19" s="34" t="s">
        <v>180</v>
      </c>
      <c r="C19" s="34"/>
      <c r="D19" s="35" t="s">
        <v>31</v>
      </c>
      <c r="E19" s="127">
        <f>INDEX(G19:M19,1,MATCH(scenario_choice,G$17:M$17,0))</f>
        <v>0.55000000000000004</v>
      </c>
      <c r="G19" s="57">
        <v>0.55000000000000004</v>
      </c>
      <c r="H19" s="210" t="s">
        <v>227</v>
      </c>
      <c r="I19" s="57">
        <v>0.55000000000000004</v>
      </c>
      <c r="J19" s="210" t="s">
        <v>227</v>
      </c>
      <c r="K19" s="57">
        <v>0.55000000000000004</v>
      </c>
      <c r="L19" s="210" t="s">
        <v>227</v>
      </c>
      <c r="M19" s="57">
        <v>0.55000000000000004</v>
      </c>
      <c r="N19" s="210" t="s">
        <v>227</v>
      </c>
    </row>
    <row r="20" spans="2:14" ht="18.75" customHeight="1">
      <c r="B20" s="34" t="s">
        <v>182</v>
      </c>
      <c r="C20" s="34"/>
      <c r="D20" s="35" t="s">
        <v>28</v>
      </c>
      <c r="E20" s="67">
        <f>INDEX(G20:M20,1,MATCH(scenario_choice,G$17:M$17,0))</f>
        <v>2592666.8181818184</v>
      </c>
      <c r="G20" s="66">
        <f>(G18*(1/G19))-G18</f>
        <v>2592666.8181818184</v>
      </c>
      <c r="H20" s="210" t="s">
        <v>209</v>
      </c>
      <c r="I20" s="66">
        <f>(I18*(1/I19))-I18</f>
        <v>2592666.8181818184</v>
      </c>
      <c r="J20" s="210" t="s">
        <v>209</v>
      </c>
      <c r="K20" s="66">
        <f>(K18*(1/K19))-K18</f>
        <v>2592666.8181818184</v>
      </c>
      <c r="L20" s="210" t="s">
        <v>209</v>
      </c>
      <c r="M20" s="66">
        <f>(M18*(1/M19))-M18</f>
        <v>2592666.8181818184</v>
      </c>
      <c r="N20" s="210" t="s">
        <v>209</v>
      </c>
    </row>
    <row r="21" spans="2:14">
      <c r="H21" s="210"/>
      <c r="J21" s="210"/>
      <c r="L21" s="210"/>
      <c r="N21" s="210"/>
    </row>
    <row r="22" spans="2:14" ht="12" customHeight="1">
      <c r="B22" s="34" t="s">
        <v>183</v>
      </c>
      <c r="C22" s="34"/>
      <c r="D22" s="39" t="s">
        <v>68</v>
      </c>
      <c r="E22" s="127">
        <f>INDEX(G22:M22,1,MATCH(scenario_choice,G$17:M$17,0))</f>
        <v>0.32</v>
      </c>
      <c r="G22" s="57">
        <v>0.32</v>
      </c>
      <c r="H22" s="210" t="s">
        <v>210</v>
      </c>
      <c r="I22" s="57">
        <v>0.32</v>
      </c>
      <c r="J22" s="210" t="s">
        <v>210</v>
      </c>
      <c r="K22" s="57">
        <f>0.32+(0.5*0.47)</f>
        <v>0.55499999999999994</v>
      </c>
      <c r="L22" s="210" t="s">
        <v>210</v>
      </c>
      <c r="M22" s="57">
        <f>0.32+(0.5*0.47)</f>
        <v>0.55499999999999994</v>
      </c>
      <c r="N22" s="210" t="s">
        <v>235</v>
      </c>
    </row>
    <row r="23" spans="2:14" ht="12.75">
      <c r="B23" s="34"/>
      <c r="C23" s="34"/>
      <c r="D23" s="35"/>
      <c r="G23" s="55"/>
      <c r="H23" s="210"/>
      <c r="I23" s="55"/>
      <c r="J23" s="210"/>
      <c r="K23" s="55"/>
      <c r="L23" s="210"/>
      <c r="M23" s="55"/>
      <c r="N23" s="210"/>
    </row>
    <row r="24" spans="2:14" ht="15">
      <c r="B24" s="206" t="s">
        <v>148</v>
      </c>
      <c r="C24" s="71"/>
      <c r="D24" s="33"/>
      <c r="H24" s="210"/>
      <c r="I24" s="52"/>
      <c r="J24" s="210"/>
      <c r="L24" s="210"/>
      <c r="M24" s="52"/>
      <c r="N24" s="210"/>
    </row>
    <row r="25" spans="2:14" ht="7.5" customHeight="1">
      <c r="H25" s="210"/>
      <c r="J25" s="210"/>
      <c r="L25" s="210"/>
      <c r="N25" s="210"/>
    </row>
    <row r="26" spans="2:14" ht="12.75">
      <c r="B26" s="34" t="s">
        <v>18</v>
      </c>
      <c r="C26" s="116" t="s">
        <v>19</v>
      </c>
      <c r="D26" s="35" t="s">
        <v>26</v>
      </c>
      <c r="E26" s="128">
        <f>INDEX(G26:M26,1,MATCH(scenario_choice,G$17:M$17,0))</f>
        <v>1.9583333333333332E-3</v>
      </c>
      <c r="G26" s="59">
        <f>7.05/(60^2)</f>
        <v>1.9583333333333332E-3</v>
      </c>
      <c r="H26" s="210" t="s">
        <v>211</v>
      </c>
      <c r="I26" s="59">
        <f>7.05/(60^2)</f>
        <v>1.9583333333333332E-3</v>
      </c>
      <c r="J26" s="210" t="s">
        <v>211</v>
      </c>
      <c r="K26" s="59">
        <f>7.05/(60^2)</f>
        <v>1.9583333333333332E-3</v>
      </c>
      <c r="L26" s="210" t="s">
        <v>211</v>
      </c>
      <c r="M26" s="59">
        <f>7.05/(60^2)</f>
        <v>1.9583333333333332E-3</v>
      </c>
      <c r="N26" s="210" t="s">
        <v>211</v>
      </c>
    </row>
    <row r="27" spans="2:14" ht="9" customHeight="1">
      <c r="B27" s="34"/>
      <c r="C27" s="34"/>
      <c r="D27" s="35"/>
      <c r="E27" s="35"/>
      <c r="G27" s="35"/>
      <c r="H27" s="210"/>
      <c r="I27" s="35"/>
      <c r="J27" s="210"/>
      <c r="K27" s="35"/>
      <c r="L27" s="210"/>
      <c r="M27" s="35"/>
      <c r="N27" s="210"/>
    </row>
    <row r="28" spans="2:14" ht="12.75">
      <c r="B28" s="34" t="s">
        <v>187</v>
      </c>
      <c r="C28" s="116" t="s">
        <v>13</v>
      </c>
      <c r="D28" s="35" t="s">
        <v>189</v>
      </c>
      <c r="E28" s="67">
        <f>INDEX(G28:M28,1,MATCH(scenario_choice,G$17:M$17,0))</f>
        <v>985</v>
      </c>
      <c r="G28" s="65">
        <v>985</v>
      </c>
      <c r="H28" s="210" t="s">
        <v>212</v>
      </c>
      <c r="I28" s="65">
        <v>985</v>
      </c>
      <c r="J28" s="210" t="s">
        <v>212</v>
      </c>
      <c r="K28" s="65">
        <v>985</v>
      </c>
      <c r="L28" s="210" t="s">
        <v>212</v>
      </c>
      <c r="M28" s="65">
        <v>985</v>
      </c>
      <c r="N28" s="210" t="s">
        <v>212</v>
      </c>
    </row>
    <row r="29" spans="2:14" ht="12.75">
      <c r="B29" s="34" t="s">
        <v>188</v>
      </c>
      <c r="C29" s="116" t="s">
        <v>13</v>
      </c>
      <c r="D29" s="35" t="s">
        <v>55</v>
      </c>
      <c r="E29" s="67">
        <f>INDEX(G29:M29,1,MATCH(scenario_choice,G$17:M$17,0))</f>
        <v>180</v>
      </c>
      <c r="G29" s="65">
        <v>180</v>
      </c>
      <c r="H29" s="210" t="s">
        <v>213</v>
      </c>
      <c r="I29" s="65">
        <v>180</v>
      </c>
      <c r="J29" s="210" t="s">
        <v>213</v>
      </c>
      <c r="K29" s="65">
        <v>180</v>
      </c>
      <c r="L29" s="210" t="s">
        <v>213</v>
      </c>
      <c r="M29" s="65">
        <v>180</v>
      </c>
      <c r="N29" s="210" t="s">
        <v>213</v>
      </c>
    </row>
    <row r="30" spans="2:14" ht="12.75">
      <c r="B30" s="34"/>
      <c r="C30" s="34"/>
      <c r="D30" s="35"/>
      <c r="E30" s="35"/>
      <c r="G30" s="35"/>
      <c r="H30" s="210"/>
      <c r="I30" s="35"/>
      <c r="J30" s="210"/>
      <c r="K30" s="35"/>
      <c r="L30" s="210"/>
      <c r="M30" s="35"/>
      <c r="N30" s="210"/>
    </row>
    <row r="31" spans="2:14" ht="25.5">
      <c r="B31" s="147" t="s">
        <v>132</v>
      </c>
      <c r="C31" s="34"/>
      <c r="D31" s="35" t="s">
        <v>134</v>
      </c>
      <c r="E31" s="127">
        <f>INDEX(G31:M31,1,MATCH(scenario_choice,G$17:M$17,0))</f>
        <v>0.4</v>
      </c>
      <c r="G31" s="57">
        <v>0.4</v>
      </c>
      <c r="H31" s="210" t="s">
        <v>214</v>
      </c>
      <c r="I31" s="57">
        <v>0.4</v>
      </c>
      <c r="J31" s="210" t="s">
        <v>214</v>
      </c>
      <c r="K31" s="57">
        <v>0.4</v>
      </c>
      <c r="L31" s="210" t="s">
        <v>214</v>
      </c>
      <c r="M31" s="36">
        <v>0.4</v>
      </c>
      <c r="N31" s="210" t="s">
        <v>214</v>
      </c>
    </row>
    <row r="32" spans="2:14" ht="12.75">
      <c r="B32" s="34"/>
      <c r="C32" s="34"/>
      <c r="D32" s="35"/>
      <c r="E32" s="35"/>
      <c r="G32" s="35"/>
      <c r="H32" s="210"/>
      <c r="I32" s="35"/>
      <c r="J32" s="210"/>
      <c r="K32" s="35"/>
      <c r="L32" s="210"/>
      <c r="M32" s="35"/>
      <c r="N32" s="210"/>
    </row>
    <row r="33" spans="1:14" ht="12.75">
      <c r="B33" s="34" t="s">
        <v>190</v>
      </c>
      <c r="C33" s="34"/>
      <c r="D33" s="35" t="s">
        <v>133</v>
      </c>
      <c r="E33" s="127">
        <f>INDEX(G33:M33,1,MATCH(scenario_choice,G$17:M$17,0))</f>
        <v>1</v>
      </c>
      <c r="G33" s="57">
        <v>1</v>
      </c>
      <c r="H33" s="210" t="s">
        <v>215</v>
      </c>
      <c r="I33" s="36">
        <v>1</v>
      </c>
      <c r="J33" s="210" t="s">
        <v>215</v>
      </c>
      <c r="K33" s="57">
        <v>1</v>
      </c>
      <c r="L33" s="210" t="s">
        <v>215</v>
      </c>
      <c r="M33" s="36">
        <v>1</v>
      </c>
      <c r="N33" s="210" t="s">
        <v>215</v>
      </c>
    </row>
    <row r="34" spans="1:14">
      <c r="H34" s="210"/>
      <c r="J34" s="210"/>
      <c r="L34" s="210"/>
      <c r="N34" s="210"/>
    </row>
    <row r="35" spans="1:14" ht="12" customHeight="1">
      <c r="B35" s="206" t="s">
        <v>149</v>
      </c>
      <c r="C35" s="113"/>
      <c r="D35" s="35"/>
      <c r="H35" s="210"/>
      <c r="J35" s="210"/>
      <c r="L35" s="210"/>
      <c r="N35" s="210"/>
    </row>
    <row r="36" spans="1:14" ht="9" customHeight="1">
      <c r="A36" s="34"/>
      <c r="C36" s="34"/>
      <c r="D36" s="35"/>
      <c r="H36" s="210"/>
      <c r="J36" s="210"/>
      <c r="L36" s="210"/>
      <c r="N36" s="210"/>
    </row>
    <row r="37" spans="1:14" ht="12.75" customHeight="1">
      <c r="A37" s="34"/>
      <c r="B37" s="34" t="s">
        <v>95</v>
      </c>
      <c r="C37" s="116" t="s">
        <v>22</v>
      </c>
      <c r="D37" s="35" t="s">
        <v>96</v>
      </c>
      <c r="E37" s="58">
        <f>INDEX(G37:M37,1,MATCH(scenario_choice,G$17:M$17,0))</f>
        <v>0.79835526315789473</v>
      </c>
      <c r="G37" s="120">
        <f>24.27/30.4</f>
        <v>0.79835526315789473</v>
      </c>
      <c r="H37" s="210" t="s">
        <v>216</v>
      </c>
      <c r="I37" s="120">
        <f>24.27/30.4</f>
        <v>0.79835526315789473</v>
      </c>
      <c r="J37" s="210" t="s">
        <v>216</v>
      </c>
      <c r="K37" s="120">
        <f>24.27/30.4</f>
        <v>0.79835526315789473</v>
      </c>
      <c r="L37" s="210" t="s">
        <v>216</v>
      </c>
      <c r="M37" s="120">
        <f>24.27/30.4</f>
        <v>0.79835526315789473</v>
      </c>
      <c r="N37" s="210" t="s">
        <v>216</v>
      </c>
    </row>
    <row r="38" spans="1:14" ht="12.75" customHeight="1">
      <c r="A38" s="34"/>
      <c r="H38" s="210"/>
      <c r="J38" s="210"/>
      <c r="L38" s="210"/>
      <c r="N38" s="210"/>
    </row>
    <row r="39" spans="1:14" ht="12.75" customHeight="1">
      <c r="A39" s="34"/>
      <c r="B39" s="34" t="s">
        <v>237</v>
      </c>
      <c r="C39" s="116"/>
      <c r="D39" s="35" t="s">
        <v>114</v>
      </c>
      <c r="E39" s="127">
        <f>INDEX(G39:M39,1,MATCH(scenario_choice,G$17:M$17,0))</f>
        <v>0.87101910828025475</v>
      </c>
      <c r="G39" s="150">
        <v>0.87101910828025475</v>
      </c>
      <c r="H39" s="210" t="s">
        <v>217</v>
      </c>
      <c r="I39" s="150">
        <v>0.87101910828025475</v>
      </c>
      <c r="J39" s="210" t="s">
        <v>217</v>
      </c>
      <c r="K39" s="150">
        <v>0.87101910828025475</v>
      </c>
      <c r="L39" s="210" t="s">
        <v>217</v>
      </c>
      <c r="M39" s="150">
        <v>0.87101910828025475</v>
      </c>
      <c r="N39" s="210" t="s">
        <v>217</v>
      </c>
    </row>
    <row r="40" spans="1:14" ht="12.75" customHeight="1">
      <c r="A40" s="34"/>
      <c r="B40" s="34" t="s">
        <v>219</v>
      </c>
      <c r="C40" s="116"/>
      <c r="D40" s="35" t="s">
        <v>115</v>
      </c>
      <c r="E40" s="127">
        <f>INDEX(G40:M40,1,MATCH(scenario_choice,G$17:M$17,0))</f>
        <v>0.65981308411214956</v>
      </c>
      <c r="G40" s="57">
        <v>0.65981308411214956</v>
      </c>
      <c r="H40" s="210" t="s">
        <v>218</v>
      </c>
      <c r="I40" s="57">
        <v>0.65981308411214956</v>
      </c>
      <c r="J40" s="210" t="s">
        <v>218</v>
      </c>
      <c r="K40" s="57">
        <v>0.65981308411214956</v>
      </c>
      <c r="L40" s="210" t="s">
        <v>218</v>
      </c>
      <c r="M40" s="57">
        <v>0.65981308411214956</v>
      </c>
      <c r="N40" s="210" t="s">
        <v>218</v>
      </c>
    </row>
    <row r="41" spans="1:14" ht="12.75" customHeight="1">
      <c r="A41" s="34"/>
      <c r="B41" s="34" t="s">
        <v>238</v>
      </c>
      <c r="C41" s="116"/>
      <c r="D41" s="35" t="s">
        <v>116</v>
      </c>
      <c r="E41" s="127">
        <f>INDEX(G41:M41,1,MATCH(scenario_choice,G$17:M$17,0))</f>
        <v>0.72727272727272729</v>
      </c>
      <c r="G41" s="150">
        <v>0.72727272727272729</v>
      </c>
      <c r="H41" s="210" t="s">
        <v>217</v>
      </c>
      <c r="I41" s="150">
        <v>0.72727272727272729</v>
      </c>
      <c r="J41" s="210" t="s">
        <v>217</v>
      </c>
      <c r="K41" s="150">
        <v>0.72727272727272729</v>
      </c>
      <c r="L41" s="210" t="s">
        <v>217</v>
      </c>
      <c r="M41" s="150">
        <v>0.72727272727272729</v>
      </c>
      <c r="N41" s="210" t="s">
        <v>217</v>
      </c>
    </row>
    <row r="42" spans="1:14" ht="12.75" customHeight="1">
      <c r="A42" s="34"/>
      <c r="B42" s="34" t="s">
        <v>220</v>
      </c>
      <c r="C42" s="116"/>
      <c r="D42" s="35" t="s">
        <v>117</v>
      </c>
      <c r="E42" s="127">
        <f>INDEX(G42:M42,1,MATCH(scenario_choice,G$17:M$17,0))</f>
        <v>0.63485477178423233</v>
      </c>
      <c r="G42" s="57">
        <v>0.63485477178423233</v>
      </c>
      <c r="H42" s="210" t="s">
        <v>218</v>
      </c>
      <c r="I42" s="57">
        <v>0.63485477178423233</v>
      </c>
      <c r="J42" s="210" t="s">
        <v>218</v>
      </c>
      <c r="K42" s="57">
        <v>0.63485477178423233</v>
      </c>
      <c r="L42" s="210" t="s">
        <v>218</v>
      </c>
      <c r="M42" s="57">
        <v>0.63485477178423233</v>
      </c>
      <c r="N42" s="210" t="s">
        <v>218</v>
      </c>
    </row>
    <row r="43" spans="1:14" ht="12.75" customHeight="1">
      <c r="A43" s="34"/>
      <c r="B43" s="34"/>
      <c r="C43" s="116"/>
      <c r="E43" s="35"/>
      <c r="F43" s="35"/>
      <c r="G43" s="35"/>
      <c r="H43" s="210"/>
      <c r="I43" s="35"/>
      <c r="J43" s="210"/>
      <c r="K43" s="35"/>
      <c r="L43" s="210"/>
      <c r="M43" s="35"/>
      <c r="N43" s="210"/>
    </row>
    <row r="44" spans="1:14" ht="20.25" customHeight="1">
      <c r="A44" s="34"/>
      <c r="B44" s="147" t="s">
        <v>160</v>
      </c>
      <c r="C44" s="116"/>
      <c r="D44" s="35" t="s">
        <v>191</v>
      </c>
      <c r="E44" s="184">
        <f t="shared" ref="E44:E48" si="0">INDEX(G44:M44,1,MATCH(scenario_choice,G$17:M$17,0))</f>
        <v>0.14132227070071288</v>
      </c>
      <c r="F44" s="35"/>
      <c r="G44" s="183">
        <v>0.14132227070071288</v>
      </c>
      <c r="H44" s="211" t="s">
        <v>221</v>
      </c>
      <c r="I44" s="183">
        <v>0.14132227070071288</v>
      </c>
      <c r="J44" s="211" t="s">
        <v>221</v>
      </c>
      <c r="K44" s="183">
        <v>0.14132227070071288</v>
      </c>
      <c r="L44" s="211" t="s">
        <v>221</v>
      </c>
      <c r="M44" s="183">
        <v>0.14132227070071288</v>
      </c>
      <c r="N44" s="211" t="s">
        <v>221</v>
      </c>
    </row>
    <row r="45" spans="1:14" ht="16.5" customHeight="1">
      <c r="A45" s="34"/>
      <c r="B45" s="147" t="s">
        <v>84</v>
      </c>
      <c r="C45" s="26"/>
      <c r="D45" s="35" t="s">
        <v>72</v>
      </c>
      <c r="E45" s="184">
        <f t="shared" si="0"/>
        <v>0.24590196596436659</v>
      </c>
      <c r="G45" s="183">
        <f>G44/(pct_post_pay_PAC*pct_out_of_contract_PAC)</f>
        <v>0.24590196596436659</v>
      </c>
      <c r="H45" s="210" t="s">
        <v>222</v>
      </c>
      <c r="I45" s="183">
        <f>I44/(pct_post_pay_PAC*pct_out_of_contract_PAC)</f>
        <v>0.24590196596436659</v>
      </c>
      <c r="J45" s="210" t="s">
        <v>222</v>
      </c>
      <c r="K45" s="183">
        <f>K44/(pct_post_pay_PAC*pct_out_of_contract_PAC)</f>
        <v>0.24590196596436659</v>
      </c>
      <c r="L45" s="210" t="s">
        <v>222</v>
      </c>
      <c r="M45" s="183">
        <f>M44/(pct_post_pay_PAC*pct_out_of_contract_PAC)</f>
        <v>0.24590196596436659</v>
      </c>
      <c r="N45" s="210" t="s">
        <v>222</v>
      </c>
    </row>
    <row r="46" spans="1:14" ht="29.25" customHeight="1">
      <c r="A46" s="34"/>
      <c r="H46" s="210"/>
      <c r="J46" s="210"/>
      <c r="L46" s="210"/>
      <c r="N46" s="210"/>
    </row>
    <row r="47" spans="1:14" ht="29.25" customHeight="1">
      <c r="B47" s="147" t="s">
        <v>193</v>
      </c>
      <c r="C47" s="116" t="s">
        <v>21</v>
      </c>
      <c r="D47" s="35" t="s">
        <v>166</v>
      </c>
      <c r="E47" s="168">
        <f t="shared" si="0"/>
        <v>22.347889678228167</v>
      </c>
      <c r="G47" s="182">
        <v>22.347889678228167</v>
      </c>
      <c r="H47" s="211" t="s">
        <v>223</v>
      </c>
      <c r="I47" s="182">
        <v>22.347889678228167</v>
      </c>
      <c r="J47" s="211" t="s">
        <v>223</v>
      </c>
      <c r="K47" s="182">
        <v>22.347889678228167</v>
      </c>
      <c r="L47" s="211" t="s">
        <v>223</v>
      </c>
      <c r="M47" s="182">
        <v>22.347889678228167</v>
      </c>
      <c r="N47" s="211" t="s">
        <v>223</v>
      </c>
    </row>
    <row r="48" spans="1:14" ht="29.25" customHeight="1">
      <c r="B48" s="147" t="s">
        <v>192</v>
      </c>
      <c r="C48" s="116" t="s">
        <v>21</v>
      </c>
      <c r="D48" s="35" t="s">
        <v>167</v>
      </c>
      <c r="E48" s="168">
        <f t="shared" si="0"/>
        <v>4.1484293437940094</v>
      </c>
      <c r="G48" s="182">
        <v>4.1484293437940094</v>
      </c>
      <c r="H48" s="211" t="s">
        <v>224</v>
      </c>
      <c r="I48" s="182">
        <v>4.1484293437940094</v>
      </c>
      <c r="J48" s="211" t="s">
        <v>224</v>
      </c>
      <c r="K48" s="182">
        <v>4.1484293437940094</v>
      </c>
      <c r="L48" s="211" t="s">
        <v>224</v>
      </c>
      <c r="M48" s="182">
        <v>4.1484293437940094</v>
      </c>
      <c r="N48" s="211" t="s">
        <v>224</v>
      </c>
    </row>
    <row r="49" spans="1:14" ht="12" customHeight="1">
      <c r="B49" s="147"/>
      <c r="C49" s="116"/>
      <c r="D49" s="35"/>
      <c r="E49" s="35"/>
      <c r="F49" s="35"/>
      <c r="G49" s="35"/>
      <c r="H49" s="210"/>
      <c r="I49" s="35"/>
      <c r="J49" s="210"/>
      <c r="K49" s="35"/>
      <c r="L49" s="210"/>
      <c r="M49" s="35"/>
      <c r="N49" s="210"/>
    </row>
    <row r="50" spans="1:14" ht="29.25" customHeight="1">
      <c r="B50" s="147" t="s">
        <v>135</v>
      </c>
      <c r="C50" s="26"/>
      <c r="D50" s="35" t="s">
        <v>165</v>
      </c>
      <c r="E50" s="127">
        <f>INDEX(G50:M50,1,MATCH(scenario_choice,G$17:M$17,0))</f>
        <v>0.5</v>
      </c>
      <c r="G50" s="36">
        <v>0.5</v>
      </c>
      <c r="H50" s="210" t="s">
        <v>225</v>
      </c>
      <c r="I50" s="36">
        <v>0.5</v>
      </c>
      <c r="J50" s="210" t="s">
        <v>225</v>
      </c>
      <c r="K50" s="36">
        <v>0.5</v>
      </c>
      <c r="L50" s="210" t="s">
        <v>225</v>
      </c>
      <c r="M50" s="36">
        <v>0.5</v>
      </c>
      <c r="N50" s="210" t="s">
        <v>225</v>
      </c>
    </row>
    <row r="51" spans="1:14" ht="12.75" customHeight="1">
      <c r="H51" s="210"/>
      <c r="J51" s="210"/>
      <c r="L51" s="210"/>
      <c r="N51" s="210"/>
    </row>
    <row r="52" spans="1:14" ht="12.75" customHeight="1">
      <c r="A52" s="34"/>
      <c r="B52" s="34" t="s">
        <v>67</v>
      </c>
      <c r="C52" s="116" t="s">
        <v>15</v>
      </c>
      <c r="D52" s="39" t="s">
        <v>60</v>
      </c>
      <c r="E52" s="127">
        <f>INDEX(G52:M52,1,MATCH(scenario_choice,G$17:M$17,0))</f>
        <v>0.25</v>
      </c>
      <c r="G52" s="57">
        <v>0.25</v>
      </c>
      <c r="H52" s="210" t="s">
        <v>226</v>
      </c>
      <c r="I52" s="57">
        <v>0.25</v>
      </c>
      <c r="J52" s="210" t="s">
        <v>226</v>
      </c>
      <c r="K52" s="57">
        <v>0.25</v>
      </c>
      <c r="L52" s="210" t="s">
        <v>226</v>
      </c>
      <c r="M52" s="57">
        <v>0.25</v>
      </c>
      <c r="N52" s="210" t="s">
        <v>226</v>
      </c>
    </row>
    <row r="53" spans="1:14" ht="12.75" customHeight="1">
      <c r="A53" s="34"/>
      <c r="B53" s="34"/>
      <c r="C53" s="116" t="s">
        <v>59</v>
      </c>
      <c r="D53" s="39" t="s">
        <v>61</v>
      </c>
      <c r="E53" s="127">
        <f>INDEX(G53:M53,1,MATCH(scenario_choice,G$17:M$17,0))</f>
        <v>0.1</v>
      </c>
      <c r="G53" s="57">
        <v>0.1</v>
      </c>
      <c r="H53" s="210" t="s">
        <v>226</v>
      </c>
      <c r="I53" s="57">
        <v>0.1</v>
      </c>
      <c r="J53" s="210" t="s">
        <v>226</v>
      </c>
      <c r="K53" s="57">
        <v>0.1</v>
      </c>
      <c r="L53" s="210" t="s">
        <v>226</v>
      </c>
      <c r="M53" s="57">
        <v>0.1</v>
      </c>
      <c r="N53" s="210" t="s">
        <v>226</v>
      </c>
    </row>
    <row r="54" spans="1:14" ht="12.75" customHeight="1">
      <c r="A54" s="34"/>
      <c r="B54" s="34"/>
      <c r="C54" s="116" t="s">
        <v>12</v>
      </c>
      <c r="D54" s="39" t="s">
        <v>62</v>
      </c>
      <c r="E54" s="127">
        <f>INDEX(G54:M54,1,MATCH(scenario_choice,G$17:M$17,0))</f>
        <v>0.65</v>
      </c>
      <c r="G54" s="57">
        <v>0.65</v>
      </c>
      <c r="H54" s="210" t="s">
        <v>226</v>
      </c>
      <c r="I54" s="57">
        <v>0.65</v>
      </c>
      <c r="J54" s="210" t="s">
        <v>226</v>
      </c>
      <c r="K54" s="57">
        <v>0.65</v>
      </c>
      <c r="L54" s="210" t="s">
        <v>226</v>
      </c>
      <c r="M54" s="57">
        <v>0.65</v>
      </c>
      <c r="N54" s="210" t="s">
        <v>226</v>
      </c>
    </row>
    <row r="55" spans="1:14" ht="12.75" customHeight="1">
      <c r="A55" s="34"/>
      <c r="B55" s="34"/>
      <c r="C55" s="116"/>
      <c r="D55" s="39"/>
      <c r="E55" s="39"/>
      <c r="G55" s="131"/>
      <c r="H55" s="210"/>
      <c r="I55" s="131"/>
      <c r="J55" s="210"/>
      <c r="K55" s="131"/>
      <c r="L55" s="210"/>
      <c r="M55" s="131"/>
      <c r="N55" s="210"/>
    </row>
    <row r="56" spans="1:14" ht="26.25" customHeight="1">
      <c r="A56" s="34"/>
      <c r="B56" s="147" t="s">
        <v>179</v>
      </c>
      <c r="C56" s="116" t="s">
        <v>20</v>
      </c>
      <c r="D56" s="35" t="s">
        <v>82</v>
      </c>
      <c r="E56" s="127">
        <f>INDEX(G56:M56,1,MATCH(scenario_choice,G$17:M$17,0))</f>
        <v>0.75</v>
      </c>
      <c r="G56" s="57">
        <v>0.75</v>
      </c>
      <c r="H56" s="210" t="s">
        <v>228</v>
      </c>
      <c r="I56" s="36" t="s">
        <v>14</v>
      </c>
      <c r="J56" s="210"/>
      <c r="K56" s="57">
        <v>0.75</v>
      </c>
      <c r="L56" s="210" t="s">
        <v>228</v>
      </c>
      <c r="M56" s="36" t="s">
        <v>14</v>
      </c>
      <c r="N56" s="210"/>
    </row>
    <row r="57" spans="1:14" ht="27" customHeight="1">
      <c r="A57" s="34"/>
      <c r="B57" s="147" t="s">
        <v>178</v>
      </c>
      <c r="C57" s="116"/>
      <c r="D57" s="35" t="s">
        <v>83</v>
      </c>
      <c r="E57" s="127" t="str">
        <f>INDEX(G57:M57,1,MATCH(scenario_choice,G$17:M$17,0))</f>
        <v>n/a</v>
      </c>
      <c r="G57" s="36" t="s">
        <v>14</v>
      </c>
      <c r="H57" s="210"/>
      <c r="I57" s="57">
        <v>0.1</v>
      </c>
      <c r="J57" s="211" t="s">
        <v>234</v>
      </c>
      <c r="K57" s="36" t="s">
        <v>14</v>
      </c>
      <c r="L57" s="211"/>
      <c r="M57" s="57">
        <v>0.1</v>
      </c>
      <c r="N57" s="211" t="s">
        <v>234</v>
      </c>
    </row>
    <row r="58" spans="1:14" ht="12.75" customHeight="1">
      <c r="A58" s="34"/>
      <c r="H58" s="210"/>
      <c r="J58" s="210"/>
      <c r="L58" s="210"/>
      <c r="N58" s="210"/>
    </row>
    <row r="59" spans="1:14" ht="12.75" customHeight="1">
      <c r="A59" s="17"/>
      <c r="B59" s="173" t="s">
        <v>85</v>
      </c>
      <c r="H59" s="210"/>
      <c r="J59" s="210"/>
      <c r="L59" s="210"/>
      <c r="N59" s="210"/>
    </row>
    <row r="60" spans="1:14" ht="12.75" customHeight="1">
      <c r="B60" s="148"/>
      <c r="H60" s="210"/>
      <c r="J60" s="210"/>
      <c r="L60" s="210"/>
      <c r="N60" s="210"/>
    </row>
    <row r="61" spans="1:14" ht="12.75" customHeight="1">
      <c r="A61" s="34"/>
      <c r="B61" s="18" t="s">
        <v>86</v>
      </c>
      <c r="C61" s="116" t="s">
        <v>15</v>
      </c>
      <c r="D61" s="35" t="s">
        <v>98</v>
      </c>
      <c r="E61" s="168">
        <f>INDEX(G61:M61,1,MATCH(scenario_choice,G$17:M$17,0))</f>
        <v>0</v>
      </c>
      <c r="G61" s="61">
        <v>0</v>
      </c>
      <c r="H61" s="220" t="s">
        <v>233</v>
      </c>
      <c r="I61" s="61">
        <v>0</v>
      </c>
      <c r="J61" s="220" t="s">
        <v>233</v>
      </c>
      <c r="K61" s="61">
        <v>0</v>
      </c>
      <c r="L61" s="220" t="s">
        <v>233</v>
      </c>
      <c r="M61" s="61">
        <v>0</v>
      </c>
      <c r="N61" s="220" t="s">
        <v>233</v>
      </c>
    </row>
    <row r="62" spans="1:14" ht="12.75" customHeight="1">
      <c r="A62" s="34"/>
      <c r="C62" s="116" t="s">
        <v>59</v>
      </c>
      <c r="D62" s="35" t="s">
        <v>99</v>
      </c>
      <c r="E62" s="168">
        <f>INDEX(G62:M62,1,MATCH(scenario_choice,G$17:M$17,0))</f>
        <v>7.6521103217718327</v>
      </c>
      <c r="G62" s="61">
        <f>30-avg_delay_managing</f>
        <v>7.6521103217718327</v>
      </c>
      <c r="H62" s="220"/>
      <c r="I62" s="61">
        <f>30-avg_delay_managing</f>
        <v>7.6521103217718327</v>
      </c>
      <c r="J62" s="220"/>
      <c r="K62" s="61">
        <f>30-avg_delay_managing</f>
        <v>7.6521103217718327</v>
      </c>
      <c r="L62" s="220"/>
      <c r="M62" s="61">
        <f>30-avg_delay_managing</f>
        <v>7.6521103217718327</v>
      </c>
      <c r="N62" s="220"/>
    </row>
    <row r="63" spans="1:14" ht="12.75" customHeight="1">
      <c r="C63" s="116" t="s">
        <v>12</v>
      </c>
      <c r="D63" s="35" t="s">
        <v>100</v>
      </c>
      <c r="E63" s="168">
        <f>INDEX(G63:M63,1,MATCH(scenario_choice,G$17:M$17,0))</f>
        <v>7.6521103217718327</v>
      </c>
      <c r="G63" s="61">
        <f>30-avg_delay_managing</f>
        <v>7.6521103217718327</v>
      </c>
      <c r="H63" s="220"/>
      <c r="I63" s="61">
        <f>30-avg_delay_managing</f>
        <v>7.6521103217718327</v>
      </c>
      <c r="J63" s="220"/>
      <c r="K63" s="61">
        <f>30-avg_delay_managing</f>
        <v>7.6521103217718327</v>
      </c>
      <c r="L63" s="220"/>
      <c r="M63" s="61">
        <f>30-avg_delay_managing</f>
        <v>7.6521103217718327</v>
      </c>
      <c r="N63" s="220"/>
    </row>
    <row r="64" spans="1:14" ht="12.75" customHeight="1">
      <c r="C64" s="116" t="s">
        <v>104</v>
      </c>
      <c r="D64" s="35" t="s">
        <v>105</v>
      </c>
      <c r="E64" s="168">
        <f>INDEX(G64:M64,1,MATCH(scenario_choice,G$17:M$17,0))</f>
        <v>7.6521103217718327</v>
      </c>
      <c r="G64" s="61">
        <f>30-avg_delay_managing</f>
        <v>7.6521103217718327</v>
      </c>
      <c r="H64" s="220"/>
      <c r="I64" s="61">
        <f>30-avg_delay_managing</f>
        <v>7.6521103217718327</v>
      </c>
      <c r="J64" s="220"/>
      <c r="K64" s="61">
        <f>30-avg_delay_managing</f>
        <v>7.6521103217718327</v>
      </c>
      <c r="L64" s="220"/>
      <c r="M64" s="61">
        <f>30-avg_delay_managing</f>
        <v>7.6521103217718327</v>
      </c>
      <c r="N64" s="220"/>
    </row>
    <row r="65" spans="1:14" ht="12.75" customHeight="1">
      <c r="C65" s="116"/>
      <c r="D65" s="35"/>
      <c r="H65" s="220"/>
      <c r="J65" s="220"/>
      <c r="L65" s="220"/>
      <c r="N65" s="220"/>
    </row>
    <row r="66" spans="1:14" ht="12.75" customHeight="1">
      <c r="B66" s="18" t="s">
        <v>86</v>
      </c>
      <c r="C66" s="116" t="s">
        <v>15</v>
      </c>
      <c r="D66" s="35" t="s">
        <v>101</v>
      </c>
      <c r="E66" s="168">
        <f>INDEX(G66:M66,1,MATCH(scenario_choice,G$17:M$17,0))</f>
        <v>0</v>
      </c>
      <c r="G66" s="61">
        <v>0</v>
      </c>
      <c r="H66" s="220"/>
      <c r="I66" s="61">
        <v>0</v>
      </c>
      <c r="J66" s="220"/>
      <c r="K66" s="61">
        <v>0</v>
      </c>
      <c r="L66" s="220"/>
      <c r="M66" s="61">
        <v>0</v>
      </c>
      <c r="N66" s="220"/>
    </row>
    <row r="67" spans="1:14" ht="12.75" customHeight="1">
      <c r="C67" s="116" t="s">
        <v>59</v>
      </c>
      <c r="D67" s="35" t="s">
        <v>102</v>
      </c>
      <c r="E67" s="168">
        <f>INDEX(G67:M67,1,MATCH(scenario_choice,G$17:M$17,0))</f>
        <v>7.6521103217718327</v>
      </c>
      <c r="G67" s="61">
        <f>30-avg_delay_managing</f>
        <v>7.6521103217718327</v>
      </c>
      <c r="H67" s="220"/>
      <c r="I67" s="61">
        <v>0</v>
      </c>
      <c r="J67" s="220"/>
      <c r="K67" s="61">
        <f>30-avg_delay_managing</f>
        <v>7.6521103217718327</v>
      </c>
      <c r="L67" s="220"/>
      <c r="M67" s="61">
        <v>0</v>
      </c>
      <c r="N67" s="220"/>
    </row>
    <row r="68" spans="1:14" ht="12.75" customHeight="1">
      <c r="C68" s="116" t="s">
        <v>12</v>
      </c>
      <c r="D68" s="35" t="s">
        <v>103</v>
      </c>
      <c r="E68" s="168">
        <f>INDEX(G68:M68,1,MATCH(scenario_choice,G$17:M$17,0))</f>
        <v>7.6521103217718327</v>
      </c>
      <c r="G68" s="61">
        <f>30-avg_delay_managing</f>
        <v>7.6521103217718327</v>
      </c>
      <c r="H68" s="220"/>
      <c r="I68" s="61">
        <v>0</v>
      </c>
      <c r="J68" s="220"/>
      <c r="K68" s="61">
        <f>30-avg_delay_managing</f>
        <v>7.6521103217718327</v>
      </c>
      <c r="L68" s="220"/>
      <c r="M68" s="61">
        <v>0</v>
      </c>
      <c r="N68" s="220"/>
    </row>
    <row r="69" spans="1:14" ht="12.75" customHeight="1">
      <c r="C69" s="116" t="s">
        <v>104</v>
      </c>
      <c r="D69" s="35" t="s">
        <v>106</v>
      </c>
      <c r="E69" s="168">
        <f>INDEX(G69:M69,1,MATCH(scenario_choice,G$17:M$17,0))</f>
        <v>7.6521103217718327</v>
      </c>
      <c r="G69" s="61">
        <f>30-avg_delay_managing</f>
        <v>7.6521103217718327</v>
      </c>
      <c r="H69" s="220"/>
      <c r="I69" s="61">
        <v>0</v>
      </c>
      <c r="J69" s="220"/>
      <c r="K69" s="61">
        <f>30-avg_delay_managing</f>
        <v>7.6521103217718327</v>
      </c>
      <c r="L69" s="220"/>
      <c r="M69" s="61">
        <v>0</v>
      </c>
      <c r="N69" s="220"/>
    </row>
    <row r="70" spans="1:14" ht="12.75" customHeight="1">
      <c r="D70" s="35"/>
      <c r="H70" s="220"/>
      <c r="J70" s="220"/>
      <c r="L70" s="220"/>
      <c r="N70" s="220"/>
    </row>
    <row r="71" spans="1:14" ht="12.75" customHeight="1">
      <c r="B71" s="18" t="s">
        <v>86</v>
      </c>
      <c r="C71" s="116" t="s">
        <v>15</v>
      </c>
      <c r="D71" s="35" t="s">
        <v>69</v>
      </c>
      <c r="E71" s="168">
        <f>INDEX(G71:M71,1,MATCH(scenario_choice,G$17:M$17,0))</f>
        <v>0</v>
      </c>
      <c r="G71" s="61">
        <v>0</v>
      </c>
      <c r="H71" s="220"/>
      <c r="I71" s="61">
        <v>0</v>
      </c>
      <c r="J71" s="220"/>
      <c r="K71" s="61">
        <v>0</v>
      </c>
      <c r="L71" s="220"/>
      <c r="M71" s="61">
        <v>0</v>
      </c>
      <c r="N71" s="220"/>
    </row>
    <row r="72" spans="1:14" ht="12.75" customHeight="1">
      <c r="C72" s="116" t="s">
        <v>59</v>
      </c>
      <c r="D72" s="35" t="s">
        <v>70</v>
      </c>
      <c r="E72" s="168">
        <f>INDEX(G72:M72,1,MATCH(scenario_choice,G$17:M$17,0))</f>
        <v>7.6521103217718327</v>
      </c>
      <c r="G72" s="61">
        <f>30-avg_delay_managing</f>
        <v>7.6521103217718327</v>
      </c>
      <c r="H72" s="220"/>
      <c r="I72" s="61">
        <v>0</v>
      </c>
      <c r="J72" s="220"/>
      <c r="K72" s="61">
        <f>30-avg_delay_managing</f>
        <v>7.6521103217718327</v>
      </c>
      <c r="L72" s="220"/>
      <c r="M72" s="61">
        <v>0</v>
      </c>
      <c r="N72" s="220"/>
    </row>
    <row r="73" spans="1:14" ht="12.75" customHeight="1">
      <c r="C73" s="116" t="s">
        <v>12</v>
      </c>
      <c r="D73" s="35" t="s">
        <v>71</v>
      </c>
      <c r="E73" s="168">
        <f>INDEX(G73:M73,1,MATCH(scenario_choice,G$17:M$17,0))</f>
        <v>7.6521103217718327</v>
      </c>
      <c r="G73" s="61">
        <f>30-avg_delay_managing</f>
        <v>7.6521103217718327</v>
      </c>
      <c r="H73" s="220"/>
      <c r="I73" s="61">
        <v>0</v>
      </c>
      <c r="J73" s="220"/>
      <c r="K73" s="61">
        <f>30-avg_delay_managing</f>
        <v>7.6521103217718327</v>
      </c>
      <c r="L73" s="220"/>
      <c r="M73" s="61">
        <v>0</v>
      </c>
      <c r="N73" s="220"/>
    </row>
    <row r="74" spans="1:14" ht="12.75" customHeight="1">
      <c r="C74" s="116" t="s">
        <v>104</v>
      </c>
      <c r="D74" s="35" t="s">
        <v>107</v>
      </c>
      <c r="E74" s="168">
        <f>INDEX(G74:M74,1,MATCH(scenario_choice,G$17:M$17,0))</f>
        <v>7.6521103217718327</v>
      </c>
      <c r="G74" s="61">
        <f>30-avg_delay_managing</f>
        <v>7.6521103217718327</v>
      </c>
      <c r="H74" s="220"/>
      <c r="I74" s="61">
        <v>0</v>
      </c>
      <c r="J74" s="220"/>
      <c r="K74" s="61">
        <f>30-avg_delay_managing</f>
        <v>7.6521103217718327</v>
      </c>
      <c r="L74" s="220"/>
      <c r="M74" s="61">
        <v>0</v>
      </c>
      <c r="N74" s="220"/>
    </row>
    <row r="75" spans="1:14" ht="12.75" customHeight="1">
      <c r="C75" s="116"/>
      <c r="D75" s="35"/>
      <c r="E75" s="35"/>
      <c r="G75" s="155"/>
      <c r="H75" s="210"/>
      <c r="I75" s="155"/>
      <c r="J75" s="210"/>
      <c r="K75" s="155"/>
      <c r="L75" s="210"/>
      <c r="M75" s="155"/>
      <c r="N75" s="210"/>
    </row>
    <row r="76" spans="1:14" ht="24.75" customHeight="1">
      <c r="A76" s="17"/>
      <c r="B76" s="173" t="s">
        <v>97</v>
      </c>
      <c r="D76" s="35"/>
      <c r="H76" s="210"/>
      <c r="J76" s="210"/>
      <c r="L76" s="210"/>
      <c r="N76" s="210"/>
    </row>
    <row r="77" spans="1:14" ht="12.75" customHeight="1">
      <c r="B77" s="148"/>
      <c r="D77" s="35"/>
      <c r="H77" s="210"/>
      <c r="J77" s="210"/>
      <c r="L77" s="210"/>
      <c r="N77" s="210"/>
    </row>
    <row r="78" spans="1:14" ht="12.75" customHeight="1">
      <c r="B78" s="18" t="s">
        <v>86</v>
      </c>
      <c r="C78" s="116" t="s">
        <v>15</v>
      </c>
      <c r="D78" s="35" t="s">
        <v>73</v>
      </c>
      <c r="E78" s="168">
        <f>INDEX(G78:M78,1,MATCH(scenario_choice,G$17:M$17,0))</f>
        <v>0</v>
      </c>
      <c r="G78" s="61">
        <v>0</v>
      </c>
      <c r="H78" s="220" t="s">
        <v>233</v>
      </c>
      <c r="I78" s="61">
        <v>0</v>
      </c>
      <c r="J78" s="220" t="s">
        <v>233</v>
      </c>
      <c r="K78" s="61">
        <v>0</v>
      </c>
      <c r="L78" s="220" t="s">
        <v>233</v>
      </c>
      <c r="M78" s="61">
        <v>0</v>
      </c>
      <c r="N78" s="220" t="s">
        <v>233</v>
      </c>
    </row>
    <row r="79" spans="1:14" ht="12.75" customHeight="1">
      <c r="C79" s="116" t="s">
        <v>59</v>
      </c>
      <c r="D79" s="35" t="s">
        <v>74</v>
      </c>
      <c r="E79" s="168">
        <f>INDEX(G79:M79,1,MATCH(scenario_choice,G$17:M$17,0))</f>
        <v>25.85157065620599</v>
      </c>
      <c r="G79" s="61">
        <f>30-avg_delay_not_managing</f>
        <v>25.85157065620599</v>
      </c>
      <c r="H79" s="220"/>
      <c r="I79" s="61">
        <f>30-avg_delay_not_managing</f>
        <v>25.85157065620599</v>
      </c>
      <c r="J79" s="220"/>
      <c r="K79" s="61">
        <f>30-avg_delay_not_managing</f>
        <v>25.85157065620599</v>
      </c>
      <c r="L79" s="220"/>
      <c r="M79" s="61">
        <f>30-avg_delay_not_managing</f>
        <v>25.85157065620599</v>
      </c>
      <c r="N79" s="220"/>
    </row>
    <row r="80" spans="1:14" ht="12.75" customHeight="1">
      <c r="C80" s="116" t="s">
        <v>12</v>
      </c>
      <c r="D80" s="35" t="s">
        <v>75</v>
      </c>
      <c r="E80" s="168">
        <f>INDEX(G80:M80,1,MATCH(scenario_choice,G$17:M$17,0))</f>
        <v>25.85157065620599</v>
      </c>
      <c r="G80" s="61">
        <f>30-avg_delay_not_managing</f>
        <v>25.85157065620599</v>
      </c>
      <c r="H80" s="220"/>
      <c r="I80" s="61">
        <f>30-avg_delay_not_managing</f>
        <v>25.85157065620599</v>
      </c>
      <c r="J80" s="220"/>
      <c r="K80" s="61">
        <f>30-avg_delay_not_managing</f>
        <v>25.85157065620599</v>
      </c>
      <c r="L80" s="220"/>
      <c r="M80" s="61">
        <f>30-avg_delay_not_managing</f>
        <v>25.85157065620599</v>
      </c>
      <c r="N80" s="220"/>
    </row>
    <row r="81" spans="1:14" ht="12.75" customHeight="1">
      <c r="C81" s="116" t="s">
        <v>104</v>
      </c>
      <c r="D81" s="35" t="s">
        <v>108</v>
      </c>
      <c r="E81" s="168">
        <f>INDEX(G81:M81,1,MATCH(scenario_choice,G$17:M$17,0))</f>
        <v>25.85157065620599</v>
      </c>
      <c r="G81" s="61">
        <f>30-avg_delay_not_managing</f>
        <v>25.85157065620599</v>
      </c>
      <c r="H81" s="220"/>
      <c r="I81" s="61">
        <f>30-avg_delay_not_managing</f>
        <v>25.85157065620599</v>
      </c>
      <c r="J81" s="220"/>
      <c r="K81" s="61">
        <f>30-avg_delay_not_managing</f>
        <v>25.85157065620599</v>
      </c>
      <c r="L81" s="220"/>
      <c r="M81" s="61">
        <f>30-avg_delay_not_managing</f>
        <v>25.85157065620599</v>
      </c>
      <c r="N81" s="220"/>
    </row>
    <row r="82" spans="1:14" ht="12.75" customHeight="1">
      <c r="D82" s="35"/>
      <c r="H82" s="220"/>
      <c r="J82" s="220"/>
      <c r="L82" s="220"/>
      <c r="N82" s="220"/>
    </row>
    <row r="83" spans="1:14" ht="12.75" customHeight="1">
      <c r="B83" s="18" t="s">
        <v>86</v>
      </c>
      <c r="C83" s="116" t="s">
        <v>15</v>
      </c>
      <c r="D83" s="35" t="s">
        <v>76</v>
      </c>
      <c r="E83" s="168">
        <f>INDEX(G83:M83,1,MATCH(scenario_choice,G$17:M$17,0))</f>
        <v>0</v>
      </c>
      <c r="G83" s="61">
        <v>0</v>
      </c>
      <c r="H83" s="220"/>
      <c r="I83" s="61">
        <v>0</v>
      </c>
      <c r="J83" s="220"/>
      <c r="K83" s="61">
        <v>0</v>
      </c>
      <c r="L83" s="220"/>
      <c r="M83" s="61">
        <v>0</v>
      </c>
      <c r="N83" s="220"/>
    </row>
    <row r="84" spans="1:14" ht="12.75" customHeight="1">
      <c r="C84" s="116" t="s">
        <v>59</v>
      </c>
      <c r="D84" s="35" t="s">
        <v>77</v>
      </c>
      <c r="E84" s="168">
        <f>INDEX(G84:M84,1,MATCH(scenario_choice,G$17:M$17,0))</f>
        <v>25.85157065620599</v>
      </c>
      <c r="G84" s="61">
        <f>30-avg_delay_not_managing</f>
        <v>25.85157065620599</v>
      </c>
      <c r="H84" s="220"/>
      <c r="I84" s="61">
        <v>30</v>
      </c>
      <c r="J84" s="220"/>
      <c r="K84" s="61">
        <f>30-avg_delay_not_managing</f>
        <v>25.85157065620599</v>
      </c>
      <c r="L84" s="220"/>
      <c r="M84" s="61">
        <v>30</v>
      </c>
      <c r="N84" s="220"/>
    </row>
    <row r="85" spans="1:14" ht="12.75" customHeight="1">
      <c r="C85" s="116" t="s">
        <v>12</v>
      </c>
      <c r="D85" s="35" t="s">
        <v>78</v>
      </c>
      <c r="E85" s="168">
        <f>INDEX(G85:M85,1,MATCH(scenario_choice,G$17:M$17,0))</f>
        <v>25.85157065620599</v>
      </c>
      <c r="G85" s="61">
        <f>30-avg_delay_not_managing</f>
        <v>25.85157065620599</v>
      </c>
      <c r="H85" s="220"/>
      <c r="I85" s="61">
        <v>30</v>
      </c>
      <c r="J85" s="220"/>
      <c r="K85" s="61">
        <f>30-avg_delay_not_managing</f>
        <v>25.85157065620599</v>
      </c>
      <c r="L85" s="220"/>
      <c r="M85" s="61">
        <v>30</v>
      </c>
      <c r="N85" s="220"/>
    </row>
    <row r="86" spans="1:14" ht="12.75" customHeight="1">
      <c r="C86" s="116" t="s">
        <v>104</v>
      </c>
      <c r="D86" s="35" t="s">
        <v>109</v>
      </c>
      <c r="E86" s="168">
        <f>INDEX(G86:M86,1,MATCH(scenario_choice,G$17:M$17,0))</f>
        <v>25.85157065620599</v>
      </c>
      <c r="G86" s="61">
        <f>30-avg_delay_not_managing</f>
        <v>25.85157065620599</v>
      </c>
      <c r="H86" s="220"/>
      <c r="I86" s="61">
        <v>30</v>
      </c>
      <c r="J86" s="220"/>
      <c r="K86" s="61">
        <f>30-avg_delay_not_managing</f>
        <v>25.85157065620599</v>
      </c>
      <c r="L86" s="220"/>
      <c r="M86" s="61">
        <v>30</v>
      </c>
      <c r="N86" s="220"/>
    </row>
    <row r="87" spans="1:14" ht="12.75" customHeight="1">
      <c r="D87" s="35"/>
      <c r="H87" s="220"/>
      <c r="J87" s="220"/>
      <c r="L87" s="220"/>
      <c r="N87" s="220"/>
    </row>
    <row r="88" spans="1:14" ht="12.75" customHeight="1">
      <c r="B88" s="18" t="s">
        <v>86</v>
      </c>
      <c r="C88" s="116" t="s">
        <v>15</v>
      </c>
      <c r="D88" s="35" t="s">
        <v>79</v>
      </c>
      <c r="E88" s="168">
        <f>INDEX(G88:M88,1,MATCH(scenario_choice,G$17:M$17,0))</f>
        <v>0</v>
      </c>
      <c r="G88" s="61">
        <v>0</v>
      </c>
      <c r="H88" s="220"/>
      <c r="I88" s="61">
        <v>0</v>
      </c>
      <c r="J88" s="220"/>
      <c r="K88" s="61">
        <v>0</v>
      </c>
      <c r="L88" s="220"/>
      <c r="M88" s="61">
        <v>0</v>
      </c>
      <c r="N88" s="220"/>
    </row>
    <row r="89" spans="1:14" ht="12.75" customHeight="1">
      <c r="C89" s="116" t="s">
        <v>59</v>
      </c>
      <c r="D89" s="35" t="s">
        <v>80</v>
      </c>
      <c r="E89" s="168">
        <f>INDEX(G89:M89,1,MATCH(scenario_choice,G$17:M$17,0))</f>
        <v>25.85157065620599</v>
      </c>
      <c r="G89" s="61">
        <f>30-avg_delay_not_managing</f>
        <v>25.85157065620599</v>
      </c>
      <c r="H89" s="220"/>
      <c r="I89" s="61">
        <v>30</v>
      </c>
      <c r="J89" s="220"/>
      <c r="K89" s="61">
        <f>30-avg_delay_not_managing</f>
        <v>25.85157065620599</v>
      </c>
      <c r="L89" s="220"/>
      <c r="M89" s="61">
        <v>30</v>
      </c>
      <c r="N89" s="220"/>
    </row>
    <row r="90" spans="1:14" ht="12.75" customHeight="1">
      <c r="C90" s="116" t="s">
        <v>12</v>
      </c>
      <c r="D90" s="35" t="s">
        <v>81</v>
      </c>
      <c r="E90" s="168">
        <f>INDEX(G90:M90,1,MATCH(scenario_choice,G$17:M$17,0))</f>
        <v>25.85157065620599</v>
      </c>
      <c r="G90" s="61">
        <f>30-avg_delay_not_managing</f>
        <v>25.85157065620599</v>
      </c>
      <c r="H90" s="220"/>
      <c r="I90" s="61">
        <v>30</v>
      </c>
      <c r="J90" s="220"/>
      <c r="K90" s="61">
        <f>30-avg_delay_not_managing</f>
        <v>25.85157065620599</v>
      </c>
      <c r="L90" s="220"/>
      <c r="M90" s="61">
        <v>30</v>
      </c>
      <c r="N90" s="220"/>
    </row>
    <row r="91" spans="1:14" ht="12.75" customHeight="1">
      <c r="C91" s="116" t="s">
        <v>104</v>
      </c>
      <c r="D91" s="35" t="s">
        <v>110</v>
      </c>
      <c r="E91" s="168">
        <f>INDEX(G91:M91,1,MATCH(scenario_choice,G$17:M$17,0))</f>
        <v>25.85157065620599</v>
      </c>
      <c r="G91" s="61">
        <f>30-avg_delay_not_managing</f>
        <v>25.85157065620599</v>
      </c>
      <c r="H91" s="220"/>
      <c r="I91" s="61">
        <v>30</v>
      </c>
      <c r="J91" s="220"/>
      <c r="K91" s="61">
        <f>30-avg_delay_not_managing</f>
        <v>25.85157065620599</v>
      </c>
      <c r="L91" s="220"/>
      <c r="M91" s="61">
        <v>30</v>
      </c>
      <c r="N91" s="220"/>
    </row>
    <row r="92" spans="1:14" ht="12" customHeight="1">
      <c r="B92" s="34"/>
      <c r="C92" s="116"/>
      <c r="D92" s="116"/>
      <c r="E92" s="116"/>
      <c r="F92" s="116"/>
      <c r="G92" s="116"/>
      <c r="H92" s="210"/>
      <c r="I92" s="116"/>
      <c r="J92" s="210"/>
      <c r="K92" s="116"/>
      <c r="L92" s="210"/>
      <c r="M92" s="116"/>
      <c r="N92" s="210"/>
    </row>
    <row r="93" spans="1:14" ht="24.75" customHeight="1">
      <c r="A93" s="17"/>
      <c r="B93" s="173" t="s">
        <v>111</v>
      </c>
      <c r="D93" s="35"/>
      <c r="H93" s="210"/>
      <c r="J93" s="210"/>
      <c r="L93" s="210"/>
      <c r="N93" s="210"/>
    </row>
    <row r="94" spans="1:14" ht="12.75" customHeight="1">
      <c r="B94" s="148"/>
      <c r="D94" s="35"/>
      <c r="H94" s="210"/>
      <c r="J94" s="210"/>
      <c r="L94" s="210"/>
      <c r="N94" s="210"/>
    </row>
    <row r="95" spans="1:14" ht="12.75" customHeight="1">
      <c r="B95" s="18" t="s">
        <v>86</v>
      </c>
      <c r="C95" s="116" t="s">
        <v>15</v>
      </c>
      <c r="D95" s="35" t="s">
        <v>122</v>
      </c>
      <c r="E95" s="168">
        <f>INDEX(G95:M95,1,MATCH(scenario_choice,G$17:M$17,0))</f>
        <v>0</v>
      </c>
      <c r="G95" s="61">
        <v>0</v>
      </c>
      <c r="H95" s="220" t="s">
        <v>233</v>
      </c>
      <c r="I95" s="61">
        <v>0</v>
      </c>
      <c r="J95" s="220" t="s">
        <v>233</v>
      </c>
      <c r="K95" s="61">
        <v>0</v>
      </c>
      <c r="L95" s="220" t="s">
        <v>233</v>
      </c>
      <c r="M95" s="61">
        <v>0</v>
      </c>
      <c r="N95" s="220" t="s">
        <v>233</v>
      </c>
    </row>
    <row r="96" spans="1:14" ht="12.75" customHeight="1">
      <c r="C96" s="116" t="s">
        <v>59</v>
      </c>
      <c r="D96" s="35" t="s">
        <v>123</v>
      </c>
      <c r="E96" s="168">
        <f>INDEX(G96:M96,1,MATCH(scenario_choice,G$17:M$17,0))</f>
        <v>25.85157065620599</v>
      </c>
      <c r="G96" s="61">
        <f>30-avg_delay_not_managing</f>
        <v>25.85157065620599</v>
      </c>
      <c r="H96" s="220"/>
      <c r="I96" s="61">
        <f>30-avg_delay_not_managing</f>
        <v>25.85157065620599</v>
      </c>
      <c r="J96" s="220"/>
      <c r="K96" s="61">
        <f>30-avg_delay_not_managing</f>
        <v>25.85157065620599</v>
      </c>
      <c r="L96" s="220"/>
      <c r="M96" s="61">
        <f>30-avg_delay_not_managing</f>
        <v>25.85157065620599</v>
      </c>
      <c r="N96" s="220"/>
    </row>
    <row r="97" spans="2:14" ht="12.75" customHeight="1">
      <c r="C97" s="116" t="s">
        <v>12</v>
      </c>
      <c r="D97" s="35" t="s">
        <v>124</v>
      </c>
      <c r="E97" s="168">
        <f>INDEX(G97:M97,1,MATCH(scenario_choice,G$17:M$17,0))</f>
        <v>30</v>
      </c>
      <c r="G97" s="61">
        <v>30</v>
      </c>
      <c r="H97" s="220"/>
      <c r="I97" s="61">
        <v>30</v>
      </c>
      <c r="J97" s="220"/>
      <c r="K97" s="61">
        <v>30</v>
      </c>
      <c r="L97" s="220"/>
      <c r="M97" s="61">
        <v>30</v>
      </c>
      <c r="N97" s="220"/>
    </row>
    <row r="98" spans="2:14" ht="12.75" customHeight="1">
      <c r="D98" s="35"/>
      <c r="H98" s="220"/>
      <c r="J98" s="220"/>
      <c r="L98" s="220"/>
      <c r="N98" s="220"/>
    </row>
    <row r="99" spans="2:14" ht="12.75" customHeight="1">
      <c r="B99" s="18" t="s">
        <v>86</v>
      </c>
      <c r="C99" s="116" t="s">
        <v>15</v>
      </c>
      <c r="D99" s="35" t="s">
        <v>125</v>
      </c>
      <c r="E99" s="168">
        <f>INDEX(G99:M99,1,MATCH(scenario_choice,G$17:M$17,0))</f>
        <v>0</v>
      </c>
      <c r="G99" s="61">
        <v>0</v>
      </c>
      <c r="H99" s="220"/>
      <c r="I99" s="61">
        <v>0</v>
      </c>
      <c r="J99" s="220"/>
      <c r="K99" s="61">
        <v>0</v>
      </c>
      <c r="L99" s="220"/>
      <c r="M99" s="61">
        <v>0</v>
      </c>
      <c r="N99" s="220"/>
    </row>
    <row r="100" spans="2:14" ht="12.75" customHeight="1">
      <c r="C100" s="116" t="s">
        <v>59</v>
      </c>
      <c r="D100" s="35" t="s">
        <v>126</v>
      </c>
      <c r="E100" s="168">
        <f>INDEX(G100:M100,1,MATCH(scenario_choice,G$17:M$17,0))</f>
        <v>25.85157065620599</v>
      </c>
      <c r="G100" s="61">
        <f>30-avg_delay_not_managing</f>
        <v>25.85157065620599</v>
      </c>
      <c r="H100" s="220"/>
      <c r="I100" s="61">
        <v>30</v>
      </c>
      <c r="J100" s="220"/>
      <c r="K100" s="61">
        <f>30-avg_delay_not_managing</f>
        <v>25.85157065620599</v>
      </c>
      <c r="L100" s="220"/>
      <c r="M100" s="61">
        <v>30</v>
      </c>
      <c r="N100" s="220"/>
    </row>
    <row r="101" spans="2:14" ht="12.75" customHeight="1">
      <c r="C101" s="116" t="s">
        <v>12</v>
      </c>
      <c r="D101" s="35" t="s">
        <v>127</v>
      </c>
      <c r="E101" s="168">
        <f>INDEX(G101:M101,1,MATCH(scenario_choice,G$17:M$17,0))</f>
        <v>25.85157065620599</v>
      </c>
      <c r="G101" s="61">
        <f>30-avg_delay_not_managing</f>
        <v>25.85157065620599</v>
      </c>
      <c r="H101" s="220"/>
      <c r="I101" s="61">
        <v>30</v>
      </c>
      <c r="J101" s="220"/>
      <c r="K101" s="61">
        <f>30-avg_delay_not_managing</f>
        <v>25.85157065620599</v>
      </c>
      <c r="L101" s="220"/>
      <c r="M101" s="61">
        <v>30</v>
      </c>
      <c r="N101" s="220"/>
    </row>
    <row r="102" spans="2:14" ht="12.75" customHeight="1">
      <c r="C102" s="116"/>
      <c r="D102" s="35"/>
      <c r="E102" s="35"/>
      <c r="F102" s="35"/>
      <c r="G102" s="35"/>
      <c r="H102" s="220"/>
      <c r="I102" s="35"/>
      <c r="J102" s="220"/>
      <c r="K102" s="35"/>
      <c r="L102" s="220"/>
      <c r="M102" s="35"/>
      <c r="N102" s="220"/>
    </row>
    <row r="103" spans="2:14" ht="12.75" customHeight="1">
      <c r="B103" s="18" t="s">
        <v>86</v>
      </c>
      <c r="C103" s="116" t="s">
        <v>15</v>
      </c>
      <c r="D103" s="35" t="s">
        <v>128</v>
      </c>
      <c r="E103" s="168">
        <f>INDEX(G103:M103,1,MATCH(scenario_choice,G$17:M$17,0))</f>
        <v>0</v>
      </c>
      <c r="G103" s="61">
        <v>0</v>
      </c>
      <c r="H103" s="220"/>
      <c r="I103" s="61">
        <v>0</v>
      </c>
      <c r="J103" s="220"/>
      <c r="K103" s="61">
        <v>0</v>
      </c>
      <c r="L103" s="220"/>
      <c r="M103" s="61">
        <v>0</v>
      </c>
      <c r="N103" s="220"/>
    </row>
    <row r="104" spans="2:14" ht="12.75" customHeight="1">
      <c r="C104" s="116" t="s">
        <v>59</v>
      </c>
      <c r="D104" s="35" t="s">
        <v>129</v>
      </c>
      <c r="E104" s="168">
        <f>INDEX(G104:M104,1,MATCH(scenario_choice,G$17:M$17,0))</f>
        <v>25.85157065620599</v>
      </c>
      <c r="G104" s="61">
        <f>30-avg_delay_not_managing</f>
        <v>25.85157065620599</v>
      </c>
      <c r="H104" s="220"/>
      <c r="I104" s="61">
        <v>30</v>
      </c>
      <c r="J104" s="220"/>
      <c r="K104" s="61">
        <f>30-avg_delay_not_managing</f>
        <v>25.85157065620599</v>
      </c>
      <c r="L104" s="220"/>
      <c r="M104" s="61">
        <v>30</v>
      </c>
      <c r="N104" s="220"/>
    </row>
    <row r="105" spans="2:14" ht="12.75" customHeight="1">
      <c r="C105" s="116" t="s">
        <v>12</v>
      </c>
      <c r="D105" s="35" t="s">
        <v>130</v>
      </c>
      <c r="E105" s="168">
        <f>INDEX(G105:M105,1,MATCH(scenario_choice,G$17:M$17,0))</f>
        <v>25.85157065620599</v>
      </c>
      <c r="G105" s="61">
        <f>30-avg_delay_not_managing</f>
        <v>25.85157065620599</v>
      </c>
      <c r="H105" s="220"/>
      <c r="I105" s="61">
        <v>30</v>
      </c>
      <c r="J105" s="220"/>
      <c r="K105" s="61">
        <f>30-avg_delay_not_managing</f>
        <v>25.85157065620599</v>
      </c>
      <c r="L105" s="220"/>
      <c r="M105" s="61">
        <v>30</v>
      </c>
      <c r="N105" s="220"/>
    </row>
    <row r="106" spans="2:14" ht="12.75" customHeight="1">
      <c r="C106" s="116"/>
      <c r="D106" s="116"/>
      <c r="E106" s="116"/>
      <c r="F106" s="116"/>
      <c r="G106" s="116"/>
      <c r="H106" s="212"/>
      <c r="I106" s="116"/>
      <c r="J106" s="212"/>
      <c r="K106" s="116"/>
      <c r="L106" s="212"/>
      <c r="M106" s="116"/>
      <c r="N106" s="212"/>
    </row>
    <row r="107" spans="2:14" ht="12" customHeight="1">
      <c r="B107" s="206" t="s">
        <v>57</v>
      </c>
      <c r="C107" s="71"/>
      <c r="D107" s="33"/>
      <c r="H107" s="212"/>
      <c r="J107" s="212"/>
      <c r="L107" s="212"/>
      <c r="N107" s="212"/>
    </row>
    <row r="108" spans="2:14" ht="12" customHeight="1">
      <c r="B108" s="113"/>
      <c r="C108" s="71"/>
      <c r="D108" s="33"/>
      <c r="H108" s="212"/>
      <c r="J108" s="212"/>
      <c r="L108" s="212"/>
      <c r="N108" s="212"/>
    </row>
    <row r="109" spans="2:14" ht="12" customHeight="1">
      <c r="B109" s="34" t="s">
        <v>118</v>
      </c>
      <c r="C109" s="116" t="s">
        <v>22</v>
      </c>
      <c r="D109" s="35" t="s">
        <v>121</v>
      </c>
      <c r="E109" s="58">
        <f>INDEX(G109:M109,1,MATCH(scenario_choice,G$17:M$17,0))</f>
        <v>0.73733552631578947</v>
      </c>
      <c r="G109" s="120">
        <f>((24.27*0.75)+(16.85*(1-0.75)))/30.4</f>
        <v>0.73733552631578947</v>
      </c>
      <c r="H109" s="210" t="s">
        <v>239</v>
      </c>
      <c r="I109" s="120">
        <f>((24.27*0.75)+(16.85*(1-0.75)))/30.4</f>
        <v>0.73733552631578947</v>
      </c>
      <c r="J109" s="210" t="s">
        <v>229</v>
      </c>
      <c r="K109" s="120">
        <f>((24.27*0.75)+(16.85*(1-0.75)))/30.4</f>
        <v>0.73733552631578947</v>
      </c>
      <c r="L109" s="210" t="s">
        <v>229</v>
      </c>
      <c r="M109" s="120">
        <f>((24.27*0.75)+(16.85*(1-0.75)))/30.4</f>
        <v>0.73733552631578947</v>
      </c>
      <c r="N109" s="210" t="s">
        <v>229</v>
      </c>
    </row>
    <row r="110" spans="2:14" ht="12" customHeight="1">
      <c r="B110" s="34" t="s">
        <v>119</v>
      </c>
      <c r="C110" s="71"/>
      <c r="D110" s="35" t="s">
        <v>120</v>
      </c>
      <c r="E110" s="168">
        <f>INDEX(G110:M110,1,MATCH(scenario_choice,G$17:M$17,0))</f>
        <v>2</v>
      </c>
      <c r="G110" s="61">
        <v>2</v>
      </c>
      <c r="H110" s="210" t="s">
        <v>230</v>
      </c>
      <c r="I110" s="61">
        <v>2</v>
      </c>
      <c r="J110" s="210" t="s">
        <v>230</v>
      </c>
      <c r="K110" s="61">
        <v>2</v>
      </c>
      <c r="L110" s="210" t="s">
        <v>230</v>
      </c>
      <c r="M110" s="61">
        <v>2</v>
      </c>
      <c r="N110" s="210" t="s">
        <v>230</v>
      </c>
    </row>
    <row r="111" spans="2:14" ht="12" customHeight="1">
      <c r="H111" s="210"/>
      <c r="J111" s="210"/>
      <c r="L111" s="210"/>
      <c r="N111" s="210"/>
    </row>
    <row r="112" spans="2:14" ht="12" customHeight="1">
      <c r="B112" s="34" t="s">
        <v>136</v>
      </c>
      <c r="C112" s="34"/>
      <c r="D112" s="35" t="s">
        <v>145</v>
      </c>
      <c r="E112" s="127">
        <f>INDEX(G112:M112,1,MATCH(scenario_choice,G$17:M$17,0))</f>
        <v>0.22000000000000003</v>
      </c>
      <c r="G112" s="57">
        <v>0.22000000000000003</v>
      </c>
      <c r="H112" s="210" t="s">
        <v>231</v>
      </c>
      <c r="I112" s="57">
        <v>0.22000000000000003</v>
      </c>
      <c r="J112" s="210" t="s">
        <v>231</v>
      </c>
      <c r="K112" s="57">
        <v>0.22000000000000003</v>
      </c>
      <c r="L112" s="210" t="s">
        <v>231</v>
      </c>
      <c r="M112" s="57">
        <v>0.22000000000000003</v>
      </c>
      <c r="N112" s="210" t="s">
        <v>231</v>
      </c>
    </row>
    <row r="113" spans="1:14" ht="12" customHeight="1">
      <c r="B113" s="34" t="s">
        <v>137</v>
      </c>
      <c r="C113" s="34"/>
      <c r="D113" s="35" t="s">
        <v>146</v>
      </c>
      <c r="E113" s="127">
        <f>INDEX(G113:M113,1,MATCH(scenario_choice,G$17:M$17,0))</f>
        <v>0.14000000000000001</v>
      </c>
      <c r="G113" s="57">
        <v>0.14000000000000001</v>
      </c>
      <c r="H113" s="210" t="s">
        <v>231</v>
      </c>
      <c r="I113" s="57">
        <v>0.14000000000000001</v>
      </c>
      <c r="J113" s="210" t="s">
        <v>231</v>
      </c>
      <c r="K113" s="57">
        <v>0.14000000000000001</v>
      </c>
      <c r="L113" s="210" t="s">
        <v>231</v>
      </c>
      <c r="M113" s="57">
        <v>0.14000000000000001</v>
      </c>
      <c r="N113" s="210" t="s">
        <v>231</v>
      </c>
    </row>
    <row r="114" spans="1:14" ht="12" customHeight="1">
      <c r="B114" s="34" t="s">
        <v>138</v>
      </c>
      <c r="C114" s="34"/>
      <c r="D114" s="35" t="s">
        <v>147</v>
      </c>
      <c r="E114" s="127">
        <f>INDEX(G114:M114,1,MATCH(scenario_choice,G$17:M$17,0))</f>
        <v>0.22000000000000003</v>
      </c>
      <c r="G114" s="57">
        <v>0.22000000000000003</v>
      </c>
      <c r="H114" s="210" t="s">
        <v>231</v>
      </c>
      <c r="I114" s="57">
        <v>0.22000000000000003</v>
      </c>
      <c r="J114" s="210" t="s">
        <v>231</v>
      </c>
      <c r="K114" s="57">
        <v>0</v>
      </c>
      <c r="L114" s="210" t="s">
        <v>231</v>
      </c>
      <c r="M114" s="57">
        <v>0</v>
      </c>
      <c r="N114" s="210" t="s">
        <v>231</v>
      </c>
    </row>
    <row r="115" spans="1:14" ht="12" customHeight="1">
      <c r="B115" s="34"/>
      <c r="C115" s="34"/>
      <c r="D115" s="35"/>
      <c r="E115" s="35"/>
      <c r="G115" s="35"/>
      <c r="H115" s="210"/>
      <c r="I115" s="35"/>
      <c r="J115" s="210"/>
      <c r="K115" s="35"/>
      <c r="L115" s="210"/>
      <c r="M115" s="35"/>
      <c r="N115" s="210"/>
    </row>
    <row r="116" spans="1:14" ht="12" customHeight="1">
      <c r="B116" s="34" t="s">
        <v>139</v>
      </c>
      <c r="C116" s="116" t="s">
        <v>21</v>
      </c>
      <c r="D116" s="35" t="s">
        <v>142</v>
      </c>
      <c r="E116" s="94">
        <f>INDEX(G116:M116,1,MATCH(scenario_choice,G$17:M$17,0))</f>
        <v>0.45017482517482516</v>
      </c>
      <c r="G116" s="64">
        <v>0.45017482517482516</v>
      </c>
      <c r="H116" s="210" t="s">
        <v>232</v>
      </c>
      <c r="I116" s="64">
        <v>0.45017482517482516</v>
      </c>
      <c r="J116" s="210" t="s">
        <v>232</v>
      </c>
      <c r="K116" s="64">
        <v>0.45017482517482516</v>
      </c>
      <c r="L116" s="210" t="s">
        <v>232</v>
      </c>
      <c r="M116" s="64">
        <v>0.45017482517482516</v>
      </c>
      <c r="N116" s="210" t="s">
        <v>232</v>
      </c>
    </row>
    <row r="117" spans="1:14" ht="12" customHeight="1">
      <c r="B117" s="34" t="s">
        <v>140</v>
      </c>
      <c r="C117" s="116" t="s">
        <v>21</v>
      </c>
      <c r="D117" s="35" t="s">
        <v>143</v>
      </c>
      <c r="E117" s="94">
        <f>INDEX(G117:M117,1,MATCH(scenario_choice,G$17:M$17,0))</f>
        <v>0.58498677248677244</v>
      </c>
      <c r="G117" s="64">
        <v>0.58498677248677244</v>
      </c>
      <c r="H117" s="210" t="s">
        <v>232</v>
      </c>
      <c r="I117" s="64">
        <v>0.58498677248677244</v>
      </c>
      <c r="J117" s="210" t="s">
        <v>232</v>
      </c>
      <c r="K117" s="64">
        <v>0.58498677248677244</v>
      </c>
      <c r="L117" s="210" t="s">
        <v>232</v>
      </c>
      <c r="M117" s="64">
        <v>0.58498677248677244</v>
      </c>
      <c r="N117" s="210" t="s">
        <v>232</v>
      </c>
    </row>
    <row r="118" spans="1:14" ht="12" customHeight="1">
      <c r="B118" s="34" t="s">
        <v>141</v>
      </c>
      <c r="C118" s="116" t="s">
        <v>21</v>
      </c>
      <c r="D118" s="35" t="s">
        <v>144</v>
      </c>
      <c r="E118" s="94">
        <f>INDEX(G118:M118,1,MATCH(scenario_choice,G$17:M$17,0))</f>
        <v>0.45017482517482516</v>
      </c>
      <c r="G118" s="64">
        <v>0.45017482517482516</v>
      </c>
      <c r="H118" s="210" t="s">
        <v>232</v>
      </c>
      <c r="I118" s="64">
        <v>0.45017482517482516</v>
      </c>
      <c r="J118" s="210" t="s">
        <v>232</v>
      </c>
      <c r="K118" s="64">
        <v>0</v>
      </c>
      <c r="L118" s="211" t="s">
        <v>236</v>
      </c>
      <c r="M118" s="64">
        <v>0</v>
      </c>
      <c r="N118" s="211" t="s">
        <v>236</v>
      </c>
    </row>
    <row r="119" spans="1:14" ht="12" customHeight="1"/>
    <row r="120" spans="1:14" ht="12" customHeight="1"/>
    <row r="121" spans="1:14" ht="12" customHeight="1">
      <c r="B121" s="34"/>
      <c r="C121" s="116"/>
    </row>
    <row r="122" spans="1:14" ht="12" customHeight="1">
      <c r="A122" s="116"/>
    </row>
    <row r="123" spans="1:14" ht="12" customHeight="1">
      <c r="A123" s="116"/>
    </row>
    <row r="124" spans="1:14" ht="12" customHeight="1">
      <c r="A124" s="116"/>
    </row>
    <row r="125" spans="1:14" ht="12" customHeight="1">
      <c r="A125" s="116"/>
    </row>
    <row r="126" spans="1:14" ht="12" customHeight="1">
      <c r="A126" s="116"/>
    </row>
    <row r="127" spans="1:14" ht="12" customHeight="1">
      <c r="A127" s="116"/>
    </row>
    <row r="128" spans="1:14" ht="12" customHeight="1">
      <c r="A128" s="116"/>
      <c r="B128" s="116"/>
      <c r="C128" s="116"/>
      <c r="D128" s="116"/>
      <c r="E128" s="116"/>
      <c r="F128" s="116"/>
      <c r="G128" s="116"/>
      <c r="H128" s="116"/>
      <c r="I128" s="39"/>
      <c r="J128" s="39"/>
    </row>
    <row r="129" spans="1:10" ht="12" customHeight="1">
      <c r="A129" s="116"/>
      <c r="B129" s="116"/>
      <c r="C129" s="116"/>
      <c r="D129" s="116"/>
      <c r="E129" s="116"/>
      <c r="F129" s="116"/>
      <c r="G129" s="116"/>
      <c r="H129" s="116"/>
      <c r="I129" s="39"/>
      <c r="J129" s="39"/>
    </row>
    <row r="130" spans="1:10" ht="12" customHeight="1">
      <c r="A130" s="116"/>
      <c r="B130" s="116"/>
      <c r="C130" s="116"/>
      <c r="D130" s="116"/>
      <c r="E130" s="116"/>
      <c r="F130" s="116"/>
      <c r="G130" s="116"/>
      <c r="H130" s="116"/>
      <c r="I130" s="39"/>
      <c r="J130" s="39"/>
    </row>
    <row r="131" spans="1:10" ht="12" customHeight="1">
      <c r="A131" s="116"/>
      <c r="B131" s="116"/>
      <c r="C131" s="116"/>
      <c r="D131" s="116"/>
      <c r="E131" s="116"/>
      <c r="F131" s="116"/>
      <c r="G131" s="116"/>
      <c r="H131" s="116"/>
      <c r="I131" s="39"/>
      <c r="J131" s="39"/>
    </row>
    <row r="132" spans="1:10" ht="12" customHeight="1">
      <c r="D132" s="39"/>
      <c r="E132" s="39"/>
      <c r="F132" s="39"/>
      <c r="G132" s="39"/>
      <c r="H132" s="39"/>
      <c r="I132" s="39"/>
      <c r="J132" s="39"/>
    </row>
    <row r="133" spans="1:10" ht="12" customHeight="1">
      <c r="B133" s="34"/>
      <c r="C133" s="116"/>
      <c r="D133" s="39"/>
      <c r="E133" s="39"/>
      <c r="F133" s="39"/>
      <c r="G133" s="39"/>
      <c r="H133" s="39"/>
      <c r="I133" s="39"/>
      <c r="J133" s="39"/>
    </row>
    <row r="134" spans="1:10" ht="12" customHeight="1">
      <c r="B134" s="34"/>
      <c r="C134" s="116"/>
      <c r="D134" s="39"/>
      <c r="E134" s="39"/>
      <c r="F134" s="39"/>
      <c r="G134" s="39"/>
      <c r="H134" s="39"/>
      <c r="I134" s="39"/>
      <c r="J134" s="39"/>
    </row>
    <row r="135" spans="1:10" ht="12" customHeight="1">
      <c r="B135" s="34"/>
      <c r="C135" s="116"/>
      <c r="D135" s="39"/>
      <c r="E135" s="39"/>
      <c r="F135" s="39"/>
      <c r="G135" s="39"/>
      <c r="H135" s="39"/>
      <c r="I135" s="39"/>
      <c r="J135" s="39"/>
    </row>
    <row r="136" spans="1:10" ht="12" customHeight="1">
      <c r="C136" s="26"/>
      <c r="D136" s="39"/>
      <c r="E136" s="39"/>
      <c r="F136" s="39"/>
      <c r="G136" s="39"/>
      <c r="H136" s="39"/>
      <c r="I136" s="39"/>
      <c r="J136" s="39"/>
    </row>
    <row r="137" spans="1:10" ht="12" customHeight="1">
      <c r="B137" s="34"/>
      <c r="C137" s="116"/>
      <c r="D137" s="39"/>
      <c r="E137" s="39"/>
      <c r="F137" s="39"/>
      <c r="G137" s="39"/>
      <c r="H137" s="39"/>
      <c r="I137" s="39"/>
      <c r="J137" s="39"/>
    </row>
    <row r="138" spans="1:10" ht="12" customHeight="1">
      <c r="B138" s="34"/>
      <c r="C138" s="116"/>
      <c r="D138" s="39"/>
      <c r="E138" s="39"/>
      <c r="F138" s="39"/>
      <c r="G138" s="39"/>
      <c r="H138" s="39"/>
      <c r="I138" s="39"/>
      <c r="J138" s="39"/>
    </row>
    <row r="139" spans="1:10" ht="12" customHeight="1">
      <c r="B139" s="34"/>
      <c r="C139" s="116"/>
      <c r="D139" s="39"/>
      <c r="E139" s="39"/>
      <c r="F139" s="39"/>
      <c r="G139" s="39"/>
      <c r="H139" s="39"/>
      <c r="I139" s="39"/>
      <c r="J139" s="39"/>
    </row>
    <row r="140" spans="1:10" ht="12" customHeight="1">
      <c r="D140" s="39"/>
      <c r="E140" s="39"/>
      <c r="F140" s="39"/>
      <c r="G140" s="39"/>
      <c r="H140" s="39"/>
      <c r="I140" s="39"/>
      <c r="J140" s="39"/>
    </row>
    <row r="141" spans="1:10" ht="12" customHeight="1">
      <c r="D141" s="39"/>
      <c r="E141" s="39"/>
      <c r="F141" s="39"/>
      <c r="G141" s="39"/>
      <c r="H141" s="39"/>
      <c r="I141" s="39"/>
      <c r="J141" s="39"/>
    </row>
    <row r="142" spans="1:10" ht="12" customHeight="1">
      <c r="D142" s="39"/>
      <c r="E142" s="39"/>
      <c r="F142" s="39"/>
      <c r="G142" s="39"/>
      <c r="H142" s="39"/>
      <c r="I142" s="39"/>
      <c r="J142" s="39"/>
    </row>
    <row r="143" spans="1:10" ht="12" customHeight="1">
      <c r="D143" s="39"/>
      <c r="E143" s="39"/>
      <c r="F143" s="39"/>
      <c r="G143" s="39"/>
      <c r="H143" s="39"/>
      <c r="I143" s="39"/>
      <c r="J143" s="39"/>
    </row>
    <row r="144" spans="1:10" ht="12" customHeight="1">
      <c r="D144" s="39"/>
      <c r="E144" s="39"/>
      <c r="F144" s="39"/>
      <c r="G144" s="39"/>
      <c r="H144" s="39"/>
      <c r="I144" s="39"/>
      <c r="J144" s="39"/>
    </row>
    <row r="145" spans="4:10" ht="12" customHeight="1">
      <c r="D145" s="39"/>
      <c r="E145" s="39"/>
      <c r="F145" s="39"/>
      <c r="G145" s="39"/>
      <c r="H145" s="39"/>
      <c r="I145" s="39"/>
      <c r="J145" s="39"/>
    </row>
    <row r="146" spans="4:10" ht="12" customHeight="1">
      <c r="D146" s="39"/>
      <c r="E146" s="39"/>
      <c r="F146" s="39"/>
      <c r="G146" s="39"/>
      <c r="H146" s="39"/>
      <c r="I146" s="39"/>
      <c r="J146" s="39"/>
    </row>
    <row r="147" spans="4:10" ht="12" customHeight="1"/>
    <row r="148" spans="4:10" ht="12" customHeight="1"/>
    <row r="149" spans="4:10" ht="12" customHeight="1"/>
    <row r="150" spans="4:10" ht="12" customHeight="1"/>
    <row r="151" spans="4:10" ht="12" customHeight="1"/>
    <row r="152" spans="4:10" ht="12" customHeight="1"/>
    <row r="153" spans="4:10" ht="12" customHeight="1"/>
    <row r="154" spans="4:10" ht="12" customHeight="1"/>
    <row r="155" spans="4:10" ht="12" customHeight="1"/>
    <row r="156" spans="4:10" ht="12" customHeight="1"/>
    <row r="157" spans="4:10" ht="12" hidden="1" customHeight="1"/>
    <row r="158" spans="4:10" ht="12" hidden="1" customHeight="1"/>
    <row r="159" spans="4:10" ht="12" hidden="1" customHeight="1"/>
    <row r="160" spans="4:10" ht="12" hidden="1" customHeight="1"/>
    <row r="161" ht="12" hidden="1" customHeight="1"/>
    <row r="162" ht="12" hidden="1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</sheetData>
  <mergeCells count="13">
    <mergeCell ref="G1:J1"/>
    <mergeCell ref="H61:H74"/>
    <mergeCell ref="H78:H91"/>
    <mergeCell ref="H95:H105"/>
    <mergeCell ref="J61:J74"/>
    <mergeCell ref="J78:J91"/>
    <mergeCell ref="J95:J105"/>
    <mergeCell ref="L61:L74"/>
    <mergeCell ref="L78:L91"/>
    <mergeCell ref="L95:L105"/>
    <mergeCell ref="N61:N74"/>
    <mergeCell ref="N78:N91"/>
    <mergeCell ref="N95:N105"/>
  </mergeCells>
  <dataValidations count="2">
    <dataValidation type="list" operator="equal" allowBlank="1" showInputMessage="1" showErrorMessage="1" sqref="D6">
      <formula1>"1,5,10"</formula1>
    </dataValidation>
    <dataValidation type="list" allowBlank="1" showInputMessage="1" showErrorMessage="1" sqref="D3">
      <formula1>$G$17:$M$17</formula1>
    </dataValidation>
  </dataValidations>
  <pageMargins left="0.70866141732283472" right="0.70866141732283472" top="0.51181102362204722" bottom="0.51181102362204722" header="0.51181102362204722" footer="0.35433070866141736"/>
  <pageSetup paperSize="8" fitToWidth="0" orientation="portrait" horizontalDpi="2400" verticalDpi="2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"/>
  <sheetViews>
    <sheetView showGridLines="0" workbookViewId="0">
      <selection activeCell="F38" sqref="F38"/>
    </sheetView>
  </sheetViews>
  <sheetFormatPr defaultRowHeight="12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Y94"/>
  <sheetViews>
    <sheetView showGridLines="0" defaultGridColor="0" colorId="22" zoomScale="85" zoomScaleNormal="85" workbookViewId="0">
      <pane ySplit="7" topLeftCell="A8" activePane="bottomLeft" state="frozen"/>
      <selection pane="bottomLeft" activeCell="H17" sqref="H17"/>
    </sheetView>
  </sheetViews>
  <sheetFormatPr defaultColWidth="12.7109375" defaultRowHeight="12"/>
  <cols>
    <col min="1" max="1" width="1.5703125" style="19" customWidth="1"/>
    <col min="2" max="2" width="2.28515625" style="19" customWidth="1"/>
    <col min="3" max="3" width="42.28515625" style="19" customWidth="1"/>
    <col min="4" max="4" width="6.5703125" style="19" customWidth="1"/>
    <col min="5" max="5" width="1.42578125" style="19" customWidth="1"/>
    <col min="6" max="6" width="13.7109375" style="19" customWidth="1"/>
    <col min="7" max="7" width="18.140625" style="19" customWidth="1"/>
    <col min="8" max="8" width="16.140625" style="19" customWidth="1"/>
    <col min="9" max="9" width="15.7109375" style="19" customWidth="1"/>
    <col min="10" max="10" width="3.7109375" style="19" customWidth="1"/>
    <col min="11" max="11" width="16.28515625" style="19" customWidth="1"/>
    <col min="12" max="14" width="16.85546875" style="19" customWidth="1"/>
    <col min="15" max="15" width="15.42578125" style="19" customWidth="1"/>
    <col min="16" max="16" width="12.7109375" style="19" customWidth="1"/>
    <col min="17" max="20" width="12.7109375" style="19"/>
    <col min="21" max="21" width="1.5703125" style="19" customWidth="1"/>
    <col min="22" max="16384" width="12.7109375" style="19"/>
  </cols>
  <sheetData>
    <row r="1" spans="1:25" ht="13.5" customHeight="1"/>
    <row r="2" spans="1:25" s="11" customFormat="1" ht="20.25" customHeight="1">
      <c r="A2" s="29"/>
      <c r="B2" s="29"/>
      <c r="C2" s="217" t="s">
        <v>56</v>
      </c>
      <c r="F2" s="222" t="s">
        <v>93</v>
      </c>
      <c r="G2" s="223"/>
      <c r="H2" s="223"/>
      <c r="I2" s="224"/>
      <c r="K2" s="228" t="s">
        <v>94</v>
      </c>
      <c r="L2" s="229"/>
      <c r="M2" s="229"/>
      <c r="N2" s="229"/>
      <c r="O2" s="230"/>
    </row>
    <row r="3" spans="1:25" ht="34.5" customHeight="1">
      <c r="C3" s="218" t="str">
        <f>scenario_choice</f>
        <v>Option 1 (core proposals)</v>
      </c>
      <c r="F3" s="225"/>
      <c r="G3" s="226"/>
      <c r="H3" s="226"/>
      <c r="I3" s="227"/>
      <c r="K3" s="231"/>
      <c r="L3" s="232"/>
      <c r="M3" s="232"/>
      <c r="N3" s="232"/>
      <c r="O3" s="233"/>
      <c r="P3" s="28"/>
    </row>
    <row r="4" spans="1:25" ht="57.75" customHeight="1">
      <c r="B4" s="13"/>
      <c r="D4" s="46"/>
      <c r="E4" s="45"/>
      <c r="F4" s="56" t="s">
        <v>176</v>
      </c>
      <c r="G4" s="138" t="s">
        <v>169</v>
      </c>
      <c r="H4" s="138" t="s">
        <v>171</v>
      </c>
      <c r="I4" s="161" t="s">
        <v>177</v>
      </c>
      <c r="J4" s="21"/>
      <c r="K4" s="56" t="s">
        <v>176</v>
      </c>
      <c r="L4" s="121" t="s">
        <v>88</v>
      </c>
      <c r="M4" s="138" t="s">
        <v>170</v>
      </c>
      <c r="N4" s="138" t="s">
        <v>168</v>
      </c>
      <c r="O4" s="161" t="s">
        <v>177</v>
      </c>
      <c r="P4" s="27"/>
    </row>
    <row r="5" spans="1:25" ht="18" customHeight="1">
      <c r="B5" s="13"/>
      <c r="C5" s="145" t="s">
        <v>92</v>
      </c>
      <c r="D5" s="140"/>
      <c r="E5" s="46"/>
      <c r="F5" s="139">
        <f>number_PAC</f>
        <v>3168815</v>
      </c>
      <c r="G5" s="165">
        <f>F5-H5</f>
        <v>1901289</v>
      </c>
      <c r="H5" s="165">
        <f>number_PAC*H6</f>
        <v>1267526</v>
      </c>
      <c r="I5" s="135"/>
      <c r="J5" s="22"/>
      <c r="K5" s="139">
        <f>number_CR</f>
        <v>2592666.8181818184</v>
      </c>
      <c r="L5" s="166">
        <f>K5*(1-N7)</f>
        <v>1763013.4363636363</v>
      </c>
      <c r="M5" s="166">
        <f>K5-N5-L5</f>
        <v>497792.02909090952</v>
      </c>
      <c r="N5" s="166">
        <f>number_CR*N7*N6</f>
        <v>331861.35272727278</v>
      </c>
      <c r="O5" s="115"/>
      <c r="P5" s="27"/>
    </row>
    <row r="6" spans="1:25" ht="24.75" customHeight="1">
      <c r="B6" s="13"/>
      <c r="C6" s="190" t="s">
        <v>201</v>
      </c>
      <c r="D6" s="32"/>
      <c r="E6" s="46"/>
      <c r="F6" s="101"/>
      <c r="G6" s="60"/>
      <c r="H6" s="60">
        <f>pct_stop_contacting_LP</f>
        <v>0.4</v>
      </c>
      <c r="I6" s="51"/>
      <c r="J6" s="22"/>
      <c r="K6" s="141"/>
      <c r="L6" s="142"/>
      <c r="M6" s="60"/>
      <c r="N6" s="60">
        <f>pct_stop_contacting_LP</f>
        <v>0.4</v>
      </c>
      <c r="O6" s="143"/>
      <c r="P6" s="27"/>
    </row>
    <row r="7" spans="1:25" ht="21" customHeight="1">
      <c r="B7" s="13"/>
      <c r="C7" s="144" t="s">
        <v>172</v>
      </c>
      <c r="D7" s="32"/>
      <c r="E7" s="46"/>
      <c r="F7" s="141"/>
      <c r="G7" s="60"/>
      <c r="H7" s="60"/>
      <c r="I7" s="51"/>
      <c r="J7" s="22"/>
      <c r="K7" s="141"/>
      <c r="L7" s="142"/>
      <c r="M7" s="60"/>
      <c r="N7" s="60">
        <f>pct_CR_using_new_process</f>
        <v>0.32</v>
      </c>
      <c r="O7" s="143"/>
      <c r="P7" s="27"/>
    </row>
    <row r="8" spans="1:25" ht="11.25" customHeight="1">
      <c r="C8" s="11"/>
      <c r="F8" s="175"/>
      <c r="G8" s="176"/>
      <c r="H8" s="176"/>
      <c r="I8" s="135"/>
      <c r="J8" s="26"/>
      <c r="K8" s="175"/>
      <c r="L8" s="176"/>
      <c r="M8" s="176"/>
      <c r="N8" s="176"/>
      <c r="O8" s="135"/>
      <c r="P8" s="27"/>
      <c r="Q8" s="37"/>
      <c r="R8" s="38"/>
      <c r="S8" s="31"/>
      <c r="T8" s="20"/>
      <c r="V8" s="37"/>
      <c r="W8" s="38"/>
      <c r="X8" s="31"/>
      <c r="Y8" s="20"/>
    </row>
    <row r="9" spans="1:25" ht="23.25" customHeight="1">
      <c r="B9" s="42" t="s">
        <v>148</v>
      </c>
      <c r="C9" s="40"/>
      <c r="D9" s="41"/>
      <c r="E9" s="17"/>
      <c r="F9" s="74"/>
      <c r="G9" s="31"/>
      <c r="H9" s="31"/>
      <c r="I9" s="51"/>
      <c r="J9" s="26"/>
      <c r="K9" s="74"/>
      <c r="L9" s="31"/>
      <c r="M9" s="31"/>
      <c r="N9" s="31"/>
      <c r="O9" s="51"/>
    </row>
    <row r="10" spans="1:25">
      <c r="C10" s="24"/>
      <c r="D10" s="23"/>
      <c r="E10" s="23"/>
      <c r="F10" s="74"/>
      <c r="G10" s="31"/>
      <c r="H10" s="31"/>
      <c r="I10" s="51"/>
      <c r="J10" s="26"/>
      <c r="K10" s="74"/>
      <c r="L10" s="31"/>
      <c r="M10" s="31"/>
      <c r="N10" s="31"/>
      <c r="O10" s="51"/>
    </row>
    <row r="11" spans="1:25" ht="18" customHeight="1">
      <c r="C11" s="162" t="s">
        <v>190</v>
      </c>
      <c r="D11" s="97"/>
      <c r="E11" s="23"/>
      <c r="F11" s="171">
        <f>pct_eligible_for_time_saving</f>
        <v>1</v>
      </c>
      <c r="G11" s="60">
        <f>pct_eligible_for_time_saving</f>
        <v>1</v>
      </c>
      <c r="H11" s="60">
        <f>pct_eligible_for_time_saving</f>
        <v>1</v>
      </c>
      <c r="I11" s="51"/>
      <c r="J11" s="26"/>
      <c r="K11" s="171">
        <f>pct_eligible_for_time_saving</f>
        <v>1</v>
      </c>
      <c r="L11" s="60">
        <f>pct_eligible_for_time_saving</f>
        <v>1</v>
      </c>
      <c r="M11" s="60">
        <f>pct_eligible_for_time_saving</f>
        <v>1</v>
      </c>
      <c r="N11" s="60">
        <f>pct_eligible_for_time_saving</f>
        <v>1</v>
      </c>
      <c r="O11" s="51"/>
    </row>
    <row r="12" spans="1:25" ht="29.25" customHeight="1">
      <c r="C12" s="156" t="s">
        <v>200</v>
      </c>
      <c r="D12" s="45" t="s">
        <v>13</v>
      </c>
      <c r="E12" s="23"/>
      <c r="F12" s="75">
        <f>avg_time_status_quo</f>
        <v>985</v>
      </c>
      <c r="G12" s="31">
        <f>avg_time_status_quo</f>
        <v>985</v>
      </c>
      <c r="I12" s="50"/>
      <c r="J12" s="26"/>
      <c r="K12" s="75">
        <f>avg_time_status_quo</f>
        <v>985</v>
      </c>
      <c r="L12" s="31">
        <f>avg_time_status_quo</f>
        <v>985</v>
      </c>
      <c r="M12" s="31">
        <f>avg_time_status_quo</f>
        <v>985</v>
      </c>
      <c r="O12" s="50"/>
    </row>
    <row r="13" spans="1:25" ht="28.5" customHeight="1">
      <c r="C13" s="156" t="s">
        <v>199</v>
      </c>
      <c r="D13" s="45" t="s">
        <v>13</v>
      </c>
      <c r="E13" s="23"/>
      <c r="F13" s="76"/>
      <c r="H13" s="91">
        <f>avg_time_new_process</f>
        <v>180</v>
      </c>
      <c r="I13" s="50"/>
      <c r="J13" s="26"/>
      <c r="K13" s="76"/>
      <c r="L13" s="91"/>
      <c r="M13" s="91"/>
      <c r="N13" s="91">
        <f>avg_time_new_process</f>
        <v>180</v>
      </c>
      <c r="O13" s="50"/>
    </row>
    <row r="14" spans="1:25" ht="18" customHeight="1">
      <c r="A14" s="23"/>
      <c r="B14" s="23"/>
      <c r="C14" s="98" t="s">
        <v>25</v>
      </c>
      <c r="D14" s="32" t="s">
        <v>19</v>
      </c>
      <c r="E14" s="23"/>
      <c r="F14" s="103">
        <f>value_non_working_time</f>
        <v>1.9583333333333332E-3</v>
      </c>
      <c r="G14" s="102">
        <f>value_non_working_time</f>
        <v>1.9583333333333332E-3</v>
      </c>
      <c r="H14" s="102">
        <f>value_non_working_time</f>
        <v>1.9583333333333332E-3</v>
      </c>
      <c r="I14" s="50"/>
      <c r="J14" s="26"/>
      <c r="K14" s="103">
        <f>value_non_working_time</f>
        <v>1.9583333333333332E-3</v>
      </c>
      <c r="L14" s="102">
        <f>value_non_working_time</f>
        <v>1.9583333333333332E-3</v>
      </c>
      <c r="M14" s="102">
        <f>value_non_working_time</f>
        <v>1.9583333333333332E-3</v>
      </c>
      <c r="N14" s="102">
        <f>value_non_working_time</f>
        <v>1.9583333333333332E-3</v>
      </c>
      <c r="O14" s="50"/>
    </row>
    <row r="15" spans="1:25" ht="11.25" customHeight="1">
      <c r="A15" s="23"/>
      <c r="B15" s="23"/>
      <c r="C15" s="99"/>
      <c r="D15" s="47"/>
      <c r="E15" s="23"/>
      <c r="F15" s="74"/>
      <c r="G15" s="49"/>
      <c r="H15" s="49"/>
      <c r="I15" s="50"/>
      <c r="J15" s="26"/>
      <c r="K15" s="74"/>
      <c r="L15" s="49"/>
      <c r="M15" s="49"/>
      <c r="N15" s="49"/>
      <c r="O15" s="50"/>
    </row>
    <row r="16" spans="1:25" ht="15" customHeight="1">
      <c r="A16" s="23"/>
      <c r="B16" s="25"/>
      <c r="C16" s="197" t="s">
        <v>24</v>
      </c>
      <c r="D16" s="100" t="s">
        <v>17</v>
      </c>
      <c r="E16" s="23"/>
      <c r="F16" s="123">
        <f>F5*F11*F12*F14</f>
        <v>6112512.1010416662</v>
      </c>
      <c r="G16" s="123">
        <f>G5*G11*G12*G14</f>
        <v>3667507.2606249996</v>
      </c>
      <c r="H16" s="136">
        <f>H5*H11*H13*H14</f>
        <v>446802.91499999998</v>
      </c>
      <c r="I16" s="180">
        <f>F16-G16-H16</f>
        <v>1998201.9254166665</v>
      </c>
      <c r="J16" s="26"/>
      <c r="K16" s="123">
        <f>K5*K11*K12*K14</f>
        <v>5001146.2644886365</v>
      </c>
      <c r="L16" s="123">
        <f>L5*L11*L12*L14</f>
        <v>3400779.4598522722</v>
      </c>
      <c r="M16" s="123">
        <f>M5*M11*M12*M14</f>
        <v>960220.08278181904</v>
      </c>
      <c r="N16" s="136">
        <f>N5*N11*N13*N14</f>
        <v>116981.12683636365</v>
      </c>
      <c r="O16" s="180">
        <f>K16-L16-M16-N16</f>
        <v>523165.59501818166</v>
      </c>
    </row>
    <row r="17" spans="2:15" ht="11.25" customHeight="1">
      <c r="B17" s="26"/>
      <c r="C17" s="46"/>
      <c r="D17" s="17"/>
      <c r="F17" s="104"/>
      <c r="G17" s="17"/>
      <c r="H17" s="17"/>
      <c r="I17" s="32"/>
      <c r="J17" s="26"/>
      <c r="K17" s="104"/>
      <c r="L17" s="17"/>
      <c r="M17" s="17"/>
      <c r="N17" s="17"/>
      <c r="O17" s="32"/>
    </row>
    <row r="18" spans="2:15" ht="22.5" customHeight="1">
      <c r="B18" s="42" t="s">
        <v>149</v>
      </c>
      <c r="C18" s="43"/>
      <c r="D18" s="44"/>
      <c r="F18" s="104"/>
      <c r="G18" s="17"/>
      <c r="H18" s="17"/>
      <c r="I18" s="32"/>
      <c r="J18" s="26"/>
      <c r="K18" s="104"/>
      <c r="L18" s="17"/>
      <c r="M18" s="17"/>
      <c r="N18" s="17"/>
      <c r="O18" s="32"/>
    </row>
    <row r="19" spans="2:15" ht="10.5" customHeight="1">
      <c r="C19" s="4"/>
      <c r="F19" s="74"/>
      <c r="G19" s="31"/>
      <c r="H19" s="31"/>
      <c r="I19" s="51"/>
      <c r="J19" s="26"/>
      <c r="K19" s="75"/>
      <c r="L19" s="31"/>
      <c r="M19" s="31"/>
      <c r="N19" s="31"/>
      <c r="O19" s="51"/>
    </row>
    <row r="20" spans="2:15" ht="19.5" customHeight="1">
      <c r="C20" s="162" t="s">
        <v>89</v>
      </c>
      <c r="D20" s="140" t="s">
        <v>22</v>
      </c>
      <c r="F20" s="108">
        <f>avg_spend_post_pay</f>
        <v>0.79835526315789473</v>
      </c>
      <c r="G20" s="63">
        <f>avg_spend_post_pay</f>
        <v>0.79835526315789473</v>
      </c>
      <c r="H20" s="63">
        <f>avg_spend_post_pay</f>
        <v>0.79835526315789473</v>
      </c>
      <c r="I20" s="51"/>
      <c r="J20" s="26"/>
      <c r="K20" s="108">
        <f>avg_spend_post_pay</f>
        <v>0.79835526315789473</v>
      </c>
      <c r="L20" s="63">
        <f>avg_spend_post_pay</f>
        <v>0.79835526315789473</v>
      </c>
      <c r="M20" s="63">
        <f>avg_spend_post_pay</f>
        <v>0.79835526315789473</v>
      </c>
      <c r="N20" s="63">
        <f>avg_spend_post_pay</f>
        <v>0.79835526315789473</v>
      </c>
      <c r="O20" s="51"/>
    </row>
    <row r="21" spans="2:15" ht="20.25" customHeight="1">
      <c r="C21" s="153" t="s">
        <v>197</v>
      </c>
      <c r="D21" s="32"/>
      <c r="F21" s="106">
        <f>pct_post_pay_PAC</f>
        <v>0.87101910828025475</v>
      </c>
      <c r="G21" s="62">
        <f>pct_post_pay_PAC</f>
        <v>0.87101910828025475</v>
      </c>
      <c r="H21" s="62">
        <f>pct_post_pay_PAC</f>
        <v>0.87101910828025475</v>
      </c>
      <c r="I21" s="51"/>
      <c r="J21" s="26"/>
      <c r="K21" s="106">
        <f>pct_post_pay_CR</f>
        <v>0.72727272727272729</v>
      </c>
      <c r="L21" s="62">
        <f>pct_post_pay_CR</f>
        <v>0.72727272727272729</v>
      </c>
      <c r="M21" s="62">
        <f>pct_post_pay_CR</f>
        <v>0.72727272727272729</v>
      </c>
      <c r="N21" s="62">
        <f>pct_post_pay_CR</f>
        <v>0.72727272727272729</v>
      </c>
      <c r="O21" s="32"/>
    </row>
    <row r="22" spans="2:15" ht="21" customHeight="1">
      <c r="C22" s="153" t="s">
        <v>196</v>
      </c>
      <c r="D22" s="32"/>
      <c r="F22" s="106">
        <f>pct_out_of_contract_PAC</f>
        <v>0.65981308411214956</v>
      </c>
      <c r="G22" s="62">
        <f>pct_out_of_contract_PAC</f>
        <v>0.65981308411214956</v>
      </c>
      <c r="H22" s="62">
        <f>pct_out_of_contract_PAC</f>
        <v>0.65981308411214956</v>
      </c>
      <c r="I22" s="51"/>
      <c r="J22" s="26"/>
      <c r="K22" s="106">
        <f>pct_out_of_contract_CR</f>
        <v>0.63485477178423233</v>
      </c>
      <c r="L22" s="62">
        <f>pct_out_of_contract_CR</f>
        <v>0.63485477178423233</v>
      </c>
      <c r="M22" s="62">
        <f>pct_out_of_contract_CR</f>
        <v>0.63485477178423233</v>
      </c>
      <c r="N22" s="62">
        <f>pct_out_of_contract_CR</f>
        <v>0.63485477178423233</v>
      </c>
      <c r="O22" s="32"/>
    </row>
    <row r="23" spans="2:15" ht="22.5" customHeight="1">
      <c r="C23" s="154" t="s">
        <v>84</v>
      </c>
      <c r="D23" s="32"/>
      <c r="F23" s="106">
        <f>pct_manage_notice</f>
        <v>0.24590196596436659</v>
      </c>
      <c r="G23" s="62">
        <f>pct_manage_notice</f>
        <v>0.24590196596436659</v>
      </c>
      <c r="H23" s="62">
        <f>pct_manage_notice</f>
        <v>0.24590196596436659</v>
      </c>
      <c r="I23" s="32"/>
      <c r="K23" s="106">
        <f>pct_manage_notice</f>
        <v>0.24590196596436659</v>
      </c>
      <c r="L23" s="62">
        <f>pct_manage_notice</f>
        <v>0.24590196596436659</v>
      </c>
      <c r="M23" s="62">
        <f>pct_manage_notice</f>
        <v>0.24590196596436659</v>
      </c>
      <c r="N23" s="62">
        <f>pct_manage_notice</f>
        <v>0.24590196596436659</v>
      </c>
      <c r="O23" s="51"/>
    </row>
    <row r="24" spans="2:15" ht="19.5" customHeight="1">
      <c r="C24" s="154" t="s">
        <v>195</v>
      </c>
      <c r="D24" s="32"/>
      <c r="F24" s="106">
        <f>pct_give_notice_PAC</f>
        <v>0.5</v>
      </c>
      <c r="G24" s="62">
        <f>pct_give_notice_PAC</f>
        <v>0.5</v>
      </c>
      <c r="H24" s="62">
        <f>pct_give_notice_PAC</f>
        <v>0.5</v>
      </c>
      <c r="I24" s="32"/>
      <c r="K24" s="194" t="s">
        <v>194</v>
      </c>
      <c r="L24" s="192"/>
      <c r="M24" s="193"/>
      <c r="N24" s="193"/>
      <c r="O24" s="51"/>
    </row>
    <row r="25" spans="2:15" ht="11.25" customHeight="1">
      <c r="C25" s="154"/>
      <c r="D25" s="32"/>
      <c r="F25" s="101"/>
      <c r="G25" s="93"/>
      <c r="H25" s="93"/>
      <c r="I25" s="32"/>
      <c r="K25" s="101"/>
      <c r="L25" s="93"/>
      <c r="M25" s="93"/>
      <c r="N25" s="93"/>
      <c r="O25" s="51"/>
    </row>
    <row r="26" spans="2:15" ht="12.75" customHeight="1">
      <c r="C26" s="90" t="s">
        <v>66</v>
      </c>
      <c r="D26" s="32" t="s">
        <v>20</v>
      </c>
      <c r="F26" s="75"/>
      <c r="G26" s="31"/>
      <c r="H26" s="31"/>
      <c r="I26" s="51"/>
      <c r="J26" s="26"/>
      <c r="K26" s="75"/>
      <c r="L26" s="31"/>
      <c r="M26" s="31"/>
      <c r="N26" s="31"/>
      <c r="O26" s="51"/>
    </row>
    <row r="27" spans="2:15" ht="12.75" customHeight="1">
      <c r="C27" s="117" t="s">
        <v>63</v>
      </c>
      <c r="D27" s="32"/>
      <c r="F27" s="101">
        <f>pct_away_from_O2</f>
        <v>0.25</v>
      </c>
      <c r="G27" s="93">
        <f>pct_away_from_O2</f>
        <v>0.25</v>
      </c>
      <c r="H27" s="93">
        <f>pct_away_from_O2</f>
        <v>0.25</v>
      </c>
      <c r="I27" s="51"/>
      <c r="J27" s="26"/>
      <c r="K27" s="106">
        <f>pct_away_from_O2</f>
        <v>0.25</v>
      </c>
      <c r="L27" s="62">
        <f>pct_away_from_O2</f>
        <v>0.25</v>
      </c>
      <c r="M27" s="62">
        <f>pct_away_from_O2</f>
        <v>0.25</v>
      </c>
      <c r="N27" s="62">
        <f>pct_away_from_O2</f>
        <v>0.25</v>
      </c>
      <c r="O27" s="51"/>
    </row>
    <row r="28" spans="2:15" ht="12.75" customHeight="1">
      <c r="C28" s="117" t="s">
        <v>65</v>
      </c>
      <c r="D28" s="32"/>
      <c r="F28" s="101">
        <f>pct_away_from_H3G</f>
        <v>0.1</v>
      </c>
      <c r="G28" s="93">
        <f>pct_away_from_H3G</f>
        <v>0.1</v>
      </c>
      <c r="H28" s="93">
        <f>pct_away_from_H3G</f>
        <v>0.1</v>
      </c>
      <c r="I28" s="51"/>
      <c r="J28" s="26"/>
      <c r="K28" s="106">
        <f>pct_away_from_H3G</f>
        <v>0.1</v>
      </c>
      <c r="L28" s="62">
        <f>pct_away_from_H3G</f>
        <v>0.1</v>
      </c>
      <c r="M28" s="62">
        <f>pct_away_from_H3G</f>
        <v>0.1</v>
      </c>
      <c r="N28" s="62">
        <f>pct_away_from_H3G</f>
        <v>0.1</v>
      </c>
      <c r="O28" s="51"/>
    </row>
    <row r="29" spans="2:15" ht="12.75" customHeight="1">
      <c r="C29" s="118" t="s">
        <v>174</v>
      </c>
      <c r="D29" s="32"/>
      <c r="F29" s="101">
        <f>pct_away_from_other</f>
        <v>0.65</v>
      </c>
      <c r="G29" s="93">
        <f>pct_away_from_other</f>
        <v>0.65</v>
      </c>
      <c r="H29" s="93">
        <f>pct_away_from_other</f>
        <v>0.65</v>
      </c>
      <c r="I29" s="51"/>
      <c r="J29" s="26"/>
      <c r="K29" s="106">
        <f>pct_away_from_other</f>
        <v>0.65</v>
      </c>
      <c r="L29" s="62">
        <f>pct_away_from_other</f>
        <v>0.65</v>
      </c>
      <c r="M29" s="62">
        <f>pct_away_from_other</f>
        <v>0.65</v>
      </c>
      <c r="N29" s="62">
        <f>pct_away_from_other</f>
        <v>0.65</v>
      </c>
      <c r="O29" s="51"/>
    </row>
    <row r="30" spans="2:15" ht="12.75" customHeight="1">
      <c r="C30" s="118"/>
      <c r="D30" s="32"/>
      <c r="F30" s="106"/>
      <c r="G30" s="62"/>
      <c r="H30" s="62"/>
      <c r="I30" s="51"/>
      <c r="J30" s="26"/>
      <c r="K30" s="106"/>
      <c r="L30" s="62"/>
      <c r="M30" s="62"/>
      <c r="N30" s="62"/>
      <c r="O30" s="51"/>
    </row>
    <row r="31" spans="2:15" ht="12.75" customHeight="1">
      <c r="C31" s="191" t="s">
        <v>175</v>
      </c>
      <c r="D31" s="32"/>
      <c r="F31" s="106"/>
      <c r="G31" s="93" t="s">
        <v>14</v>
      </c>
      <c r="H31" s="62">
        <f>text_effectiveness</f>
        <v>0.75</v>
      </c>
      <c r="I31" s="51"/>
      <c r="J31" s="26"/>
      <c r="K31" s="106"/>
      <c r="L31" s="62"/>
      <c r="M31" s="93" t="s">
        <v>14</v>
      </c>
      <c r="N31" s="62">
        <f>text_effectiveness</f>
        <v>0.75</v>
      </c>
      <c r="O31" s="51"/>
    </row>
    <row r="32" spans="2:15" ht="12.75" customHeight="1">
      <c r="C32" s="104" t="s">
        <v>90</v>
      </c>
      <c r="D32" s="32"/>
      <c r="F32" s="104"/>
      <c r="G32" s="17"/>
      <c r="H32" s="163">
        <f>IF(ISNUMBER(H$31),H$5*H$21*H$22*H$23*(1-H$31)*H$24,0)</f>
        <v>22391.20656152397</v>
      </c>
      <c r="I32" s="32"/>
      <c r="K32" s="104"/>
      <c r="L32" s="17"/>
      <c r="M32" s="17"/>
      <c r="N32" s="163">
        <f>IF(ISNUMBER(N$31),N$5*N$21*N$22*N$23*(1-N$31),0)</f>
        <v>9419.5548371740952</v>
      </c>
      <c r="O32" s="51"/>
    </row>
    <row r="33" spans="3:15" ht="12.75" customHeight="1">
      <c r="C33" s="104" t="s">
        <v>113</v>
      </c>
      <c r="D33" s="17"/>
      <c r="F33" s="104"/>
      <c r="G33" s="17"/>
      <c r="H33" s="163">
        <f>IF(ISNUMBER(H$31),H$5*H$21*H$22*H$23*(1-H$31)*(1-H$24),0)</f>
        <v>22391.20656152397</v>
      </c>
      <c r="I33" s="32"/>
      <c r="K33" s="104"/>
      <c r="L33" s="17"/>
      <c r="M33" s="17"/>
      <c r="N33" s="51" t="s">
        <v>14</v>
      </c>
      <c r="O33" s="51"/>
    </row>
    <row r="34" spans="3:15" ht="12.75" customHeight="1">
      <c r="F34" s="104"/>
      <c r="G34" s="17"/>
      <c r="H34" s="17"/>
      <c r="I34" s="32"/>
      <c r="K34" s="104"/>
      <c r="L34" s="17"/>
      <c r="M34" s="17"/>
      <c r="N34" s="17"/>
      <c r="O34" s="51"/>
    </row>
    <row r="35" spans="3:15" ht="12.75" customHeight="1">
      <c r="C35" s="191" t="s">
        <v>173</v>
      </c>
      <c r="D35" s="32"/>
      <c r="F35" s="104"/>
      <c r="G35" s="93" t="str">
        <f>pct_start_managing</f>
        <v>n/a</v>
      </c>
      <c r="H35" s="93" t="str">
        <f>pct_start_managing</f>
        <v>n/a</v>
      </c>
      <c r="I35" s="32"/>
      <c r="K35" s="104"/>
      <c r="L35" s="17"/>
      <c r="M35" s="93" t="str">
        <f>pct_start_managing</f>
        <v>n/a</v>
      </c>
      <c r="N35" s="93" t="str">
        <f>pct_start_managing</f>
        <v>n/a</v>
      </c>
      <c r="O35" s="51"/>
    </row>
    <row r="36" spans="3:15" ht="12.75" customHeight="1">
      <c r="C36" s="104" t="s">
        <v>91</v>
      </c>
      <c r="D36" s="32"/>
      <c r="F36" s="104"/>
      <c r="G36" s="163">
        <f>IF(ISNUMBER(G$35),G$5*G$21*G$22*(1-G$23)*G$35*G$24,0)</f>
        <v>0</v>
      </c>
      <c r="H36" s="163">
        <f>IF(ISNUMBER(H$35),H$5*H$21*H$22*(1-H$23)*H$35*H$24,0)</f>
        <v>0</v>
      </c>
      <c r="I36" s="32"/>
      <c r="K36" s="104"/>
      <c r="L36" s="17"/>
      <c r="M36" s="163">
        <f>IF(ISNUMBER(M$35),M$5*M$21*M$22*(1-M$23)*M$35,0)</f>
        <v>0</v>
      </c>
      <c r="N36" s="163">
        <f>IF(ISNUMBER(N$35),N$5*N$21*N$22*(1-N$23)*N$35,0)</f>
        <v>0</v>
      </c>
      <c r="O36" s="51"/>
    </row>
    <row r="37" spans="3:15" ht="12.75" customHeight="1">
      <c r="C37" s="104" t="s">
        <v>112</v>
      </c>
      <c r="D37" s="32"/>
      <c r="F37" s="104"/>
      <c r="G37" s="163">
        <f>IF(ISNUMBER(G$35),G$5*G$21*G$22*(1-G$23)*G$35*(1-G$24),0)</f>
        <v>0</v>
      </c>
      <c r="H37" s="163">
        <f>IF(ISNUMBER(H$35),H$5*H$21*H$22*(1-H$23)*H$35*(1-H$24),0)</f>
        <v>0</v>
      </c>
      <c r="I37" s="32"/>
      <c r="K37" s="104"/>
      <c r="L37" s="17"/>
      <c r="M37" s="31" t="s">
        <v>14</v>
      </c>
      <c r="N37" s="31" t="s">
        <v>14</v>
      </c>
      <c r="O37" s="51"/>
    </row>
    <row r="38" spans="3:15" ht="12" customHeight="1">
      <c r="C38" s="104"/>
      <c r="D38" s="32"/>
      <c r="F38" s="104"/>
      <c r="G38" s="159"/>
      <c r="H38" s="159"/>
      <c r="I38" s="32"/>
      <c r="K38" s="104"/>
      <c r="L38" s="17"/>
      <c r="M38" s="17"/>
      <c r="N38" s="17"/>
      <c r="O38" s="51"/>
    </row>
    <row r="39" spans="3:15" ht="24" customHeight="1">
      <c r="C39" s="146" t="s">
        <v>85</v>
      </c>
      <c r="D39" s="32"/>
      <c r="F39" s="104"/>
      <c r="G39" s="17"/>
      <c r="H39" s="17"/>
      <c r="I39" s="32"/>
      <c r="K39" s="104"/>
      <c r="L39" s="17"/>
      <c r="M39" s="17"/>
      <c r="N39" s="17"/>
      <c r="O39" s="51"/>
    </row>
    <row r="40" spans="3:15" ht="12.75" customHeight="1">
      <c r="C40" s="104"/>
      <c r="D40" s="32"/>
      <c r="F40" s="104"/>
      <c r="G40" s="17"/>
      <c r="H40" s="17"/>
      <c r="I40" s="32"/>
      <c r="K40" s="104"/>
      <c r="L40" s="17"/>
      <c r="M40" s="17"/>
      <c r="N40" s="17"/>
      <c r="O40" s="51"/>
    </row>
    <row r="41" spans="3:15" ht="12.75" customHeight="1">
      <c r="C41" s="156" t="s">
        <v>87</v>
      </c>
      <c r="D41" s="32"/>
      <c r="F41" s="164">
        <f>F$5*F$21*F$22*F$23</f>
        <v>447824.13123047951</v>
      </c>
      <c r="G41" s="163">
        <f>(G$5*G$21*G$22*G$23)+SUM(G$36:G$37)</f>
        <v>268694.4787382877</v>
      </c>
      <c r="H41" s="163">
        <f>(H$5*H$21*H$22*H$23)-SUM(H$32:H$33)+SUM(H$36:H$37)</f>
        <v>134347.23936914382</v>
      </c>
      <c r="I41" s="32"/>
      <c r="K41" s="164">
        <f>K$5*K$21*K$22*K$23</f>
        <v>294361.08866169048</v>
      </c>
      <c r="L41" s="163">
        <f>L$5*L$21*L$22*L$23</f>
        <v>200165.54028994951</v>
      </c>
      <c r="M41" s="163">
        <f>(M$5*M$21*M$22*M$23)+SUM(M$36:M$37)</f>
        <v>56517.329023044615</v>
      </c>
      <c r="N41" s="163">
        <f>(N$5*N$21*N$22*N$23)-SUM(N$32:N$33)+SUM(N$36:N$37)</f>
        <v>28258.664511522285</v>
      </c>
      <c r="O41" s="51"/>
    </row>
    <row r="42" spans="3:15" ht="12.75" customHeight="1">
      <c r="C42" s="104"/>
      <c r="D42" s="32"/>
      <c r="F42" s="104"/>
      <c r="G42" s="17"/>
      <c r="H42" s="17"/>
      <c r="I42" s="32"/>
      <c r="K42" s="104"/>
      <c r="L42" s="17"/>
      <c r="M42" s="17"/>
      <c r="N42" s="17"/>
      <c r="O42" s="51"/>
    </row>
    <row r="43" spans="3:15" ht="12.75" customHeight="1">
      <c r="C43" s="90" t="s">
        <v>198</v>
      </c>
      <c r="D43" s="32" t="s">
        <v>21</v>
      </c>
      <c r="F43" s="107"/>
      <c r="G43" s="17"/>
      <c r="H43" s="17"/>
      <c r="I43" s="51"/>
      <c r="J43" s="26"/>
      <c r="K43" s="107"/>
      <c r="L43" s="105"/>
      <c r="M43" s="17"/>
      <c r="N43" s="17"/>
      <c r="O43" s="51"/>
    </row>
    <row r="44" spans="3:15" ht="12.75" customHeight="1">
      <c r="C44" s="118" t="s">
        <v>63</v>
      </c>
      <c r="D44" s="32"/>
      <c r="F44" s="132">
        <f>avg_overlap_1_O2</f>
        <v>0</v>
      </c>
      <c r="G44" s="133">
        <f>avg_overlap_1_O2_not_new_process</f>
        <v>0</v>
      </c>
      <c r="H44" s="133">
        <f>avg_overlap_1_O2_new_process</f>
        <v>0</v>
      </c>
      <c r="I44" s="51"/>
      <c r="J44" s="26"/>
      <c r="K44" s="132">
        <f>avg_overlap_1_O2</f>
        <v>0</v>
      </c>
      <c r="L44" s="133">
        <f>avg_overlap_1_O2</f>
        <v>0</v>
      </c>
      <c r="M44" s="133">
        <f>avg_overlap_1_O2_not_new_process</f>
        <v>0</v>
      </c>
      <c r="N44" s="133">
        <f>avg_overlap_1_O2_new_process</f>
        <v>0</v>
      </c>
      <c r="O44" s="51"/>
    </row>
    <row r="45" spans="3:15" ht="12.75" customHeight="1">
      <c r="C45" s="118" t="s">
        <v>65</v>
      </c>
      <c r="D45" s="32"/>
      <c r="F45" s="132">
        <f>avg_overlap_1_H3G</f>
        <v>7.6521103217718327</v>
      </c>
      <c r="G45" s="133">
        <f>avg_overlap_1_H3G_not_new_process</f>
        <v>7.6521103217718327</v>
      </c>
      <c r="H45" s="133">
        <f>avg_overlap_1_H3G_new_process</f>
        <v>7.6521103217718327</v>
      </c>
      <c r="I45" s="51"/>
      <c r="J45" s="26"/>
      <c r="K45" s="132">
        <f>avg_overlap_1_CR</f>
        <v>7.6521103217718327</v>
      </c>
      <c r="L45" s="133">
        <f>avg_overlap_1_CR</f>
        <v>7.6521103217718327</v>
      </c>
      <c r="M45" s="133">
        <f>avg_overlap_1_H3G_not_new_process</f>
        <v>7.6521103217718327</v>
      </c>
      <c r="N45" s="133">
        <f>avg_overlap_1_H3G_new_process</f>
        <v>7.6521103217718327</v>
      </c>
      <c r="O45" s="51"/>
    </row>
    <row r="46" spans="3:15" ht="12.75" customHeight="1">
      <c r="C46" s="118" t="s">
        <v>64</v>
      </c>
      <c r="D46" s="32"/>
      <c r="F46" s="132">
        <f>avg_overlap_1_other</f>
        <v>7.6521103217718327</v>
      </c>
      <c r="G46" s="133">
        <f>avg_overlap_1_other_not_new_process</f>
        <v>7.6521103217718327</v>
      </c>
      <c r="H46" s="133">
        <f>avg_overlap_1_other_new_process</f>
        <v>7.6521103217718327</v>
      </c>
      <c r="I46" s="51"/>
      <c r="J46" s="26"/>
      <c r="K46" s="132">
        <f>avg_overlap_1_CR</f>
        <v>7.6521103217718327</v>
      </c>
      <c r="L46" s="133">
        <f>avg_overlap_1_CR</f>
        <v>7.6521103217718327</v>
      </c>
      <c r="M46" s="133">
        <f>avg_overlap_1_other_not_new_process</f>
        <v>7.6521103217718327</v>
      </c>
      <c r="N46" s="133">
        <f>avg_overlap_1_other_new_process</f>
        <v>7.6521103217718327</v>
      </c>
      <c r="O46" s="51"/>
    </row>
    <row r="47" spans="3:15" ht="12.75" customHeight="1">
      <c r="C47" s="118"/>
      <c r="D47" s="32"/>
      <c r="F47" s="132"/>
      <c r="G47" s="133"/>
      <c r="H47" s="133"/>
      <c r="I47" s="149"/>
      <c r="J47" s="26"/>
      <c r="K47" s="132"/>
      <c r="L47" s="133"/>
      <c r="M47" s="133"/>
      <c r="N47" s="133"/>
      <c r="O47" s="51"/>
    </row>
    <row r="48" spans="3:15" ht="12.75" customHeight="1">
      <c r="C48" s="122" t="s">
        <v>24</v>
      </c>
      <c r="D48" s="32"/>
      <c r="F48" s="132"/>
      <c r="G48" s="133"/>
      <c r="H48" s="133"/>
      <c r="I48" s="51"/>
      <c r="J48" s="26"/>
      <c r="K48" s="132"/>
      <c r="L48" s="133"/>
      <c r="M48" s="133"/>
      <c r="N48" s="133"/>
      <c r="O48" s="51"/>
    </row>
    <row r="49" spans="3:19" ht="12.75" customHeight="1">
      <c r="C49" s="118" t="s">
        <v>63</v>
      </c>
      <c r="D49" s="32"/>
      <c r="F49" s="125">
        <f t="shared" ref="F49:H51" si="0">F$20*F27*F$41*F44</f>
        <v>0</v>
      </c>
      <c r="G49" s="177">
        <f t="shared" si="0"/>
        <v>0</v>
      </c>
      <c r="H49" s="177">
        <f t="shared" si="0"/>
        <v>0</v>
      </c>
      <c r="I49" s="124">
        <f>F49-G49-H49</f>
        <v>0</v>
      </c>
      <c r="J49" s="134"/>
      <c r="K49" s="125">
        <f t="shared" ref="K49:N51" si="1">K$20*K27*K$41*K44</f>
        <v>0</v>
      </c>
      <c r="L49" s="177">
        <f t="shared" si="1"/>
        <v>0</v>
      </c>
      <c r="M49" s="177">
        <f t="shared" si="1"/>
        <v>0</v>
      </c>
      <c r="N49" s="177">
        <f t="shared" si="1"/>
        <v>0</v>
      </c>
      <c r="O49" s="124">
        <f>K49-L49-M49-N49</f>
        <v>0</v>
      </c>
    </row>
    <row r="50" spans="3:19" ht="12.75" customHeight="1">
      <c r="C50" s="118" t="s">
        <v>65</v>
      </c>
      <c r="D50" s="32"/>
      <c r="F50" s="125">
        <f t="shared" si="0"/>
        <v>273580.35418955429</v>
      </c>
      <c r="G50" s="177">
        <f t="shared" si="0"/>
        <v>164148.21251373258</v>
      </c>
      <c r="H50" s="177">
        <f t="shared" si="0"/>
        <v>82074.106256866275</v>
      </c>
      <c r="I50" s="124">
        <f>F50-G50-H50</f>
        <v>27358.035418955435</v>
      </c>
      <c r="J50" s="134"/>
      <c r="K50" s="125">
        <f t="shared" si="1"/>
        <v>179828.20772612933</v>
      </c>
      <c r="L50" s="177">
        <f t="shared" si="1"/>
        <v>122283.18125376795</v>
      </c>
      <c r="M50" s="177">
        <f t="shared" si="1"/>
        <v>34527.015883416861</v>
      </c>
      <c r="N50" s="177">
        <f t="shared" si="1"/>
        <v>17263.50794170842</v>
      </c>
      <c r="O50" s="124">
        <f t="shared" ref="O50" si="2">K50-L50-M50-N50</f>
        <v>5754.5026472360987</v>
      </c>
    </row>
    <row r="51" spans="3:19" ht="12.75" customHeight="1">
      <c r="C51" s="118" t="s">
        <v>64</v>
      </c>
      <c r="D51" s="32"/>
      <c r="F51" s="125">
        <f t="shared" si="0"/>
        <v>1778272.3022321032</v>
      </c>
      <c r="G51" s="177">
        <f t="shared" si="0"/>
        <v>1066963.3813392618</v>
      </c>
      <c r="H51" s="177">
        <f t="shared" si="0"/>
        <v>533481.69066963077</v>
      </c>
      <c r="I51" s="124">
        <f>F51-G51-H51</f>
        <v>177827.23022321064</v>
      </c>
      <c r="J51" s="134"/>
      <c r="K51" s="125">
        <f t="shared" si="1"/>
        <v>1168883.3502198409</v>
      </c>
      <c r="L51" s="177">
        <f t="shared" si="1"/>
        <v>794840.67814949166</v>
      </c>
      <c r="M51" s="177">
        <f t="shared" si="1"/>
        <v>224425.60324220959</v>
      </c>
      <c r="N51" s="177">
        <f t="shared" si="1"/>
        <v>112212.80162110471</v>
      </c>
      <c r="O51" s="124">
        <f>K51-L51-M51-N51</f>
        <v>37404.267207034922</v>
      </c>
    </row>
    <row r="52" spans="3:19" ht="12.75" customHeight="1">
      <c r="C52" s="118"/>
      <c r="D52" s="32"/>
      <c r="F52" s="132"/>
      <c r="G52" s="133"/>
      <c r="H52" s="133"/>
      <c r="I52" s="51"/>
      <c r="J52" s="26"/>
      <c r="K52" s="107"/>
      <c r="L52" s="105"/>
      <c r="M52" s="105"/>
      <c r="N52" s="133"/>
      <c r="O52" s="51"/>
    </row>
    <row r="53" spans="3:19" ht="27.75" customHeight="1">
      <c r="C53" s="146" t="s">
        <v>97</v>
      </c>
      <c r="D53" s="32"/>
      <c r="F53" s="104"/>
      <c r="G53" s="17"/>
      <c r="H53" s="17"/>
      <c r="I53" s="32"/>
      <c r="K53" s="104"/>
      <c r="L53" s="17"/>
      <c r="M53" s="17"/>
      <c r="N53" s="17"/>
      <c r="O53" s="51"/>
    </row>
    <row r="54" spans="3:19" ht="11.25" customHeight="1">
      <c r="C54" s="146"/>
      <c r="D54" s="32"/>
      <c r="F54" s="104"/>
      <c r="G54" s="17"/>
      <c r="H54" s="17"/>
      <c r="I54" s="32"/>
      <c r="K54" s="104"/>
      <c r="L54" s="17"/>
      <c r="M54" s="17"/>
      <c r="N54" s="17"/>
      <c r="O54" s="51"/>
    </row>
    <row r="55" spans="3:19" ht="12.75" customHeight="1">
      <c r="C55" s="156" t="s">
        <v>87</v>
      </c>
      <c r="D55" s="32"/>
      <c r="F55" s="164">
        <f>F$5*F$21*F$22*(1-F$23)*F$24</f>
        <v>686662.4584114881</v>
      </c>
      <c r="G55" s="163">
        <f>(G$5*G$21*G$22*(1-G$23)*G$24)-G$36</f>
        <v>411997.47504689283</v>
      </c>
      <c r="H55" s="163">
        <f>(H$5*H$21*H$22*(1-H$23)*H$24)+H$32-H$36</f>
        <v>297056.18992611917</v>
      </c>
      <c r="I55" s="32"/>
      <c r="K55" s="164">
        <f>K$5*K$21*K$22*(1-K$23)</f>
        <v>902705.74855239678</v>
      </c>
      <c r="L55" s="163">
        <f>L$5*L$21*L$22*(1-L$23)</f>
        <v>613839.90901562991</v>
      </c>
      <c r="M55" s="163">
        <f>(M$5*M$21*M$22*(1-M$23))-M$36</f>
        <v>173319.50372206033</v>
      </c>
      <c r="N55" s="163">
        <f>(N$5*N$21*N$22*(1-N$23))+N$32-N$36</f>
        <v>124965.89065188088</v>
      </c>
      <c r="O55" s="51"/>
    </row>
    <row r="56" spans="3:19" ht="11.25" customHeight="1">
      <c r="C56" s="146"/>
      <c r="D56" s="32"/>
      <c r="F56" s="104"/>
      <c r="G56" s="17"/>
      <c r="H56" s="17"/>
      <c r="I56" s="32"/>
      <c r="K56" s="104"/>
      <c r="L56" s="17"/>
      <c r="M56" s="17"/>
      <c r="N56" s="17"/>
      <c r="O56" s="51"/>
    </row>
    <row r="57" spans="3:19" ht="12.75" customHeight="1">
      <c r="C57" s="90" t="s">
        <v>198</v>
      </c>
      <c r="D57" s="32" t="s">
        <v>21</v>
      </c>
      <c r="F57" s="107"/>
      <c r="G57" s="17"/>
      <c r="H57" s="17"/>
      <c r="I57" s="51"/>
      <c r="J57" s="26"/>
      <c r="K57" s="107"/>
      <c r="L57" s="105"/>
      <c r="M57" s="17"/>
      <c r="N57" s="17"/>
      <c r="O57" s="51"/>
    </row>
    <row r="58" spans="3:19" ht="12.75" customHeight="1">
      <c r="C58" s="118" t="s">
        <v>63</v>
      </c>
      <c r="D58" s="32"/>
      <c r="F58" s="132">
        <f>avg_overlap_2_O2</f>
        <v>0</v>
      </c>
      <c r="G58" s="133">
        <f>avg_overlap_2_O2_not_new_process</f>
        <v>0</v>
      </c>
      <c r="H58" s="133">
        <f>avg_overlap_2_O2_new_process</f>
        <v>0</v>
      </c>
      <c r="I58" s="51"/>
      <c r="J58" s="26"/>
      <c r="K58" s="132">
        <f>avg_overlap_2_O2</f>
        <v>0</v>
      </c>
      <c r="L58" s="133">
        <f>avg_overlap_2_O2</f>
        <v>0</v>
      </c>
      <c r="M58" s="133">
        <f>avg_overlap_2_O2_not_new_process</f>
        <v>0</v>
      </c>
      <c r="N58" s="133">
        <f>avg_overlap_2_O2_new_process</f>
        <v>0</v>
      </c>
      <c r="O58" s="51"/>
    </row>
    <row r="59" spans="3:19" ht="12.75" customHeight="1">
      <c r="C59" s="118" t="s">
        <v>65</v>
      </c>
      <c r="D59" s="32"/>
      <c r="F59" s="132">
        <f>avg_overlap_2_H3G</f>
        <v>25.85157065620599</v>
      </c>
      <c r="G59" s="133">
        <f>avg_overlap_2_H3G_not_new_process</f>
        <v>25.85157065620599</v>
      </c>
      <c r="H59" s="133">
        <f>avg_overlap_2_H3G_new_process</f>
        <v>25.85157065620599</v>
      </c>
      <c r="I59" s="51"/>
      <c r="J59" s="26"/>
      <c r="K59" s="132">
        <f>avg_overlap_2_CR</f>
        <v>25.85157065620599</v>
      </c>
      <c r="L59" s="133">
        <f>avg_overlap_2_CR</f>
        <v>25.85157065620599</v>
      </c>
      <c r="M59" s="133">
        <f>avg_overlap_2_H3G_not_new_process</f>
        <v>25.85157065620599</v>
      </c>
      <c r="N59" s="133">
        <f>avg_overlap_2_H3G_new_process</f>
        <v>25.85157065620599</v>
      </c>
      <c r="O59" s="51"/>
    </row>
    <row r="60" spans="3:19" ht="12.75" customHeight="1">
      <c r="C60" s="118" t="s">
        <v>64</v>
      </c>
      <c r="D60" s="32"/>
      <c r="F60" s="132">
        <f>avg_overlap_2_other</f>
        <v>25.85157065620599</v>
      </c>
      <c r="G60" s="133">
        <f>avg_overlap_2_other_not_new_process</f>
        <v>25.85157065620599</v>
      </c>
      <c r="H60" s="133">
        <f>avg_overlap_2_other_new_process</f>
        <v>25.85157065620599</v>
      </c>
      <c r="I60" s="51"/>
      <c r="J60" s="26"/>
      <c r="K60" s="132">
        <f>avg_overlap_2_CR</f>
        <v>25.85157065620599</v>
      </c>
      <c r="L60" s="133">
        <f>avg_overlap_2_CR</f>
        <v>25.85157065620599</v>
      </c>
      <c r="M60" s="133">
        <f>avg_overlap_2_other_not_new_process</f>
        <v>25.85157065620599</v>
      </c>
      <c r="N60" s="133">
        <f>avg_overlap_2_other_new_process</f>
        <v>25.85157065620599</v>
      </c>
      <c r="O60" s="51"/>
    </row>
    <row r="61" spans="3:19" ht="12.75" customHeight="1">
      <c r="C61" s="118"/>
      <c r="D61" s="32"/>
      <c r="F61" s="132"/>
      <c r="G61" s="133"/>
      <c r="H61" s="133"/>
      <c r="I61" s="51"/>
      <c r="J61" s="26"/>
      <c r="K61" s="132"/>
      <c r="L61" s="133"/>
      <c r="M61" s="133"/>
      <c r="N61" s="133"/>
      <c r="O61" s="51"/>
    </row>
    <row r="62" spans="3:19" ht="12.75" customHeight="1">
      <c r="C62" s="122" t="s">
        <v>24</v>
      </c>
      <c r="D62" s="32" t="s">
        <v>17</v>
      </c>
      <c r="F62" s="132"/>
      <c r="G62" s="133"/>
      <c r="H62" s="133"/>
      <c r="I62" s="51"/>
      <c r="J62" s="26"/>
      <c r="K62" s="132"/>
      <c r="L62" s="133"/>
      <c r="M62" s="133"/>
      <c r="N62" s="133"/>
      <c r="O62" s="51"/>
    </row>
    <row r="63" spans="3:19" ht="12.75" customHeight="1">
      <c r="C63" s="118" t="s">
        <v>63</v>
      </c>
      <c r="D63" s="32"/>
      <c r="F63" s="125">
        <f t="shared" ref="F63:H65" si="3">F$20*F27*F$55*F58</f>
        <v>0</v>
      </c>
      <c r="G63" s="177">
        <f t="shared" si="3"/>
        <v>0</v>
      </c>
      <c r="H63" s="177">
        <f t="shared" si="3"/>
        <v>0</v>
      </c>
      <c r="I63" s="124">
        <f>F63-G63-H63</f>
        <v>0</v>
      </c>
      <c r="J63" s="134"/>
      <c r="K63" s="125">
        <f t="shared" ref="K63:N65" si="4">K$20*K27*K$55*K58</f>
        <v>0</v>
      </c>
      <c r="L63" s="177">
        <f t="shared" si="4"/>
        <v>0</v>
      </c>
      <c r="M63" s="177">
        <f t="shared" si="4"/>
        <v>0</v>
      </c>
      <c r="N63" s="177">
        <f t="shared" si="4"/>
        <v>0</v>
      </c>
      <c r="O63" s="124">
        <f t="shared" ref="O63" si="5">K63-L63-M63-N63</f>
        <v>0</v>
      </c>
    </row>
    <row r="64" spans="3:19" ht="12.75" customHeight="1">
      <c r="C64" s="118" t="s">
        <v>65</v>
      </c>
      <c r="D64" s="32"/>
      <c r="F64" s="125">
        <f t="shared" si="3"/>
        <v>1417184.6226331829</v>
      </c>
      <c r="G64" s="177">
        <f t="shared" si="3"/>
        <v>850310.77357990958</v>
      </c>
      <c r="H64" s="177">
        <f t="shared" si="3"/>
        <v>613086.47249362292</v>
      </c>
      <c r="I64" s="124">
        <f>F64-G64-H64</f>
        <v>-46212.623440349591</v>
      </c>
      <c r="J64" s="134"/>
      <c r="K64" s="125">
        <f t="shared" si="4"/>
        <v>1863070.6978950666</v>
      </c>
      <c r="L64" s="177">
        <f t="shared" si="4"/>
        <v>1266888.0745686456</v>
      </c>
      <c r="M64" s="177">
        <f t="shared" si="4"/>
        <v>357709.57399585308</v>
      </c>
      <c r="N64" s="177">
        <f t="shared" si="4"/>
        <v>257913.82129030992</v>
      </c>
      <c r="O64" s="124">
        <f>K64-L64-M64-N64</f>
        <v>-19440.771959741978</v>
      </c>
      <c r="S64" s="96"/>
    </row>
    <row r="65" spans="3:19" ht="12.75" customHeight="1">
      <c r="C65" s="118" t="s">
        <v>64</v>
      </c>
      <c r="D65" s="32"/>
      <c r="F65" s="125">
        <f t="shared" si="3"/>
        <v>9211700.0471156873</v>
      </c>
      <c r="G65" s="177">
        <f t="shared" si="3"/>
        <v>5527020.0282694129</v>
      </c>
      <c r="H65" s="177">
        <f t="shared" si="3"/>
        <v>3985062.0712085487</v>
      </c>
      <c r="I65" s="124">
        <f>F65-G65-H65</f>
        <v>-300382.05236227438</v>
      </c>
      <c r="J65" s="134"/>
      <c r="K65" s="125">
        <f t="shared" si="4"/>
        <v>12109959.536317931</v>
      </c>
      <c r="L65" s="177">
        <f t="shared" si="4"/>
        <v>8234772.4846961955</v>
      </c>
      <c r="M65" s="177">
        <f t="shared" si="4"/>
        <v>2325112.2309730449</v>
      </c>
      <c r="N65" s="177">
        <f t="shared" si="4"/>
        <v>1676439.8383870143</v>
      </c>
      <c r="O65" s="124">
        <f>K65-L65-M65-N65</f>
        <v>-126365.01773832319</v>
      </c>
      <c r="S65" s="96"/>
    </row>
    <row r="66" spans="3:19" ht="12.75" customHeight="1">
      <c r="C66" s="118"/>
      <c r="D66" s="32"/>
      <c r="F66" s="104"/>
      <c r="G66" s="17"/>
      <c r="H66" s="17"/>
      <c r="I66" s="32"/>
      <c r="J66" s="134"/>
      <c r="K66" s="104"/>
      <c r="L66" s="17"/>
      <c r="M66" s="17"/>
      <c r="N66" s="17"/>
      <c r="O66" s="32"/>
    </row>
    <row r="67" spans="3:19" ht="27.75" customHeight="1">
      <c r="C67" s="146" t="s">
        <v>111</v>
      </c>
      <c r="D67" s="32"/>
      <c r="F67" s="104"/>
      <c r="G67" s="17"/>
      <c r="H67" s="17"/>
      <c r="I67" s="32"/>
      <c r="K67" s="104"/>
      <c r="L67" s="17"/>
      <c r="M67" s="17"/>
      <c r="N67" s="17"/>
      <c r="O67" s="51"/>
    </row>
    <row r="68" spans="3:19" ht="12.75" customHeight="1">
      <c r="C68" s="146"/>
      <c r="D68" s="32"/>
      <c r="F68" s="104"/>
      <c r="G68" s="17"/>
      <c r="H68" s="17"/>
      <c r="I68" s="32"/>
      <c r="K68" s="104"/>
      <c r="L68" s="17"/>
      <c r="M68" s="17"/>
      <c r="N68" s="17"/>
      <c r="O68" s="51"/>
    </row>
    <row r="69" spans="3:19" ht="12.75" customHeight="1">
      <c r="C69" s="156" t="s">
        <v>87</v>
      </c>
      <c r="D69" s="32"/>
      <c r="F69" s="164">
        <f>F$5*F$21*F$22*(1-F$23)*(1-F$24)</f>
        <v>686662.4584114881</v>
      </c>
      <c r="G69" s="163">
        <f>(G$5*G$21*G$22*(1-G$23)*(1-G$24))-G$37</f>
        <v>411997.47504689283</v>
      </c>
      <c r="H69" s="163">
        <f>(H$5*H$21*H$22*(1-H$23)*(1-H$24))+H$33-H$37</f>
        <v>297056.18992611917</v>
      </c>
      <c r="I69" s="32"/>
      <c r="K69" s="195" t="s">
        <v>194</v>
      </c>
      <c r="L69" s="196"/>
      <c r="M69" s="196"/>
      <c r="N69" s="196"/>
      <c r="O69" s="51"/>
    </row>
    <row r="70" spans="3:19" ht="12.75" customHeight="1">
      <c r="C70" s="146"/>
      <c r="D70" s="32"/>
      <c r="F70" s="104"/>
      <c r="G70" s="17"/>
      <c r="H70" s="17"/>
      <c r="I70" s="32"/>
      <c r="K70" s="104"/>
      <c r="L70" s="17"/>
      <c r="M70" s="17"/>
      <c r="N70" s="17"/>
      <c r="O70" s="51"/>
    </row>
    <row r="71" spans="3:19" ht="12.75" customHeight="1">
      <c r="C71" s="90" t="s">
        <v>198</v>
      </c>
      <c r="D71" s="32" t="s">
        <v>21</v>
      </c>
      <c r="F71" s="107"/>
      <c r="G71" s="17"/>
      <c r="H71" s="17"/>
      <c r="I71" s="51"/>
      <c r="J71" s="26"/>
      <c r="K71" s="107"/>
      <c r="L71" s="105"/>
      <c r="M71" s="17"/>
      <c r="N71" s="17"/>
      <c r="O71" s="51"/>
    </row>
    <row r="72" spans="3:19" ht="12.75" customHeight="1">
      <c r="C72" s="118" t="s">
        <v>63</v>
      </c>
      <c r="D72" s="32"/>
      <c r="F72" s="132">
        <f>avg_overlap_3_O2</f>
        <v>0</v>
      </c>
      <c r="G72" s="133">
        <f>avg_overlap_3_O2_not_new_process</f>
        <v>0</v>
      </c>
      <c r="H72" s="133">
        <f>avg_overlap_3_O2_new_process</f>
        <v>0</v>
      </c>
      <c r="I72" s="51"/>
      <c r="J72" s="26"/>
      <c r="K72" s="132"/>
      <c r="L72" s="133"/>
      <c r="M72" s="133"/>
      <c r="N72" s="133"/>
      <c r="O72" s="51"/>
    </row>
    <row r="73" spans="3:19" ht="12.75" customHeight="1">
      <c r="C73" s="118" t="s">
        <v>65</v>
      </c>
      <c r="D73" s="32"/>
      <c r="F73" s="132">
        <f>avg_overlap_3_H3G</f>
        <v>25.85157065620599</v>
      </c>
      <c r="G73" s="133">
        <f>avg_overlap_3_H3G_not_new_process</f>
        <v>25.85157065620599</v>
      </c>
      <c r="H73" s="133">
        <f>avg_overlap_3_H3G_new_process</f>
        <v>25.85157065620599</v>
      </c>
      <c r="I73" s="51"/>
      <c r="J73" s="26"/>
      <c r="K73" s="132"/>
      <c r="L73" s="133"/>
      <c r="M73" s="133"/>
      <c r="N73" s="133"/>
      <c r="O73" s="51"/>
    </row>
    <row r="74" spans="3:19" ht="12.75" customHeight="1">
      <c r="C74" s="118" t="s">
        <v>64</v>
      </c>
      <c r="D74" s="32"/>
      <c r="F74" s="132">
        <f>avg_overlap_3_other</f>
        <v>30</v>
      </c>
      <c r="G74" s="133">
        <f>avg_overlap_3_other_not_new_process</f>
        <v>25.85157065620599</v>
      </c>
      <c r="H74" s="133">
        <f>avg_overlap_3_other_new_process</f>
        <v>25.85157065620599</v>
      </c>
      <c r="I74" s="51"/>
      <c r="J74" s="26"/>
      <c r="K74" s="132"/>
      <c r="L74" s="133"/>
      <c r="M74" s="133"/>
      <c r="N74" s="133"/>
      <c r="O74" s="51"/>
    </row>
    <row r="75" spans="3:19" ht="12.75" customHeight="1">
      <c r="C75" s="118"/>
      <c r="D75" s="32"/>
      <c r="F75" s="132"/>
      <c r="G75" s="133"/>
      <c r="H75" s="133"/>
      <c r="I75" s="51"/>
      <c r="J75" s="26"/>
      <c r="K75" s="132"/>
      <c r="L75" s="133"/>
      <c r="M75" s="133"/>
      <c r="N75" s="133"/>
      <c r="O75" s="51"/>
    </row>
    <row r="76" spans="3:19" ht="12.75" customHeight="1">
      <c r="C76" s="122" t="s">
        <v>24</v>
      </c>
      <c r="D76" s="32" t="s">
        <v>17</v>
      </c>
      <c r="F76" s="132"/>
      <c r="G76" s="133"/>
      <c r="H76" s="133"/>
      <c r="I76" s="51"/>
      <c r="J76" s="26"/>
      <c r="K76" s="132"/>
      <c r="L76" s="133"/>
      <c r="M76" s="133"/>
      <c r="N76" s="133"/>
      <c r="O76" s="51"/>
    </row>
    <row r="77" spans="3:19" ht="12.75" customHeight="1">
      <c r="C77" s="118" t="s">
        <v>63</v>
      </c>
      <c r="D77" s="32"/>
      <c r="F77" s="125">
        <f t="shared" ref="F77:H79" si="6">F$20*F27*F$69*F72</f>
        <v>0</v>
      </c>
      <c r="G77" s="177">
        <f t="shared" si="6"/>
        <v>0</v>
      </c>
      <c r="H77" s="177">
        <f t="shared" si="6"/>
        <v>0</v>
      </c>
      <c r="I77" s="124">
        <f>F77-G77-H77</f>
        <v>0</v>
      </c>
      <c r="J77" s="134"/>
      <c r="K77" s="132"/>
      <c r="L77" s="133"/>
      <c r="M77" s="133"/>
      <c r="N77" s="133"/>
      <c r="O77" s="179"/>
    </row>
    <row r="78" spans="3:19" ht="12.75" customHeight="1">
      <c r="C78" s="118" t="s">
        <v>65</v>
      </c>
      <c r="D78" s="32"/>
      <c r="F78" s="125">
        <f t="shared" si="6"/>
        <v>1417184.6226331829</v>
      </c>
      <c r="G78" s="177">
        <f t="shared" si="6"/>
        <v>850310.77357990958</v>
      </c>
      <c r="H78" s="177">
        <f t="shared" si="6"/>
        <v>613086.47249362292</v>
      </c>
      <c r="I78" s="124">
        <f>F78-G78-H78</f>
        <v>-46212.623440349591</v>
      </c>
      <c r="J78" s="134"/>
      <c r="K78" s="132"/>
      <c r="L78" s="133"/>
      <c r="M78" s="133"/>
      <c r="N78" s="133"/>
      <c r="O78" s="179"/>
    </row>
    <row r="79" spans="3:19" ht="12.75" customHeight="1">
      <c r="C79" s="118" t="s">
        <v>64</v>
      </c>
      <c r="D79" s="32"/>
      <c r="F79" s="125">
        <f t="shared" si="6"/>
        <v>10689911.459872136</v>
      </c>
      <c r="G79" s="177">
        <f t="shared" si="6"/>
        <v>5527020.0282694129</v>
      </c>
      <c r="H79" s="177">
        <f t="shared" si="6"/>
        <v>3985062.0712085487</v>
      </c>
      <c r="I79" s="124">
        <f>F79-G79-H79</f>
        <v>1177829.3603941742</v>
      </c>
      <c r="J79" s="134"/>
      <c r="K79" s="132"/>
      <c r="L79" s="133"/>
      <c r="M79" s="133"/>
      <c r="N79" s="133"/>
      <c r="O79" s="179"/>
    </row>
    <row r="80" spans="3:19" ht="12.75" customHeight="1">
      <c r="C80" s="118"/>
      <c r="D80" s="32"/>
      <c r="F80" s="99"/>
      <c r="G80" s="48"/>
      <c r="H80" s="48"/>
      <c r="I80" s="32"/>
      <c r="K80" s="99"/>
      <c r="L80" s="48"/>
      <c r="M80" s="48"/>
      <c r="N80" s="48"/>
      <c r="O80" s="32"/>
    </row>
    <row r="81" spans="2:15" ht="15.75" customHeight="1">
      <c r="C81" s="197" t="s">
        <v>131</v>
      </c>
      <c r="D81" s="53" t="s">
        <v>17</v>
      </c>
      <c r="F81" s="123">
        <f>SUM(F49:F51,F63:F65,F77:F79)</f>
        <v>24787833.408675846</v>
      </c>
      <c r="G81" s="136">
        <f t="shared" ref="G81:H81" si="7">SUM(G49:G51,G63:G65,G77:G79)</f>
        <v>13985773.197551642</v>
      </c>
      <c r="H81" s="136">
        <f t="shared" si="7"/>
        <v>9811852.8843308389</v>
      </c>
      <c r="I81" s="180">
        <f>F81-G81-H81</f>
        <v>990207.32679336518</v>
      </c>
      <c r="K81" s="123">
        <f>SUM(K49:K51,K63:K65)</f>
        <v>15321741.792158969</v>
      </c>
      <c r="L81" s="136">
        <f>SUM(L49:L51,L63:L65)</f>
        <v>10418784.418668101</v>
      </c>
      <c r="M81" s="136">
        <f>SUM(M49:M51,M63:M65)</f>
        <v>2941774.4240945242</v>
      </c>
      <c r="N81" s="136">
        <f>SUM(N49:N51,N63:N65)</f>
        <v>2063829.9692401374</v>
      </c>
      <c r="O81" s="180">
        <f>K81-L81-M81-N81</f>
        <v>-102647.01984379347</v>
      </c>
    </row>
    <row r="82" spans="2:15" ht="11.25" customHeight="1">
      <c r="C82" s="158"/>
      <c r="D82" s="151"/>
      <c r="F82" s="122"/>
      <c r="G82" s="157"/>
      <c r="H82" s="157"/>
      <c r="I82" s="160"/>
      <c r="J82" s="157"/>
      <c r="K82" s="122"/>
      <c r="L82" s="157"/>
      <c r="M82" s="157"/>
      <c r="N82" s="157"/>
      <c r="O82" s="160"/>
    </row>
    <row r="83" spans="2:15" ht="18.75" customHeight="1">
      <c r="B83" s="42" t="s">
        <v>57</v>
      </c>
      <c r="C83" s="43"/>
      <c r="D83" s="44"/>
      <c r="E83" s="23"/>
      <c r="F83" s="74"/>
      <c r="G83" s="31"/>
      <c r="H83" s="31"/>
      <c r="I83" s="167"/>
      <c r="J83" s="26"/>
      <c r="K83" s="75"/>
      <c r="L83" s="31"/>
      <c r="M83" s="31"/>
      <c r="N83" s="31"/>
      <c r="O83" s="51"/>
    </row>
    <row r="84" spans="2:15" ht="11.25" customHeight="1">
      <c r="C84" s="30"/>
      <c r="D84" s="23"/>
      <c r="E84" s="23"/>
      <c r="F84" s="74"/>
      <c r="G84" s="31"/>
      <c r="H84" s="31"/>
      <c r="I84" s="51"/>
      <c r="J84" s="26"/>
      <c r="K84" s="75"/>
      <c r="L84" s="31"/>
      <c r="M84" s="31"/>
      <c r="N84" s="31"/>
      <c r="O84" s="51"/>
    </row>
    <row r="85" spans="2:15" ht="18.75" customHeight="1">
      <c r="C85" s="162" t="s">
        <v>242</v>
      </c>
      <c r="D85" s="140" t="s">
        <v>20</v>
      </c>
      <c r="F85" s="106">
        <f>pct_loss_PAC</f>
        <v>0.22000000000000003</v>
      </c>
      <c r="G85" s="62">
        <f>pct_loss_new_process</f>
        <v>0.22000000000000003</v>
      </c>
      <c r="H85" s="62">
        <f>pct_loss_new_process</f>
        <v>0.22000000000000003</v>
      </c>
      <c r="I85" s="51"/>
      <c r="J85" s="26"/>
      <c r="K85" s="106">
        <f>pct_loss_CR</f>
        <v>0.14000000000000001</v>
      </c>
      <c r="L85" s="62">
        <f>pct_loss_CR</f>
        <v>0.14000000000000001</v>
      </c>
      <c r="M85" s="62">
        <f>pct_loss_new_process</f>
        <v>0.22000000000000003</v>
      </c>
      <c r="N85" s="62">
        <f>pct_loss_new_process</f>
        <v>0.22000000000000003</v>
      </c>
      <c r="O85" s="51"/>
    </row>
    <row r="86" spans="2:15" ht="18" customHeight="1">
      <c r="C86" s="90" t="s">
        <v>58</v>
      </c>
      <c r="D86" s="32" t="s">
        <v>21</v>
      </c>
      <c r="F86" s="107">
        <f>avg_loss_PAC</f>
        <v>0.45017482517482516</v>
      </c>
      <c r="G86" s="105">
        <f>avg_loss_new_process</f>
        <v>0.45017482517482516</v>
      </c>
      <c r="H86" s="105">
        <f>avg_loss_new_process</f>
        <v>0.45017482517482516</v>
      </c>
      <c r="I86" s="51"/>
      <c r="J86" s="26"/>
      <c r="K86" s="107">
        <f>avg_loss_CR</f>
        <v>0.58498677248677244</v>
      </c>
      <c r="L86" s="105">
        <f>avg_loss_CR</f>
        <v>0.58498677248677244</v>
      </c>
      <c r="M86" s="105">
        <f>avg_loss_new_process</f>
        <v>0.45017482517482516</v>
      </c>
      <c r="N86" s="105">
        <f>avg_loss_new_process</f>
        <v>0.45017482517482516</v>
      </c>
      <c r="O86" s="51"/>
    </row>
    <row r="87" spans="2:15" ht="30" customHeight="1">
      <c r="C87" s="156" t="s">
        <v>202</v>
      </c>
      <c r="D87" s="32" t="s">
        <v>22</v>
      </c>
      <c r="F87" s="108">
        <f>avg_spend_pre_post_weighted</f>
        <v>0.73733552631578947</v>
      </c>
      <c r="G87" s="63">
        <f>avg_spend_pre_post_weighted</f>
        <v>0.73733552631578947</v>
      </c>
      <c r="H87" s="63">
        <f>avg_spend_pre_post_weighted</f>
        <v>0.73733552631578947</v>
      </c>
      <c r="I87" s="51"/>
      <c r="J87" s="26"/>
      <c r="K87" s="108">
        <f>avg_spend_pre_post_weighted</f>
        <v>0.73733552631578947</v>
      </c>
      <c r="L87" s="63">
        <f>avg_spend_pre_post_weighted</f>
        <v>0.73733552631578947</v>
      </c>
      <c r="M87" s="63">
        <f>avg_spend_pre_post_weighted</f>
        <v>0.73733552631578947</v>
      </c>
      <c r="N87" s="63">
        <f>avg_spend_pre_post_weighted</f>
        <v>0.73733552631578947</v>
      </c>
      <c r="O87" s="51"/>
    </row>
    <row r="88" spans="2:15" ht="16.5" customHeight="1">
      <c r="C88" s="98" t="s">
        <v>119</v>
      </c>
      <c r="D88" s="32"/>
      <c r="F88" s="107">
        <f>WTP_factor</f>
        <v>2</v>
      </c>
      <c r="G88" s="105">
        <f>WTP_factor</f>
        <v>2</v>
      </c>
      <c r="H88" s="105">
        <f>WTP_factor</f>
        <v>2</v>
      </c>
      <c r="I88" s="51"/>
      <c r="J88" s="26"/>
      <c r="K88" s="107">
        <f>WTP_factor</f>
        <v>2</v>
      </c>
      <c r="L88" s="105">
        <f>WTP_factor</f>
        <v>2</v>
      </c>
      <c r="M88" s="105">
        <f>WTP_factor</f>
        <v>2</v>
      </c>
      <c r="N88" s="105">
        <f>WTP_factor</f>
        <v>2</v>
      </c>
      <c r="O88" s="51"/>
    </row>
    <row r="89" spans="2:15">
      <c r="C89" s="104"/>
      <c r="D89" s="32"/>
      <c r="F89" s="74"/>
      <c r="G89" s="49"/>
      <c r="H89" s="31"/>
      <c r="I89" s="51"/>
      <c r="J89" s="26"/>
      <c r="K89" s="74"/>
      <c r="L89" s="31"/>
      <c r="M89" s="31"/>
      <c r="N89" s="31"/>
      <c r="O89" s="51"/>
    </row>
    <row r="90" spans="2:15" ht="15" customHeight="1">
      <c r="B90" s="26"/>
      <c r="C90" s="197" t="s">
        <v>24</v>
      </c>
      <c r="D90" s="53" t="s">
        <v>17</v>
      </c>
      <c r="F90" s="137">
        <f>F5*F85*F86*F87*F88</f>
        <v>462802.74463404604</v>
      </c>
      <c r="G90" s="178">
        <f>G5*G85*G86*G87*G88</f>
        <v>277681.64678042766</v>
      </c>
      <c r="H90" s="178">
        <f>H5*H85*H86*H87*H88</f>
        <v>185121.09785361844</v>
      </c>
      <c r="I90" s="181">
        <f>F90-G90-H90</f>
        <v>0</v>
      </c>
      <c r="J90" s="26"/>
      <c r="K90" s="137">
        <f>K5*K85*K86*K87*K88</f>
        <v>313123.70457043714</v>
      </c>
      <c r="L90" s="178">
        <f>L5*L85*L86*L87*L88</f>
        <v>212924.11910789719</v>
      </c>
      <c r="M90" s="178">
        <f>M5*M85*M86*M87*M88</f>
        <v>72702.103884330209</v>
      </c>
      <c r="N90" s="178">
        <f>N5*N85*N86*N87*N88</f>
        <v>48468.0692562201</v>
      </c>
      <c r="O90" s="181">
        <f>K90-L90-M90-N90</f>
        <v>-20970.587678010357</v>
      </c>
    </row>
    <row r="91" spans="2:15" ht="18" customHeight="1">
      <c r="C91" s="17"/>
      <c r="D91" s="17"/>
      <c r="F91" s="54"/>
      <c r="G91" s="54"/>
      <c r="H91" s="54"/>
      <c r="I91" s="54"/>
      <c r="J91" s="17"/>
      <c r="K91" s="54"/>
      <c r="L91" s="54"/>
      <c r="M91" s="152"/>
      <c r="N91" s="54"/>
      <c r="O91" s="54"/>
    </row>
    <row r="92" spans="2:15" ht="19.5" customHeight="1">
      <c r="B92" s="109" t="s">
        <v>54</v>
      </c>
      <c r="C92" s="43"/>
      <c r="D92" s="44"/>
      <c r="F92" s="17"/>
      <c r="G92" s="17"/>
      <c r="H92" s="17"/>
      <c r="I92" s="219">
        <f>SUM(I16,I90,I81)</f>
        <v>2988409.2522100317</v>
      </c>
      <c r="J92" s="17"/>
      <c r="K92" s="17"/>
      <c r="L92" s="119"/>
      <c r="M92" s="119"/>
      <c r="N92" s="119"/>
      <c r="O92" s="219">
        <f>SUM(O16,O90,O81)</f>
        <v>399547.98749637784</v>
      </c>
    </row>
    <row r="94" spans="2:15">
      <c r="I94" s="26"/>
      <c r="O94" s="96"/>
    </row>
  </sheetData>
  <mergeCells count="2">
    <mergeCell ref="F2:I3"/>
    <mergeCell ref="K2:O3"/>
  </mergeCells>
  <pageMargins left="0.70866141732283472" right="0.70866141732283472" top="0.51181102362204722" bottom="0.51181102362204722" header="0.51181102362204722" footer="0.35433070866141736"/>
  <pageSetup paperSize="8" fitToWidth="0" orientation="portrait" horizontalDpi="2400" verticalDpi="2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P32"/>
  <sheetViews>
    <sheetView showGridLines="0" defaultGridColor="0" colorId="22" zoomScaleNormal="100" workbookViewId="0">
      <pane ySplit="1" topLeftCell="A2" activePane="bottomLeft" state="frozen"/>
      <selection activeCell="F38" sqref="F38"/>
      <selection pane="bottomLeft" activeCell="C25" sqref="C25"/>
    </sheetView>
  </sheetViews>
  <sheetFormatPr defaultColWidth="12.7109375" defaultRowHeight="12"/>
  <cols>
    <col min="1" max="1" width="7.5703125" style="19" customWidth="1"/>
    <col min="2" max="2" width="11" style="19" customWidth="1"/>
    <col min="3" max="3" width="19.140625" style="19" customWidth="1"/>
    <col min="4" max="4" width="15.5703125" style="19" customWidth="1"/>
    <col min="5" max="11" width="11.42578125" style="19" customWidth="1"/>
    <col min="12" max="12" width="11.85546875" style="19" customWidth="1"/>
    <col min="13" max="13" width="11.42578125" style="19" customWidth="1"/>
    <col min="14" max="14" width="13.85546875" style="19" customWidth="1"/>
    <col min="15" max="16384" width="12.7109375" style="19"/>
  </cols>
  <sheetData>
    <row r="1" spans="1:14" s="14" customFormat="1" ht="40.5" customHeight="1">
      <c r="A1" s="207" t="s">
        <v>203</v>
      </c>
      <c r="M1" s="14" t="s">
        <v>9</v>
      </c>
    </row>
    <row r="4" spans="1:14" ht="48" customHeight="1">
      <c r="C4" s="85" t="s">
        <v>37</v>
      </c>
      <c r="D4" s="92" t="str">
        <f>scenario_choice</f>
        <v>Option 1 (core proposals)</v>
      </c>
    </row>
    <row r="5" spans="1:14">
      <c r="D5" s="26"/>
    </row>
    <row r="6" spans="1:14" ht="16.5" customHeight="1">
      <c r="C6" s="85" t="s">
        <v>38</v>
      </c>
      <c r="D6" s="82">
        <f>discount_rate</f>
        <v>3.5000000000000003E-2</v>
      </c>
    </row>
    <row r="7" spans="1:14" ht="15.75" customHeight="1">
      <c r="C7" s="85" t="s">
        <v>39</v>
      </c>
      <c r="D7" s="81">
        <f>time_horizon</f>
        <v>10</v>
      </c>
    </row>
    <row r="8" spans="1:14" ht="14.25" customHeight="1"/>
    <row r="9" spans="1:14" ht="15.75" customHeight="1">
      <c r="C9" s="18"/>
    </row>
    <row r="10" spans="1:14" ht="10.5" customHeight="1">
      <c r="C10" s="18"/>
      <c r="D10" s="110">
        <v>1</v>
      </c>
      <c r="E10" s="110">
        <v>2</v>
      </c>
      <c r="F10" s="110">
        <v>3</v>
      </c>
      <c r="G10" s="110">
        <v>4</v>
      </c>
      <c r="H10" s="110">
        <v>5</v>
      </c>
      <c r="I10" s="110">
        <v>6</v>
      </c>
      <c r="J10" s="110">
        <v>7</v>
      </c>
      <c r="K10" s="110">
        <v>8</v>
      </c>
      <c r="L10" s="110">
        <v>9</v>
      </c>
      <c r="M10" s="110">
        <v>10</v>
      </c>
    </row>
    <row r="11" spans="1:14" ht="23.25" customHeight="1">
      <c r="D11" s="72" t="s">
        <v>40</v>
      </c>
      <c r="E11" s="72" t="s">
        <v>41</v>
      </c>
      <c r="F11" s="72" t="s">
        <v>42</v>
      </c>
      <c r="G11" s="72" t="s">
        <v>43</v>
      </c>
      <c r="H11" s="72" t="s">
        <v>44</v>
      </c>
      <c r="I11" s="72" t="s">
        <v>45</v>
      </c>
      <c r="J11" s="72" t="s">
        <v>46</v>
      </c>
      <c r="K11" s="72" t="s">
        <v>47</v>
      </c>
      <c r="L11" s="72" t="s">
        <v>48</v>
      </c>
      <c r="M11" s="72" t="s">
        <v>49</v>
      </c>
      <c r="N11" s="73" t="s">
        <v>33</v>
      </c>
    </row>
    <row r="12" spans="1:14" ht="15" customHeight="1">
      <c r="B12" s="234" t="s">
        <v>153</v>
      </c>
      <c r="C12" s="83" t="s">
        <v>150</v>
      </c>
      <c r="D12" s="130">
        <f t="shared" ref="D12:M12" si="0">IF(D$10&lt;=time_horizon,harm_reduction_time_savings_PAC*((1/(1+discount_rate))^(D$10-1)),"n/a")</f>
        <v>1998201.9254166665</v>
      </c>
      <c r="E12" s="130">
        <f t="shared" si="0"/>
        <v>1930629.8796296297</v>
      </c>
      <c r="F12" s="130">
        <f t="shared" si="0"/>
        <v>1865342.8788692073</v>
      </c>
      <c r="G12" s="130">
        <f t="shared" si="0"/>
        <v>1802263.6510813602</v>
      </c>
      <c r="H12" s="130">
        <f t="shared" si="0"/>
        <v>1741317.5372766764</v>
      </c>
      <c r="I12" s="130">
        <f t="shared" si="0"/>
        <v>1682432.403165871</v>
      </c>
      <c r="J12" s="130">
        <f t="shared" si="0"/>
        <v>1625538.5537834505</v>
      </c>
      <c r="K12" s="130">
        <f t="shared" si="0"/>
        <v>1570568.650998503</v>
      </c>
      <c r="L12" s="130">
        <f t="shared" si="0"/>
        <v>1517457.6338149786</v>
      </c>
      <c r="M12" s="130">
        <f t="shared" si="0"/>
        <v>1466142.6413671293</v>
      </c>
      <c r="N12" s="130">
        <f>SUM(D12:M12)</f>
        <v>17199895.755403474</v>
      </c>
    </row>
    <row r="13" spans="1:14" ht="15" customHeight="1">
      <c r="B13" s="235"/>
      <c r="C13" s="83" t="s">
        <v>151</v>
      </c>
      <c r="D13" s="130">
        <f t="shared" ref="D13:M13" si="1">IF(D$10&lt;=time_horizon,harm_reduction_double_paying_PAC*((1/(1+discount_rate))^(D$10-1)),"n/a")</f>
        <v>990207.32679336518</v>
      </c>
      <c r="E13" s="130">
        <f t="shared" si="1"/>
        <v>956722.05487281666</v>
      </c>
      <c r="F13" s="130">
        <f t="shared" si="1"/>
        <v>924369.13514281809</v>
      </c>
      <c r="G13" s="130">
        <f t="shared" si="1"/>
        <v>893110.27550030744</v>
      </c>
      <c r="H13" s="130">
        <f t="shared" si="1"/>
        <v>862908.47874425841</v>
      </c>
      <c r="I13" s="130">
        <f t="shared" si="1"/>
        <v>833727.99878672312</v>
      </c>
      <c r="J13" s="130">
        <f t="shared" si="1"/>
        <v>805534.29834466008</v>
      </c>
      <c r="K13" s="130">
        <f t="shared" si="1"/>
        <v>778294.00806247361</v>
      </c>
      <c r="L13" s="130">
        <f t="shared" si="1"/>
        <v>751974.88701688277</v>
      </c>
      <c r="M13" s="130">
        <f t="shared" si="1"/>
        <v>726545.78455737466</v>
      </c>
      <c r="N13" s="130">
        <f t="shared" ref="N13:N22" si="2">SUM(D13:M13)</f>
        <v>8523394.2478216812</v>
      </c>
    </row>
    <row r="14" spans="1:14" ht="15" customHeight="1">
      <c r="B14" s="235"/>
      <c r="C14" s="84" t="s">
        <v>152</v>
      </c>
      <c r="D14" s="130">
        <f t="shared" ref="D14:M14" si="3">IF(D$10&lt;=time_horizon,harm_reduction_loss_of_service_PAC*((1/(1+discount_rate))^(D$10-1)),"n/a")</f>
        <v>0</v>
      </c>
      <c r="E14" s="130">
        <f t="shared" si="3"/>
        <v>0</v>
      </c>
      <c r="F14" s="130">
        <f t="shared" si="3"/>
        <v>0</v>
      </c>
      <c r="G14" s="130">
        <f t="shared" si="3"/>
        <v>0</v>
      </c>
      <c r="H14" s="130">
        <f t="shared" si="3"/>
        <v>0</v>
      </c>
      <c r="I14" s="130">
        <f t="shared" si="3"/>
        <v>0</v>
      </c>
      <c r="J14" s="130">
        <f t="shared" si="3"/>
        <v>0</v>
      </c>
      <c r="K14" s="130">
        <f t="shared" si="3"/>
        <v>0</v>
      </c>
      <c r="L14" s="130">
        <f t="shared" si="3"/>
        <v>0</v>
      </c>
      <c r="M14" s="130">
        <f t="shared" si="3"/>
        <v>0</v>
      </c>
      <c r="N14" s="130">
        <f t="shared" si="2"/>
        <v>0</v>
      </c>
    </row>
    <row r="15" spans="1:14" ht="26.25" customHeight="1">
      <c r="B15" s="236"/>
      <c r="C15" s="89" t="s">
        <v>50</v>
      </c>
      <c r="D15" s="130">
        <f t="shared" ref="D15:M15" si="4">SUM(D12:D14)</f>
        <v>2988409.2522100317</v>
      </c>
      <c r="E15" s="130">
        <f t="shared" si="4"/>
        <v>2887351.9345024461</v>
      </c>
      <c r="F15" s="130">
        <f t="shared" si="4"/>
        <v>2789712.0140120257</v>
      </c>
      <c r="G15" s="130">
        <f t="shared" si="4"/>
        <v>2695373.9265816677</v>
      </c>
      <c r="H15" s="130">
        <f t="shared" si="4"/>
        <v>2604226.016020935</v>
      </c>
      <c r="I15" s="130">
        <f t="shared" si="4"/>
        <v>2516160.4019525941</v>
      </c>
      <c r="J15" s="130">
        <f t="shared" si="4"/>
        <v>2431072.8521281108</v>
      </c>
      <c r="K15" s="130">
        <f t="shared" si="4"/>
        <v>2348862.6590609765</v>
      </c>
      <c r="L15" s="130">
        <f t="shared" si="4"/>
        <v>2269432.5208318615</v>
      </c>
      <c r="M15" s="130">
        <f t="shared" si="4"/>
        <v>2192688.4259245042</v>
      </c>
      <c r="N15" s="130">
        <f>SUM(D15:M15)</f>
        <v>25723290.003225155</v>
      </c>
    </row>
    <row r="16" spans="1:14" ht="12" customHeight="1"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86"/>
    </row>
    <row r="17" spans="2:16" ht="15" customHeight="1">
      <c r="B17" s="234" t="s">
        <v>154</v>
      </c>
      <c r="C17" s="83" t="s">
        <v>150</v>
      </c>
      <c r="D17" s="130">
        <f t="shared" ref="D17:M17" si="5">IF(D$10&lt;=time_horizon,harm_reduction_time_savings_CR*((1/(1+discount_rate))^(D$10-1)),"n/a")</f>
        <v>523165.59501818166</v>
      </c>
      <c r="E17" s="130">
        <f t="shared" si="5"/>
        <v>505474.00484848471</v>
      </c>
      <c r="F17" s="130">
        <f t="shared" si="5"/>
        <v>488380.68101302872</v>
      </c>
      <c r="G17" s="130">
        <f t="shared" si="5"/>
        <v>471865.39228311961</v>
      </c>
      <c r="H17" s="130">
        <f t="shared" si="5"/>
        <v>455908.59157789336</v>
      </c>
      <c r="I17" s="130">
        <f t="shared" si="5"/>
        <v>440491.3928288825</v>
      </c>
      <c r="J17" s="130">
        <f t="shared" si="5"/>
        <v>425595.54862693965</v>
      </c>
      <c r="K17" s="130">
        <f t="shared" si="5"/>
        <v>411203.42862506252</v>
      </c>
      <c r="L17" s="130">
        <f t="shared" si="5"/>
        <v>397297.99867155799</v>
      </c>
      <c r="M17" s="130">
        <f t="shared" si="5"/>
        <v>383862.80064884829</v>
      </c>
      <c r="N17" s="130">
        <f t="shared" si="2"/>
        <v>4503245.434142</v>
      </c>
    </row>
    <row r="18" spans="2:16" ht="15" customHeight="1">
      <c r="B18" s="235"/>
      <c r="C18" s="83" t="s">
        <v>151</v>
      </c>
      <c r="D18" s="130">
        <f t="shared" ref="D18:M18" si="6">IF(D$10&lt;=time_horizon,harm_reduction_double_paying_CR*((1/(1+discount_rate))^(D$10-1)),"n/a")</f>
        <v>-102647.01984379347</v>
      </c>
      <c r="E18" s="130">
        <f t="shared" si="6"/>
        <v>-99175.86458337534</v>
      </c>
      <c r="F18" s="130">
        <f t="shared" si="6"/>
        <v>-95822.091384903717</v>
      </c>
      <c r="G18" s="130">
        <f t="shared" si="6"/>
        <v>-92581.730806670268</v>
      </c>
      <c r="H18" s="130">
        <f t="shared" si="6"/>
        <v>-89450.947639294944</v>
      </c>
      <c r="I18" s="130">
        <f t="shared" si="6"/>
        <v>-86426.036366468557</v>
      </c>
      <c r="J18" s="130">
        <f t="shared" si="6"/>
        <v>-83503.416779196676</v>
      </c>
      <c r="K18" s="130">
        <f t="shared" si="6"/>
        <v>-80679.629738354284</v>
      </c>
      <c r="L18" s="130">
        <f t="shared" si="6"/>
        <v>-77951.333080535536</v>
      </c>
      <c r="M18" s="130">
        <f t="shared" si="6"/>
        <v>-75315.297662353187</v>
      </c>
      <c r="N18" s="130">
        <f>SUM(D18:M18)</f>
        <v>-883553.36788494594</v>
      </c>
    </row>
    <row r="19" spans="2:16" ht="15" customHeight="1">
      <c r="B19" s="235"/>
      <c r="C19" s="84" t="s">
        <v>152</v>
      </c>
      <c r="D19" s="130">
        <f t="shared" ref="D19:M19" si="7">IF(D$10&lt;=time_horizon,harm_reduction_loss_of_service_CR*((1/(1+discount_rate))^(D$10-1)),"n/a")</f>
        <v>-20970.587678010357</v>
      </c>
      <c r="E19" s="130">
        <f t="shared" si="7"/>
        <v>-20261.437370058316</v>
      </c>
      <c r="F19" s="130">
        <f t="shared" si="7"/>
        <v>-19576.26799039451</v>
      </c>
      <c r="G19" s="130">
        <f t="shared" si="7"/>
        <v>-18914.268589753152</v>
      </c>
      <c r="H19" s="130">
        <f t="shared" si="7"/>
        <v>-18274.655642273578</v>
      </c>
      <c r="I19" s="130">
        <f t="shared" si="7"/>
        <v>-17656.672118138722</v>
      </c>
      <c r="J19" s="130">
        <f t="shared" si="7"/>
        <v>-17059.586587573649</v>
      </c>
      <c r="K19" s="130">
        <f t="shared" si="7"/>
        <v>-16482.692355143623</v>
      </c>
      <c r="L19" s="130">
        <f t="shared" si="7"/>
        <v>-15925.306623327171</v>
      </c>
      <c r="M19" s="130">
        <f t="shared" si="7"/>
        <v>-15386.76968437408</v>
      </c>
      <c r="N19" s="130">
        <f t="shared" si="2"/>
        <v>-180508.24463904716</v>
      </c>
    </row>
    <row r="20" spans="2:16" ht="26.25" customHeight="1">
      <c r="B20" s="236"/>
      <c r="C20" s="89" t="s">
        <v>50</v>
      </c>
      <c r="D20" s="130">
        <f>SUM(D17:D19)</f>
        <v>399547.98749637784</v>
      </c>
      <c r="E20" s="130">
        <f>SUM(E17:E19)</f>
        <v>386036.70289505104</v>
      </c>
      <c r="F20" s="130">
        <f t="shared" ref="F20:M20" si="8">SUM(F17:F19)</f>
        <v>372982.32163773052</v>
      </c>
      <c r="G20" s="130">
        <f t="shared" si="8"/>
        <v>360369.39288669621</v>
      </c>
      <c r="H20" s="130">
        <f t="shared" si="8"/>
        <v>348182.98829632479</v>
      </c>
      <c r="I20" s="130">
        <f t="shared" si="8"/>
        <v>336408.68434427521</v>
      </c>
      <c r="J20" s="130">
        <f t="shared" si="8"/>
        <v>325032.54526016931</v>
      </c>
      <c r="K20" s="130">
        <f t="shared" si="8"/>
        <v>314041.10653156461</v>
      </c>
      <c r="L20" s="130">
        <f t="shared" si="8"/>
        <v>303421.35896769527</v>
      </c>
      <c r="M20" s="130">
        <f t="shared" si="8"/>
        <v>293160.73330212099</v>
      </c>
      <c r="N20" s="130">
        <f>SUM(D20:M20)</f>
        <v>3439183.8216180061</v>
      </c>
      <c r="P20" s="95"/>
    </row>
    <row r="21" spans="2:16" ht="11.25" customHeight="1"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86"/>
    </row>
    <row r="22" spans="2:16" ht="15" customHeight="1">
      <c r="B22" s="234" t="s">
        <v>155</v>
      </c>
      <c r="C22" s="83" t="s">
        <v>150</v>
      </c>
      <c r="D22" s="130">
        <f t="shared" ref="D22:M22" si="9">IFERROR(D12+D17,"n/a")</f>
        <v>2521367.520434848</v>
      </c>
      <c r="E22" s="130">
        <f t="shared" si="9"/>
        <v>2436103.8844781145</v>
      </c>
      <c r="F22" s="130">
        <f t="shared" si="9"/>
        <v>2353723.5598822362</v>
      </c>
      <c r="G22" s="130">
        <f t="shared" si="9"/>
        <v>2274129.0433644797</v>
      </c>
      <c r="H22" s="130">
        <f t="shared" si="9"/>
        <v>2197226.12885457</v>
      </c>
      <c r="I22" s="130">
        <f t="shared" si="9"/>
        <v>2122923.7959947535</v>
      </c>
      <c r="J22" s="130">
        <f t="shared" si="9"/>
        <v>2051134.10241039</v>
      </c>
      <c r="K22" s="130">
        <f t="shared" si="9"/>
        <v>1981772.0796235655</v>
      </c>
      <c r="L22" s="130">
        <f t="shared" si="9"/>
        <v>1914755.6324865366</v>
      </c>
      <c r="M22" s="130">
        <f t="shared" si="9"/>
        <v>1850005.4420159776</v>
      </c>
      <c r="N22" s="130">
        <f t="shared" si="2"/>
        <v>21703141.189545467</v>
      </c>
    </row>
    <row r="23" spans="2:16" ht="15" customHeight="1">
      <c r="B23" s="235"/>
      <c r="C23" s="83" t="s">
        <v>151</v>
      </c>
      <c r="D23" s="130">
        <f t="shared" ref="D23:M23" si="10">IFERROR(D13+D18,"n/a")</f>
        <v>887560.30694957171</v>
      </c>
      <c r="E23" s="130">
        <f t="shared" si="10"/>
        <v>857546.19028944126</v>
      </c>
      <c r="F23" s="130">
        <f t="shared" si="10"/>
        <v>828547.04375791433</v>
      </c>
      <c r="G23" s="130">
        <f t="shared" si="10"/>
        <v>800528.54469363717</v>
      </c>
      <c r="H23" s="130">
        <f t="shared" si="10"/>
        <v>773457.53110496351</v>
      </c>
      <c r="I23" s="130">
        <f t="shared" si="10"/>
        <v>747301.9624202546</v>
      </c>
      <c r="J23" s="130">
        <f t="shared" si="10"/>
        <v>722030.88156546338</v>
      </c>
      <c r="K23" s="130">
        <f t="shared" si="10"/>
        <v>697614.37832411937</v>
      </c>
      <c r="L23" s="130">
        <f t="shared" si="10"/>
        <v>674023.55393634725</v>
      </c>
      <c r="M23" s="130">
        <f t="shared" si="10"/>
        <v>651230.48689502152</v>
      </c>
      <c r="N23" s="130">
        <f>SUM(D23:M23)</f>
        <v>7639840.8799367342</v>
      </c>
    </row>
    <row r="24" spans="2:16" ht="15" customHeight="1">
      <c r="B24" s="235"/>
      <c r="C24" s="84" t="s">
        <v>152</v>
      </c>
      <c r="D24" s="130">
        <f t="shared" ref="D24:M24" si="11">IFERROR(D14+D19,"n/a")</f>
        <v>-20970.587678010357</v>
      </c>
      <c r="E24" s="130">
        <f t="shared" si="11"/>
        <v>-20261.437370058316</v>
      </c>
      <c r="F24" s="130">
        <f t="shared" si="11"/>
        <v>-19576.26799039451</v>
      </c>
      <c r="G24" s="130">
        <f t="shared" si="11"/>
        <v>-18914.268589753152</v>
      </c>
      <c r="H24" s="130">
        <f t="shared" si="11"/>
        <v>-18274.655642273578</v>
      </c>
      <c r="I24" s="130">
        <f t="shared" si="11"/>
        <v>-17656.672118138722</v>
      </c>
      <c r="J24" s="130">
        <f t="shared" si="11"/>
        <v>-17059.586587573649</v>
      </c>
      <c r="K24" s="130">
        <f t="shared" si="11"/>
        <v>-16482.692355143623</v>
      </c>
      <c r="L24" s="130">
        <f t="shared" si="11"/>
        <v>-15925.306623327171</v>
      </c>
      <c r="M24" s="130">
        <f t="shared" si="11"/>
        <v>-15386.76968437408</v>
      </c>
      <c r="N24" s="130">
        <f>SUM(D24:M24)</f>
        <v>-180508.24463904716</v>
      </c>
    </row>
    <row r="25" spans="2:16" ht="26.25" customHeight="1">
      <c r="B25" s="236"/>
      <c r="C25" s="89" t="s">
        <v>50</v>
      </c>
      <c r="D25" s="130">
        <f t="shared" ref="D25:M25" si="12">IFERROR(D15+D20,"n/a")</f>
        <v>3387957.2397064096</v>
      </c>
      <c r="E25" s="130">
        <f t="shared" si="12"/>
        <v>3273388.637397497</v>
      </c>
      <c r="F25" s="130">
        <f t="shared" si="12"/>
        <v>3162694.3356497562</v>
      </c>
      <c r="G25" s="130">
        <f t="shared" si="12"/>
        <v>3055743.3194683641</v>
      </c>
      <c r="H25" s="130">
        <f t="shared" si="12"/>
        <v>2952409.0043172599</v>
      </c>
      <c r="I25" s="130">
        <f t="shared" si="12"/>
        <v>2852569.0862968694</v>
      </c>
      <c r="J25" s="130">
        <f t="shared" si="12"/>
        <v>2756105.3973882804</v>
      </c>
      <c r="K25" s="130">
        <f t="shared" si="12"/>
        <v>2662903.7655925411</v>
      </c>
      <c r="L25" s="130">
        <f t="shared" si="12"/>
        <v>2572853.8797995569</v>
      </c>
      <c r="M25" s="130">
        <f t="shared" si="12"/>
        <v>2485849.1592266252</v>
      </c>
      <c r="N25" s="130">
        <f>SUM(D25:M25)</f>
        <v>29162473.824843161</v>
      </c>
    </row>
    <row r="28" spans="2:16">
      <c r="D28" s="169"/>
    </row>
    <row r="29" spans="2:16">
      <c r="D29" s="170"/>
    </row>
    <row r="32" spans="2:16">
      <c r="D32" s="169"/>
    </row>
  </sheetData>
  <mergeCells count="3">
    <mergeCell ref="B22:B25"/>
    <mergeCell ref="B17:B20"/>
    <mergeCell ref="B12:B15"/>
  </mergeCells>
  <pageMargins left="0.70866141732283472" right="0.70866141732283472" top="0.51181102362204722" bottom="0.51181102362204722" header="0.51181102362204722" footer="0.35433070866141736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84</vt:i4>
      </vt:variant>
    </vt:vector>
  </HeadingPairs>
  <TitlesOfParts>
    <vt:vector size="89" baseType="lpstr">
      <vt:lpstr>Contents</vt:lpstr>
      <vt:lpstr>control_panel</vt:lpstr>
      <vt:lpstr>calculations--&gt;</vt:lpstr>
      <vt:lpstr>harm_single_year</vt:lpstr>
      <vt:lpstr>harm_NPV</vt:lpstr>
      <vt:lpstr>avg_delay_managing</vt:lpstr>
      <vt:lpstr>avg_delay_not_managing</vt:lpstr>
      <vt:lpstr>avg_loss_CR</vt:lpstr>
      <vt:lpstr>avg_loss_new_process</vt:lpstr>
      <vt:lpstr>avg_loss_PAC</vt:lpstr>
      <vt:lpstr>avg_overlap_1_CR</vt:lpstr>
      <vt:lpstr>avg_overlap_1_CR_new_process</vt:lpstr>
      <vt:lpstr>avg_overlap_1_CR_not_new_process</vt:lpstr>
      <vt:lpstr>avg_overlap_1_H3G</vt:lpstr>
      <vt:lpstr>avg_overlap_1_H3G_new_process</vt:lpstr>
      <vt:lpstr>avg_overlap_1_H3G_not_new_process</vt:lpstr>
      <vt:lpstr>avg_overlap_1_O2</vt:lpstr>
      <vt:lpstr>avg_overlap_1_O2_new_process</vt:lpstr>
      <vt:lpstr>avg_overlap_1_O2_not_new_process</vt:lpstr>
      <vt:lpstr>avg_overlap_1_other</vt:lpstr>
      <vt:lpstr>avg_overlap_1_other_new_process</vt:lpstr>
      <vt:lpstr>avg_overlap_1_other_not_new_process</vt:lpstr>
      <vt:lpstr>avg_overlap_2_CR</vt:lpstr>
      <vt:lpstr>avg_overlap_2_CR_new_process</vt:lpstr>
      <vt:lpstr>avg_overlap_2_CR_not_new_process</vt:lpstr>
      <vt:lpstr>avg_overlap_2_H3G</vt:lpstr>
      <vt:lpstr>avg_overlap_2_H3G_new_process</vt:lpstr>
      <vt:lpstr>avg_overlap_2_H3G_not_new_process</vt:lpstr>
      <vt:lpstr>avg_overlap_2_O2</vt:lpstr>
      <vt:lpstr>avg_overlap_2_O2_new_process</vt:lpstr>
      <vt:lpstr>avg_overlap_2_O2_not_new_process</vt:lpstr>
      <vt:lpstr>avg_overlap_2_other</vt:lpstr>
      <vt:lpstr>avg_overlap_2_other_new_process</vt:lpstr>
      <vt:lpstr>avg_overlap_2_other_not_new_process</vt:lpstr>
      <vt:lpstr>avg_overlap_3_H3G</vt:lpstr>
      <vt:lpstr>avg_overlap_3_H3G_new_process</vt:lpstr>
      <vt:lpstr>avg_overlap_3_H3G_not_new_process</vt:lpstr>
      <vt:lpstr>avg_overlap_3_O2</vt:lpstr>
      <vt:lpstr>avg_overlap_3_O2_new_process</vt:lpstr>
      <vt:lpstr>avg_overlap_3_O2_not_new_process</vt:lpstr>
      <vt:lpstr>avg_overlap_3_other</vt:lpstr>
      <vt:lpstr>avg_overlap_3_other_new_process</vt:lpstr>
      <vt:lpstr>avg_overlap_3_other_not_new_process</vt:lpstr>
      <vt:lpstr>avg_spend_post_pay</vt:lpstr>
      <vt:lpstr>avg_spend_pre_post_weighted</vt:lpstr>
      <vt:lpstr>avg_time_new_process</vt:lpstr>
      <vt:lpstr>avg_time_status_quo</vt:lpstr>
      <vt:lpstr>discount_rate</vt:lpstr>
      <vt:lpstr>harm_reduction_CR</vt:lpstr>
      <vt:lpstr>harm_reduction_double_paying_CR</vt:lpstr>
      <vt:lpstr>harm_reduction_double_paying_PAC</vt:lpstr>
      <vt:lpstr>harm_reduction_loss_of_service_CR</vt:lpstr>
      <vt:lpstr>harm_reduction_loss_of_service_PAC</vt:lpstr>
      <vt:lpstr>harm_reduction_PAC</vt:lpstr>
      <vt:lpstr>harm_reduction_time_savings_CR</vt:lpstr>
      <vt:lpstr>harm_reduction_time_savings_PAC</vt:lpstr>
      <vt:lpstr>NPV_harm_reduction_double_paying</vt:lpstr>
      <vt:lpstr>NPV_harm_reduction_loss_of_service</vt:lpstr>
      <vt:lpstr>NPV_harm_reduction_time_savings</vt:lpstr>
      <vt:lpstr>NPV_harm_reduction_total</vt:lpstr>
      <vt:lpstr>number_CR</vt:lpstr>
      <vt:lpstr>number_PAC</vt:lpstr>
      <vt:lpstr>pct_away_from_H3G</vt:lpstr>
      <vt:lpstr>pct_away_from_O2</vt:lpstr>
      <vt:lpstr>pct_away_from_other</vt:lpstr>
      <vt:lpstr>pct_CR_using_new_process</vt:lpstr>
      <vt:lpstr>pct_eligible_for_time_saving</vt:lpstr>
      <vt:lpstr>pct_give_notice_PAC</vt:lpstr>
      <vt:lpstr>pct_loss_CR</vt:lpstr>
      <vt:lpstr>pct_loss_new_process</vt:lpstr>
      <vt:lpstr>pct_loss_PAC</vt:lpstr>
      <vt:lpstr>pct_manage_notice</vt:lpstr>
      <vt:lpstr>pct_out_of_contract_CR</vt:lpstr>
      <vt:lpstr>pct_out_of_contract_PAC</vt:lpstr>
      <vt:lpstr>pct_PAC</vt:lpstr>
      <vt:lpstr>pct_post_pay_CR</vt:lpstr>
      <vt:lpstr>pct_post_pay_PAC</vt:lpstr>
      <vt:lpstr>pct_redeem_PAC_after_14_days</vt:lpstr>
      <vt:lpstr>pct_start_managing</vt:lpstr>
      <vt:lpstr>pct_stop_contacting_LP</vt:lpstr>
      <vt:lpstr>scenario_choice</vt:lpstr>
      <vt:lpstr>text_effectiveness</vt:lpstr>
      <vt:lpstr>time_horizon</vt:lpstr>
      <vt:lpstr>value_non_working_time</vt:lpstr>
      <vt:lpstr>Workbook.Author</vt:lpstr>
      <vt:lpstr>Workbook.Status</vt:lpstr>
      <vt:lpstr>Workbook.Title</vt:lpstr>
      <vt:lpstr>Workbook.Version</vt:lpstr>
      <vt:lpstr>WTP_factor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2016-03-22T09:46:01Z</dcterms:created>
  <dcterms:modified xsi:type="dcterms:W3CDTF">2016-03-22T17:43:38Z</dcterms:modified>
</cp:coreProperties>
</file>