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\\homedrives\homedrives$\sweta.rana\Desktop\"/>
    </mc:Choice>
  </mc:AlternateContent>
  <bookViews>
    <workbookView xWindow="0" yWindow="0" windowWidth="25200" windowHeight="11760" tabRatio="836" activeTab="2"/>
  </bookViews>
  <sheets>
    <sheet name="Admin" sheetId="6" r:id="rId1"/>
    <sheet name="Model_Overview" sheetId="49" r:id="rId2"/>
    <sheet name="Control_Panel" sheetId="8" r:id="rId3"/>
    <sheet name="Inputs---&gt;" sheetId="10" r:id="rId4"/>
    <sheet name="Input_CPs" sheetId="4" r:id="rId5"/>
    <sheet name="Input_Events" sheetId="12" r:id="rId6"/>
    <sheet name="Input_Costs" sheetId="2" r:id="rId7"/>
    <sheet name="Input_CAPEX" sheetId="47" r:id="rId8"/>
    <sheet name="Input_OPEX" sheetId="39" r:id="rId9"/>
    <sheet name="Engine--&gt;" sheetId="14" r:id="rId10"/>
    <sheet name="Calc_CAPEX" sheetId="46" r:id="rId11"/>
    <sheet name="Calc_OPEX" sheetId="45" r:id="rId12"/>
    <sheet name="Outputs--&gt;" sheetId="18" r:id="rId13"/>
    <sheet name="Output_Costs" sheetId="19" r:id="rId14"/>
  </sheets>
  <definedNames>
    <definedName name="_xlnm._FilterDatabase" localSheetId="11" hidden="1">Calc_OPEX!$C$16:$I$126</definedName>
    <definedName name="CSA_day">Input_Costs!$E$39</definedName>
    <definedName name="CSA_min">Input_Costs!$E$26</definedName>
    <definedName name="CSAM_min">Input_Costs!$E$30</definedName>
    <definedName name="DEV_day">Input_Costs!$E$20</definedName>
    <definedName name="Fixed_Opex_Percent">Input_Costs!$E$49</definedName>
    <definedName name="PM_day">Input_Costs!$E$21</definedName>
    <definedName name="PM_overhead">Input_Costs!$E$23</definedName>
    <definedName name="Sens_Development">Control_Panel!$K$23</definedName>
    <definedName name="Sens_Training">Control_Panel!$K$25</definedName>
    <definedName name="Sens_VarOpex">Control_Panel!$K$26</definedName>
    <definedName name="SMB_on" localSheetId="1">Control_Panel!#REF!</definedName>
    <definedName name="SMB_on">Control_Panel!#REF!</definedName>
    <definedName name="SPM_min">Input_Costs!$E$33</definedName>
    <definedName name="T1_on">Control_Panel!$E$32</definedName>
    <definedName name="T2_on">Control_Panel!$E$33</definedName>
    <definedName name="T3_on">Control_Panel!$E$34</definedName>
    <definedName name="Tech_day">Input_Costs!$E$19</definedName>
    <definedName name="Time_Period">Input_Costs!$E$46</definedName>
    <definedName name="TR1_delta">Control_Panel!$K$18</definedName>
    <definedName name="TR2_delta">Control_Panel!$K$19</definedName>
    <definedName name="TR3_delta">Control_Panel!$K$20</definedName>
    <definedName name="Training_Day">Input_Costs!$E$39</definedName>
    <definedName name="Trigger1">Input_Events!$C$82</definedName>
    <definedName name="Trigger2">Input_Events!$C$83</definedName>
    <definedName name="Trigger3">Input_Events!$C$84</definedName>
    <definedName name="WACC">Input_Costs!$E$44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47" l="1"/>
  <c r="E26" i="4" l="1"/>
  <c r="E47" i="49" l="1"/>
  <c r="E45" i="49"/>
  <c r="E44" i="49"/>
  <c r="E42" i="49"/>
  <c r="E41" i="49"/>
  <c r="E40" i="49"/>
  <c r="E39" i="49"/>
  <c r="E38" i="49"/>
  <c r="D2" i="49"/>
  <c r="E83" i="12"/>
  <c r="H38" i="46"/>
  <c r="I38" i="46"/>
  <c r="J38" i="46"/>
  <c r="K38" i="46"/>
  <c r="G38" i="46"/>
  <c r="K29" i="8"/>
  <c r="L44" i="47" l="1"/>
  <c r="E36" i="2"/>
  <c r="G141" i="39" l="1"/>
  <c r="I141" i="39"/>
  <c r="J141" i="39"/>
  <c r="K141" i="39"/>
  <c r="M141" i="39"/>
  <c r="N141" i="39"/>
  <c r="O141" i="39"/>
  <c r="S141" i="39"/>
  <c r="E36" i="12" l="1"/>
  <c r="E34" i="12"/>
  <c r="E25" i="12"/>
  <c r="E27" i="12"/>
  <c r="E12" i="12"/>
  <c r="E14" i="12"/>
  <c r="E19" i="12"/>
  <c r="E24" i="12"/>
  <c r="E55" i="12"/>
  <c r="E56" i="12"/>
  <c r="E57" i="12"/>
  <c r="E58" i="12"/>
  <c r="E59" i="12"/>
  <c r="E69" i="12"/>
  <c r="E82" i="12" l="1"/>
  <c r="E28" i="12"/>
  <c r="E26" i="12"/>
  <c r="E21" i="12"/>
  <c r="E63" i="12"/>
  <c r="E64" i="12" s="1"/>
  <c r="E62" i="12"/>
  <c r="E67" i="12" l="1"/>
  <c r="E65" i="12"/>
  <c r="E70" i="12"/>
  <c r="E71" i="12" s="1"/>
  <c r="E84" i="12" l="1"/>
  <c r="C12" i="8"/>
  <c r="C11" i="8"/>
  <c r="C10" i="8"/>
  <c r="E28" i="4" l="1"/>
  <c r="K24" i="8" l="1"/>
  <c r="E23" i="2" s="1"/>
  <c r="R135" i="39"/>
  <c r="Q135" i="39"/>
  <c r="R134" i="39"/>
  <c r="Q134" i="39"/>
  <c r="N135" i="39"/>
  <c r="M135" i="39"/>
  <c r="N134" i="39"/>
  <c r="M134" i="39"/>
  <c r="J135" i="39"/>
  <c r="I135" i="39"/>
  <c r="J134" i="39"/>
  <c r="I134" i="39"/>
  <c r="F135" i="39"/>
  <c r="E135" i="39"/>
  <c r="F134" i="39"/>
  <c r="E134" i="39"/>
  <c r="R85" i="39"/>
  <c r="Q85" i="39"/>
  <c r="R84" i="39"/>
  <c r="Q84" i="39"/>
  <c r="N85" i="39"/>
  <c r="M85" i="39"/>
  <c r="N84" i="39"/>
  <c r="M84" i="39"/>
  <c r="J85" i="39"/>
  <c r="I85" i="39"/>
  <c r="J84" i="39"/>
  <c r="I84" i="39"/>
  <c r="F85" i="39"/>
  <c r="E85" i="39"/>
  <c r="F84" i="39"/>
  <c r="E84" i="39"/>
  <c r="R37" i="39"/>
  <c r="Q37" i="39"/>
  <c r="R36" i="39"/>
  <c r="Q36" i="39"/>
  <c r="N37" i="39"/>
  <c r="M37" i="39"/>
  <c r="N36" i="39"/>
  <c r="M36" i="39"/>
  <c r="J37" i="39"/>
  <c r="I37" i="39"/>
  <c r="J36" i="39"/>
  <c r="I36" i="39"/>
  <c r="F37" i="39"/>
  <c r="F36" i="39"/>
  <c r="E37" i="39"/>
  <c r="E36" i="39"/>
  <c r="M44" i="47" l="1"/>
  <c r="J44" i="47"/>
  <c r="I44" i="47"/>
  <c r="J59" i="47"/>
  <c r="I59" i="47"/>
  <c r="G35" i="46"/>
  <c r="H35" i="46"/>
  <c r="I35" i="46"/>
  <c r="J35" i="46"/>
  <c r="K35" i="46"/>
  <c r="F105" i="39"/>
  <c r="E105" i="39"/>
  <c r="F57" i="39"/>
  <c r="E57" i="39"/>
  <c r="S143" i="39"/>
  <c r="S142" i="39"/>
  <c r="S93" i="39"/>
  <c r="S92" i="39"/>
  <c r="S91" i="39"/>
  <c r="S45" i="39"/>
  <c r="S44" i="39"/>
  <c r="S43" i="39"/>
  <c r="C52" i="46" l="1"/>
  <c r="E15" i="4"/>
  <c r="K25" i="8" l="1"/>
  <c r="K26" i="8"/>
  <c r="J28" i="47"/>
  <c r="F57" i="47" l="1"/>
  <c r="E78" i="12"/>
  <c r="E30" i="4" l="1"/>
  <c r="E33" i="4" s="1"/>
  <c r="F148" i="39"/>
  <c r="E148" i="39"/>
  <c r="R99" i="39"/>
  <c r="S99" i="39" s="1"/>
  <c r="Q99" i="39"/>
  <c r="F99" i="39"/>
  <c r="F98" i="39"/>
  <c r="E99" i="39"/>
  <c r="E98" i="39"/>
  <c r="R51" i="39"/>
  <c r="Q51" i="39"/>
  <c r="F51" i="39"/>
  <c r="F50" i="39"/>
  <c r="E51" i="39"/>
  <c r="E50" i="39"/>
  <c r="C20" i="8"/>
  <c r="C19" i="8"/>
  <c r="C18" i="8"/>
  <c r="K20" i="8"/>
  <c r="C35" i="45"/>
  <c r="C34" i="45"/>
  <c r="C33" i="45"/>
  <c r="C20" i="45"/>
  <c r="C19" i="45"/>
  <c r="C18" i="45"/>
  <c r="C30" i="45"/>
  <c r="C29" i="45"/>
  <c r="C28" i="45"/>
  <c r="C25" i="45"/>
  <c r="C24" i="45"/>
  <c r="C23" i="45"/>
  <c r="J79" i="12"/>
  <c r="I35" i="39"/>
  <c r="G33" i="46"/>
  <c r="H33" i="46"/>
  <c r="I33" i="46"/>
  <c r="J33" i="46"/>
  <c r="K33" i="46"/>
  <c r="G34" i="46"/>
  <c r="H34" i="46"/>
  <c r="I34" i="46"/>
  <c r="J34" i="46"/>
  <c r="K34" i="46"/>
  <c r="H32" i="46"/>
  <c r="I32" i="46"/>
  <c r="J32" i="46"/>
  <c r="K32" i="46"/>
  <c r="G32" i="46"/>
  <c r="C67" i="2"/>
  <c r="C66" i="2"/>
  <c r="C65" i="2"/>
  <c r="G54" i="2"/>
  <c r="G55" i="2"/>
  <c r="G56" i="2"/>
  <c r="G53" i="2"/>
  <c r="E44" i="8"/>
  <c r="G51" i="39" l="1"/>
  <c r="S51" i="39"/>
  <c r="E29" i="4"/>
  <c r="E32" i="4" s="1"/>
  <c r="G99" i="39"/>
  <c r="E39" i="45"/>
  <c r="E40" i="45"/>
  <c r="E38" i="45"/>
  <c r="C40" i="45"/>
  <c r="C39" i="45"/>
  <c r="C38" i="45"/>
  <c r="F46" i="47"/>
  <c r="D60" i="47"/>
  <c r="J42" i="19" s="1"/>
  <c r="F58" i="47"/>
  <c r="F56" i="47"/>
  <c r="F55" i="47"/>
  <c r="F54" i="47"/>
  <c r="F53" i="47"/>
  <c r="F52" i="47"/>
  <c r="F51" i="47"/>
  <c r="F50" i="47"/>
  <c r="F49" i="47"/>
  <c r="F48" i="47"/>
  <c r="F47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7" i="47"/>
  <c r="F26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C34" i="8"/>
  <c r="C33" i="8"/>
  <c r="C32" i="8"/>
  <c r="B58" i="47"/>
  <c r="B57" i="47"/>
  <c r="B56" i="47"/>
  <c r="B55" i="47"/>
  <c r="B54" i="47"/>
  <c r="B53" i="47"/>
  <c r="B52" i="47"/>
  <c r="B51" i="47"/>
  <c r="B50" i="47"/>
  <c r="B49" i="47"/>
  <c r="B48" i="47"/>
  <c r="B47" i="47"/>
  <c r="K59" i="47"/>
  <c r="B46" i="47"/>
  <c r="B43" i="47"/>
  <c r="B42" i="47"/>
  <c r="B41" i="47"/>
  <c r="B40" i="47"/>
  <c r="B39" i="47"/>
  <c r="B38" i="47"/>
  <c r="B37" i="47"/>
  <c r="B36" i="47"/>
  <c r="B35" i="47"/>
  <c r="B34" i="47"/>
  <c r="B33" i="47"/>
  <c r="B32" i="47"/>
  <c r="B31" i="47"/>
  <c r="B30" i="47"/>
  <c r="B27" i="47"/>
  <c r="B26" i="47"/>
  <c r="B25" i="47"/>
  <c r="B24" i="47"/>
  <c r="B23" i="47"/>
  <c r="B22" i="47"/>
  <c r="B21" i="47"/>
  <c r="B20" i="47"/>
  <c r="B19" i="47"/>
  <c r="B18" i="47"/>
  <c r="B17" i="47"/>
  <c r="B16" i="47"/>
  <c r="B15" i="47"/>
  <c r="B14" i="47"/>
  <c r="L28" i="47"/>
  <c r="B13" i="47"/>
  <c r="C2" i="47"/>
  <c r="F70" i="47" l="1"/>
  <c r="I28" i="47"/>
  <c r="L59" i="47"/>
  <c r="K44" i="47"/>
  <c r="K28" i="47"/>
  <c r="M59" i="47"/>
  <c r="F75" i="47"/>
  <c r="F73" i="47"/>
  <c r="F72" i="47"/>
  <c r="F66" i="47"/>
  <c r="F76" i="47"/>
  <c r="F68" i="47"/>
  <c r="F79" i="47"/>
  <c r="F64" i="47"/>
  <c r="F74" i="47"/>
  <c r="F78" i="47"/>
  <c r="F77" i="47"/>
  <c r="F65" i="47"/>
  <c r="F69" i="47"/>
  <c r="F71" i="47"/>
  <c r="F67" i="47"/>
  <c r="K70" i="47" l="1"/>
  <c r="K66" i="47"/>
  <c r="J70" i="47"/>
  <c r="M70" i="47"/>
  <c r="L70" i="47"/>
  <c r="J78" i="47"/>
  <c r="M78" i="47"/>
  <c r="K78" i="47"/>
  <c r="L78" i="47"/>
  <c r="J74" i="47"/>
  <c r="M74" i="47"/>
  <c r="K74" i="47"/>
  <c r="L74" i="47"/>
  <c r="J79" i="47"/>
  <c r="M79" i="47"/>
  <c r="K79" i="47"/>
  <c r="L79" i="47"/>
  <c r="J71" i="47"/>
  <c r="M71" i="47"/>
  <c r="K71" i="47"/>
  <c r="L71" i="47"/>
  <c r="J69" i="47"/>
  <c r="M69" i="47"/>
  <c r="K69" i="47"/>
  <c r="L69" i="47"/>
  <c r="J76" i="47"/>
  <c r="M76" i="47"/>
  <c r="K76" i="47"/>
  <c r="L76" i="47"/>
  <c r="J68" i="47"/>
  <c r="M68" i="47"/>
  <c r="K68" i="47"/>
  <c r="L68" i="47"/>
  <c r="M65" i="47"/>
  <c r="J65" i="47"/>
  <c r="K65" i="47"/>
  <c r="L65" i="47"/>
  <c r="J66" i="47"/>
  <c r="M66" i="47"/>
  <c r="L66" i="47"/>
  <c r="J73" i="47"/>
  <c r="M73" i="47"/>
  <c r="L73" i="47"/>
  <c r="K73" i="47"/>
  <c r="M75" i="47"/>
  <c r="J75" i="47"/>
  <c r="L75" i="47"/>
  <c r="K75" i="47"/>
  <c r="J64" i="47"/>
  <c r="M64" i="47"/>
  <c r="K64" i="47"/>
  <c r="L64" i="47"/>
  <c r="J67" i="47"/>
  <c r="M67" i="47"/>
  <c r="K67" i="47"/>
  <c r="L67" i="47"/>
  <c r="J77" i="47"/>
  <c r="M77" i="47"/>
  <c r="L77" i="47"/>
  <c r="K77" i="47"/>
  <c r="J72" i="47"/>
  <c r="M72" i="47"/>
  <c r="K72" i="47"/>
  <c r="L72" i="47"/>
  <c r="C54" i="46"/>
  <c r="C53" i="46"/>
  <c r="C48" i="46"/>
  <c r="C47" i="46"/>
  <c r="C46" i="46"/>
  <c r="C42" i="46"/>
  <c r="C41" i="46"/>
  <c r="C40" i="46"/>
  <c r="C28" i="46"/>
  <c r="C27" i="46"/>
  <c r="C26" i="46"/>
  <c r="C34" i="46"/>
  <c r="C33" i="46"/>
  <c r="C32" i="46"/>
  <c r="C22" i="46"/>
  <c r="C21" i="46"/>
  <c r="C20" i="46"/>
  <c r="C16" i="46"/>
  <c r="C15" i="46"/>
  <c r="C14" i="46"/>
  <c r="C8" i="46"/>
  <c r="I8" i="46" s="1"/>
  <c r="C9" i="46"/>
  <c r="C10" i="46"/>
  <c r="C2" i="46"/>
  <c r="I17" i="46" l="1"/>
  <c r="K80" i="47"/>
  <c r="L80" i="47"/>
  <c r="I80" i="47"/>
  <c r="J80" i="47"/>
  <c r="M80" i="47"/>
  <c r="J17" i="46"/>
  <c r="G17" i="46"/>
  <c r="H17" i="46"/>
  <c r="H8" i="46"/>
  <c r="K17" i="46"/>
  <c r="I11" i="46"/>
  <c r="H11" i="46"/>
  <c r="J11" i="46"/>
  <c r="G11" i="46"/>
  <c r="K11" i="46"/>
  <c r="J10" i="46"/>
  <c r="G10" i="46"/>
  <c r="I10" i="46"/>
  <c r="H10" i="46"/>
  <c r="K10" i="46"/>
  <c r="H9" i="46"/>
  <c r="K9" i="46"/>
  <c r="G9" i="46"/>
  <c r="J9" i="46"/>
  <c r="I9" i="46"/>
  <c r="H16" i="46"/>
  <c r="K16" i="46"/>
  <c r="G16" i="46"/>
  <c r="J16" i="46"/>
  <c r="I16" i="46"/>
  <c r="J15" i="46"/>
  <c r="G15" i="46"/>
  <c r="I15" i="46"/>
  <c r="K15" i="46"/>
  <c r="H15" i="46"/>
  <c r="J8" i="46"/>
  <c r="G8" i="46"/>
  <c r="K8" i="46"/>
  <c r="H14" i="46"/>
  <c r="I14" i="46"/>
  <c r="K14" i="46"/>
  <c r="G14" i="46"/>
  <c r="J14" i="46"/>
  <c r="E29" i="2"/>
  <c r="E17" i="2"/>
  <c r="K18" i="8"/>
  <c r="K19" i="8"/>
  <c r="K23" i="8"/>
  <c r="E37" i="2" l="1"/>
  <c r="E19" i="2"/>
  <c r="G29" i="46" s="1"/>
  <c r="G28" i="46"/>
  <c r="G26" i="46"/>
  <c r="G27" i="46"/>
  <c r="J23" i="46"/>
  <c r="J29" i="46" s="1"/>
  <c r="I23" i="46"/>
  <c r="I29" i="46" s="1"/>
  <c r="H23" i="46"/>
  <c r="H29" i="46" s="1"/>
  <c r="K23" i="46"/>
  <c r="K29" i="46" s="1"/>
  <c r="E39" i="2"/>
  <c r="N43" i="39"/>
  <c r="O43" i="39" s="1"/>
  <c r="M43" i="39"/>
  <c r="J43" i="39"/>
  <c r="I43" i="39"/>
  <c r="G43" i="39"/>
  <c r="G142" i="39"/>
  <c r="G92" i="39"/>
  <c r="G91" i="39"/>
  <c r="F149" i="39"/>
  <c r="E149" i="39"/>
  <c r="G143" i="39"/>
  <c r="G135" i="39"/>
  <c r="G134" i="39"/>
  <c r="G132" i="39"/>
  <c r="G129" i="39"/>
  <c r="G128" i="39"/>
  <c r="N143" i="39"/>
  <c r="M143" i="39"/>
  <c r="J143" i="39"/>
  <c r="I143" i="39"/>
  <c r="O135" i="39"/>
  <c r="S134" i="39"/>
  <c r="R129" i="39"/>
  <c r="Q129" i="39"/>
  <c r="N129" i="39"/>
  <c r="M129" i="39"/>
  <c r="J129" i="39"/>
  <c r="I129" i="39"/>
  <c r="R123" i="39"/>
  <c r="Q123" i="39"/>
  <c r="N123" i="39"/>
  <c r="M123" i="39"/>
  <c r="J123" i="39"/>
  <c r="I123" i="39"/>
  <c r="R122" i="39"/>
  <c r="Q122" i="39"/>
  <c r="N122" i="39"/>
  <c r="M122" i="39"/>
  <c r="J122" i="39"/>
  <c r="I122" i="39"/>
  <c r="R121" i="39"/>
  <c r="Q121" i="39"/>
  <c r="N121" i="39"/>
  <c r="M121" i="39"/>
  <c r="J121" i="39"/>
  <c r="I121" i="39"/>
  <c r="R120" i="39"/>
  <c r="Q120" i="39"/>
  <c r="N120" i="39"/>
  <c r="M120" i="39"/>
  <c r="J120" i="39"/>
  <c r="I120" i="39"/>
  <c r="R119" i="39"/>
  <c r="Q119" i="39"/>
  <c r="N119" i="39"/>
  <c r="M119" i="39"/>
  <c r="J119" i="39"/>
  <c r="I119" i="39"/>
  <c r="R118" i="39"/>
  <c r="Q118" i="39"/>
  <c r="N118" i="39"/>
  <c r="M118" i="39"/>
  <c r="J118" i="39"/>
  <c r="I118" i="39"/>
  <c r="R117" i="39"/>
  <c r="Q117" i="39"/>
  <c r="N117" i="39"/>
  <c r="M117" i="39"/>
  <c r="J117" i="39"/>
  <c r="I117" i="39"/>
  <c r="R116" i="39"/>
  <c r="Q116" i="39"/>
  <c r="N116" i="39"/>
  <c r="M116" i="39"/>
  <c r="J116" i="39"/>
  <c r="I116" i="39"/>
  <c r="R115" i="39"/>
  <c r="Q115" i="39"/>
  <c r="N115" i="39"/>
  <c r="M115" i="39"/>
  <c r="J115" i="39"/>
  <c r="I115" i="39"/>
  <c r="R114" i="39"/>
  <c r="Q114" i="39"/>
  <c r="N114" i="39"/>
  <c r="M114" i="39"/>
  <c r="J114" i="39"/>
  <c r="I114" i="39"/>
  <c r="R113" i="39"/>
  <c r="Q113" i="39"/>
  <c r="N113" i="39"/>
  <c r="M113" i="39"/>
  <c r="J113" i="39"/>
  <c r="I113" i="39"/>
  <c r="N93" i="39"/>
  <c r="M93" i="39"/>
  <c r="J93" i="39"/>
  <c r="I93" i="39"/>
  <c r="N91" i="39"/>
  <c r="M91" i="39"/>
  <c r="J91" i="39"/>
  <c r="I91" i="39"/>
  <c r="R83" i="39"/>
  <c r="Q83" i="39"/>
  <c r="N83" i="39"/>
  <c r="M83" i="39"/>
  <c r="J83" i="39"/>
  <c r="I83" i="39"/>
  <c r="R82" i="39"/>
  <c r="Q82" i="39"/>
  <c r="N82" i="39"/>
  <c r="M82" i="39"/>
  <c r="J82" i="39"/>
  <c r="I82" i="39"/>
  <c r="R79" i="39"/>
  <c r="Q79" i="39"/>
  <c r="N79" i="39"/>
  <c r="M79" i="39"/>
  <c r="J79" i="39"/>
  <c r="I79" i="39"/>
  <c r="R78" i="39"/>
  <c r="Q78" i="39"/>
  <c r="N78" i="39"/>
  <c r="M78" i="39"/>
  <c r="J78" i="39"/>
  <c r="I78" i="39"/>
  <c r="R73" i="39"/>
  <c r="Q73" i="39"/>
  <c r="N73" i="39"/>
  <c r="M73" i="39"/>
  <c r="J73" i="39"/>
  <c r="I73" i="39"/>
  <c r="R72" i="39"/>
  <c r="Q72" i="39"/>
  <c r="N72" i="39"/>
  <c r="M72" i="39"/>
  <c r="J72" i="39"/>
  <c r="I72" i="39"/>
  <c r="R71" i="39"/>
  <c r="Q71" i="39"/>
  <c r="N71" i="39"/>
  <c r="M71" i="39"/>
  <c r="J71" i="39"/>
  <c r="I71" i="39"/>
  <c r="R70" i="39"/>
  <c r="Q70" i="39"/>
  <c r="N70" i="39"/>
  <c r="M70" i="39"/>
  <c r="J70" i="39"/>
  <c r="I70" i="39"/>
  <c r="R69" i="39"/>
  <c r="Q69" i="39"/>
  <c r="N69" i="39"/>
  <c r="M69" i="39"/>
  <c r="J69" i="39"/>
  <c r="I69" i="39"/>
  <c r="R68" i="39"/>
  <c r="Q68" i="39"/>
  <c r="N68" i="39"/>
  <c r="M68" i="39"/>
  <c r="J68" i="39"/>
  <c r="I68" i="39"/>
  <c r="R67" i="39"/>
  <c r="Q67" i="39"/>
  <c r="N67" i="39"/>
  <c r="M67" i="39"/>
  <c r="J67" i="39"/>
  <c r="I67" i="39"/>
  <c r="R66" i="39"/>
  <c r="Q66" i="39"/>
  <c r="N66" i="39"/>
  <c r="M66" i="39"/>
  <c r="J66" i="39"/>
  <c r="I66" i="39"/>
  <c r="R65" i="39"/>
  <c r="Q65" i="39"/>
  <c r="N65" i="39"/>
  <c r="M65" i="39"/>
  <c r="J65" i="39"/>
  <c r="J74" i="39" s="1"/>
  <c r="I65" i="39"/>
  <c r="N45" i="39"/>
  <c r="M45" i="39"/>
  <c r="J45" i="39"/>
  <c r="I45" i="39"/>
  <c r="N44" i="39"/>
  <c r="M44" i="39"/>
  <c r="J44" i="39"/>
  <c r="I44" i="39"/>
  <c r="S37" i="39"/>
  <c r="R149" i="39"/>
  <c r="Q149" i="39"/>
  <c r="N142" i="39"/>
  <c r="M142" i="39"/>
  <c r="J142" i="39"/>
  <c r="I142" i="39"/>
  <c r="Q133" i="39"/>
  <c r="M133" i="39"/>
  <c r="I133" i="39"/>
  <c r="R132" i="39"/>
  <c r="Q132" i="39"/>
  <c r="N132" i="39"/>
  <c r="M132" i="39"/>
  <c r="J132" i="39"/>
  <c r="I132" i="39"/>
  <c r="R128" i="39"/>
  <c r="Q128" i="39"/>
  <c r="N128" i="39"/>
  <c r="M128" i="39"/>
  <c r="J128" i="39"/>
  <c r="I128" i="39"/>
  <c r="N92" i="39"/>
  <c r="M92" i="39"/>
  <c r="J92" i="39"/>
  <c r="I92" i="39"/>
  <c r="R35" i="39"/>
  <c r="Q35" i="39"/>
  <c r="N35" i="39"/>
  <c r="M35" i="39"/>
  <c r="J35" i="39"/>
  <c r="R34" i="39"/>
  <c r="Q34" i="39"/>
  <c r="N34" i="39"/>
  <c r="M34" i="39"/>
  <c r="J34" i="39"/>
  <c r="I34" i="39"/>
  <c r="I57" i="39" s="1"/>
  <c r="R31" i="39"/>
  <c r="Q31" i="39"/>
  <c r="S31" i="39" s="1"/>
  <c r="N31" i="39"/>
  <c r="M31" i="39"/>
  <c r="J31" i="39"/>
  <c r="I31" i="39"/>
  <c r="R30" i="39"/>
  <c r="Q30" i="39"/>
  <c r="N30" i="39"/>
  <c r="M30" i="39"/>
  <c r="J30" i="39"/>
  <c r="I30" i="39"/>
  <c r="Q17" i="39"/>
  <c r="R17" i="39"/>
  <c r="Q18" i="39"/>
  <c r="R18" i="39"/>
  <c r="Q19" i="39"/>
  <c r="R19" i="39"/>
  <c r="S19" i="39" s="1"/>
  <c r="Q20" i="39"/>
  <c r="R20" i="39"/>
  <c r="Q21" i="39"/>
  <c r="R21" i="39"/>
  <c r="S21" i="39" s="1"/>
  <c r="Q22" i="39"/>
  <c r="R22" i="39"/>
  <c r="Q23" i="39"/>
  <c r="R23" i="39"/>
  <c r="S23" i="39" s="1"/>
  <c r="Q24" i="39"/>
  <c r="R24" i="39"/>
  <c r="Q25" i="39"/>
  <c r="R25" i="39"/>
  <c r="S25" i="39" s="1"/>
  <c r="M17" i="39"/>
  <c r="N17" i="39"/>
  <c r="M18" i="39"/>
  <c r="N18" i="39"/>
  <c r="O18" i="39" s="1"/>
  <c r="M19" i="39"/>
  <c r="N19" i="39"/>
  <c r="M20" i="39"/>
  <c r="N20" i="39"/>
  <c r="M21" i="39"/>
  <c r="N21" i="39"/>
  <c r="M22" i="39"/>
  <c r="N22" i="39"/>
  <c r="O22" i="39" s="1"/>
  <c r="M23" i="39"/>
  <c r="N23" i="39"/>
  <c r="M24" i="39"/>
  <c r="N24" i="39"/>
  <c r="O24" i="39" s="1"/>
  <c r="M25" i="39"/>
  <c r="N25" i="39"/>
  <c r="I17" i="39"/>
  <c r="J17" i="39"/>
  <c r="I18" i="39"/>
  <c r="J18" i="39"/>
  <c r="I19" i="39"/>
  <c r="J19" i="39"/>
  <c r="I20" i="39"/>
  <c r="J20" i="39"/>
  <c r="I21" i="39"/>
  <c r="J21" i="39"/>
  <c r="I22" i="39"/>
  <c r="J22" i="39"/>
  <c r="I23" i="39"/>
  <c r="J23" i="39"/>
  <c r="I24" i="39"/>
  <c r="J24" i="39"/>
  <c r="I25" i="39"/>
  <c r="J25" i="39"/>
  <c r="F124" i="39"/>
  <c r="E124" i="39"/>
  <c r="E147" i="39" s="1"/>
  <c r="G114" i="39"/>
  <c r="G115" i="39"/>
  <c r="G116" i="39"/>
  <c r="G117" i="39"/>
  <c r="G118" i="39"/>
  <c r="G119" i="39"/>
  <c r="G120" i="39"/>
  <c r="G121" i="39"/>
  <c r="G122" i="39"/>
  <c r="G123" i="39"/>
  <c r="G113" i="39"/>
  <c r="F74" i="39"/>
  <c r="F97" i="39" s="1"/>
  <c r="E74" i="39"/>
  <c r="E97" i="39" s="1"/>
  <c r="G73" i="39"/>
  <c r="G72" i="39"/>
  <c r="G71" i="39"/>
  <c r="G70" i="39"/>
  <c r="G69" i="39"/>
  <c r="G68" i="39"/>
  <c r="G67" i="39"/>
  <c r="G66" i="39"/>
  <c r="G65" i="39"/>
  <c r="G93" i="39"/>
  <c r="G85" i="39"/>
  <c r="G84" i="39"/>
  <c r="G83" i="39"/>
  <c r="G82" i="39"/>
  <c r="G31" i="39"/>
  <c r="F26" i="39"/>
  <c r="F49" i="39" s="1"/>
  <c r="E26" i="39"/>
  <c r="E49" i="39" s="1"/>
  <c r="G36" i="39"/>
  <c r="G25" i="39"/>
  <c r="G24" i="39"/>
  <c r="G23" i="39"/>
  <c r="G22" i="39"/>
  <c r="G21" i="39"/>
  <c r="G20" i="39"/>
  <c r="G19" i="39"/>
  <c r="G18" i="39"/>
  <c r="G17" i="39"/>
  <c r="J57" i="39" l="1"/>
  <c r="S35" i="39"/>
  <c r="O92" i="39"/>
  <c r="S132" i="39"/>
  <c r="O66" i="39"/>
  <c r="S67" i="39"/>
  <c r="O68" i="39"/>
  <c r="S69" i="39"/>
  <c r="O70" i="39"/>
  <c r="S71" i="39"/>
  <c r="O72" i="39"/>
  <c r="S73" i="39"/>
  <c r="S79" i="39"/>
  <c r="O82" i="39"/>
  <c r="S83" i="39"/>
  <c r="O91" i="39"/>
  <c r="O93" i="39"/>
  <c r="O113" i="39"/>
  <c r="S114" i="39"/>
  <c r="O115" i="39"/>
  <c r="S116" i="39"/>
  <c r="O117" i="39"/>
  <c r="S118" i="39"/>
  <c r="O119" i="39"/>
  <c r="S120" i="39"/>
  <c r="S122" i="39"/>
  <c r="O123" i="39"/>
  <c r="S129" i="39"/>
  <c r="I148" i="39"/>
  <c r="Q148" i="39"/>
  <c r="M74" i="39"/>
  <c r="I124" i="39"/>
  <c r="I147" i="39" s="1"/>
  <c r="I151" i="39" s="1"/>
  <c r="Q124" i="39"/>
  <c r="O25" i="39"/>
  <c r="O23" i="39"/>
  <c r="O21" i="39"/>
  <c r="O19" i="39"/>
  <c r="S24" i="39"/>
  <c r="S22" i="39"/>
  <c r="S18" i="39"/>
  <c r="O35" i="39"/>
  <c r="S128" i="39"/>
  <c r="O132" i="39"/>
  <c r="O44" i="39"/>
  <c r="O45" i="39"/>
  <c r="S66" i="39"/>
  <c r="O67" i="39"/>
  <c r="S68" i="39"/>
  <c r="O69" i="39"/>
  <c r="S70" i="39"/>
  <c r="O71" i="39"/>
  <c r="S72" i="39"/>
  <c r="O73" i="39"/>
  <c r="S78" i="39"/>
  <c r="O79" i="39"/>
  <c r="S82" i="39"/>
  <c r="O83" i="39"/>
  <c r="S113" i="39"/>
  <c r="S115" i="39"/>
  <c r="O116" i="39"/>
  <c r="S117" i="39"/>
  <c r="O118" i="39"/>
  <c r="S119" i="39"/>
  <c r="O120" i="39"/>
  <c r="O122" i="39"/>
  <c r="M148" i="39"/>
  <c r="I74" i="39"/>
  <c r="Q74" i="39"/>
  <c r="M124" i="39"/>
  <c r="J105" i="39"/>
  <c r="O114" i="39"/>
  <c r="S17" i="39"/>
  <c r="R26" i="39"/>
  <c r="R49" i="39" s="1"/>
  <c r="M50" i="39"/>
  <c r="N148" i="39"/>
  <c r="O148" i="39" s="1"/>
  <c r="O128" i="39"/>
  <c r="O65" i="39"/>
  <c r="N74" i="39"/>
  <c r="R105" i="39"/>
  <c r="O30" i="39"/>
  <c r="O34" i="39"/>
  <c r="S149" i="39"/>
  <c r="N26" i="39"/>
  <c r="O17" i="39"/>
  <c r="R74" i="39"/>
  <c r="S65" i="39"/>
  <c r="S123" i="39"/>
  <c r="O129" i="39"/>
  <c r="O143" i="39"/>
  <c r="S30" i="39"/>
  <c r="S34" i="39"/>
  <c r="O142" i="39"/>
  <c r="R57" i="39"/>
  <c r="F53" i="39"/>
  <c r="J124" i="39"/>
  <c r="J147" i="39" s="1"/>
  <c r="N124" i="39"/>
  <c r="O124" i="39" s="1"/>
  <c r="O121" i="39"/>
  <c r="R124" i="39"/>
  <c r="S124" i="39" s="1"/>
  <c r="S121" i="39"/>
  <c r="N98" i="39"/>
  <c r="O78" i="39"/>
  <c r="O31" i="39"/>
  <c r="S20" i="39"/>
  <c r="Q26" i="39"/>
  <c r="S26" i="39" s="1"/>
  <c r="O20" i="39"/>
  <c r="M26" i="39"/>
  <c r="O134" i="39"/>
  <c r="S135" i="39"/>
  <c r="N57" i="39"/>
  <c r="O37" i="39"/>
  <c r="O36" i="39"/>
  <c r="M57" i="39"/>
  <c r="Q57" i="39"/>
  <c r="S57" i="39" s="1"/>
  <c r="S36" i="39"/>
  <c r="S85" i="39"/>
  <c r="N105" i="39"/>
  <c r="O85" i="39"/>
  <c r="I105" i="39"/>
  <c r="M105" i="39"/>
  <c r="O84" i="39"/>
  <c r="Q105" i="39"/>
  <c r="S84" i="39"/>
  <c r="G43" i="46"/>
  <c r="G49" i="46" s="1"/>
  <c r="F44" i="19" s="1"/>
  <c r="H43" i="46"/>
  <c r="H49" i="46" s="1"/>
  <c r="F45" i="19" s="1"/>
  <c r="G40" i="46"/>
  <c r="H41" i="46"/>
  <c r="G41" i="46"/>
  <c r="G42" i="46"/>
  <c r="H40" i="46"/>
  <c r="H42" i="46"/>
  <c r="N51" i="39"/>
  <c r="J83" i="12"/>
  <c r="I14" i="45" s="1"/>
  <c r="M98" i="39"/>
  <c r="K121" i="39"/>
  <c r="J148" i="39"/>
  <c r="R148" i="39"/>
  <c r="S148" i="39" s="1"/>
  <c r="F147" i="39"/>
  <c r="M99" i="39"/>
  <c r="N99" i="39"/>
  <c r="I98" i="39"/>
  <c r="Q98" i="39"/>
  <c r="I99" i="39"/>
  <c r="J50" i="39"/>
  <c r="R50" i="39"/>
  <c r="J98" i="39"/>
  <c r="R98" i="39"/>
  <c r="J99" i="39"/>
  <c r="N50" i="39"/>
  <c r="O50" i="39" s="1"/>
  <c r="I51" i="39"/>
  <c r="I50" i="39"/>
  <c r="Q50" i="39"/>
  <c r="J51" i="39"/>
  <c r="M51" i="39"/>
  <c r="K135" i="39"/>
  <c r="K65" i="39"/>
  <c r="K69" i="39"/>
  <c r="K114" i="39"/>
  <c r="K116" i="39"/>
  <c r="K113" i="39"/>
  <c r="K117" i="39"/>
  <c r="K129" i="39"/>
  <c r="E53" i="39"/>
  <c r="K132" i="39"/>
  <c r="K142" i="39"/>
  <c r="K66" i="39"/>
  <c r="K68" i="39"/>
  <c r="K70" i="39"/>
  <c r="K72" i="39"/>
  <c r="K78" i="39"/>
  <c r="K82" i="39"/>
  <c r="K84" i="39"/>
  <c r="K91" i="39"/>
  <c r="K93" i="39"/>
  <c r="K115" i="39"/>
  <c r="K119" i="39"/>
  <c r="K123" i="39"/>
  <c r="K134" i="39"/>
  <c r="K143" i="39"/>
  <c r="K128" i="39"/>
  <c r="M149" i="39"/>
  <c r="K73" i="39"/>
  <c r="K118" i="39"/>
  <c r="K120" i="39"/>
  <c r="K122" i="39"/>
  <c r="K43" i="39"/>
  <c r="K36" i="39"/>
  <c r="K67" i="39"/>
  <c r="K71" i="39"/>
  <c r="K83" i="39"/>
  <c r="K85" i="39"/>
  <c r="G98" i="39"/>
  <c r="K92" i="39"/>
  <c r="N149" i="39"/>
  <c r="I149" i="39"/>
  <c r="J149" i="39"/>
  <c r="K79" i="39"/>
  <c r="E101" i="39"/>
  <c r="K23" i="39"/>
  <c r="K19" i="39"/>
  <c r="K37" i="39"/>
  <c r="K45" i="39"/>
  <c r="K44" i="39"/>
  <c r="K35" i="39"/>
  <c r="K34" i="39"/>
  <c r="Q147" i="39"/>
  <c r="Q151" i="39" s="1"/>
  <c r="J97" i="39"/>
  <c r="K30" i="39"/>
  <c r="K31" i="39"/>
  <c r="K24" i="39"/>
  <c r="K22" i="39"/>
  <c r="K20" i="39"/>
  <c r="K25" i="39"/>
  <c r="K21" i="39"/>
  <c r="I26" i="39"/>
  <c r="I49" i="39" s="1"/>
  <c r="I53" i="39" s="1"/>
  <c r="J26" i="39"/>
  <c r="J49" i="39" s="1"/>
  <c r="J53" i="39" s="1"/>
  <c r="K17" i="39"/>
  <c r="K18" i="39"/>
  <c r="N49" i="39"/>
  <c r="E151" i="39"/>
  <c r="F101" i="39"/>
  <c r="G74" i="39"/>
  <c r="G26" i="39"/>
  <c r="G50" i="39"/>
  <c r="I19" i="45" l="1"/>
  <c r="I29" i="45"/>
  <c r="I34" i="45" s="1"/>
  <c r="O26" i="39"/>
  <c r="O74" i="39"/>
  <c r="N97" i="39"/>
  <c r="S74" i="39"/>
  <c r="O99" i="39"/>
  <c r="R97" i="39"/>
  <c r="Q49" i="39"/>
  <c r="Q53" i="39" s="1"/>
  <c r="N147" i="39"/>
  <c r="S105" i="39"/>
  <c r="S50" i="39"/>
  <c r="O98" i="39"/>
  <c r="O149" i="39"/>
  <c r="S98" i="39"/>
  <c r="O51" i="39"/>
  <c r="R147" i="39"/>
  <c r="S147" i="39" s="1"/>
  <c r="M49" i="39"/>
  <c r="M53" i="39" s="1"/>
  <c r="O57" i="39"/>
  <c r="O105" i="39"/>
  <c r="R53" i="39"/>
  <c r="S53" i="39" s="1"/>
  <c r="K51" i="39"/>
  <c r="M147" i="39"/>
  <c r="M151" i="39" s="1"/>
  <c r="Q97" i="39"/>
  <c r="Q101" i="39" s="1"/>
  <c r="I97" i="39"/>
  <c r="I101" i="39" s="1"/>
  <c r="M97" i="39"/>
  <c r="M101" i="39" s="1"/>
  <c r="G53" i="39"/>
  <c r="K124" i="39"/>
  <c r="J101" i="39"/>
  <c r="K74" i="39"/>
  <c r="N101" i="39"/>
  <c r="R101" i="39"/>
  <c r="K50" i="39"/>
  <c r="K53" i="39"/>
  <c r="N53" i="39"/>
  <c r="K49" i="39"/>
  <c r="K26" i="39"/>
  <c r="S49" i="39" l="1"/>
  <c r="S101" i="39"/>
  <c r="I45" i="45"/>
  <c r="O53" i="39"/>
  <c r="O49" i="39"/>
  <c r="O101" i="39"/>
  <c r="O147" i="39"/>
  <c r="S97" i="39"/>
  <c r="O97" i="39"/>
  <c r="J82" i="12" l="1"/>
  <c r="I13" i="45" s="1"/>
  <c r="I78" i="12"/>
  <c r="I79" i="12" s="1"/>
  <c r="I83" i="12" s="1"/>
  <c r="H14" i="45" s="1"/>
  <c r="H29" i="45" s="1"/>
  <c r="H78" i="12"/>
  <c r="H79" i="12" s="1"/>
  <c r="E44" i="2"/>
  <c r="D7" i="19" s="1"/>
  <c r="I18" i="45" l="1"/>
  <c r="I28" i="45"/>
  <c r="I33" i="45" s="1"/>
  <c r="J84" i="12"/>
  <c r="I15" i="45" s="1"/>
  <c r="I84" i="12"/>
  <c r="H15" i="45" s="1"/>
  <c r="H30" i="45" s="1"/>
  <c r="I82" i="12"/>
  <c r="H13" i="45" s="1"/>
  <c r="H28" i="45" s="1"/>
  <c r="H82" i="12"/>
  <c r="G13" i="45" s="1"/>
  <c r="G28" i="45" s="1"/>
  <c r="H83" i="12"/>
  <c r="G14" i="45" s="1"/>
  <c r="G29" i="45" s="1"/>
  <c r="H84" i="12"/>
  <c r="G15" i="45" s="1"/>
  <c r="G30" i="45" s="1"/>
  <c r="G78" i="12"/>
  <c r="G79" i="12" s="1"/>
  <c r="G82" i="12" s="1"/>
  <c r="F13" i="45" s="1"/>
  <c r="F28" i="45" s="1"/>
  <c r="I44" i="45" l="1"/>
  <c r="I20" i="45"/>
  <c r="I30" i="45"/>
  <c r="I35" i="45" s="1"/>
  <c r="F78" i="12"/>
  <c r="F79" i="12" s="1"/>
  <c r="G83" i="12"/>
  <c r="F14" i="45" s="1"/>
  <c r="F29" i="45" s="1"/>
  <c r="G84" i="12"/>
  <c r="F15" i="45" s="1"/>
  <c r="F30" i="45" s="1"/>
  <c r="I46" i="45" l="1"/>
  <c r="F83" i="12"/>
  <c r="E14" i="45" s="1"/>
  <c r="E29" i="45" s="1"/>
  <c r="F82" i="12"/>
  <c r="E13" i="45" s="1"/>
  <c r="E28" i="45" s="1"/>
  <c r="F84" i="12"/>
  <c r="E15" i="45" s="1"/>
  <c r="E30" i="45" s="1"/>
  <c r="I47" i="45" l="1"/>
  <c r="D15" i="19"/>
  <c r="D16" i="19"/>
  <c r="D17" i="19"/>
  <c r="D18" i="19"/>
  <c r="D25" i="19"/>
  <c r="D26" i="19"/>
  <c r="D27" i="19"/>
  <c r="D28" i="19"/>
  <c r="D35" i="19"/>
  <c r="D36" i="19"/>
  <c r="D37" i="19"/>
  <c r="D38" i="19"/>
  <c r="D34" i="19"/>
  <c r="D45" i="19"/>
  <c r="D46" i="19"/>
  <c r="D47" i="19"/>
  <c r="D48" i="19"/>
  <c r="C2" i="45"/>
  <c r="G45" i="39"/>
  <c r="G44" i="39"/>
  <c r="G30" i="39"/>
  <c r="G37" i="39"/>
  <c r="G35" i="39"/>
  <c r="G34" i="39"/>
  <c r="G79" i="39"/>
  <c r="G78" i="39"/>
  <c r="Q155" i="39"/>
  <c r="M155" i="39"/>
  <c r="I155" i="39"/>
  <c r="E155" i="39"/>
  <c r="C2" i="39"/>
  <c r="F155" i="39" l="1"/>
  <c r="G155" i="39" s="1"/>
  <c r="G133" i="39"/>
  <c r="N133" i="39"/>
  <c r="O133" i="39" s="1"/>
  <c r="R133" i="39"/>
  <c r="S133" i="39" s="1"/>
  <c r="J133" i="39"/>
  <c r="K133" i="39" s="1"/>
  <c r="K57" i="39"/>
  <c r="G57" i="39"/>
  <c r="K98" i="39"/>
  <c r="K105" i="39"/>
  <c r="G105" i="39"/>
  <c r="K99" i="39"/>
  <c r="E79" i="12"/>
  <c r="R155" i="39" l="1"/>
  <c r="S155" i="39" s="1"/>
  <c r="N155" i="39"/>
  <c r="O155" i="39" s="1"/>
  <c r="J155" i="39"/>
  <c r="K155" i="39" s="1"/>
  <c r="E57" i="2" l="1"/>
  <c r="M40" i="39" l="1"/>
  <c r="M58" i="39" s="1"/>
  <c r="E40" i="39"/>
  <c r="E58" i="39" s="1"/>
  <c r="M138" i="39"/>
  <c r="M156" i="39" s="1"/>
  <c r="E138" i="39"/>
  <c r="E156" i="39" s="1"/>
  <c r="R88" i="39"/>
  <c r="R106" i="39" s="1"/>
  <c r="J88" i="39"/>
  <c r="J106" i="39" s="1"/>
  <c r="I40" i="39"/>
  <c r="I58" i="39" s="1"/>
  <c r="Q138" i="39"/>
  <c r="Q156" i="39" s="1"/>
  <c r="F88" i="39"/>
  <c r="F106" i="39" s="1"/>
  <c r="N40" i="39"/>
  <c r="N58" i="39" s="1"/>
  <c r="F40" i="39"/>
  <c r="F58" i="39" s="1"/>
  <c r="N138" i="39"/>
  <c r="N156" i="39" s="1"/>
  <c r="M88" i="39"/>
  <c r="M106" i="39" s="1"/>
  <c r="R40" i="39"/>
  <c r="R58" i="39" s="1"/>
  <c r="J40" i="39"/>
  <c r="J58" i="39" s="1"/>
  <c r="R138" i="39"/>
  <c r="J138" i="39"/>
  <c r="J156" i="39" s="1"/>
  <c r="Q88" i="39"/>
  <c r="Q106" i="39" s="1"/>
  <c r="I88" i="39"/>
  <c r="I106" i="39" s="1"/>
  <c r="Q40" i="39"/>
  <c r="Q58" i="39" s="1"/>
  <c r="I138" i="39"/>
  <c r="I156" i="39" s="1"/>
  <c r="N88" i="39"/>
  <c r="N106" i="39" s="1"/>
  <c r="F138" i="39"/>
  <c r="F156" i="39" s="1"/>
  <c r="E88" i="39"/>
  <c r="E106" i="39" s="1"/>
  <c r="D14" i="19"/>
  <c r="D24" i="19"/>
  <c r="D44" i="19"/>
  <c r="D8" i="19"/>
  <c r="S138" i="39" l="1"/>
  <c r="R156" i="39"/>
  <c r="E9" i="8" a="1"/>
  <c r="O138" i="39"/>
  <c r="O88" i="39"/>
  <c r="O40" i="39"/>
  <c r="S40" i="39"/>
  <c r="S88" i="39"/>
  <c r="G138" i="39"/>
  <c r="K40" i="39"/>
  <c r="G40" i="39"/>
  <c r="O106" i="39"/>
  <c r="S58" i="39"/>
  <c r="O58" i="39"/>
  <c r="K88" i="39"/>
  <c r="K138" i="39"/>
  <c r="G88" i="39"/>
  <c r="S106" i="39"/>
  <c r="E9" i="8" l="1"/>
  <c r="H9" i="8"/>
  <c r="G9" i="8"/>
  <c r="F9" i="8"/>
  <c r="I9" i="8"/>
  <c r="K58" i="39"/>
  <c r="K106" i="39"/>
  <c r="G106" i="39"/>
  <c r="G58" i="39"/>
  <c r="M9" i="8" l="1"/>
  <c r="N9" i="8"/>
  <c r="P9" i="8"/>
  <c r="O9" i="8"/>
  <c r="L9" i="8"/>
  <c r="J9" i="8"/>
  <c r="G156" i="39"/>
  <c r="R151" i="39"/>
  <c r="S151" i="39" s="1"/>
  <c r="J151" i="39"/>
  <c r="N151" i="39"/>
  <c r="O151" i="39" s="1"/>
  <c r="F151" i="39"/>
  <c r="G49" i="39"/>
  <c r="Q9" i="8" l="1"/>
  <c r="K148" i="39"/>
  <c r="G147" i="39"/>
  <c r="K149" i="39"/>
  <c r="G97" i="39"/>
  <c r="K147" i="39"/>
  <c r="G148" i="39"/>
  <c r="K97" i="39"/>
  <c r="G149" i="39"/>
  <c r="S156" i="39" l="1"/>
  <c r="O156" i="39"/>
  <c r="K151" i="39"/>
  <c r="K101" i="39"/>
  <c r="G101" i="39"/>
  <c r="G151" i="39"/>
  <c r="K156" i="39" l="1"/>
  <c r="K41" i="46" l="1"/>
  <c r="K43" i="46"/>
  <c r="K49" i="46" s="1"/>
  <c r="F48" i="19" s="1"/>
  <c r="K42" i="46"/>
  <c r="K40" i="46"/>
  <c r="E30" i="2"/>
  <c r="E102" i="39" l="1"/>
  <c r="I102" i="39"/>
  <c r="J102" i="39"/>
  <c r="M102" i="39"/>
  <c r="F102" i="39"/>
  <c r="Q102" i="39"/>
  <c r="R102" i="39"/>
  <c r="Q152" i="39"/>
  <c r="M152" i="39"/>
  <c r="N102" i="39"/>
  <c r="F54" i="39"/>
  <c r="E152" i="39"/>
  <c r="I152" i="39"/>
  <c r="E54" i="39"/>
  <c r="J54" i="39"/>
  <c r="R54" i="39"/>
  <c r="N54" i="39"/>
  <c r="I54" i="39"/>
  <c r="Q54" i="39"/>
  <c r="M54" i="39"/>
  <c r="R152" i="39"/>
  <c r="F152" i="39"/>
  <c r="J152" i="39"/>
  <c r="N152" i="39"/>
  <c r="O152" i="39" s="1"/>
  <c r="E32" i="2"/>
  <c r="E33" i="2" s="1"/>
  <c r="S102" i="39" l="1"/>
  <c r="O102" i="39"/>
  <c r="S152" i="39"/>
  <c r="S54" i="39"/>
  <c r="O54" i="39"/>
  <c r="G54" i="39"/>
  <c r="R103" i="39"/>
  <c r="Q103" i="39"/>
  <c r="Q108" i="39" s="1"/>
  <c r="Q9" i="39" s="1"/>
  <c r="H9" i="45" s="1"/>
  <c r="I103" i="39"/>
  <c r="I108" i="39" s="1"/>
  <c r="I9" i="39" s="1"/>
  <c r="F9" i="45" s="1"/>
  <c r="F103" i="39"/>
  <c r="F108" i="39" s="1"/>
  <c r="F9" i="39" s="1"/>
  <c r="E24" i="45" s="1"/>
  <c r="J103" i="39"/>
  <c r="J108" i="39" s="1"/>
  <c r="J9" i="39" s="1"/>
  <c r="F24" i="45" s="1"/>
  <c r="F34" i="45" s="1"/>
  <c r="Q153" i="39"/>
  <c r="Q158" i="39" s="1"/>
  <c r="Q10" i="39" s="1"/>
  <c r="H10" i="45" s="1"/>
  <c r="N103" i="39"/>
  <c r="R55" i="39"/>
  <c r="M153" i="39"/>
  <c r="M158" i="39" s="1"/>
  <c r="M10" i="39" s="1"/>
  <c r="G10" i="45" s="1"/>
  <c r="N55" i="39"/>
  <c r="I153" i="39"/>
  <c r="I158" i="39" s="1"/>
  <c r="I10" i="39" s="1"/>
  <c r="F10" i="45" s="1"/>
  <c r="J55" i="39"/>
  <c r="J60" i="39" s="1"/>
  <c r="J8" i="39" s="1"/>
  <c r="F23" i="45" s="1"/>
  <c r="F33" i="45" s="1"/>
  <c r="I55" i="39"/>
  <c r="I60" i="39" s="1"/>
  <c r="I8" i="39" s="1"/>
  <c r="F8" i="45" s="1"/>
  <c r="E153" i="39"/>
  <c r="M55" i="39"/>
  <c r="M60" i="39" s="1"/>
  <c r="M8" i="39" s="1"/>
  <c r="G8" i="45" s="1"/>
  <c r="E103" i="39"/>
  <c r="E108" i="39" s="1"/>
  <c r="E9" i="39" s="1"/>
  <c r="E9" i="45" s="1"/>
  <c r="Q55" i="39"/>
  <c r="Q60" i="39" s="1"/>
  <c r="Q8" i="39" s="1"/>
  <c r="H8" i="45" s="1"/>
  <c r="M103" i="39"/>
  <c r="M108" i="39" s="1"/>
  <c r="M9" i="39" s="1"/>
  <c r="G9" i="45" s="1"/>
  <c r="F55" i="39"/>
  <c r="F60" i="39" s="1"/>
  <c r="F8" i="39" s="1"/>
  <c r="E23" i="45" s="1"/>
  <c r="E55" i="39"/>
  <c r="E60" i="39" s="1"/>
  <c r="E8" i="39" s="1"/>
  <c r="E8" i="45" s="1"/>
  <c r="F153" i="39"/>
  <c r="F158" i="39" s="1"/>
  <c r="F10" i="39" s="1"/>
  <c r="E25" i="45" s="1"/>
  <c r="N153" i="39"/>
  <c r="J153" i="39"/>
  <c r="J158" i="39" s="1"/>
  <c r="J10" i="39" s="1"/>
  <c r="F25" i="45" s="1"/>
  <c r="F35" i="45" s="1"/>
  <c r="R153" i="39"/>
  <c r="K54" i="39"/>
  <c r="G152" i="39"/>
  <c r="G102" i="39"/>
  <c r="K102" i="39"/>
  <c r="K152" i="39"/>
  <c r="R108" i="39" l="1"/>
  <c r="R9" i="39" s="1"/>
  <c r="H24" i="45" s="1"/>
  <c r="H34" i="45" s="1"/>
  <c r="S103" i="39"/>
  <c r="R158" i="39"/>
  <c r="R10" i="39" s="1"/>
  <c r="H25" i="45" s="1"/>
  <c r="H35" i="45" s="1"/>
  <c r="S153" i="39"/>
  <c r="R60" i="39"/>
  <c r="R8" i="39" s="1"/>
  <c r="H23" i="45" s="1"/>
  <c r="H33" i="45" s="1"/>
  <c r="S55" i="39"/>
  <c r="N108" i="39"/>
  <c r="N9" i="39" s="1"/>
  <c r="G24" i="45" s="1"/>
  <c r="O103" i="39"/>
  <c r="N158" i="39"/>
  <c r="O158" i="39" s="1"/>
  <c r="O10" i="39" s="1"/>
  <c r="O153" i="39"/>
  <c r="N60" i="39"/>
  <c r="N8" i="39" s="1"/>
  <c r="G23" i="45" s="1"/>
  <c r="O55" i="39"/>
  <c r="E158" i="39"/>
  <c r="E10" i="39" s="1"/>
  <c r="E10" i="45" s="1"/>
  <c r="G55" i="39"/>
  <c r="K55" i="39"/>
  <c r="G153" i="39"/>
  <c r="K103" i="39"/>
  <c r="G103" i="39"/>
  <c r="G108" i="39"/>
  <c r="G9" i="39" s="1"/>
  <c r="K158" i="39"/>
  <c r="K10" i="39" s="1"/>
  <c r="F20" i="45" s="1"/>
  <c r="F46" i="45" s="1"/>
  <c r="K60" i="39"/>
  <c r="K8" i="39" s="1"/>
  <c r="F18" i="45" s="1"/>
  <c r="F44" i="45" s="1"/>
  <c r="G60" i="39"/>
  <c r="G8" i="39" s="1"/>
  <c r="K153" i="39"/>
  <c r="K108" i="39"/>
  <c r="K9" i="39" s="1"/>
  <c r="C2" i="19"/>
  <c r="N10" i="39" l="1"/>
  <c r="G25" i="45" s="1"/>
  <c r="S60" i="39"/>
  <c r="S8" i="39" s="1"/>
  <c r="H18" i="45" s="1"/>
  <c r="S108" i="39"/>
  <c r="S9" i="39" s="1"/>
  <c r="O60" i="39"/>
  <c r="O8" i="39" s="1"/>
  <c r="O108" i="39"/>
  <c r="O9" i="39" s="1"/>
  <c r="H44" i="45"/>
  <c r="S158" i="39"/>
  <c r="S10" i="39" s="1"/>
  <c r="H20" i="45" s="1"/>
  <c r="H46" i="45" s="1"/>
  <c r="G158" i="39"/>
  <c r="G10" i="39" s="1"/>
  <c r="H19" i="45"/>
  <c r="F19" i="45"/>
  <c r="F45" i="45" s="1"/>
  <c r="H45" i="45" l="1"/>
  <c r="F47" i="45"/>
  <c r="H47" i="45" l="1"/>
  <c r="I43" i="46"/>
  <c r="I49" i="46" s="1"/>
  <c r="I40" i="46"/>
  <c r="I42" i="46"/>
  <c r="I41" i="46"/>
  <c r="J42" i="46"/>
  <c r="J43" i="46"/>
  <c r="J49" i="46" s="1"/>
  <c r="F47" i="19" s="1"/>
  <c r="J41" i="46"/>
  <c r="J40" i="46"/>
  <c r="F46" i="19"/>
  <c r="G35" i="45"/>
  <c r="E13" i="8" l="1" a="1"/>
  <c r="E20" i="45"/>
  <c r="E35" i="45"/>
  <c r="G20" i="45"/>
  <c r="G46" i="45" s="1"/>
  <c r="G34" i="45"/>
  <c r="C2" i="12"/>
  <c r="E13" i="8" l="1"/>
  <c r="G13" i="8"/>
  <c r="H13" i="8"/>
  <c r="F13" i="8"/>
  <c r="I13" i="8"/>
  <c r="E46" i="45"/>
  <c r="E19" i="45"/>
  <c r="E34" i="45"/>
  <c r="G19" i="45"/>
  <c r="G45" i="45" s="1"/>
  <c r="G33" i="45"/>
  <c r="C2" i="8"/>
  <c r="E9" i="6"/>
  <c r="D2" i="6"/>
  <c r="C2" i="4"/>
  <c r="C2" i="2"/>
  <c r="J13" i="8" l="1"/>
  <c r="E45" i="45"/>
  <c r="E18" i="45"/>
  <c r="E33" i="45"/>
  <c r="G18" i="45"/>
  <c r="E44" i="45" l="1"/>
  <c r="G44" i="45"/>
  <c r="G124" i="39"/>
  <c r="C14" i="45"/>
  <c r="C9" i="45"/>
  <c r="C9" i="39"/>
  <c r="B62" i="39"/>
  <c r="C45" i="45"/>
  <c r="C22" i="19"/>
  <c r="E47" i="45" l="1"/>
  <c r="G47" i="45"/>
  <c r="C8" i="45"/>
  <c r="C8" i="39"/>
  <c r="C13" i="45"/>
  <c r="B14" i="39"/>
  <c r="C12" i="19"/>
  <c r="C44" i="45"/>
  <c r="K25" i="19" l="1"/>
  <c r="K28" i="19"/>
  <c r="K27" i="19"/>
  <c r="K24" i="19"/>
  <c r="K26" i="19"/>
  <c r="K17" i="19"/>
  <c r="K14" i="19"/>
  <c r="K16" i="19"/>
  <c r="K18" i="19"/>
  <c r="K15" i="19"/>
  <c r="C10" i="39"/>
  <c r="C10" i="45"/>
  <c r="C15" i="45"/>
  <c r="B110" i="39"/>
  <c r="C46" i="45"/>
  <c r="K47" i="19" s="1"/>
  <c r="C32" i="19"/>
  <c r="K20" i="19" l="1"/>
  <c r="K30" i="19"/>
  <c r="K45" i="19"/>
  <c r="K46" i="19"/>
  <c r="K48" i="19"/>
  <c r="K44" i="19"/>
  <c r="K37" i="19"/>
  <c r="K36" i="19"/>
  <c r="K38" i="19"/>
  <c r="K34" i="19"/>
  <c r="K35" i="19"/>
  <c r="H21" i="46"/>
  <c r="K22" i="46"/>
  <c r="I20" i="46"/>
  <c r="I21" i="46"/>
  <c r="H20" i="46"/>
  <c r="J20" i="46"/>
  <c r="H22" i="46"/>
  <c r="J22" i="46"/>
  <c r="K21" i="46"/>
  <c r="J21" i="46"/>
  <c r="I22" i="46"/>
  <c r="K20" i="46"/>
  <c r="K50" i="19" l="1"/>
  <c r="K40" i="19"/>
  <c r="H26" i="46"/>
  <c r="H46" i="46" s="1"/>
  <c r="K26" i="46"/>
  <c r="K46" i="46" s="1"/>
  <c r="J28" i="46"/>
  <c r="J48" i="46" s="1"/>
  <c r="F37" i="19" s="1"/>
  <c r="I27" i="46"/>
  <c r="I47" i="46" s="1"/>
  <c r="F26" i="19" s="1"/>
  <c r="K28" i="46"/>
  <c r="K48" i="46" s="1"/>
  <c r="F38" i="19" s="1"/>
  <c r="G47" i="46"/>
  <c r="F24" i="19" s="1"/>
  <c r="I28" i="46"/>
  <c r="I48" i="46" s="1"/>
  <c r="F36" i="19" s="1"/>
  <c r="H28" i="46"/>
  <c r="H48" i="46" s="1"/>
  <c r="F35" i="19" s="1"/>
  <c r="I26" i="46"/>
  <c r="I46" i="46" s="1"/>
  <c r="H27" i="46"/>
  <c r="H47" i="46" s="1"/>
  <c r="F25" i="19" s="1"/>
  <c r="K27" i="46"/>
  <c r="K47" i="46" s="1"/>
  <c r="F28" i="19" s="1"/>
  <c r="J27" i="46"/>
  <c r="J47" i="46" s="1"/>
  <c r="F27" i="19" s="1"/>
  <c r="J26" i="46"/>
  <c r="J46" i="46" s="1"/>
  <c r="G46" i="46"/>
  <c r="G48" i="46"/>
  <c r="F34" i="19" s="1"/>
  <c r="G48" i="19"/>
  <c r="H48" i="19" s="1"/>
  <c r="G45" i="19"/>
  <c r="H45" i="19" s="1"/>
  <c r="G44" i="19"/>
  <c r="H44" i="19" s="1"/>
  <c r="G47" i="19"/>
  <c r="H47" i="19" s="1"/>
  <c r="G46" i="19"/>
  <c r="H46" i="19" s="1"/>
  <c r="H50" i="19" l="1"/>
  <c r="E11" i="8" a="1"/>
  <c r="E12" i="8" a="1"/>
  <c r="F14" i="19"/>
  <c r="F16" i="19"/>
  <c r="F17" i="19"/>
  <c r="G17" i="19" s="1"/>
  <c r="H17" i="19" s="1"/>
  <c r="G37" i="19"/>
  <c r="H37" i="19" s="1"/>
  <c r="F15" i="19"/>
  <c r="F18" i="19"/>
  <c r="G28" i="19"/>
  <c r="H28" i="19" s="1"/>
  <c r="G50" i="19"/>
  <c r="E12" i="8" l="1"/>
  <c r="G12" i="8"/>
  <c r="H12" i="8"/>
  <c r="F12" i="8"/>
  <c r="I12" i="8"/>
  <c r="E10" i="8" a="1"/>
  <c r="E11" i="8"/>
  <c r="G11" i="8"/>
  <c r="H11" i="8"/>
  <c r="F11" i="8"/>
  <c r="I11" i="8"/>
  <c r="G35" i="19"/>
  <c r="H35" i="19" s="1"/>
  <c r="G36" i="19"/>
  <c r="H36" i="19" s="1"/>
  <c r="G26" i="19"/>
  <c r="H26" i="19" s="1"/>
  <c r="G34" i="19"/>
  <c r="G14" i="19"/>
  <c r="H14" i="19" s="1"/>
  <c r="G27" i="19"/>
  <c r="H27" i="19" s="1"/>
  <c r="G25" i="19"/>
  <c r="H25" i="19" s="1"/>
  <c r="G15" i="19"/>
  <c r="H15" i="19" s="1"/>
  <c r="G38" i="19"/>
  <c r="H38" i="19" s="1"/>
  <c r="G16" i="19"/>
  <c r="H16" i="19" s="1"/>
  <c r="G18" i="19"/>
  <c r="H18" i="19" s="1"/>
  <c r="G24" i="19"/>
  <c r="H24" i="19" l="1"/>
  <c r="H30" i="19" s="1"/>
  <c r="H34" i="19"/>
  <c r="H40" i="19" s="1"/>
  <c r="H20" i="19"/>
  <c r="J11" i="8"/>
  <c r="J12" i="8"/>
  <c r="E10" i="8"/>
  <c r="H10" i="8"/>
  <c r="G10" i="8"/>
  <c r="F10" i="8"/>
  <c r="I10" i="8"/>
  <c r="G30" i="19"/>
  <c r="G20" i="19"/>
  <c r="G40" i="19"/>
  <c r="J10" i="8" l="1"/>
  <c r="I55" i="46"/>
  <c r="H55" i="46"/>
  <c r="I53" i="46"/>
  <c r="J26" i="19" s="1"/>
  <c r="L26" i="19" s="1"/>
  <c r="N26" i="19" s="1"/>
  <c r="J54" i="46"/>
  <c r="J37" i="19" s="1"/>
  <c r="L37" i="19" s="1"/>
  <c r="N37" i="19" s="1"/>
  <c r="J52" i="46"/>
  <c r="J17" i="19" s="1"/>
  <c r="L17" i="19" s="1"/>
  <c r="K54" i="46"/>
  <c r="J38" i="19" s="1"/>
  <c r="L38" i="19" s="1"/>
  <c r="N38" i="19" s="1"/>
  <c r="K52" i="46"/>
  <c r="J18" i="19" s="1"/>
  <c r="L18" i="19" s="1"/>
  <c r="G52" i="46"/>
  <c r="J14" i="19" s="1"/>
  <c r="L14" i="19" s="1"/>
  <c r="J53" i="46"/>
  <c r="J27" i="19" s="1"/>
  <c r="L27" i="19" s="1"/>
  <c r="N27" i="19" s="1"/>
  <c r="H54" i="46"/>
  <c r="J35" i="19" s="1"/>
  <c r="L35" i="19" s="1"/>
  <c r="N35" i="19" s="1"/>
  <c r="H53" i="46"/>
  <c r="J25" i="19" s="1"/>
  <c r="L25" i="19" s="1"/>
  <c r="N25" i="19" s="1"/>
  <c r="K55" i="46"/>
  <c r="G53" i="46"/>
  <c r="J24" i="19" s="1"/>
  <c r="L24" i="19" s="1"/>
  <c r="N24" i="19" s="1"/>
  <c r="H52" i="46"/>
  <c r="J15" i="19" s="1"/>
  <c r="L15" i="19" s="1"/>
  <c r="K53" i="46"/>
  <c r="J28" i="19" s="1"/>
  <c r="L28" i="19" s="1"/>
  <c r="N28" i="19" s="1"/>
  <c r="G55" i="46"/>
  <c r="J55" i="46"/>
  <c r="I54" i="46"/>
  <c r="J36" i="19" s="1"/>
  <c r="L36" i="19" s="1"/>
  <c r="N36" i="19" s="1"/>
  <c r="G54" i="46"/>
  <c r="J34" i="19" s="1"/>
  <c r="L34" i="19" s="1"/>
  <c r="N34" i="19" s="1"/>
  <c r="I52" i="46"/>
  <c r="J16" i="19" s="1"/>
  <c r="L16" i="19" s="1"/>
  <c r="L12" i="8" l="1" a="1"/>
  <c r="O12" i="8" s="1"/>
  <c r="L11" i="8" a="1"/>
  <c r="N40" i="19"/>
  <c r="N18" i="19"/>
  <c r="N30" i="19"/>
  <c r="N17" i="19"/>
  <c r="N14" i="19"/>
  <c r="N15" i="19"/>
  <c r="N16" i="19"/>
  <c r="J48" i="19"/>
  <c r="L48" i="19" s="1"/>
  <c r="N48" i="19" s="1"/>
  <c r="J45" i="19"/>
  <c r="L45" i="19" s="1"/>
  <c r="N45" i="19" s="1"/>
  <c r="J47" i="19"/>
  <c r="L47" i="19" s="1"/>
  <c r="N47" i="19" s="1"/>
  <c r="J46" i="19"/>
  <c r="L46" i="19" s="1"/>
  <c r="N46" i="19" s="1"/>
  <c r="J44" i="19"/>
  <c r="L44" i="19" s="1"/>
  <c r="N44" i="19" s="1"/>
  <c r="L40" i="19"/>
  <c r="L30" i="19"/>
  <c r="L20" i="19"/>
  <c r="N12" i="8" l="1"/>
  <c r="M12" i="8"/>
  <c r="L12" i="8"/>
  <c r="P12" i="8"/>
  <c r="L13" i="8" a="1"/>
  <c r="L10" i="8" a="1"/>
  <c r="L11" i="8"/>
  <c r="M11" i="8"/>
  <c r="N11" i="8"/>
  <c r="O11" i="8"/>
  <c r="P11" i="8"/>
  <c r="N50" i="19"/>
  <c r="N20" i="19"/>
  <c r="L50" i="19"/>
  <c r="Q12" i="8" l="1"/>
  <c r="Q11" i="8"/>
  <c r="M10" i="8"/>
  <c r="O10" i="8"/>
  <c r="P10" i="8"/>
  <c r="L10" i="8"/>
  <c r="N10" i="8"/>
  <c r="P13" i="8"/>
  <c r="O13" i="8"/>
  <c r="N13" i="8"/>
  <c r="M13" i="8"/>
  <c r="L13" i="8"/>
  <c r="Q10" i="8" l="1"/>
  <c r="Q13" i="8"/>
</calcChain>
</file>

<file path=xl/sharedStrings.xml><?xml version="1.0" encoding="utf-8"?>
<sst xmlns="http://schemas.openxmlformats.org/spreadsheetml/2006/main" count="1095" uniqueCount="375">
  <si>
    <t>Sheet:</t>
  </si>
  <si>
    <t>Description:</t>
  </si>
  <si>
    <t>CATEGORY</t>
  </si>
  <si>
    <t>ITEM</t>
  </si>
  <si>
    <t>UNITS</t>
  </si>
  <si>
    <t>Comments / Source</t>
  </si>
  <si>
    <t>#</t>
  </si>
  <si>
    <t>11 CPs who are above 10,000 but who are not Tier C CPs; estimated by Ofcom based on Openreach and Simplifydigital</t>
  </si>
  <si>
    <t>TPI</t>
  </si>
  <si>
    <t>5 Third Party Integrators (TPIs); Cartesian estimate</t>
  </si>
  <si>
    <t>Technical FTE Salary (salary basis)</t>
  </si>
  <si>
    <t>£/year</t>
  </si>
  <si>
    <t>Average of £50,000 salary for the top roles in the IT/Telecom industry.
Source: http://www.reed.co.uk/average-salary/it-telecoms</t>
  </si>
  <si>
    <t>Cartesian Estimate; 60% loading factor to cover additional expenses from the employer perspective e.g. social security, health insurance, taxes, pension, and others;</t>
  </si>
  <si>
    <t>Technical FTE Salary (fully loaded inc. benefits)</t>
  </si>
  <si>
    <t>Considered avg. 240 w.d. and 8hr shifts.</t>
  </si>
  <si>
    <t>£/day</t>
  </si>
  <si>
    <t>Salary for consultant implementing alternative IT system Source: Upper rate for a developer http://www.sjdaccountancy.com/about/rates_of_pay_contractors_developer_sql_java_C_Programmer_Consultant.html</t>
  </si>
  <si>
    <t>Input data provided by Ofcom based on assumption that 10/15 trainee's will be trained per training session</t>
  </si>
  <si>
    <t>CAPEX</t>
  </si>
  <si>
    <t>Discount Methodology Factors</t>
  </si>
  <si>
    <t>Discount Rate</t>
  </si>
  <si>
    <t>%</t>
  </si>
  <si>
    <t>WACC</t>
  </si>
  <si>
    <t>Time Period</t>
  </si>
  <si>
    <t>Years</t>
  </si>
  <si>
    <t>mins</t>
  </si>
  <si>
    <t>£/min</t>
  </si>
  <si>
    <t>£</t>
  </si>
  <si>
    <t>Description</t>
  </si>
  <si>
    <t>Process</t>
  </si>
  <si>
    <t>Days</t>
  </si>
  <si>
    <t>System</t>
  </si>
  <si>
    <t>Summary information and version history</t>
  </si>
  <si>
    <t>Title:</t>
  </si>
  <si>
    <t>Filename:</t>
  </si>
  <si>
    <t>Issue:</t>
  </si>
  <si>
    <t>Date:</t>
  </si>
  <si>
    <t>Author:</t>
  </si>
  <si>
    <t>Cartesian</t>
  </si>
  <si>
    <t>Contact:</t>
  </si>
  <si>
    <t>+44 20 7643 5550</t>
  </si>
  <si>
    <t>Key</t>
  </si>
  <si>
    <t>Format</t>
  </si>
  <si>
    <t>Calculation</t>
  </si>
  <si>
    <t>Input Parameter (for users to change at will)</t>
  </si>
  <si>
    <t>Input Data (only replace if you have better data)</t>
  </si>
  <si>
    <t>Input Estimate (only change if you have better data)</t>
  </si>
  <si>
    <t>Input linked from another sheet</t>
  </si>
  <si>
    <t>Cell calculated by macro</t>
  </si>
  <si>
    <t>Key Output</t>
  </si>
  <si>
    <t>Value used for model logic, e.g. counters etc</t>
  </si>
  <si>
    <t>Version History</t>
  </si>
  <si>
    <t>Version</t>
  </si>
  <si>
    <t>Date</t>
  </si>
  <si>
    <t>Information</t>
  </si>
  <si>
    <t>Model Schematic</t>
  </si>
  <si>
    <t>Large CP which operates own systems</t>
  </si>
  <si>
    <t>Sheet for user to configure the scenario and model to simulate</t>
  </si>
  <si>
    <t>Baseline</t>
  </si>
  <si>
    <t>Residential fixed landlines</t>
  </si>
  <si>
    <t>Total</t>
  </si>
  <si>
    <t>Missed Appointment</t>
  </si>
  <si>
    <t>Trigger</t>
  </si>
  <si>
    <t>Loss of Service</t>
  </si>
  <si>
    <t>Manager Approval Time</t>
  </si>
  <si>
    <t>Manager Approval Proportion</t>
  </si>
  <si>
    <t>http://www.reed.co.uk/average-salary/customer-service
£34,000/year. Considered avg. 240 w.d. and 8hr shifts.</t>
  </si>
  <si>
    <t># hrs per day shift</t>
  </si>
  <si>
    <t># working days per year</t>
  </si>
  <si>
    <t>mins per hour</t>
  </si>
  <si>
    <t>Time Period (years)</t>
  </si>
  <si>
    <t>NO. OF CP's</t>
  </si>
  <si>
    <t>TPIs</t>
  </si>
  <si>
    <t>days</t>
  </si>
  <si>
    <t>Notes</t>
  </si>
  <si>
    <t>hours</t>
  </si>
  <si>
    <t>Future</t>
  </si>
  <si>
    <t>Customer communications - email</t>
  </si>
  <si>
    <t>Customer communications - letter</t>
  </si>
  <si>
    <t>Cost calculations</t>
  </si>
  <si>
    <t>medium sized CPs, which develop and support their own systems.</t>
  </si>
  <si>
    <t>This sheet estimates the total number of expected compensation events for each trigger</t>
  </si>
  <si>
    <t>Automatic Compensation - Cost Model</t>
  </si>
  <si>
    <t xml:space="preserve">IT Consultant Daily Rate </t>
  </si>
  <si>
    <t xml:space="preserve">Project Manager Daily Rate </t>
  </si>
  <si>
    <t>Low</t>
  </si>
  <si>
    <t>High</t>
  </si>
  <si>
    <t>Time_Period</t>
  </si>
  <si>
    <t>Delta</t>
  </si>
  <si>
    <t>Fixed_Opex_Percent</t>
  </si>
  <si>
    <t>Ongoing Support - Fixed Opex</t>
  </si>
  <si>
    <t>Bill Credit</t>
  </si>
  <si>
    <t>Cheque in Post</t>
  </si>
  <si>
    <t>Pre-paid Credit Card</t>
  </si>
  <si>
    <t>Value</t>
  </si>
  <si>
    <t>BACS</t>
  </si>
  <si>
    <t>HSBC Business Banking Pricelist - Small Business Tariff (large CPs may get bulk discounts)</t>
  </si>
  <si>
    <t>Current state for CPs</t>
  </si>
  <si>
    <t>Mastercard/Visa + 2nd class stamp + cover letter printing + envelope</t>
  </si>
  <si>
    <t>2nd class stamp (54p) + cover letter printing + envelope</t>
  </si>
  <si>
    <t>Delayed Service Activation</t>
  </si>
  <si>
    <t>Delayed Repair (Fixed)</t>
  </si>
  <si>
    <t xml:space="preserve">Impact </t>
  </si>
  <si>
    <t>Update CSA scripts and case management procedures</t>
  </si>
  <si>
    <t>Business logic to determine whether criteria for compensation payment has been met</t>
  </si>
  <si>
    <t>Ability to calculate compensation amount based on duration of delay</t>
  </si>
  <si>
    <t>Input_CAPEX</t>
  </si>
  <si>
    <t>Input_CPs</t>
  </si>
  <si>
    <t>Input_OPEX</t>
  </si>
  <si>
    <t>Nominal WACC</t>
  </si>
  <si>
    <t>Real WACC</t>
  </si>
  <si>
    <t>Fisher equation</t>
  </si>
  <si>
    <t>Ofcom Communications Market Report, 4 August 2016</t>
  </si>
  <si>
    <t>Ofcom analysis based on CP data</t>
  </si>
  <si>
    <t>Service Activation - Delayed Activation</t>
  </si>
  <si>
    <t>Total provisions</t>
  </si>
  <si>
    <t>Total incidence of missed CCD</t>
  </si>
  <si>
    <t>% missed CCD</t>
  </si>
  <si>
    <t>Number of events where monetary compensation was given</t>
  </si>
  <si>
    <t>Voice</t>
  </si>
  <si>
    <t>Broadband</t>
  </si>
  <si>
    <t>Missed Appointments</t>
  </si>
  <si>
    <t>Total booked appointments (incl. Openreach and own workforce)</t>
  </si>
  <si>
    <t>Total industry missed appointments (incl. Openreach and own workforce)</t>
  </si>
  <si>
    <t>% missed</t>
  </si>
  <si>
    <t>Total incidence of loss of service</t>
  </si>
  <si>
    <t>Total number repaired within 1 day</t>
  </si>
  <si>
    <t>Total number repaired within 1-2 days (excludes those repaired within 1 day)</t>
  </si>
  <si>
    <t>Total number repaired within 2-3 days (excludes those repaired within 0-2 days)</t>
  </si>
  <si>
    <t>Compensation rate</t>
  </si>
  <si>
    <t>Percentage of events where monetary compensation was given</t>
  </si>
  <si>
    <t>Threshold for payment of compensation (days)</t>
  </si>
  <si>
    <t>Number of qualifying events</t>
  </si>
  <si>
    <t>Qualifying Events</t>
  </si>
  <si>
    <t>Small and Medium CP voice lines</t>
  </si>
  <si>
    <t>Large CP voice lines</t>
  </si>
  <si>
    <t>CPs by segment</t>
  </si>
  <si>
    <t>Subscriber Volumes</t>
  </si>
  <si>
    <t>Medium CP share of Small + Medium market</t>
  </si>
  <si>
    <t>Vertical CP voice lines</t>
  </si>
  <si>
    <t>2. CSA confirms customer identity and logs the issue</t>
  </si>
  <si>
    <t xml:space="preserve">3. CSA verifies delay to service activation </t>
  </si>
  <si>
    <t xml:space="preserve">4. CSA requests goodwill payment </t>
  </si>
  <si>
    <t>6. CSA triggers bill credit</t>
  </si>
  <si>
    <t>1. Order status updated</t>
  </si>
  <si>
    <t>Manager time spent on manual activities</t>
  </si>
  <si>
    <t>CSA time spent on manual activities by process step</t>
  </si>
  <si>
    <t>Other costs by process step</t>
  </si>
  <si>
    <t>3. CSA verifies missed appointment</t>
  </si>
  <si>
    <t>4. CSA requests goodwill payment</t>
  </si>
  <si>
    <t>Share of installations that are by OR</t>
  </si>
  <si>
    <t>1. Monitor for major incidents on CP or OR network and notify CSAs</t>
  </si>
  <si>
    <t>3. CP diagnoses and resolves problem; escalating to OR if necessary</t>
  </si>
  <si>
    <t>4. CP updates records and closes problem record</t>
  </si>
  <si>
    <t>5. CSA verifies customer identity and checks case history</t>
  </si>
  <si>
    <t>6. CSA requests goodwill payment</t>
  </si>
  <si>
    <t>7. Customer notified of goodwill payment</t>
  </si>
  <si>
    <t>8. CSA triggers bill credit</t>
  </si>
  <si>
    <t>9. Run bill cycle</t>
  </si>
  <si>
    <t>10. CP receives an SLG credit from OR</t>
  </si>
  <si>
    <t>4a. Goodwill approved by authorizing manager</t>
  </si>
  <si>
    <t>5. Customer notified of goodwill payment</t>
  </si>
  <si>
    <t>7. Run bill cycle</t>
  </si>
  <si>
    <t>8. CP receives an SLG credit from OR</t>
  </si>
  <si>
    <t>6a. Goodwill approved by authorizing manager</t>
  </si>
  <si>
    <t>Operational Staff Costs</t>
  </si>
  <si>
    <t xml:space="preserve">CSA Manager salary </t>
  </si>
  <si>
    <t>CSA Manager cost inc. overheads</t>
  </si>
  <si>
    <t>Supplier/Partner Relations Manager cost inc. overheads</t>
  </si>
  <si>
    <t>CSA cost inc. overheads</t>
  </si>
  <si>
    <t>CSA_min</t>
  </si>
  <si>
    <t>CSAM_min</t>
  </si>
  <si>
    <t>SPM_min</t>
  </si>
  <si>
    <t>Average CSA time per event</t>
  </si>
  <si>
    <t>Average CSA Manager time per event</t>
  </si>
  <si>
    <t>Average S/P Manager time per event</t>
  </si>
  <si>
    <t>Average CSA cost per event</t>
  </si>
  <si>
    <t>Average CSA Manager cost per event</t>
  </si>
  <si>
    <t>Average S/P Manager cost per event</t>
  </si>
  <si>
    <t>Average customer communications cost per event</t>
  </si>
  <si>
    <t>SUMMARY - Average incremental cost per event</t>
  </si>
  <si>
    <t>Development Staff Costs</t>
  </si>
  <si>
    <t>No CSA action</t>
  </si>
  <si>
    <t>Cartesian assumption: No change to handling time</t>
  </si>
  <si>
    <t>Cartesian assumption: Does not occur currently; assumed to be automated with Auto Comp</t>
  </si>
  <si>
    <t>Cartesian assumption: Automated with Auto Comp</t>
  </si>
  <si>
    <t>Cartesian assumption: CSA uses existing systems to confirm service is not active; no change from current state</t>
  </si>
  <si>
    <t xml:space="preserve">Cartesian assumption </t>
  </si>
  <si>
    <t>Note: Additional time spent handling customers that call more than once (to chase compensation) has not been included.</t>
  </si>
  <si>
    <t>This is keeping CSA systems up to date with information; no CSA action</t>
  </si>
  <si>
    <t>Fault reporting and investigation are not included in cost assessment</t>
  </si>
  <si>
    <t>Size of customer base - Medium Fixed CPs in aggregate</t>
  </si>
  <si>
    <t>Size of customer base - Small Fixed CPs in aggregate</t>
  </si>
  <si>
    <t>Share of reported events that are within OR segment</t>
  </si>
  <si>
    <t>Cartesian assumption: Note this is for loss of service lasting more than one day</t>
  </si>
  <si>
    <t>Share of events that the CP disputes with OR</t>
  </si>
  <si>
    <t>CP time per event to handle OR dispute</t>
  </si>
  <si>
    <t>Number of CSAs/FTEs trained per session</t>
  </si>
  <si>
    <t>Fixed OPEX as a % of CAPEX</t>
  </si>
  <si>
    <t>CSA cost inc overheads</t>
  </si>
  <si>
    <t>Training Costs</t>
  </si>
  <si>
    <t>Training staff cost inc. overheads</t>
  </si>
  <si>
    <t>Overheads as a % of salary</t>
  </si>
  <si>
    <t>Cost of CSA training inc. cost of trainer</t>
  </si>
  <si>
    <t>Training_Day</t>
  </si>
  <si>
    <t>PM Days as % of development days</t>
  </si>
  <si>
    <t>Workflow automation</t>
  </si>
  <si>
    <t>System Development Effort</t>
  </si>
  <si>
    <t>Process Development Effort</t>
  </si>
  <si>
    <t>Project Management Effort</t>
  </si>
  <si>
    <t>Staff Training Time</t>
  </si>
  <si>
    <t>CSA agents</t>
  </si>
  <si>
    <t>Development CAPEX</t>
  </si>
  <si>
    <t>DEV_day</t>
  </si>
  <si>
    <t>PM_day</t>
  </si>
  <si>
    <t>Staff Training Costs</t>
  </si>
  <si>
    <t>Total CAPEX</t>
  </si>
  <si>
    <t>Fixed OPEX</t>
  </si>
  <si>
    <t>Update customer portal for auto compensation</t>
  </si>
  <si>
    <t>Add IVR option to route compensation calls</t>
  </si>
  <si>
    <t>Ability to identify whether Openreach engineers caused missed appointments</t>
  </si>
  <si>
    <t>Ability to identify whether engineers from other suppliers caused missed appointments</t>
  </si>
  <si>
    <t>Ability to identify whether in-house engineers caused missed appointments</t>
  </si>
  <si>
    <t>Add capability to automatically pay compensation via other means (not bill credit)</t>
  </si>
  <si>
    <t>Automate communications to notify customer of compensation payment</t>
  </si>
  <si>
    <t>Update CSR toolbox to enable manual backdating of start time for faults that the CP was already aware of</t>
  </si>
  <si>
    <t>Multiple Tigger</t>
  </si>
  <si>
    <t>Type</t>
  </si>
  <si>
    <t>Ref</t>
  </si>
  <si>
    <t>Multiple Trigger Scenario</t>
  </si>
  <si>
    <t>T1_on</t>
  </si>
  <si>
    <t>T2_on</t>
  </si>
  <si>
    <t>T3_on</t>
  </si>
  <si>
    <t>Number of Triggers in scenario</t>
  </si>
  <si>
    <t>Incremental Variable OPEX</t>
  </si>
  <si>
    <t>Triggers included in Multiple Trigger Scenario</t>
  </si>
  <si>
    <t>Small</t>
  </si>
  <si>
    <t>Medium</t>
  </si>
  <si>
    <t>Large</t>
  </si>
  <si>
    <t>Vertical</t>
  </si>
  <si>
    <t>Mix of Payment Types</t>
  </si>
  <si>
    <t>Checksum (100%)</t>
  </si>
  <si>
    <t>Blended cost</t>
  </si>
  <si>
    <t>Mix</t>
  </si>
  <si>
    <t>Base Case</t>
  </si>
  <si>
    <t>Selected</t>
  </si>
  <si>
    <t>User Control</t>
  </si>
  <si>
    <t>Loss of Service Trigger</t>
  </si>
  <si>
    <t>Threshold for compensation</t>
  </si>
  <si>
    <t>Cartesian assumption: Similar rate to IT developer</t>
  </si>
  <si>
    <t>Cartesian assumption: Similar pay level to a customer service manager</t>
  </si>
  <si>
    <t>Units</t>
  </si>
  <si>
    <t>Compensation Transaction Costs</t>
  </si>
  <si>
    <t>Cost</t>
  </si>
  <si>
    <t>Triggers</t>
  </si>
  <si>
    <t>%Common</t>
  </si>
  <si>
    <t>Cartesian assumption: Currently, most claims processed without escalation; less manager approval necessary in AutoComp</t>
  </si>
  <si>
    <t>Cartesian assumption: Includes time to calculate amount; additional time spent negotiating compensation with customers has not been included.</t>
  </si>
  <si>
    <t>Market Share by Tier</t>
  </si>
  <si>
    <t>Number of fixed voice lines</t>
  </si>
  <si>
    <t>Share of fixed voice lines</t>
  </si>
  <si>
    <t>Add capability to automatically trigger a billing credit for a validated event</t>
  </si>
  <si>
    <t>Incremental Operational Cost per Missed Appointment Event</t>
  </si>
  <si>
    <t>Incremental Operational Cost per Delayed Activation Event</t>
  </si>
  <si>
    <t>Average Incremental OPEX per Delayed Repair Event</t>
  </si>
  <si>
    <t>7. Run Bill Cycle</t>
  </si>
  <si>
    <t>Blended transaction cost</t>
  </si>
  <si>
    <t>Average transaction cost per event</t>
  </si>
  <si>
    <t>Assumption that the mix of payment types is unchanged</t>
  </si>
  <si>
    <t>9. Run Bill Cycle</t>
  </si>
  <si>
    <t>Trigger events distributed in proportion to number of retail voice lines</t>
  </si>
  <si>
    <t>Current operational cost per event</t>
  </si>
  <si>
    <t>Current number of events</t>
  </si>
  <si>
    <t>Current operational cost</t>
  </si>
  <si>
    <t>Future number of events</t>
  </si>
  <si>
    <t>Future operational cost</t>
  </si>
  <si>
    <t>Change in volume of customer contacts</t>
  </si>
  <si>
    <t>Note: Assumption is that all missed appointments result in contact for rescheduling</t>
  </si>
  <si>
    <t>TR1_delta</t>
  </si>
  <si>
    <t>TR2_delta</t>
  </si>
  <si>
    <t>TR3_delta</t>
  </si>
  <si>
    <t>Summary Outputs</t>
  </si>
  <si>
    <t>Industry</t>
  </si>
  <si>
    <t>£000s</t>
  </si>
  <si>
    <t>Calc_CAPEX</t>
  </si>
  <si>
    <t>Calc_OPEX</t>
  </si>
  <si>
    <t>Input_Events</t>
  </si>
  <si>
    <t>Input_Costs</t>
  </si>
  <si>
    <t>Future operational cost per event</t>
  </si>
  <si>
    <t>Inflation rate</t>
  </si>
  <si>
    <t>Bank of England target rate</t>
  </si>
  <si>
    <t>Number of CPs by segment</t>
  </si>
  <si>
    <t>Cartesian assumption</t>
  </si>
  <si>
    <t>From control panel</t>
  </si>
  <si>
    <t>Sensitivity Adjustments</t>
  </si>
  <si>
    <t>Development costs</t>
  </si>
  <si>
    <t>Training costs</t>
  </si>
  <si>
    <t>Sens_Development</t>
  </si>
  <si>
    <t>Sens_Training</t>
  </si>
  <si>
    <t>Variable opex</t>
  </si>
  <si>
    <t>Sens_VarOpex</t>
  </si>
  <si>
    <t>User controls for sensitivity analysis</t>
  </si>
  <si>
    <t>User controls for sensitivity analysis; note this is the magnitude of +ve/-ve incremental opex</t>
  </si>
  <si>
    <t>No. of Triggers:</t>
  </si>
  <si>
    <t>User controls to select triggers to include in multiple trigger scenario; scenario invalid if less than 2 triggers</t>
  </si>
  <si>
    <t>Volume of contacts in future state vs. current state</t>
  </si>
  <si>
    <t>Number of Small CPs</t>
  </si>
  <si>
    <t>Number of consumer CSAs to be trained</t>
  </si>
  <si>
    <t>Note: All inputs on this sheet are Cartesian assumptions</t>
  </si>
  <si>
    <t>Linked to Control Sheet</t>
  </si>
  <si>
    <t>Category</t>
  </si>
  <si>
    <t>Item</t>
  </si>
  <si>
    <t>Updates to customer literature</t>
  </si>
  <si>
    <t>Update CSR toolbox with new fields and capabilities</t>
  </si>
  <si>
    <t>MIS and regulatory reporting</t>
  </si>
  <si>
    <t>Cartesian estimate: 10% - 20% overhead for combined project management</t>
  </si>
  <si>
    <t>Customer Communication Costs</t>
  </si>
  <si>
    <t>Project Management overhead</t>
  </si>
  <si>
    <t>Assume that CP uses a bulk email platform</t>
  </si>
  <si>
    <t>Cartesian assumption; to be validated with OTA</t>
  </si>
  <si>
    <t>Number of CSAs to be trained</t>
  </si>
  <si>
    <t>1. Total Compensation Events</t>
  </si>
  <si>
    <t>2. Compensation Events by CP Segment</t>
  </si>
  <si>
    <t>Cartesian assumption, factors in common elements to training between triggers</t>
  </si>
  <si>
    <t>Ofcom input</t>
  </si>
  <si>
    <t>Ofcom estimate for retail CPs from 2016 BCMR</t>
  </si>
  <si>
    <t>Cartesian assumption informed by discussions with CPs</t>
  </si>
  <si>
    <t>Ofcom estimate</t>
  </si>
  <si>
    <t>Assume no project management overhead in Small CPs</t>
  </si>
  <si>
    <t>Working Time Parameters</t>
  </si>
  <si>
    <t>Technical FTE Daily Rate</t>
  </si>
  <si>
    <t>Tech_day</t>
  </si>
  <si>
    <t>CAPEX per CP (£000)</t>
  </si>
  <si>
    <t>Total CAPEX (£000)</t>
  </si>
  <si>
    <t>Annualised Total CAPEX (£000)</t>
  </si>
  <si>
    <t>Fixed annual OPEX per CP (£000)</t>
  </si>
  <si>
    <t>Variable annual OPEX (£000)</t>
  </si>
  <si>
    <t>Total annual OPEX (£000)</t>
  </si>
  <si>
    <t>Total annual costs - OPEX + CAPEX (£000)</t>
  </si>
  <si>
    <t>Annual OPEX and CAPEX</t>
  </si>
  <si>
    <t>Input assumption used in Ofcom 2016 consultation on proposals to reform landline, broadband and pay TV switching between different platforms; based on CP data; fully loaded cost inclusive of overheads</t>
  </si>
  <si>
    <t>Number of Compensated Trigger Events by CP Segment</t>
  </si>
  <si>
    <t>Percentage of events not repaired in one day resulting in monetary compensation</t>
  </si>
  <si>
    <t>Estimated number of qualifying events resulting in monetary compensation</t>
  </si>
  <si>
    <t>Events not repaired within 1 day</t>
  </si>
  <si>
    <t>Events not repaired within 2 days</t>
  </si>
  <si>
    <t>Events not repaired within 3 days</t>
  </si>
  <si>
    <t>EFFORT ESTIMATES PER CP TYPE</t>
  </si>
  <si>
    <t>Output_Costs</t>
  </si>
  <si>
    <t>Input Sheets</t>
  </si>
  <si>
    <t>Calculation Engine</t>
  </si>
  <si>
    <t>Output Sheets</t>
  </si>
  <si>
    <t>CP Definitions</t>
  </si>
  <si>
    <t>Small, simple CPs, which use the billing and operational support systems of a third party integrator (TPI)</t>
  </si>
  <si>
    <t>Vertically integrated, large CPs</t>
  </si>
  <si>
    <t>Provider of billing and operational support systems on a managed service basis to small CPs</t>
  </si>
  <si>
    <t>This sheet captures the general cost assumptions used in the model</t>
  </si>
  <si>
    <t>This sheet captures CP related assumptions such as the number of subscribers and CSA numbers</t>
  </si>
  <si>
    <t>This sheet captures the development effort estimates for each CP type</t>
  </si>
  <si>
    <t>This sheet calculates the total cost per compensation event</t>
  </si>
  <si>
    <t>This sheet calculates the upfront CAPEX cost per CP type</t>
  </si>
  <si>
    <t>This sheet calculates the net change in variable OPEX per CP type</t>
  </si>
  <si>
    <t>This sheet calculates the annualised cost of auto-compensation over 10 year period</t>
  </si>
  <si>
    <t>Model Definitions</t>
  </si>
  <si>
    <t>Workbook Sheets</t>
  </si>
  <si>
    <t>Model_Outputs</t>
  </si>
  <si>
    <t>Final Version</t>
  </si>
  <si>
    <t>Confidential input data replaced with placeholder value</t>
  </si>
  <si>
    <t>Derived from CP data provided to Ofcom for 2016Q1; note, confidential data replaced by placeholder figure</t>
  </si>
  <si>
    <t>Implied average customer base of Small Fixed CP</t>
  </si>
  <si>
    <t>Implied average customer base of Medium Fixed CP</t>
  </si>
  <si>
    <t>Non-confidential version of final cost model for consultation</t>
  </si>
  <si>
    <t xml:space="preserve">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</si>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</sst>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  <numFmt numFmtId="167" formatCode="&quot;Yes&quot;;&quot;Yes&quot;;&quot;No&quot;"/>
    <numFmt numFmtId="168" formatCode="&quot;£&quot;#,##0.00"/>
    <numFmt numFmtId="169" formatCode="#,##0;[Red]\(#,##0\)"/>
    <numFmt numFmtId="170" formatCode="#,##0_);[Red]\-#,##0_);0_);@_)"/>
    <numFmt numFmtId="171" formatCode="#,##0.00_);[Red]\-#,##0.00_);0.00_);@_)"/>
    <numFmt numFmtId="172" formatCode="#,##0%;[Red]\-#,##0%;0%;@_)"/>
    <numFmt numFmtId="173" formatCode="#,##0.00;[Red]\(#,##0.00\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sz val="10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color indexed="16"/>
      <name val="Arial"/>
      <family val="2"/>
    </font>
    <font>
      <sz val="8"/>
      <color indexed="10"/>
      <name val="Arial"/>
      <family val="2"/>
    </font>
    <font>
      <i/>
      <sz val="9"/>
      <color rgb="FF969696"/>
      <name val="Arial"/>
      <family val="2"/>
    </font>
    <font>
      <i/>
      <sz val="10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8D9E8"/>
        <bgColor indexed="64"/>
      </patternFill>
    </fill>
    <fill>
      <patternFill patternType="solid">
        <fgColor rgb="FF00FFFF"/>
        <bgColor indexed="64"/>
      </patternFill>
    </fill>
    <fill>
      <gradientFill degree="45">
        <stop position="0">
          <color rgb="FFF7941D"/>
        </stop>
        <stop position="0.5">
          <color rgb="FFFFF200"/>
        </stop>
        <stop position="1">
          <color rgb="FFF7941D"/>
        </stop>
      </gradient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rgb="FFCC66FF"/>
        <bgColor indexed="64"/>
      </patternFill>
    </fill>
  </fills>
  <borders count="25">
    <border>
      <left/>
      <right/>
      <top/>
      <bottom/>
      <diagonal/>
    </border>
    <border>
      <left style="dotted">
        <color rgb="FFC00000"/>
      </left>
      <right style="dotted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0066"/>
      </left>
      <right style="thin">
        <color rgb="FF660066"/>
      </right>
      <top style="thin">
        <color rgb="FF660066"/>
      </top>
      <bottom style="thin">
        <color rgb="FF660066"/>
      </bottom>
      <diagonal/>
    </border>
    <border>
      <left style="dotted">
        <color rgb="FF660066"/>
      </left>
      <right style="dotted">
        <color rgb="FF660066"/>
      </right>
      <top style="dotted">
        <color rgb="FF660066"/>
      </top>
      <bottom style="dotted">
        <color rgb="FF660066"/>
      </bottom>
      <diagonal/>
    </border>
    <border>
      <left style="mediumDashed">
        <color rgb="FFC90044"/>
      </left>
      <right style="mediumDashed">
        <color rgb="FFC90044"/>
      </right>
      <top style="mediumDashed">
        <color rgb="FFC90044"/>
      </top>
      <bottom style="mediumDashed">
        <color rgb="FFC900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Border="0"/>
    <xf numFmtId="0" fontId="6" fillId="6" borderId="0"/>
    <xf numFmtId="0" fontId="6" fillId="5" borderId="4"/>
    <xf numFmtId="0" fontId="9" fillId="5" borderId="1"/>
    <xf numFmtId="0" fontId="6" fillId="4" borderId="4"/>
    <xf numFmtId="0" fontId="9" fillId="8" borderId="0"/>
    <xf numFmtId="9" fontId="27" fillId="0" borderId="0" applyFill="0" applyBorder="0" applyAlignment="0" applyProtection="0"/>
    <xf numFmtId="43" fontId="6" fillId="0" borderId="0" applyFill="0" applyBorder="0" applyAlignment="0" applyProtection="0"/>
    <xf numFmtId="0" fontId="35" fillId="0" borderId="0">
      <alignment vertical="center"/>
    </xf>
    <xf numFmtId="0" fontId="35" fillId="0" borderId="0" applyNumberFormat="0" applyAlignment="0">
      <alignment vertical="center"/>
    </xf>
    <xf numFmtId="171" fontId="43" fillId="0" borderId="0" applyNumberFormat="0" applyAlignment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horizontal="left" vertical="center"/>
    </xf>
    <xf numFmtId="0" fontId="39" fillId="0" borderId="0" applyNumberFormat="0" applyFill="0" applyBorder="0" applyAlignment="0" applyProtection="0">
      <alignment vertical="center"/>
    </xf>
    <xf numFmtId="0" fontId="35" fillId="12" borderId="0" applyNumberFormat="0" applyFont="0" applyBorder="0" applyAlignment="0" applyProtection="0">
      <alignment vertical="center"/>
    </xf>
    <xf numFmtId="0" fontId="41" fillId="0" borderId="0" applyNumberFormat="0" applyAlignment="0">
      <alignment vertical="center"/>
    </xf>
    <xf numFmtId="0" fontId="40" fillId="0" borderId="0" applyNumberFormat="0" applyFill="0" applyBorder="0" applyAlignment="0" applyProtection="0">
      <alignment vertical="center"/>
    </xf>
    <xf numFmtId="170" fontId="35" fillId="0" borderId="0" applyFont="0" applyFill="0" applyBorder="0" applyAlignment="0" applyProtection="0">
      <alignment vertical="center"/>
    </xf>
    <xf numFmtId="0" fontId="35" fillId="13" borderId="0" applyNumberFormat="0" applyFont="0" applyBorder="0" applyAlignment="0" applyProtection="0">
      <alignment vertical="center"/>
    </xf>
    <xf numFmtId="172" fontId="35" fillId="0" borderId="0" applyFont="0" applyFill="0" applyBorder="0" applyAlignment="0" applyProtection="0">
      <alignment horizontal="right" vertical="center"/>
    </xf>
    <xf numFmtId="0" fontId="42" fillId="0" borderId="0" applyNumberFormat="0" applyFill="0" applyProtection="0">
      <alignment horizontal="left" vertical="center"/>
    </xf>
    <xf numFmtId="170" fontId="39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12" applyNumberFormat="0" applyAlignment="0">
      <alignment vertical="center"/>
      <protection locked="0"/>
    </xf>
    <xf numFmtId="0" fontId="35" fillId="0" borderId="11" applyNumberFormat="0" applyAlignment="0">
      <alignment vertical="center"/>
      <protection locked="0"/>
    </xf>
    <xf numFmtId="0" fontId="42" fillId="0" borderId="0" applyNumberFormat="0" applyFill="0" applyBorder="0" applyAlignment="0" applyProtection="0">
      <alignment vertical="top"/>
    </xf>
    <xf numFmtId="0" fontId="35" fillId="14" borderId="0" applyNumberFormat="0" applyFont="0" applyBorder="0" applyAlignment="0" applyProtection="0">
      <alignment vertical="center"/>
    </xf>
    <xf numFmtId="0" fontId="35" fillId="15" borderId="0" applyNumberFormat="0" applyFont="0" applyBorder="0" applyAlignment="0" applyProtection="0">
      <alignment vertical="center"/>
    </xf>
    <xf numFmtId="0" fontId="40" fillId="0" borderId="0" applyFill="0" applyBorder="0" applyAlignment="0" applyProtection="0">
      <alignment vertical="center"/>
    </xf>
    <xf numFmtId="0" fontId="35" fillId="16" borderId="13" applyNumberFormat="0" applyFont="0" applyAlignment="0" applyProtection="0">
      <alignment vertical="center"/>
    </xf>
    <xf numFmtId="0" fontId="1" fillId="0" borderId="0"/>
    <xf numFmtId="44" fontId="35" fillId="0" borderId="0" applyFont="0" applyFill="0" applyBorder="0" applyAlignment="0" applyProtection="0"/>
    <xf numFmtId="0" fontId="1" fillId="0" borderId="0"/>
  </cellStyleXfs>
  <cellXfs count="48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5" fillId="0" borderId="0" xfId="0" applyFont="1" applyFill="1"/>
    <xf numFmtId="0" fontId="8" fillId="0" borderId="0" xfId="0" applyFont="1" applyFill="1"/>
    <xf numFmtId="0" fontId="12" fillId="0" borderId="0" xfId="0" applyFont="1" applyFill="1"/>
    <xf numFmtId="164" fontId="14" fillId="4" borderId="0" xfId="0" applyNumberFormat="1" applyFont="1" applyFill="1"/>
    <xf numFmtId="0" fontId="13" fillId="0" borderId="0" xfId="0" applyFont="1" applyFill="1"/>
    <xf numFmtId="165" fontId="6" fillId="0" borderId="0" xfId="1" applyNumberFormat="1" applyFont="1" applyFill="1" applyBorder="1"/>
    <xf numFmtId="0" fontId="6" fillId="4" borderId="0" xfId="0" applyFont="1" applyFill="1"/>
    <xf numFmtId="0" fontId="6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15" fillId="0" borderId="0" xfId="0" applyFont="1"/>
    <xf numFmtId="0" fontId="9" fillId="0" borderId="0" xfId="0" applyFont="1" applyFill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/>
    </xf>
    <xf numFmtId="9" fontId="6" fillId="0" borderId="0" xfId="2" quotePrefix="1" applyFont="1" applyFill="1" applyBorder="1"/>
    <xf numFmtId="43" fontId="6" fillId="0" borderId="0" xfId="1" applyNumberFormat="1" applyFont="1" applyFill="1" applyBorder="1"/>
    <xf numFmtId="43" fontId="16" fillId="0" borderId="0" xfId="0" applyNumberFormat="1" applyFont="1"/>
    <xf numFmtId="0" fontId="9" fillId="0" borderId="0" xfId="0" applyFont="1" applyFill="1" applyBorder="1" applyAlignment="1">
      <alignment vertical="top"/>
    </xf>
    <xf numFmtId="0" fontId="16" fillId="0" borderId="0" xfId="0" applyFont="1"/>
    <xf numFmtId="43" fontId="6" fillId="0" borderId="0" xfId="1" applyNumberFormat="1" applyFont="1" applyFill="1" applyBorder="1" applyAlignment="1">
      <alignment vertical="top"/>
    </xf>
    <xf numFmtId="0" fontId="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/>
    <xf numFmtId="0" fontId="9" fillId="0" borderId="0" xfId="0" applyFont="1" applyAlignment="1">
      <alignment vertical="top"/>
    </xf>
    <xf numFmtId="9" fontId="9" fillId="0" borderId="0" xfId="2" applyNumberFormat="1" applyFont="1" applyFill="1" applyBorder="1"/>
    <xf numFmtId="9" fontId="9" fillId="0" borderId="0" xfId="2" applyFont="1" applyFill="1" applyBorder="1"/>
    <xf numFmtId="0" fontId="6" fillId="0" borderId="0" xfId="4" applyFont="1"/>
    <xf numFmtId="0" fontId="8" fillId="0" borderId="0" xfId="4" applyFont="1"/>
    <xf numFmtId="0" fontId="6" fillId="0" borderId="0" xfId="4" applyFont="1" applyFill="1"/>
    <xf numFmtId="0" fontId="6" fillId="0" borderId="0" xfId="4" applyFont="1" applyBorder="1"/>
    <xf numFmtId="0" fontId="13" fillId="0" borderId="0" xfId="4" applyFont="1" applyFill="1"/>
    <xf numFmtId="0" fontId="8" fillId="3" borderId="0" xfId="4" applyFont="1" applyFill="1"/>
    <xf numFmtId="0" fontId="12" fillId="0" borderId="0" xfId="4" applyFont="1" applyFill="1"/>
    <xf numFmtId="0" fontId="8" fillId="0" borderId="0" xfId="4" applyFont="1" applyFill="1"/>
    <xf numFmtId="0" fontId="6" fillId="0" borderId="0" xfId="0" applyFont="1" applyFill="1" applyAlignment="1">
      <alignment vertical="top"/>
    </xf>
    <xf numFmtId="0" fontId="21" fillId="0" borderId="0" xfId="0" quotePrefix="1" applyFont="1"/>
    <xf numFmtId="0" fontId="10" fillId="0" borderId="0" xfId="0" applyFont="1"/>
    <xf numFmtId="9" fontId="9" fillId="0" borderId="0" xfId="2" applyFont="1"/>
    <xf numFmtId="0" fontId="9" fillId="0" borderId="0" xfId="0" applyFont="1" applyBorder="1" applyAlignment="1">
      <alignment horizontal="center"/>
    </xf>
    <xf numFmtId="9" fontId="9" fillId="0" borderId="0" xfId="0" applyNumberFormat="1" applyFont="1"/>
    <xf numFmtId="0" fontId="9" fillId="0" borderId="0" xfId="0" applyFont="1" applyAlignment="1">
      <alignment wrapText="1"/>
    </xf>
    <xf numFmtId="0" fontId="13" fillId="0" borderId="0" xfId="4" applyFont="1"/>
    <xf numFmtId="0" fontId="4" fillId="0" borderId="0" xfId="0" applyFont="1"/>
    <xf numFmtId="0" fontId="6" fillId="0" borderId="0" xfId="0" applyFont="1" applyFill="1"/>
    <xf numFmtId="0" fontId="6" fillId="5" borderId="4" xfId="6" quotePrefix="1"/>
    <xf numFmtId="0" fontId="19" fillId="0" borderId="0" xfId="0" applyFont="1" applyFill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3" fillId="3" borderId="0" xfId="0" applyFont="1" applyFill="1"/>
    <xf numFmtId="0" fontId="25" fillId="3" borderId="0" xfId="0" applyFont="1" applyFill="1"/>
    <xf numFmtId="0" fontId="2" fillId="0" borderId="0" xfId="0" applyFont="1"/>
    <xf numFmtId="15" fontId="23" fillId="0" borderId="0" xfId="0" applyNumberFormat="1" applyFont="1" applyAlignment="1">
      <alignment horizontal="left"/>
    </xf>
    <xf numFmtId="0" fontId="23" fillId="0" borderId="0" xfId="0" quotePrefix="1" applyFont="1"/>
    <xf numFmtId="0" fontId="3" fillId="2" borderId="0" xfId="3" applyFont="1" applyFill="1"/>
    <xf numFmtId="0" fontId="23" fillId="0" borderId="0" xfId="0" applyFont="1" applyAlignment="1">
      <alignment horizontal="left"/>
    </xf>
    <xf numFmtId="0" fontId="21" fillId="4" borderId="0" xfId="0" applyFont="1" applyFill="1" applyBorder="1"/>
    <xf numFmtId="15" fontId="21" fillId="0" borderId="0" xfId="0" applyNumberFormat="1" applyFont="1" applyAlignment="1">
      <alignment horizontal="left"/>
    </xf>
    <xf numFmtId="0" fontId="1" fillId="4" borderId="0" xfId="0" applyFont="1" applyFill="1" applyBorder="1"/>
    <xf numFmtId="0" fontId="1" fillId="0" borderId="0" xfId="0" applyFont="1" applyBorder="1" applyAlignment="1"/>
    <xf numFmtId="0" fontId="23" fillId="5" borderId="3" xfId="0" quotePrefix="1" applyFont="1" applyFill="1" applyBorder="1" applyAlignment="1" applyProtection="1"/>
    <xf numFmtId="0" fontId="9" fillId="5" borderId="1" xfId="7" quotePrefix="1"/>
    <xf numFmtId="0" fontId="6" fillId="4" borderId="4" xfId="8" quotePrefix="1"/>
    <xf numFmtId="0" fontId="9" fillId="8" borderId="0" xfId="9"/>
    <xf numFmtId="1" fontId="21" fillId="0" borderId="0" xfId="0" applyNumberFormat="1" applyFont="1"/>
    <xf numFmtId="0" fontId="6" fillId="6" borderId="0" xfId="5"/>
    <xf numFmtId="0" fontId="26" fillId="0" borderId="0" xfId="0" applyFont="1"/>
    <xf numFmtId="0" fontId="21" fillId="3" borderId="0" xfId="0" applyFont="1" applyFill="1"/>
    <xf numFmtId="0" fontId="24" fillId="3" borderId="0" xfId="0" applyFont="1" applyFill="1"/>
    <xf numFmtId="49" fontId="21" fillId="0" borderId="0" xfId="0" applyNumberFormat="1" applyFont="1" applyAlignment="1">
      <alignment horizontal="right"/>
    </xf>
    <xf numFmtId="0" fontId="12" fillId="3" borderId="0" xfId="4" applyFont="1" applyFill="1"/>
    <xf numFmtId="166" fontId="6" fillId="0" borderId="0" xfId="10" applyNumberFormat="1" applyFont="1"/>
    <xf numFmtId="166" fontId="13" fillId="0" borderId="0" xfId="10" applyNumberFormat="1" applyFont="1"/>
    <xf numFmtId="164" fontId="6" fillId="4" borderId="0" xfId="4" applyNumberFormat="1" applyFont="1" applyFill="1" applyBorder="1" applyAlignment="1" applyProtection="1"/>
    <xf numFmtId="0" fontId="6" fillId="4" borderId="0" xfId="4" applyFont="1" applyFill="1"/>
    <xf numFmtId="10" fontId="6" fillId="4" borderId="0" xfId="10" applyNumberFormat="1" applyFont="1" applyFill="1" applyBorder="1" applyAlignment="1" applyProtection="1"/>
    <xf numFmtId="164" fontId="14" fillId="4" borderId="0" xfId="4" applyNumberFormat="1" applyFont="1" applyFill="1"/>
    <xf numFmtId="9" fontId="14" fillId="4" borderId="0" xfId="4" applyNumberFormat="1" applyFont="1" applyFill="1" applyBorder="1" applyAlignment="1" applyProtection="1"/>
    <xf numFmtId="1" fontId="14" fillId="4" borderId="0" xfId="4" applyNumberFormat="1" applyFont="1" applyFill="1" applyBorder="1" applyAlignment="1" applyProtection="1"/>
    <xf numFmtId="164" fontId="14" fillId="4" borderId="0" xfId="4" applyNumberFormat="1" applyFont="1" applyFill="1" applyBorder="1" applyAlignment="1" applyProtection="1"/>
    <xf numFmtId="2" fontId="14" fillId="4" borderId="0" xfId="4" applyNumberFormat="1" applyFont="1" applyFill="1" applyBorder="1" applyAlignment="1" applyProtection="1"/>
    <xf numFmtId="0" fontId="0" fillId="0" borderId="0" xfId="0" applyFill="1"/>
    <xf numFmtId="0" fontId="18" fillId="0" borderId="0" xfId="0" applyFont="1" applyFill="1" applyAlignment="1">
      <alignment vertical="center"/>
    </xf>
    <xf numFmtId="0" fontId="17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/>
    <xf numFmtId="3" fontId="0" fillId="0" borderId="0" xfId="0" applyNumberFormat="1"/>
    <xf numFmtId="167" fontId="9" fillId="0" borderId="0" xfId="1" applyNumberFormat="1" applyFont="1" applyFill="1" applyAlignment="1"/>
    <xf numFmtId="167" fontId="29" fillId="0" borderId="0" xfId="1" applyNumberFormat="1" applyFont="1" applyFill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9" fillId="4" borderId="0" xfId="0" applyFont="1" applyFill="1"/>
    <xf numFmtId="0" fontId="6" fillId="0" borderId="0" xfId="0" applyFont="1" applyAlignme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 applyAlignment="1"/>
    <xf numFmtId="0" fontId="8" fillId="3" borderId="0" xfId="0" applyFont="1" applyFill="1" applyAlignment="1">
      <alignment vertical="center"/>
    </xf>
    <xf numFmtId="0" fontId="6" fillId="4" borderId="0" xfId="0" applyFont="1" applyFill="1" applyAlignment="1"/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/>
    </xf>
    <xf numFmtId="0" fontId="0" fillId="4" borderId="0" xfId="0" applyFill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22" fillId="4" borderId="0" xfId="0" applyFont="1" applyFill="1"/>
    <xf numFmtId="0" fontId="22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9" borderId="6" xfId="0" applyFont="1" applyFill="1" applyBorder="1" applyAlignment="1">
      <alignment vertical="center"/>
    </xf>
    <xf numFmtId="0" fontId="0" fillId="9" borderId="2" xfId="0" applyFont="1" applyFill="1" applyBorder="1" applyAlignment="1">
      <alignment vertical="center"/>
    </xf>
    <xf numFmtId="165" fontId="6" fillId="5" borderId="4" xfId="1" applyNumberFormat="1" applyFont="1" applyFill="1" applyBorder="1" applyAlignment="1"/>
    <xf numFmtId="0" fontId="8" fillId="3" borderId="0" xfId="4" applyFont="1" applyFill="1" applyAlignment="1">
      <alignment horizontal="center" wrapText="1"/>
    </xf>
    <xf numFmtId="3" fontId="1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1" fontId="6" fillId="4" borderId="0" xfId="0" applyNumberFormat="1" applyFont="1" applyFill="1"/>
    <xf numFmtId="3" fontId="7" fillId="4" borderId="0" xfId="0" applyNumberFormat="1" applyFont="1" applyFill="1"/>
    <xf numFmtId="165" fontId="7" fillId="4" borderId="0" xfId="0" applyNumberFormat="1" applyFont="1" applyFill="1" applyBorder="1"/>
    <xf numFmtId="0" fontId="7" fillId="4" borderId="0" xfId="0" applyFont="1" applyFill="1" applyBorder="1"/>
    <xf numFmtId="0" fontId="9" fillId="4" borderId="0" xfId="0" applyFont="1" applyFill="1"/>
    <xf numFmtId="0" fontId="10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9" fillId="4" borderId="0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6" fillId="10" borderId="0" xfId="0" applyFont="1" applyFill="1"/>
    <xf numFmtId="0" fontId="6" fillId="10" borderId="0" xfId="0" applyFont="1" applyFill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0" fontId="6" fillId="0" borderId="0" xfId="4" applyFont="1" applyBorder="1" applyAlignment="1">
      <alignment horizontal="center"/>
    </xf>
    <xf numFmtId="0" fontId="9" fillId="4" borderId="0" xfId="0" applyFont="1" applyFill="1" applyAlignment="1">
      <alignment horizontal="left" vertical="top"/>
    </xf>
    <xf numFmtId="43" fontId="9" fillId="4" borderId="0" xfId="0" applyNumberFormat="1" applyFont="1" applyFill="1" applyAlignment="1"/>
    <xf numFmtId="0" fontId="0" fillId="4" borderId="10" xfId="0" applyFont="1" applyFill="1" applyBorder="1" applyAlignment="1">
      <alignment horizontal="center" wrapText="1"/>
    </xf>
    <xf numFmtId="0" fontId="22" fillId="4" borderId="0" xfId="0" applyFont="1" applyFill="1" applyAlignment="1">
      <alignment vertical="center" wrapText="1"/>
    </xf>
    <xf numFmtId="3" fontId="6" fillId="4" borderId="2" xfId="1" applyNumberFormat="1" applyFont="1" applyFill="1" applyBorder="1" applyAlignment="1">
      <alignment horizontal="center"/>
    </xf>
    <xf numFmtId="0" fontId="8" fillId="4" borderId="0" xfId="0" applyFont="1" applyFill="1" applyAlignment="1"/>
    <xf numFmtId="3" fontId="6" fillId="4" borderId="0" xfId="0" applyNumberFormat="1" applyFont="1" applyFill="1" applyAlignment="1">
      <alignment horizontal="center"/>
    </xf>
    <xf numFmtId="3" fontId="6" fillId="4" borderId="0" xfId="0" applyNumberFormat="1" applyFont="1" applyFill="1"/>
    <xf numFmtId="0" fontId="9" fillId="4" borderId="5" xfId="0" applyFont="1" applyFill="1" applyBorder="1"/>
    <xf numFmtId="165" fontId="4" fillId="4" borderId="0" xfId="0" applyNumberFormat="1" applyFont="1" applyFill="1"/>
    <xf numFmtId="0" fontId="10" fillId="4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9" fontId="9" fillId="4" borderId="0" xfId="0" applyNumberFormat="1" applyFont="1" applyFill="1" applyAlignment="1">
      <alignment horizontal="center" vertical="center"/>
    </xf>
    <xf numFmtId="164" fontId="23" fillId="0" borderId="0" xfId="0" applyNumberFormat="1" applyFont="1" applyAlignment="1">
      <alignment horizontal="left"/>
    </xf>
    <xf numFmtId="0" fontId="6" fillId="0" borderId="0" xfId="0" applyFont="1" applyBorder="1" applyAlignment="1">
      <alignment vertical="center"/>
    </xf>
    <xf numFmtId="43" fontId="9" fillId="4" borderId="0" xfId="0" applyNumberFormat="1" applyFont="1" applyFill="1" applyBorder="1" applyAlignment="1"/>
    <xf numFmtId="9" fontId="20" fillId="0" borderId="0" xfId="2" applyFont="1" applyFill="1" applyBorder="1"/>
    <xf numFmtId="0" fontId="9" fillId="0" borderId="0" xfId="0" applyFont="1" applyAlignment="1">
      <alignment horizontal="left" indent="1"/>
    </xf>
    <xf numFmtId="165" fontId="9" fillId="0" borderId="0" xfId="0" applyNumberFormat="1" applyFont="1"/>
    <xf numFmtId="43" fontId="9" fillId="0" borderId="0" xfId="0" applyNumberFormat="1" applyFont="1" applyFill="1" applyAlignment="1"/>
    <xf numFmtId="0" fontId="30" fillId="4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8" fillId="3" borderId="0" xfId="4" applyFont="1" applyFill="1" applyBorder="1" applyAlignment="1">
      <alignment horizontal="center"/>
    </xf>
    <xf numFmtId="0" fontId="33" fillId="0" borderId="0" xfId="0" applyFont="1"/>
    <xf numFmtId="0" fontId="10" fillId="0" borderId="0" xfId="0" applyFont="1" applyAlignment="1">
      <alignment horizontal="center"/>
    </xf>
    <xf numFmtId="0" fontId="34" fillId="0" borderId="0" xfId="0" applyFont="1" applyFill="1" applyBorder="1"/>
    <xf numFmtId="0" fontId="7" fillId="0" borderId="0" xfId="0" applyFont="1" applyAlignment="1"/>
    <xf numFmtId="0" fontId="10" fillId="3" borderId="0" xfId="0" applyFont="1" applyFill="1" applyAlignment="1"/>
    <xf numFmtId="0" fontId="9" fillId="0" borderId="0" xfId="0" applyFont="1" applyAlignment="1"/>
    <xf numFmtId="3" fontId="9" fillId="4" borderId="0" xfId="0" applyNumberFormat="1" applyFont="1" applyFill="1" applyBorder="1" applyAlignment="1"/>
    <xf numFmtId="9" fontId="6" fillId="5" borderId="4" xfId="2" applyFont="1" applyFill="1" applyBorder="1" applyAlignment="1"/>
    <xf numFmtId="0" fontId="6" fillId="0" borderId="0" xfId="0" applyFont="1" applyFill="1" applyBorder="1" applyAlignment="1"/>
    <xf numFmtId="3" fontId="9" fillId="5" borderId="4" xfId="0" applyNumberFormat="1" applyFont="1" applyFill="1" applyBorder="1" applyAlignment="1"/>
    <xf numFmtId="0" fontId="8" fillId="0" borderId="0" xfId="0" applyFont="1" applyFill="1" applyBorder="1" applyAlignment="1"/>
    <xf numFmtId="9" fontId="9" fillId="4" borderId="0" xfId="2" applyFont="1" applyFill="1" applyBorder="1" applyAlignment="1"/>
    <xf numFmtId="9" fontId="9" fillId="0" borderId="0" xfId="0" applyNumberFormat="1" applyFont="1" applyAlignment="1"/>
    <xf numFmtId="9" fontId="9" fillId="0" borderId="0" xfId="2" applyFont="1" applyAlignment="1"/>
    <xf numFmtId="0" fontId="6" fillId="4" borderId="4" xfId="8" applyAlignment="1">
      <alignment horizontal="right"/>
    </xf>
    <xf numFmtId="10" fontId="6" fillId="4" borderId="4" xfId="2" applyNumberFormat="1" applyFont="1" applyFill="1" applyBorder="1" applyAlignment="1">
      <alignment horizontal="right"/>
    </xf>
    <xf numFmtId="2" fontId="6" fillId="4" borderId="4" xfId="8" applyNumberFormat="1" applyAlignment="1">
      <alignment horizontal="right"/>
    </xf>
    <xf numFmtId="0" fontId="9" fillId="0" borderId="0" xfId="0" applyFont="1" applyBorder="1" applyAlignment="1">
      <alignment horizontal="left" indent="1"/>
    </xf>
    <xf numFmtId="0" fontId="33" fillId="4" borderId="0" xfId="0" applyFont="1" applyFill="1" applyBorder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9" fillId="0" borderId="0" xfId="0" applyFont="1" applyFill="1" applyAlignment="1"/>
    <xf numFmtId="0" fontId="6" fillId="0" borderId="0" xfId="4" applyFont="1" applyAlignment="1"/>
    <xf numFmtId="0" fontId="8" fillId="0" borderId="0" xfId="4" applyFont="1" applyAlignment="1"/>
    <xf numFmtId="0" fontId="8" fillId="0" borderId="0" xfId="4" applyFont="1" applyBorder="1" applyAlignment="1"/>
    <xf numFmtId="0" fontId="6" fillId="0" borderId="0" xfId="4" applyFont="1" applyBorder="1" applyAlignment="1"/>
    <xf numFmtId="0" fontId="20" fillId="0" borderId="0" xfId="0" applyFont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/>
    <xf numFmtId="0" fontId="13" fillId="0" borderId="0" xfId="4" applyFont="1" applyFill="1" applyAlignment="1"/>
    <xf numFmtId="0" fontId="8" fillId="3" borderId="0" xfId="4" applyFont="1" applyFill="1" applyBorder="1" applyAlignment="1"/>
    <xf numFmtId="0" fontId="10" fillId="3" borderId="0" xfId="0" applyFont="1" applyFill="1" applyBorder="1" applyAlignment="1"/>
    <xf numFmtId="0" fontId="8" fillId="0" borderId="0" xfId="4" applyFont="1" applyFill="1" applyBorder="1" applyAlignment="1"/>
    <xf numFmtId="0" fontId="9" fillId="11" borderId="0" xfId="0" applyFont="1" applyFill="1" applyAlignment="1"/>
    <xf numFmtId="0" fontId="9" fillId="11" borderId="0" xfId="0" applyFont="1" applyFill="1" applyBorder="1" applyAlignment="1"/>
    <xf numFmtId="0" fontId="9" fillId="4" borderId="0" xfId="0" applyFont="1" applyFill="1" applyBorder="1" applyAlignment="1"/>
    <xf numFmtId="0" fontId="8" fillId="3" borderId="0" xfId="4" applyFont="1" applyFill="1" applyAlignment="1"/>
    <xf numFmtId="0" fontId="11" fillId="3" borderId="0" xfId="0" applyFont="1" applyFill="1" applyAlignment="1"/>
    <xf numFmtId="0" fontId="12" fillId="0" borderId="0" xfId="4" applyFont="1" applyFill="1" applyAlignment="1"/>
    <xf numFmtId="0" fontId="8" fillId="0" borderId="0" xfId="4" applyFont="1" applyFill="1" applyAlignment="1"/>
    <xf numFmtId="0" fontId="0" fillId="0" borderId="0" xfId="0" applyAlignment="1"/>
    <xf numFmtId="0" fontId="4" fillId="0" borderId="0" xfId="0" applyFont="1" applyAlignment="1"/>
    <xf numFmtId="0" fontId="0" fillId="4" borderId="0" xfId="0" applyFill="1" applyBorder="1" applyAlignment="1"/>
    <xf numFmtId="0" fontId="9" fillId="4" borderId="0" xfId="0" applyFont="1" applyFill="1" applyAlignment="1"/>
    <xf numFmtId="0" fontId="6" fillId="4" borderId="0" xfId="0" applyFont="1" applyFill="1" applyBorder="1" applyAlignment="1"/>
    <xf numFmtId="0" fontId="10" fillId="0" borderId="0" xfId="0" applyFont="1" applyFill="1" applyAlignment="1"/>
    <xf numFmtId="164" fontId="6" fillId="4" borderId="4" xfId="8" applyNumberFormat="1"/>
    <xf numFmtId="9" fontId="6" fillId="4" borderId="4" xfId="2" applyFont="1" applyFill="1" applyBorder="1"/>
    <xf numFmtId="0" fontId="9" fillId="4" borderId="0" xfId="0" applyFont="1" applyFill="1" applyBorder="1" applyAlignment="1">
      <alignment horizontal="left" indent="1"/>
    </xf>
    <xf numFmtId="0" fontId="8" fillId="3" borderId="0" xfId="4" applyFont="1" applyFill="1" applyBorder="1" applyAlignment="1">
      <alignment horizontal="left"/>
    </xf>
    <xf numFmtId="0" fontId="0" fillId="0" borderId="0" xfId="0" applyBorder="1" applyAlignment="1">
      <alignment horizontal="left" indent="1"/>
    </xf>
    <xf numFmtId="2" fontId="0" fillId="0" borderId="0" xfId="0" applyNumberFormat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8" fillId="0" borderId="0" xfId="4" applyFont="1" applyFill="1" applyBorder="1" applyAlignment="1">
      <alignment horizontal="left"/>
    </xf>
    <xf numFmtId="2" fontId="0" fillId="0" borderId="0" xfId="0" applyNumberFormat="1" applyFill="1" applyBorder="1" applyAlignment="1">
      <alignment horizontal="right" indent="1"/>
    </xf>
    <xf numFmtId="0" fontId="9" fillId="0" borderId="0" xfId="0" applyFont="1" applyFill="1" applyBorder="1" applyAlignment="1">
      <alignment horizontal="left" indent="1"/>
    </xf>
    <xf numFmtId="2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30" fillId="0" borderId="0" xfId="0" applyFont="1" applyFill="1" applyAlignment="1"/>
    <xf numFmtId="43" fontId="9" fillId="0" borderId="0" xfId="0" applyNumberFormat="1" applyFont="1" applyFill="1" applyBorder="1" applyAlignment="1"/>
    <xf numFmtId="2" fontId="10" fillId="0" borderId="0" xfId="0" applyNumberFormat="1" applyFont="1" applyFill="1" applyBorder="1" applyAlignment="1">
      <alignment horizontal="right"/>
    </xf>
    <xf numFmtId="0" fontId="0" fillId="4" borderId="0" xfId="0" applyFill="1" applyAlignment="1">
      <alignment horizontal="right"/>
    </xf>
    <xf numFmtId="169" fontId="6" fillId="4" borderId="0" xfId="0" applyNumberFormat="1" applyFont="1" applyFill="1" applyBorder="1" applyAlignment="1">
      <alignment horizontal="right"/>
    </xf>
    <xf numFmtId="169" fontId="6" fillId="4" borderId="0" xfId="0" applyNumberFormat="1" applyFont="1" applyFill="1" applyAlignment="1">
      <alignment horizontal="right"/>
    </xf>
    <xf numFmtId="169" fontId="9" fillId="4" borderId="0" xfId="0" applyNumberFormat="1" applyFont="1" applyFill="1" applyAlignment="1">
      <alignment horizontal="right"/>
    </xf>
    <xf numFmtId="169" fontId="9" fillId="4" borderId="5" xfId="0" applyNumberFormat="1" applyFont="1" applyFill="1" applyBorder="1" applyAlignment="1">
      <alignment horizontal="right"/>
    </xf>
    <xf numFmtId="164" fontId="14" fillId="4" borderId="0" xfId="0" applyNumberFormat="1" applyFont="1" applyFill="1" applyAlignment="1"/>
    <xf numFmtId="0" fontId="6" fillId="0" borderId="0" xfId="0" applyFont="1" applyAlignment="1">
      <alignment vertical="top"/>
    </xf>
    <xf numFmtId="0" fontId="32" fillId="3" borderId="0" xfId="4" applyFont="1" applyFill="1"/>
    <xf numFmtId="0" fontId="32" fillId="0" borderId="0" xfId="0" applyFont="1"/>
    <xf numFmtId="0" fontId="32" fillId="0" borderId="0" xfId="4" applyFont="1"/>
    <xf numFmtId="0" fontId="31" fillId="0" borderId="0" xfId="0" applyFont="1"/>
    <xf numFmtId="0" fontId="31" fillId="0" borderId="0" xfId="0" applyFont="1" applyFill="1"/>
    <xf numFmtId="0" fontId="4" fillId="0" borderId="0" xfId="0" applyFont="1" applyAlignment="1">
      <alignment horizontal="center"/>
    </xf>
    <xf numFmtId="0" fontId="32" fillId="3" borderId="0" xfId="0" applyFont="1" applyFill="1"/>
    <xf numFmtId="0" fontId="4" fillId="0" borderId="0" xfId="0" applyFont="1" applyAlignment="1">
      <alignment horizontal="right"/>
    </xf>
    <xf numFmtId="43" fontId="9" fillId="0" borderId="0" xfId="0" applyNumberFormat="1" applyFont="1" applyAlignment="1"/>
    <xf numFmtId="0" fontId="4" fillId="0" borderId="0" xfId="0" applyFont="1" applyFill="1"/>
    <xf numFmtId="3" fontId="0" fillId="0" borderId="0" xfId="0" applyNumberFormat="1" applyAlignment="1">
      <alignment horizontal="right"/>
    </xf>
    <xf numFmtId="0" fontId="8" fillId="0" borderId="0" xfId="0" applyFont="1" applyFill="1" applyAlignment="1"/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wrapText="1"/>
    </xf>
    <xf numFmtId="0" fontId="32" fillId="0" borderId="0" xfId="0" applyFont="1" applyAlignment="1"/>
    <xf numFmtId="0" fontId="32" fillId="3" borderId="0" xfId="0" applyFont="1" applyFill="1" applyAlignment="1"/>
    <xf numFmtId="0" fontId="32" fillId="0" borderId="0" xfId="0" applyFont="1" applyFill="1" applyAlignment="1"/>
    <xf numFmtId="0" fontId="32" fillId="4" borderId="0" xfId="0" applyFont="1" applyFill="1" applyAlignment="1"/>
    <xf numFmtId="0" fontId="6" fillId="4" borderId="0" xfId="4" applyFont="1" applyFill="1" applyAlignment="1"/>
    <xf numFmtId="0" fontId="8" fillId="4" borderId="0" xfId="4" applyFont="1" applyFill="1" applyAlignment="1"/>
    <xf numFmtId="0" fontId="8" fillId="4" borderId="0" xfId="4" applyFont="1" applyFill="1" applyBorder="1" applyAlignment="1"/>
    <xf numFmtId="0" fontId="6" fillId="4" borderId="0" xfId="4" applyFont="1" applyFill="1" applyBorder="1" applyAlignment="1">
      <alignment horizontal="center"/>
    </xf>
    <xf numFmtId="0" fontId="6" fillId="4" borderId="0" xfId="4" applyFont="1" applyFill="1" applyBorder="1" applyAlignment="1"/>
    <xf numFmtId="44" fontId="9" fillId="0" borderId="0" xfId="0" applyNumberFormat="1" applyFont="1" applyAlignment="1"/>
    <xf numFmtId="44" fontId="6" fillId="0" borderId="0" xfId="4" applyNumberFormat="1" applyFont="1" applyAlignment="1"/>
    <xf numFmtId="44" fontId="11" fillId="3" borderId="0" xfId="0" applyNumberFormat="1" applyFont="1" applyFill="1" applyAlignment="1"/>
    <xf numFmtId="44" fontId="0" fillId="0" borderId="0" xfId="0" applyNumberFormat="1" applyAlignment="1"/>
    <xf numFmtId="0" fontId="6" fillId="5" borderId="4" xfId="6"/>
    <xf numFmtId="9" fontId="6" fillId="5" borderId="4" xfId="2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4" borderId="0" xfId="0" applyFont="1" applyFill="1" applyBorder="1" applyAlignment="1"/>
    <xf numFmtId="0" fontId="8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 wrapText="1"/>
    </xf>
    <xf numFmtId="9" fontId="9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9" fontId="6" fillId="5" borderId="4" xfId="2" applyFont="1" applyFill="1" applyBorder="1"/>
    <xf numFmtId="0" fontId="45" fillId="0" borderId="0" xfId="0" applyFont="1"/>
    <xf numFmtId="9" fontId="44" fillId="0" borderId="0" xfId="0" applyNumberFormat="1" applyFont="1" applyFill="1" applyAlignment="1">
      <alignment horizontal="center"/>
    </xf>
    <xf numFmtId="0" fontId="6" fillId="4" borderId="4" xfId="8"/>
    <xf numFmtId="0" fontId="6" fillId="4" borderId="4" xfId="8" applyAlignment="1">
      <alignment horizontal="center"/>
    </xf>
    <xf numFmtId="0" fontId="0" fillId="0" borderId="0" xfId="0" applyAlignment="1">
      <alignment horizontal="left"/>
    </xf>
    <xf numFmtId="0" fontId="4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9" fontId="23" fillId="5" borderId="3" xfId="2" quotePrefix="1" applyFont="1" applyFill="1" applyBorder="1" applyAlignment="1" applyProtection="1">
      <alignment horizontal="center"/>
    </xf>
    <xf numFmtId="9" fontId="9" fillId="4" borderId="0" xfId="2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9" fontId="9" fillId="5" borderId="1" xfId="2" applyNumberFormat="1" applyFont="1" applyFill="1" applyBorder="1" applyAlignment="1">
      <alignment horizontal="right" vertical="center"/>
    </xf>
    <xf numFmtId="43" fontId="6" fillId="0" borderId="0" xfId="1" applyNumberFormat="1" applyFont="1" applyFill="1" applyBorder="1" applyAlignment="1">
      <alignment horizontal="right"/>
    </xf>
    <xf numFmtId="3" fontId="9" fillId="5" borderId="1" xfId="1" applyNumberFormat="1" applyFont="1" applyFill="1" applyBorder="1" applyAlignment="1">
      <alignment horizontal="right" vertical="center"/>
    </xf>
    <xf numFmtId="0" fontId="9" fillId="5" borderId="1" xfId="2" applyNumberFormat="1" applyFont="1" applyFill="1" applyBorder="1" applyAlignment="1">
      <alignment horizontal="right" vertical="center"/>
    </xf>
    <xf numFmtId="43" fontId="6" fillId="0" borderId="0" xfId="1" applyNumberFormat="1" applyFont="1" applyFill="1" applyBorder="1" applyAlignment="1">
      <alignment horizontal="right" vertical="top"/>
    </xf>
    <xf numFmtId="166" fontId="9" fillId="5" borderId="1" xfId="2" applyNumberFormat="1" applyFont="1" applyFill="1" applyBorder="1" applyAlignment="1">
      <alignment horizontal="right" vertical="center"/>
    </xf>
    <xf numFmtId="166" fontId="6" fillId="0" borderId="0" xfId="2" quotePrefix="1" applyNumberFormat="1" applyFont="1" applyAlignment="1">
      <alignment horizontal="right"/>
    </xf>
    <xf numFmtId="0" fontId="9" fillId="0" borderId="0" xfId="0" applyFont="1" applyFill="1" applyAlignment="1">
      <alignment horizontal="right"/>
    </xf>
    <xf numFmtId="9" fontId="6" fillId="4" borderId="4" xfId="2" applyFont="1" applyFill="1" applyBorder="1" applyAlignment="1">
      <alignment horizontal="right"/>
    </xf>
    <xf numFmtId="0" fontId="22" fillId="4" borderId="0" xfId="0" applyFont="1" applyFill="1" applyAlignment="1">
      <alignment horizontal="right"/>
    </xf>
    <xf numFmtId="0" fontId="0" fillId="4" borderId="0" xfId="0" applyFill="1" applyAlignment="1"/>
    <xf numFmtId="1" fontId="6" fillId="4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2" fontId="6" fillId="4" borderId="4" xfId="8" quotePrefix="1" applyNumberFormat="1"/>
    <xf numFmtId="3" fontId="6" fillId="4" borderId="4" xfId="8" quotePrefix="1" applyNumberFormat="1"/>
    <xf numFmtId="9" fontId="9" fillId="0" borderId="0" xfId="2" applyFont="1" applyBorder="1" applyAlignment="1"/>
    <xf numFmtId="9" fontId="9" fillId="0" borderId="0" xfId="2" applyFont="1" applyBorder="1"/>
    <xf numFmtId="0" fontId="34" fillId="0" borderId="0" xfId="0" applyFont="1" applyAlignment="1"/>
    <xf numFmtId="0" fontId="17" fillId="0" borderId="0" xfId="0" applyFont="1" applyAlignment="1"/>
    <xf numFmtId="0" fontId="28" fillId="4" borderId="0" xfId="0" applyFont="1" applyFill="1" applyAlignment="1"/>
    <xf numFmtId="0" fontId="15" fillId="4" borderId="0" xfId="0" applyFont="1" applyFill="1"/>
    <xf numFmtId="0" fontId="8" fillId="4" borderId="0" xfId="0" applyFont="1" applyFill="1" applyAlignment="1">
      <alignment horizontal="right"/>
    </xf>
    <xf numFmtId="0" fontId="12" fillId="4" borderId="0" xfId="0" applyFont="1" applyFill="1"/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23" fillId="3" borderId="0" xfId="0" applyFont="1" applyFill="1" applyBorder="1"/>
    <xf numFmtId="168" fontId="9" fillId="5" borderId="1" xfId="2" applyNumberFormat="1" applyFont="1" applyFill="1" applyBorder="1" applyAlignment="1">
      <alignment horizontal="right"/>
    </xf>
    <xf numFmtId="0" fontId="10" fillId="4" borderId="0" xfId="0" applyFont="1" applyFill="1" applyAlignment="1"/>
    <xf numFmtId="2" fontId="10" fillId="4" borderId="0" xfId="0" applyNumberFormat="1" applyFont="1" applyFill="1" applyBorder="1" applyAlignment="1">
      <alignment horizontal="right"/>
    </xf>
    <xf numFmtId="0" fontId="9" fillId="11" borderId="0" xfId="0" applyFont="1" applyFill="1" applyAlignment="1">
      <alignment horizontal="right"/>
    </xf>
    <xf numFmtId="0" fontId="9" fillId="11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9" fontId="9" fillId="5" borderId="1" xfId="2" applyFont="1" applyFill="1" applyBorder="1" applyAlignment="1">
      <alignment horizontal="right"/>
    </xf>
    <xf numFmtId="9" fontId="0" fillId="0" borderId="0" xfId="2" applyFont="1" applyAlignment="1">
      <alignment horizontal="right"/>
    </xf>
    <xf numFmtId="9" fontId="0" fillId="0" borderId="0" xfId="0" applyNumberFormat="1" applyAlignment="1">
      <alignment horizontal="right"/>
    </xf>
    <xf numFmtId="164" fontId="9" fillId="5" borderId="1" xfId="7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6" fillId="4" borderId="4" xfId="8" applyNumberFormat="1" applyAlignment="1">
      <alignment horizontal="right"/>
    </xf>
    <xf numFmtId="0" fontId="9" fillId="0" borderId="0" xfId="0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right"/>
    </xf>
    <xf numFmtId="0" fontId="9" fillId="5" borderId="1" xfId="7" applyAlignment="1">
      <alignment horizontal="right"/>
    </xf>
    <xf numFmtId="0" fontId="9" fillId="4" borderId="0" xfId="0" applyFont="1" applyFill="1" applyBorder="1" applyAlignment="1">
      <alignment horizontal="right"/>
    </xf>
    <xf numFmtId="2" fontId="1" fillId="0" borderId="0" xfId="4" applyNumberFormat="1" applyAlignment="1">
      <alignment horizontal="right"/>
    </xf>
    <xf numFmtId="2" fontId="1" fillId="0" borderId="0" xfId="4" applyNumberFormat="1" applyFill="1" applyBorder="1" applyAlignment="1">
      <alignment horizontal="right"/>
    </xf>
    <xf numFmtId="2" fontId="1" fillId="0" borderId="0" xfId="4" applyNumberFormat="1" applyFill="1" applyAlignment="1">
      <alignment horizontal="right"/>
    </xf>
    <xf numFmtId="2" fontId="9" fillId="4" borderId="0" xfId="0" applyNumberFormat="1" applyFont="1" applyFill="1" applyBorder="1" applyAlignment="1">
      <alignment horizontal="right"/>
    </xf>
    <xf numFmtId="2" fontId="9" fillId="4" borderId="0" xfId="2" applyNumberFormat="1" applyFont="1" applyFill="1" applyBorder="1" applyAlignment="1">
      <alignment horizontal="right" vertical="center"/>
    </xf>
    <xf numFmtId="2" fontId="9" fillId="0" borderId="0" xfId="2" applyNumberFormat="1" applyFont="1" applyFill="1" applyBorder="1" applyAlignment="1">
      <alignment horizontal="right" vertical="center"/>
    </xf>
    <xf numFmtId="2" fontId="8" fillId="6" borderId="0" xfId="5" applyNumberFormat="1" applyFont="1" applyAlignment="1">
      <alignment horizontal="right"/>
    </xf>
    <xf numFmtId="9" fontId="0" fillId="0" borderId="0" xfId="2" applyFont="1" applyFill="1" applyBorder="1" applyAlignment="1">
      <alignment horizontal="right"/>
    </xf>
    <xf numFmtId="9" fontId="32" fillId="0" borderId="0" xfId="8" applyNumberFormat="1" applyFont="1" applyFill="1" applyBorder="1" applyAlignment="1"/>
    <xf numFmtId="3" fontId="6" fillId="4" borderId="0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/>
    </xf>
    <xf numFmtId="9" fontId="10" fillId="4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6" fontId="6" fillId="0" borderId="0" xfId="0" quotePrefix="1" applyNumberFormat="1" applyFont="1" applyFill="1"/>
    <xf numFmtId="1" fontId="23" fillId="5" borderId="3" xfId="2" quotePrefix="1" applyNumberFormat="1" applyFont="1" applyFill="1" applyBorder="1" applyAlignment="1" applyProtection="1">
      <alignment horizontal="center"/>
    </xf>
    <xf numFmtId="3" fontId="9" fillId="0" borderId="0" xfId="0" applyNumberFormat="1" applyFont="1"/>
    <xf numFmtId="0" fontId="46" fillId="0" borderId="16" xfId="0" applyFont="1" applyFill="1" applyBorder="1"/>
    <xf numFmtId="0" fontId="46" fillId="0" borderId="0" xfId="0" applyFont="1" applyFill="1" applyBorder="1"/>
    <xf numFmtId="0" fontId="46" fillId="0" borderId="17" xfId="0" applyFont="1" applyFill="1" applyBorder="1"/>
    <xf numFmtId="169" fontId="6" fillId="4" borderId="16" xfId="0" applyNumberFormat="1" applyFont="1" applyFill="1" applyBorder="1" applyAlignment="1">
      <alignment horizontal="right"/>
    </xf>
    <xf numFmtId="169" fontId="6" fillId="4" borderId="18" xfId="0" applyNumberFormat="1" applyFont="1" applyFill="1" applyBorder="1" applyAlignment="1">
      <alignment horizontal="right"/>
    </xf>
    <xf numFmtId="169" fontId="6" fillId="4" borderId="19" xfId="0" applyNumberFormat="1" applyFont="1" applyFill="1" applyBorder="1" applyAlignment="1">
      <alignment horizontal="right"/>
    </xf>
    <xf numFmtId="0" fontId="46" fillId="0" borderId="8" xfId="0" applyFont="1" applyFill="1" applyBorder="1"/>
    <xf numFmtId="169" fontId="6" fillId="4" borderId="8" xfId="0" applyNumberFormat="1" applyFont="1" applyFill="1" applyBorder="1" applyAlignment="1">
      <alignment horizontal="right"/>
    </xf>
    <xf numFmtId="169" fontId="6" fillId="4" borderId="9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4" fillId="4" borderId="0" xfId="0" applyFont="1" applyFill="1"/>
    <xf numFmtId="0" fontId="9" fillId="4" borderId="0" xfId="0" applyFont="1" applyFill="1" applyAlignment="1">
      <alignment vertical="center" wrapText="1"/>
    </xf>
    <xf numFmtId="0" fontId="6" fillId="4" borderId="0" xfId="4" applyFont="1" applyFill="1" applyBorder="1" applyAlignment="1">
      <alignment horizontal="right"/>
    </xf>
    <xf numFmtId="1" fontId="6" fillId="5" borderId="4" xfId="1" applyNumberFormat="1" applyFont="1" applyFill="1" applyBorder="1" applyAlignment="1">
      <alignment horizontal="right"/>
    </xf>
    <xf numFmtId="0" fontId="22" fillId="4" borderId="0" xfId="0" applyFont="1" applyFill="1" applyAlignment="1">
      <alignment horizontal="right" vertical="center"/>
    </xf>
    <xf numFmtId="3" fontId="6" fillId="4" borderId="2" xfId="1" applyNumberFormat="1" applyFont="1" applyFill="1" applyBorder="1" applyAlignment="1">
      <alignment horizontal="right"/>
    </xf>
    <xf numFmtId="164" fontId="9" fillId="4" borderId="0" xfId="0" applyNumberFormat="1" applyFont="1" applyFill="1" applyAlignment="1">
      <alignment horizontal="right"/>
    </xf>
    <xf numFmtId="3" fontId="6" fillId="4" borderId="4" xfId="8" applyNumberFormat="1"/>
    <xf numFmtId="3" fontId="6" fillId="10" borderId="0" xfId="0" applyNumberFormat="1" applyFont="1" applyFill="1" applyAlignment="1">
      <alignment horizontal="left"/>
    </xf>
    <xf numFmtId="0" fontId="0" fillId="0" borderId="0" xfId="0" applyFont="1"/>
    <xf numFmtId="0" fontId="4" fillId="3" borderId="0" xfId="0" applyFont="1" applyFill="1"/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indent="1"/>
    </xf>
    <xf numFmtId="0" fontId="23" fillId="0" borderId="0" xfId="0" applyFont="1" applyFill="1"/>
    <xf numFmtId="0" fontId="4" fillId="4" borderId="0" xfId="0" applyFont="1" applyFill="1"/>
    <xf numFmtId="0" fontId="23" fillId="4" borderId="0" xfId="0" applyFont="1" applyFill="1" applyAlignment="1">
      <alignment vertical="center"/>
    </xf>
    <xf numFmtId="0" fontId="0" fillId="4" borderId="0" xfId="0" applyFont="1" applyFill="1"/>
    <xf numFmtId="0" fontId="0" fillId="4" borderId="0" xfId="0" applyFont="1" applyFill="1" applyAlignment="1"/>
    <xf numFmtId="0" fontId="0" fillId="0" borderId="0" xfId="0" applyFont="1" applyAlignment="1"/>
    <xf numFmtId="0" fontId="0" fillId="0" borderId="0" xfId="0" applyFont="1" applyBorder="1" applyAlignment="1"/>
    <xf numFmtId="0" fontId="4" fillId="0" borderId="0" xfId="0" applyFont="1" applyBorder="1" applyAlignment="1"/>
    <xf numFmtId="0" fontId="0" fillId="4" borderId="0" xfId="0" applyFont="1" applyFill="1" applyBorder="1" applyAlignment="1"/>
    <xf numFmtId="0" fontId="0" fillId="11" borderId="0" xfId="0" applyFont="1" applyFill="1" applyAlignment="1"/>
    <xf numFmtId="0" fontId="0" fillId="0" borderId="0" xfId="0" applyFont="1" applyFill="1" applyAlignment="1"/>
    <xf numFmtId="0" fontId="4" fillId="11" borderId="0" xfId="0" applyFont="1" applyFill="1" applyAlignment="1"/>
    <xf numFmtId="1" fontId="6" fillId="5" borderId="4" xfId="2" applyNumberFormat="1" applyFont="1" applyFill="1" applyBorder="1" applyAlignment="1">
      <alignment horizontal="center"/>
    </xf>
    <xf numFmtId="1" fontId="9" fillId="4" borderId="0" xfId="2" applyNumberFormat="1" applyFont="1" applyFill="1" applyBorder="1" applyAlignment="1">
      <alignment horizontal="center"/>
    </xf>
    <xf numFmtId="9" fontId="6" fillId="5" borderId="4" xfId="2" applyFont="1" applyFill="1" applyBorder="1" applyAlignment="1">
      <alignment horizontal="right"/>
    </xf>
    <xf numFmtId="0" fontId="9" fillId="5" borderId="1" xfId="7"/>
    <xf numFmtId="1" fontId="9" fillId="4" borderId="0" xfId="0" applyNumberFormat="1" applyFont="1" applyFill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9" fillId="0" borderId="0" xfId="35" applyNumberFormat="1" applyFont="1"/>
    <xf numFmtId="0" fontId="10" fillId="0" borderId="0" xfId="0" applyFont="1" applyAlignment="1">
      <alignment horizontal="center" vertical="center"/>
    </xf>
    <xf numFmtId="2" fontId="9" fillId="5" borderId="1" xfId="2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8" fontId="6" fillId="4" borderId="0" xfId="0" applyNumberFormat="1" applyFont="1" applyFill="1"/>
    <xf numFmtId="8" fontId="0" fillId="4" borderId="0" xfId="0" applyNumberFormat="1" applyFill="1"/>
    <xf numFmtId="173" fontId="9" fillId="4" borderId="0" xfId="0" applyNumberFormat="1" applyFont="1" applyFill="1" applyAlignment="1">
      <alignment horizontal="right"/>
    </xf>
    <xf numFmtId="8" fontId="0" fillId="4" borderId="0" xfId="0" applyNumberFormat="1" applyFill="1" applyAlignment="1">
      <alignment horizontal="center"/>
    </xf>
    <xf numFmtId="9" fontId="8" fillId="4" borderId="0" xfId="0" applyNumberFormat="1" applyFont="1" applyFill="1" applyBorder="1" applyAlignment="1"/>
    <xf numFmtId="9" fontId="0" fillId="0" borderId="0" xfId="0" applyNumberFormat="1" applyBorder="1"/>
    <xf numFmtId="3" fontId="9" fillId="5" borderId="4" xfId="37" applyNumberFormat="1" applyFont="1" applyFill="1" applyBorder="1" applyAlignment="1"/>
    <xf numFmtId="0" fontId="10" fillId="0" borderId="0" xfId="0" applyFont="1" applyAlignment="1">
      <alignment horizontal="center"/>
    </xf>
    <xf numFmtId="0" fontId="6" fillId="5" borderId="4" xfId="6" applyFont="1"/>
    <xf numFmtId="3" fontId="6" fillId="0" borderId="0" xfId="0" quotePrefix="1" applyNumberFormat="1" applyFont="1" applyAlignment="1">
      <alignment horizontal="right"/>
    </xf>
    <xf numFmtId="2" fontId="6" fillId="5" borderId="4" xfId="6" applyNumberFormat="1" applyFont="1"/>
    <xf numFmtId="4" fontId="6" fillId="0" borderId="0" xfId="0" quotePrefix="1" applyNumberFormat="1" applyFont="1" applyAlignment="1">
      <alignment horizontal="right"/>
    </xf>
    <xf numFmtId="168" fontId="9" fillId="0" borderId="0" xfId="35" applyNumberFormat="1" applyFont="1" applyAlignment="1">
      <alignment horizontal="right"/>
    </xf>
    <xf numFmtId="2" fontId="9" fillId="5" borderId="1" xfId="7" applyNumberFormat="1" applyFont="1" applyAlignment="1">
      <alignment horizontal="right"/>
    </xf>
    <xf numFmtId="0" fontId="8" fillId="4" borderId="0" xfId="4" applyFont="1" applyFill="1" applyBorder="1" applyAlignment="1">
      <alignment horizontal="center"/>
    </xf>
    <xf numFmtId="0" fontId="8" fillId="4" borderId="0" xfId="4" applyFont="1" applyFill="1" applyBorder="1" applyAlignment="1">
      <alignment horizontal="right"/>
    </xf>
    <xf numFmtId="0" fontId="8" fillId="4" borderId="0" xfId="4" applyFont="1" applyFill="1" applyBorder="1" applyAlignment="1">
      <alignment horizontal="left"/>
    </xf>
    <xf numFmtId="0" fontId="47" fillId="4" borderId="0" xfId="0" applyFont="1" applyFill="1" applyBorder="1" applyAlignment="1"/>
    <xf numFmtId="0" fontId="25" fillId="3" borderId="0" xfId="0" applyFont="1" applyFill="1" applyBorder="1"/>
    <xf numFmtId="0" fontId="31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28" fillId="4" borderId="0" xfId="0" applyFont="1" applyFill="1"/>
    <xf numFmtId="0" fontId="17" fillId="4" borderId="0" xfId="0" applyFont="1" applyFill="1"/>
    <xf numFmtId="0" fontId="12" fillId="0" borderId="0" xfId="4" applyFont="1"/>
    <xf numFmtId="0" fontId="23" fillId="0" borderId="0" xfId="4" applyFont="1"/>
    <xf numFmtId="0" fontId="48" fillId="0" borderId="0" xfId="4" applyFont="1"/>
    <xf numFmtId="0" fontId="21" fillId="0" borderId="0" xfId="4" applyFont="1"/>
    <xf numFmtId="0" fontId="21" fillId="0" borderId="0" xfId="4" applyFont="1" applyBorder="1" applyAlignment="1">
      <alignment horizontal="left"/>
    </xf>
    <xf numFmtId="0" fontId="21" fillId="0" borderId="0" xfId="4" applyFont="1" applyBorder="1"/>
    <xf numFmtId="0" fontId="23" fillId="0" borderId="0" xfId="4" applyFont="1" applyBorder="1"/>
    <xf numFmtId="0" fontId="24" fillId="0" borderId="0" xfId="4" applyFont="1"/>
    <xf numFmtId="0" fontId="23" fillId="0" borderId="0" xfId="4" applyFont="1" applyFill="1" applyBorder="1" applyAlignment="1">
      <alignment horizontal="left" vertical="center"/>
    </xf>
    <xf numFmtId="0" fontId="21" fillId="0" borderId="0" xfId="4" applyFont="1" applyFill="1" applyBorder="1"/>
    <xf numFmtId="0" fontId="21" fillId="0" borderId="0" xfId="0" applyFont="1" applyFill="1" applyBorder="1" applyAlignment="1"/>
    <xf numFmtId="0" fontId="21" fillId="0" borderId="0" xfId="4" applyFont="1" applyFill="1" applyBorder="1" applyAlignment="1">
      <alignment horizontal="left"/>
    </xf>
    <xf numFmtId="0" fontId="21" fillId="0" borderId="0" xfId="0" applyFont="1" applyFill="1" applyBorder="1"/>
    <xf numFmtId="0" fontId="23" fillId="0" borderId="0" xfId="4" applyFont="1" applyBorder="1" applyAlignment="1">
      <alignment horizontal="left" vertical="center"/>
    </xf>
    <xf numFmtId="0" fontId="21" fillId="0" borderId="0" xfId="4" applyFont="1" applyBorder="1" applyAlignment="1"/>
    <xf numFmtId="0" fontId="21" fillId="0" borderId="0" xfId="0" applyFont="1" applyBorder="1" applyAlignment="1">
      <alignment vertical="center"/>
    </xf>
    <xf numFmtId="0" fontId="21" fillId="0" borderId="0" xfId="4" applyFont="1" applyFill="1"/>
    <xf numFmtId="0" fontId="24" fillId="0" borderId="0" xfId="4" applyFont="1" applyFill="1"/>
    <xf numFmtId="0" fontId="52" fillId="0" borderId="0" xfId="4" applyFont="1" applyBorder="1" applyAlignment="1">
      <alignment horizontal="left"/>
    </xf>
    <xf numFmtId="164" fontId="21" fillId="0" borderId="0" xfId="0" quotePrefix="1" applyNumberFormat="1" applyFont="1"/>
    <xf numFmtId="43" fontId="9" fillId="0" borderId="0" xfId="0" applyNumberFormat="1" applyFont="1"/>
    <xf numFmtId="0" fontId="6" fillId="22" borderId="4" xfId="6" quotePrefix="1" applyFill="1"/>
    <xf numFmtId="3" fontId="6" fillId="22" borderId="4" xfId="6" quotePrefix="1" applyNumberFormat="1" applyFill="1"/>
    <xf numFmtId="0" fontId="23" fillId="3" borderId="0" xfId="0" applyFont="1" applyFill="1" applyBorder="1" applyAlignment="1">
      <alignment horizontal="left"/>
    </xf>
    <xf numFmtId="0" fontId="49" fillId="17" borderId="14" xfId="4" applyFont="1" applyFill="1" applyBorder="1" applyAlignment="1">
      <alignment horizontal="center" vertical="center"/>
    </xf>
    <xf numFmtId="0" fontId="49" fillId="17" borderId="20" xfId="4" applyFont="1" applyFill="1" applyBorder="1" applyAlignment="1">
      <alignment horizontal="center" vertical="center"/>
    </xf>
    <xf numFmtId="0" fontId="49" fillId="17" borderId="18" xfId="4" applyFont="1" applyFill="1" applyBorder="1" applyAlignment="1">
      <alignment horizontal="center" vertical="center"/>
    </xf>
    <xf numFmtId="0" fontId="49" fillId="17" borderId="21" xfId="4" applyFont="1" applyFill="1" applyBorder="1" applyAlignment="1">
      <alignment horizontal="center" vertical="center"/>
    </xf>
    <xf numFmtId="0" fontId="51" fillId="18" borderId="14" xfId="4" applyFont="1" applyFill="1" applyBorder="1" applyAlignment="1">
      <alignment horizontal="center" vertical="center"/>
    </xf>
    <xf numFmtId="0" fontId="51" fillId="18" borderId="20" xfId="4" applyFont="1" applyFill="1" applyBorder="1" applyAlignment="1">
      <alignment horizontal="center" vertical="center"/>
    </xf>
    <xf numFmtId="0" fontId="51" fillId="18" borderId="18" xfId="4" applyFont="1" applyFill="1" applyBorder="1" applyAlignment="1">
      <alignment horizontal="center" vertical="center"/>
    </xf>
    <xf numFmtId="0" fontId="51" fillId="18" borderId="21" xfId="4" applyFont="1" applyFill="1" applyBorder="1" applyAlignment="1">
      <alignment horizontal="center" vertical="center"/>
    </xf>
    <xf numFmtId="0" fontId="51" fillId="19" borderId="14" xfId="4" applyFont="1" applyFill="1" applyBorder="1" applyAlignment="1">
      <alignment horizontal="center" vertical="center"/>
    </xf>
    <xf numFmtId="0" fontId="51" fillId="19" borderId="20" xfId="4" applyFont="1" applyFill="1" applyBorder="1" applyAlignment="1">
      <alignment horizontal="center" vertical="center"/>
    </xf>
    <xf numFmtId="0" fontId="51" fillId="19" borderId="18" xfId="4" applyFont="1" applyFill="1" applyBorder="1" applyAlignment="1">
      <alignment horizontal="center" vertical="center"/>
    </xf>
    <xf numFmtId="0" fontId="51" fillId="19" borderId="21" xfId="4" applyFont="1" applyFill="1" applyBorder="1" applyAlignment="1">
      <alignment horizontal="center" vertical="center"/>
    </xf>
    <xf numFmtId="0" fontId="49" fillId="0" borderId="0" xfId="4" applyFont="1" applyFill="1" applyBorder="1" applyAlignment="1">
      <alignment horizontal="center" vertical="center"/>
    </xf>
    <xf numFmtId="0" fontId="48" fillId="20" borderId="22" xfId="4" applyFont="1" applyFill="1" applyBorder="1" applyAlignment="1">
      <alignment horizontal="center" vertical="center"/>
    </xf>
    <xf numFmtId="0" fontId="48" fillId="20" borderId="23" xfId="4" applyFont="1" applyFill="1" applyBorder="1" applyAlignment="1">
      <alignment horizontal="center" vertical="center"/>
    </xf>
    <xf numFmtId="0" fontId="48" fillId="20" borderId="24" xfId="4" applyFont="1" applyFill="1" applyBorder="1" applyAlignment="1">
      <alignment horizontal="center" vertical="center"/>
    </xf>
    <xf numFmtId="0" fontId="50" fillId="21" borderId="22" xfId="4" applyFont="1" applyFill="1" applyBorder="1" applyAlignment="1">
      <alignment horizontal="center" vertical="center"/>
    </xf>
    <xf numFmtId="0" fontId="50" fillId="21" borderId="24" xfId="4" applyFont="1" applyFill="1" applyBorder="1" applyAlignment="1">
      <alignment horizontal="center" vertical="center"/>
    </xf>
    <xf numFmtId="0" fontId="48" fillId="7" borderId="22" xfId="4" applyFont="1" applyFill="1" applyBorder="1" applyAlignment="1">
      <alignment horizontal="center" vertical="center"/>
    </xf>
    <xf numFmtId="0" fontId="48" fillId="7" borderId="24" xfId="4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38">
    <cellStyle name="Calculation 2" xfId="13"/>
    <cellStyle name="Checksum" xfId="14"/>
    <cellStyle name="Comma" xfId="1" builtinId="3"/>
    <cellStyle name="Comma 3" xfId="11"/>
    <cellStyle name="Currency 2" xfId="36"/>
    <cellStyle name="H1" xfId="15"/>
    <cellStyle name="H2" xfId="16"/>
    <cellStyle name="H3" xfId="17"/>
    <cellStyle name="H4" xfId="18"/>
    <cellStyle name="Highlight" xfId="19"/>
    <cellStyle name="Input Data" xfId="6"/>
    <cellStyle name="Input data 2" xfId="28"/>
    <cellStyle name="Input Estimate" xfId="7"/>
    <cellStyle name="Input linked" xfId="8"/>
    <cellStyle name="Input parameter" xfId="29"/>
    <cellStyle name="Key Output" xfId="5"/>
    <cellStyle name="Macro Output" xfId="9"/>
    <cellStyle name="Name" xfId="20"/>
    <cellStyle name="Normal" xfId="0" builtinId="0"/>
    <cellStyle name="Normal 2" xfId="4"/>
    <cellStyle name="Normal 2 2" xfId="35"/>
    <cellStyle name="Normal 3" xfId="12"/>
    <cellStyle name="Normal 7" xfId="37"/>
    <cellStyle name="Note 2" xfId="21"/>
    <cellStyle name="NoteOrSource" xfId="30"/>
    <cellStyle name="Number" xfId="22"/>
    <cellStyle name="Ofcom Note" xfId="33"/>
    <cellStyle name="Ofcom Output" xfId="31"/>
    <cellStyle name="OfcomConfidential" xfId="34"/>
    <cellStyle name="Output 2" xfId="23"/>
    <cellStyle name="Percent" xfId="2" builtinId="5"/>
    <cellStyle name="Percent 2" xfId="10"/>
    <cellStyle name="Percentage" xfId="24"/>
    <cellStyle name="QA_Highlight" xfId="32"/>
    <cellStyle name="Source" xfId="25"/>
    <cellStyle name="Total 2" xfId="26"/>
    <cellStyle name="Unhighlight" xfId="27"/>
    <cellStyle name="Warning Text" xfId="3" builtinId="11"/>
  </cellStyles>
  <dxfs count="0"/>
  <tableStyles count="0" defaultTableStyle="TableStyleMedium2" defaultPivotStyle="PivotStyleLight16"/>
  <colors>
    <mruColors>
      <color rgb="FFCC66FF"/>
      <color rgb="FFB07BD7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121920</xdr:rowOff>
    </xdr:to>
    <xdr:sp macro="" textlink="">
      <xdr:nvSpPr>
        <xdr:cNvPr id="2" name="AutoShape 2" descr="Cartesia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121920</xdr:rowOff>
    </xdr:to>
    <xdr:sp macro="" textlink="">
      <xdr:nvSpPr>
        <xdr:cNvPr id="3" name="AutoShape 3" descr="Cartesia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121920</xdr:rowOff>
    </xdr:to>
    <xdr:sp macro="" textlink="">
      <xdr:nvSpPr>
        <xdr:cNvPr id="4" name="AutoShape 4" descr="Cartesia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2</xdr:col>
      <xdr:colOff>586740</xdr:colOff>
      <xdr:row>7</xdr:row>
      <xdr:rowOff>163950</xdr:rowOff>
    </xdr:to>
    <xdr:pic>
      <xdr:nvPicPr>
        <xdr:cNvPr id="5" name="Picture 4" descr="http://careeredge.bc.edu/wp-content/uploads/sites/4/2014/04/logo-no-glow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"/>
          <a:ext cx="1836420" cy="346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7</xdr:col>
      <xdr:colOff>0</xdr:colOff>
      <xdr:row>14</xdr:row>
      <xdr:rowOff>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908FF0D-2006-41D0-BAF6-F0F9AF1458F1}"/>
            </a:ext>
          </a:extLst>
        </xdr:cNvPr>
        <xdr:cNvCxnSpPr/>
      </xdr:nvCxnSpPr>
      <xdr:spPr>
        <a:xfrm>
          <a:off x="17682882" y="3451412"/>
          <a:ext cx="4213412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0</xdr:colOff>
      <xdr:row>22</xdr:row>
      <xdr:rowOff>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67367894-0EA2-465C-A9BC-DC86D510C18C}"/>
            </a:ext>
          </a:extLst>
        </xdr:cNvPr>
        <xdr:cNvCxnSpPr/>
      </xdr:nvCxnSpPr>
      <xdr:spPr>
        <a:xfrm>
          <a:off x="22949647" y="6275295"/>
          <a:ext cx="0" cy="62752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23</xdr:row>
      <xdr:rowOff>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CE53F046-B7E6-4025-BF98-87CB89C0EB39}"/>
            </a:ext>
          </a:extLst>
        </xdr:cNvPr>
        <xdr:cNvCxnSpPr/>
      </xdr:nvCxnSpPr>
      <xdr:spPr>
        <a:xfrm>
          <a:off x="20842941" y="5334000"/>
          <a:ext cx="1053353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0</xdr:colOff>
      <xdr:row>23</xdr:row>
      <xdr:rowOff>1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B98D9F49-3542-4E30-BA42-4C0E18F3496D}"/>
            </a:ext>
          </a:extLst>
        </xdr:cNvPr>
        <xdr:cNvCxnSpPr/>
      </xdr:nvCxnSpPr>
      <xdr:spPr>
        <a:xfrm flipV="1">
          <a:off x="16629529" y="7216588"/>
          <a:ext cx="2106706" cy="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19</xdr:row>
      <xdr:rowOff>0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0EF6FA9A-4879-4B91-B642-E67986E0F7AE}"/>
            </a:ext>
          </a:extLst>
        </xdr:cNvPr>
        <xdr:cNvCxnSpPr/>
      </xdr:nvCxnSpPr>
      <xdr:spPr>
        <a:xfrm>
          <a:off x="22949647" y="4706471"/>
          <a:ext cx="0" cy="94129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13</xdr:row>
      <xdr:rowOff>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80148E83-0375-41BC-A518-B960F33D04B0}"/>
            </a:ext>
          </a:extLst>
        </xdr:cNvPr>
        <xdr:cNvCxnSpPr/>
      </xdr:nvCxnSpPr>
      <xdr:spPr>
        <a:xfrm>
          <a:off x="22949647" y="2196353"/>
          <a:ext cx="0" cy="94129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11</xdr:row>
      <xdr:rowOff>0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8E691CD2-4987-4D43-BBBE-9D31E245EA9B}"/>
            </a:ext>
          </a:extLst>
        </xdr:cNvPr>
        <xdr:cNvCxnSpPr/>
      </xdr:nvCxnSpPr>
      <xdr:spPr>
        <a:xfrm>
          <a:off x="17682882" y="2196353"/>
          <a:ext cx="5266765" cy="0"/>
        </a:xfrm>
        <a:prstGeom prst="straightConnector1">
          <a:avLst/>
        </a:prstGeom>
        <a:ln w="19050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1037665</xdr:colOff>
      <xdr:row>14</xdr:row>
      <xdr:rowOff>0</xdr:rowOff>
    </xdr:from>
    <xdr:to>
      <xdr:col>11</xdr:col>
      <xdr:colOff>0</xdr:colOff>
      <xdr:row>16</xdr:row>
      <xdr:rowOff>0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10DE039C-5A31-4DE0-8343-E9F48D105F42}"/>
            </a:ext>
          </a:extLst>
        </xdr:cNvPr>
        <xdr:cNvCxnSpPr/>
      </xdr:nvCxnSpPr>
      <xdr:spPr>
        <a:xfrm>
          <a:off x="26094018" y="3451412"/>
          <a:ext cx="15688" cy="94129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0</xdr:rowOff>
    </xdr:from>
    <xdr:to>
      <xdr:col>11</xdr:col>
      <xdr:colOff>0</xdr:colOff>
      <xdr:row>14</xdr:row>
      <xdr:rowOff>0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E7DAF66F-FE50-416D-A60F-7DEC7A35F664}"/>
            </a:ext>
          </a:extLst>
        </xdr:cNvPr>
        <xdr:cNvCxnSpPr/>
      </xdr:nvCxnSpPr>
      <xdr:spPr>
        <a:xfrm>
          <a:off x="27163059" y="3451412"/>
          <a:ext cx="2106706" cy="0"/>
        </a:xfrm>
        <a:prstGeom prst="straightConnector1">
          <a:avLst/>
        </a:prstGeom>
        <a:ln w="19050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0</xdr:rowOff>
    </xdr:from>
    <xdr:to>
      <xdr:col>8</xdr:col>
      <xdr:colOff>0</xdr:colOff>
      <xdr:row>17</xdr:row>
      <xdr:rowOff>0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8E404447-B583-45F0-83BF-8C3D181A8662}"/>
            </a:ext>
          </a:extLst>
        </xdr:cNvPr>
        <xdr:cNvCxnSpPr/>
      </xdr:nvCxnSpPr>
      <xdr:spPr>
        <a:xfrm>
          <a:off x="20842941" y="4706471"/>
          <a:ext cx="2106706" cy="0"/>
        </a:xfrm>
        <a:prstGeom prst="straightConnector1">
          <a:avLst/>
        </a:prstGeom>
        <a:ln w="19050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23</xdr:row>
      <xdr:rowOff>0</xdr:rowOff>
    </xdr:from>
    <xdr:to>
      <xdr:col>11</xdr:col>
      <xdr:colOff>0</xdr:colOff>
      <xdr:row>23</xdr:row>
      <xdr:rowOff>0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63F01DA2-9FD8-44EE-A6BE-FEBFABFC426B}"/>
            </a:ext>
          </a:extLst>
        </xdr:cNvPr>
        <xdr:cNvCxnSpPr/>
      </xdr:nvCxnSpPr>
      <xdr:spPr>
        <a:xfrm>
          <a:off x="24003000" y="6275294"/>
          <a:ext cx="5266765" cy="0"/>
        </a:xfrm>
        <a:prstGeom prst="straightConnector1">
          <a:avLst/>
        </a:prstGeom>
        <a:ln w="19050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23</xdr:row>
      <xdr:rowOff>0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84637B6E-FB77-4636-BE56-742EFFDED85A}"/>
            </a:ext>
          </a:extLst>
        </xdr:cNvPr>
        <xdr:cNvCxnSpPr/>
      </xdr:nvCxnSpPr>
      <xdr:spPr>
        <a:xfrm flipV="1">
          <a:off x="26109706" y="5020235"/>
          <a:ext cx="0" cy="2196353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15</xdr:row>
      <xdr:rowOff>1</xdr:rowOff>
    </xdr:from>
    <xdr:to>
      <xdr:col>8</xdr:col>
      <xdr:colOff>0</xdr:colOff>
      <xdr:row>17</xdr:row>
      <xdr:rowOff>0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id="{0260D847-1E79-4AAD-9666-01C39DA73BB3}"/>
            </a:ext>
          </a:extLst>
        </xdr:cNvPr>
        <xdr:cNvCxnSpPr/>
      </xdr:nvCxnSpPr>
      <xdr:spPr>
        <a:xfrm flipV="1">
          <a:off x="22949647" y="3765177"/>
          <a:ext cx="0" cy="94129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23</xdr:row>
      <xdr:rowOff>0</xdr:rowOff>
    </xdr:to>
    <xdr:cxnSp macro="">
      <xdr:nvCxnSpPr>
        <xdr:cNvPr id="97" name="Straight Arrow Connector 96">
          <a:extLst>
            <a:ext uri="{FF2B5EF4-FFF2-40B4-BE49-F238E27FC236}">
              <a16:creationId xmlns:a16="http://schemas.microsoft.com/office/drawing/2014/main" id="{3E4B0F30-8D04-4FCE-A40F-8B3C808542DA}"/>
            </a:ext>
          </a:extLst>
        </xdr:cNvPr>
        <xdr:cNvCxnSpPr/>
      </xdr:nvCxnSpPr>
      <xdr:spPr>
        <a:xfrm>
          <a:off x="16629529" y="3765176"/>
          <a:ext cx="0" cy="3451412"/>
        </a:xfrm>
        <a:prstGeom prst="straightConnector1">
          <a:avLst/>
        </a:prstGeom>
        <a:ln w="19050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T150"/>
  <sheetViews>
    <sheetView showGridLines="0" zoomScale="90" zoomScaleNormal="90" workbookViewId="0"/>
  </sheetViews>
  <sheetFormatPr defaultColWidth="9.42578125" defaultRowHeight="15" x14ac:dyDescent="0.25"/>
  <cols>
    <col min="1" max="2" width="9.42578125" style="56"/>
    <col min="3" max="3" width="9.42578125" style="57"/>
    <col min="4" max="5" width="15.5703125" style="56" customWidth="1"/>
    <col min="6" max="6" width="51.42578125" style="56" customWidth="1"/>
    <col min="7" max="13" width="9.42578125" style="56"/>
    <col min="14" max="14" width="13.42578125" style="56" customWidth="1"/>
    <col min="15" max="19" width="9.42578125" style="56"/>
    <col min="20" max="20" width="9.42578125" style="58"/>
    <col min="21" max="16384" width="9.42578125" style="56"/>
  </cols>
  <sheetData>
    <row r="2" spans="1:20" x14ac:dyDescent="0.25">
      <c r="B2" s="56" t="s">
        <v>0</v>
      </c>
      <c r="C2" s="56"/>
      <c r="D2" s="57" t="str">
        <f ca="1">MID(CELL("filename",A1),FIND("]",CELL("filename",A1))+1,256)</f>
        <v>Admin</v>
      </c>
    </row>
    <row r="3" spans="1:20" x14ac:dyDescent="0.25">
      <c r="B3" s="56" t="s">
        <v>1</v>
      </c>
      <c r="C3" s="56"/>
      <c r="D3" s="56" t="s">
        <v>33</v>
      </c>
    </row>
    <row r="5" spans="1:20" s="59" customFormat="1" x14ac:dyDescent="0.25">
      <c r="T5" s="60"/>
    </row>
    <row r="7" spans="1:20" x14ac:dyDescent="0.25">
      <c r="A7"/>
      <c r="D7" s="56" t="s">
        <v>34</v>
      </c>
      <c r="E7" s="57" t="s">
        <v>83</v>
      </c>
    </row>
    <row r="9" spans="1:20" x14ac:dyDescent="0.25">
      <c r="C9" s="56"/>
      <c r="D9" s="56" t="s">
        <v>35</v>
      </c>
      <c r="E9" s="57" t="str">
        <f ca="1">MID(CELL("filename",A1),FIND("[",CELL("filename",A1))+1,FIND("]",CELL("filename",A1))-FIND("[",CELL("filename",A1))-1)</f>
        <v>ANNEX 11B - Ofcom_AutoComp_Cost Model_NON-CONFIDENTIAL_Ofcom_FINAL2.xlsx</v>
      </c>
    </row>
    <row r="10" spans="1:20" x14ac:dyDescent="0.25">
      <c r="C10" s="56"/>
    </row>
    <row r="11" spans="1:20" x14ac:dyDescent="0.25">
      <c r="C11" s="56"/>
      <c r="D11" s="56" t="s">
        <v>36</v>
      </c>
      <c r="E11" s="168">
        <v>1</v>
      </c>
      <c r="F11" s="61"/>
    </row>
    <row r="12" spans="1:20" x14ac:dyDescent="0.25">
      <c r="C12" s="56"/>
      <c r="D12" s="56" t="s">
        <v>37</v>
      </c>
      <c r="E12" s="62">
        <v>42816</v>
      </c>
    </row>
    <row r="13" spans="1:20" x14ac:dyDescent="0.25">
      <c r="C13" s="56"/>
    </row>
    <row r="14" spans="1:20" x14ac:dyDescent="0.25">
      <c r="C14" s="56"/>
      <c r="D14" s="56" t="s">
        <v>38</v>
      </c>
      <c r="E14" s="57" t="s">
        <v>39</v>
      </c>
    </row>
    <row r="15" spans="1:20" x14ac:dyDescent="0.25">
      <c r="D15" s="56" t="s">
        <v>40</v>
      </c>
      <c r="E15" s="63" t="s">
        <v>41</v>
      </c>
    </row>
    <row r="16" spans="1:20" x14ac:dyDescent="0.25">
      <c r="E16" s="63"/>
    </row>
    <row r="18" spans="2:9" s="64" customFormat="1" x14ac:dyDescent="0.25">
      <c r="B18" s="64" t="s">
        <v>42</v>
      </c>
    </row>
    <row r="20" spans="2:9" x14ac:dyDescent="0.25">
      <c r="B20" s="65" t="s">
        <v>43</v>
      </c>
      <c r="D20" s="57" t="s">
        <v>29</v>
      </c>
    </row>
    <row r="21" spans="2:9" ht="13.5" customHeight="1" x14ac:dyDescent="0.25">
      <c r="C21" s="56"/>
      <c r="G21" s="66"/>
      <c r="H21" s="66"/>
      <c r="I21" s="66"/>
    </row>
    <row r="22" spans="2:9" x14ac:dyDescent="0.25">
      <c r="B22" s="45">
        <v>1234</v>
      </c>
      <c r="C22" s="67"/>
      <c r="D22" s="56" t="s">
        <v>44</v>
      </c>
      <c r="G22" s="66"/>
      <c r="H22" s="68"/>
      <c r="I22" s="66"/>
    </row>
    <row r="23" spans="2:9" ht="15.75" thickBot="1" x14ac:dyDescent="0.3">
      <c r="B23"/>
      <c r="C23" s="56"/>
      <c r="D23"/>
      <c r="F23" s="69"/>
      <c r="G23" s="66"/>
      <c r="H23" s="66"/>
      <c r="I23" s="66"/>
    </row>
    <row r="24" spans="2:9" ht="15.75" thickBot="1" x14ac:dyDescent="0.3">
      <c r="B24" s="70">
        <v>1234</v>
      </c>
      <c r="C24" s="67"/>
      <c r="D24" s="56" t="s">
        <v>45</v>
      </c>
      <c r="G24" s="66"/>
      <c r="H24" s="66"/>
      <c r="I24" s="66"/>
    </row>
    <row r="25" spans="2:9" x14ac:dyDescent="0.25">
      <c r="B25" s="45"/>
      <c r="C25" s="67"/>
      <c r="D25"/>
      <c r="G25" s="66"/>
      <c r="H25" s="66"/>
      <c r="I25" s="66"/>
    </row>
    <row r="26" spans="2:9" x14ac:dyDescent="0.25">
      <c r="B26" s="54">
        <v>1234</v>
      </c>
      <c r="C26" s="67"/>
      <c r="D26" s="56" t="s">
        <v>46</v>
      </c>
      <c r="G26" s="66"/>
      <c r="H26" s="66"/>
      <c r="I26" s="66"/>
    </row>
    <row r="27" spans="2:9" x14ac:dyDescent="0.25">
      <c r="B27" s="45"/>
      <c r="C27" s="67"/>
      <c r="D27"/>
      <c r="G27" s="66"/>
      <c r="H27" s="66"/>
      <c r="I27" s="66"/>
    </row>
    <row r="28" spans="2:9" x14ac:dyDescent="0.25">
      <c r="B28" s="71">
        <v>1234</v>
      </c>
      <c r="C28" s="67"/>
      <c r="D28" s="56" t="s">
        <v>47</v>
      </c>
    </row>
    <row r="29" spans="2:9" x14ac:dyDescent="0.25">
      <c r="B29" s="45"/>
      <c r="C29" s="67"/>
      <c r="D29"/>
    </row>
    <row r="30" spans="2:9" x14ac:dyDescent="0.25">
      <c r="B30" s="72">
        <v>1234</v>
      </c>
      <c r="C30" s="67"/>
      <c r="D30" s="56" t="s">
        <v>48</v>
      </c>
    </row>
    <row r="31" spans="2:9" x14ac:dyDescent="0.25">
      <c r="B31"/>
      <c r="C31" s="56"/>
      <c r="D31"/>
    </row>
    <row r="32" spans="2:9" x14ac:dyDescent="0.25">
      <c r="B32" s="73">
        <v>1234</v>
      </c>
      <c r="C32" s="56"/>
      <c r="D32" s="56" t="s">
        <v>49</v>
      </c>
    </row>
    <row r="33" spans="2:20" x14ac:dyDescent="0.25">
      <c r="B33" s="74"/>
      <c r="C33" s="56"/>
      <c r="D33"/>
    </row>
    <row r="34" spans="2:20" x14ac:dyDescent="0.25">
      <c r="B34" s="75">
        <v>1234</v>
      </c>
      <c r="C34" s="56"/>
      <c r="D34" s="56" t="s">
        <v>50</v>
      </c>
    </row>
    <row r="35" spans="2:20" x14ac:dyDescent="0.25">
      <c r="B35"/>
      <c r="C35" s="56"/>
      <c r="D35"/>
    </row>
    <row r="36" spans="2:20" x14ac:dyDescent="0.25">
      <c r="B36" s="76">
        <v>1234</v>
      </c>
      <c r="C36" s="56"/>
      <c r="D36" s="56" t="s">
        <v>51</v>
      </c>
    </row>
    <row r="37" spans="2:20" x14ac:dyDescent="0.25">
      <c r="C37" s="56"/>
    </row>
    <row r="38" spans="2:20" x14ac:dyDescent="0.25">
      <c r="B38" s="457">
        <v>1234</v>
      </c>
      <c r="C38" s="56"/>
      <c r="D38" s="56" t="s">
        <v>368</v>
      </c>
    </row>
    <row r="39" spans="2:20" x14ac:dyDescent="0.25">
      <c r="B39" s="21"/>
      <c r="C39" s="56"/>
    </row>
    <row r="40" spans="2:20" s="77" customFormat="1" x14ac:dyDescent="0.25">
      <c r="B40" s="59" t="s">
        <v>52</v>
      </c>
      <c r="C40" s="59"/>
      <c r="T40" s="78"/>
    </row>
    <row r="42" spans="2:20" x14ac:dyDescent="0.25">
      <c r="B42" s="65" t="s">
        <v>53</v>
      </c>
      <c r="C42" s="56"/>
      <c r="D42" s="57" t="s">
        <v>54</v>
      </c>
      <c r="E42" s="57" t="s">
        <v>55</v>
      </c>
      <c r="F42" s="57" t="s">
        <v>75</v>
      </c>
    </row>
    <row r="43" spans="2:20" x14ac:dyDescent="0.25">
      <c r="C43" s="56"/>
    </row>
    <row r="44" spans="2:20" x14ac:dyDescent="0.25">
      <c r="B44" s="455">
        <v>1</v>
      </c>
      <c r="C44" s="56"/>
      <c r="D44" s="67">
        <v>42816</v>
      </c>
      <c r="E44" s="56" t="s">
        <v>367</v>
      </c>
      <c r="F44" s="56" t="s">
        <v>372</v>
      </c>
    </row>
    <row r="45" spans="2:20" x14ac:dyDescent="0.25">
      <c r="B45" s="79"/>
      <c r="C45" s="56"/>
      <c r="D45" s="67"/>
    </row>
    <row r="46" spans="2:20" x14ac:dyDescent="0.25">
      <c r="B46" s="79"/>
      <c r="C46" s="56"/>
      <c r="D46" s="67"/>
    </row>
    <row r="47" spans="2:20" x14ac:dyDescent="0.25">
      <c r="D47" s="67"/>
    </row>
    <row r="48" spans="2:20" x14ac:dyDescent="0.25">
      <c r="D48" s="67"/>
    </row>
    <row r="49" spans="4:4" x14ac:dyDescent="0.25">
      <c r="D49" s="67"/>
    </row>
    <row r="50" spans="4:4" x14ac:dyDescent="0.25">
      <c r="D50" s="67"/>
    </row>
    <row r="51" spans="4:4" x14ac:dyDescent="0.25">
      <c r="D51" s="67"/>
    </row>
    <row r="52" spans="4:4" x14ac:dyDescent="0.25">
      <c r="D52" s="67"/>
    </row>
    <row r="80" spans="2:2" x14ac:dyDescent="0.25">
      <c r="B80" s="72"/>
    </row>
    <row r="115" spans="2:2" x14ac:dyDescent="0.25">
      <c r="B115" s="72"/>
    </row>
    <row r="150" spans="2:2" x14ac:dyDescent="0.25">
      <c r="B150" s="72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P48"/>
  <sheetViews>
    <sheetView showGridLines="0" zoomScale="90" zoomScaleNormal="90" workbookViewId="0">
      <pane ySplit="5" topLeftCell="A6" activePane="bottomLeft" state="frozen"/>
      <selection activeCell="D57" sqref="D57"/>
      <selection pane="bottomLeft"/>
    </sheetView>
  </sheetViews>
  <sheetFormatPr defaultColWidth="9.42578125" defaultRowHeight="12.75" x14ac:dyDescent="0.2"/>
  <cols>
    <col min="1" max="1" width="5.7109375" style="250" customWidth="1"/>
    <col min="2" max="15" width="12.7109375" style="36" customWidth="1"/>
    <col min="16" max="16" width="15.7109375" style="51" customWidth="1"/>
    <col min="17" max="16384" width="9.42578125" style="36"/>
  </cols>
  <sheetData>
    <row r="2" spans="1:16" x14ac:dyDescent="0.2">
      <c r="B2" s="36" t="s">
        <v>0</v>
      </c>
      <c r="D2" s="37" t="str">
        <f ca="1">MID(CELL("filename",A1),FIND("]",CELL("filename",A1))+1,256)</f>
        <v>Model_Overview</v>
      </c>
      <c r="P2" s="36"/>
    </row>
    <row r="3" spans="1:16" x14ac:dyDescent="0.2">
      <c r="B3" s="36" t="s">
        <v>1</v>
      </c>
      <c r="D3" s="36" t="s">
        <v>56</v>
      </c>
      <c r="P3" s="36"/>
    </row>
    <row r="5" spans="1:16" s="41" customFormat="1" x14ac:dyDescent="0.2">
      <c r="A5" s="248"/>
      <c r="P5" s="80"/>
    </row>
    <row r="6" spans="1:16" x14ac:dyDescent="0.2"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</row>
    <row r="7" spans="1:16" ht="13.5" thickBot="1" x14ac:dyDescent="0.25"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2"/>
    </row>
    <row r="8" spans="1:16" ht="20.100000000000001" customHeight="1" thickBot="1" x14ac:dyDescent="0.3">
      <c r="A8" s="36"/>
      <c r="B8" s="473" t="s">
        <v>350</v>
      </c>
      <c r="C8" s="474"/>
      <c r="D8" s="474"/>
      <c r="E8" s="474"/>
      <c r="F8" s="475"/>
      <c r="G8" s="438"/>
      <c r="H8" s="476" t="s">
        <v>351</v>
      </c>
      <c r="I8" s="477"/>
      <c r="J8" s="438"/>
      <c r="K8" s="478" t="s">
        <v>352</v>
      </c>
      <c r="L8" s="479"/>
      <c r="P8" s="36"/>
    </row>
    <row r="9" spans="1:16" ht="20.100000000000001" customHeight="1" x14ac:dyDescent="0.2">
      <c r="A9" s="36"/>
      <c r="C9" s="37"/>
      <c r="D9" s="37"/>
      <c r="G9" s="37"/>
      <c r="H9" s="37"/>
      <c r="I9" s="37"/>
      <c r="J9" s="37"/>
      <c r="K9" s="37"/>
      <c r="L9" s="436"/>
      <c r="P9" s="36"/>
    </row>
    <row r="10" spans="1:16" ht="20.100000000000001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L10" s="436"/>
      <c r="P10" s="36"/>
    </row>
    <row r="11" spans="1:16" ht="20.100000000000001" customHeight="1" x14ac:dyDescent="0.2">
      <c r="A11" s="83"/>
      <c r="B11" s="460" t="s">
        <v>107</v>
      </c>
      <c r="C11" s="461"/>
      <c r="D11" s="84"/>
      <c r="E11" s="84"/>
      <c r="F11" s="84"/>
      <c r="G11" s="84"/>
      <c r="H11" s="84"/>
      <c r="I11" s="84"/>
      <c r="K11" s="472"/>
      <c r="L11" s="472"/>
      <c r="P11" s="36"/>
    </row>
    <row r="12" spans="1:16" ht="20.100000000000001" customHeight="1" x14ac:dyDescent="0.2">
      <c r="A12" s="85"/>
      <c r="B12" s="462"/>
      <c r="C12" s="463"/>
      <c r="I12" s="84"/>
      <c r="J12" s="84"/>
      <c r="K12" s="472"/>
      <c r="L12" s="472"/>
      <c r="P12" s="36"/>
    </row>
    <row r="13" spans="1:16" ht="20.100000000000001" customHeight="1" x14ac:dyDescent="0.2">
      <c r="A13" s="84"/>
      <c r="C13" s="84"/>
      <c r="D13" s="84"/>
      <c r="H13" s="84"/>
      <c r="I13" s="84"/>
      <c r="J13" s="84"/>
      <c r="M13" s="84"/>
      <c r="P13" s="36"/>
    </row>
    <row r="14" spans="1:16" ht="20.100000000000001" customHeight="1" x14ac:dyDescent="0.2">
      <c r="A14" s="84"/>
      <c r="B14" s="460" t="s">
        <v>288</v>
      </c>
      <c r="C14" s="461"/>
      <c r="H14" s="464" t="s">
        <v>285</v>
      </c>
      <c r="I14" s="465"/>
      <c r="J14" s="84"/>
      <c r="K14" s="84"/>
      <c r="L14" s="51"/>
      <c r="P14" s="36"/>
    </row>
    <row r="15" spans="1:16" ht="20.100000000000001" customHeight="1" x14ac:dyDescent="0.2">
      <c r="A15" s="86"/>
      <c r="B15" s="462"/>
      <c r="C15" s="463"/>
      <c r="H15" s="466"/>
      <c r="I15" s="467"/>
      <c r="J15" s="86"/>
      <c r="K15" s="86"/>
      <c r="L15" s="40"/>
      <c r="P15" s="36"/>
    </row>
    <row r="16" spans="1:16" ht="20.100000000000001" customHeight="1" x14ac:dyDescent="0.2">
      <c r="A16" s="87"/>
      <c r="J16" s="87"/>
      <c r="K16" s="87"/>
      <c r="L16" s="51"/>
      <c r="P16" s="36"/>
    </row>
    <row r="17" spans="1:16" ht="20.100000000000001" customHeight="1" x14ac:dyDescent="0.2">
      <c r="A17" s="87"/>
      <c r="E17" s="460" t="s">
        <v>108</v>
      </c>
      <c r="F17" s="461"/>
      <c r="J17" s="87"/>
      <c r="K17" s="468" t="s">
        <v>349</v>
      </c>
      <c r="L17" s="469"/>
      <c r="P17" s="36"/>
    </row>
    <row r="18" spans="1:16" ht="20.100000000000001" customHeight="1" x14ac:dyDescent="0.2">
      <c r="A18" s="87"/>
      <c r="E18" s="462"/>
      <c r="F18" s="463"/>
      <c r="J18" s="87"/>
      <c r="K18" s="470"/>
      <c r="L18" s="471"/>
      <c r="P18" s="36"/>
    </row>
    <row r="19" spans="1:16" s="38" customFormat="1" ht="20.100000000000001" customHeight="1" x14ac:dyDescent="0.2">
      <c r="A19" s="87"/>
      <c r="J19" s="87"/>
      <c r="K19" s="84"/>
      <c r="L19" s="84"/>
    </row>
    <row r="20" spans="1:16" ht="20.100000000000001" customHeight="1" x14ac:dyDescent="0.2">
      <c r="A20" s="88"/>
      <c r="E20" s="88"/>
      <c r="F20" s="88"/>
      <c r="G20" s="88"/>
      <c r="H20" s="460" t="s">
        <v>287</v>
      </c>
      <c r="I20" s="461"/>
      <c r="J20" s="88"/>
      <c r="P20" s="36"/>
    </row>
    <row r="21" spans="1:16" ht="20.100000000000001" customHeight="1" x14ac:dyDescent="0.2">
      <c r="A21" s="88"/>
      <c r="C21" s="88"/>
      <c r="E21" s="88"/>
      <c r="F21" s="88"/>
      <c r="G21" s="88"/>
      <c r="H21" s="462"/>
      <c r="I21" s="463"/>
      <c r="J21" s="88"/>
      <c r="P21" s="36"/>
    </row>
    <row r="22" spans="1:16" ht="20.100000000000001" customHeight="1" x14ac:dyDescent="0.2">
      <c r="A22" s="88"/>
      <c r="C22" s="88"/>
      <c r="E22" s="88"/>
      <c r="F22" s="88"/>
      <c r="G22" s="88"/>
      <c r="H22" s="88"/>
      <c r="I22" s="88"/>
      <c r="J22" s="88"/>
      <c r="L22" s="51"/>
      <c r="P22" s="36"/>
    </row>
    <row r="23" spans="1:16" ht="20.100000000000001" customHeight="1" x14ac:dyDescent="0.2">
      <c r="A23" s="89"/>
      <c r="E23" s="460" t="s">
        <v>109</v>
      </c>
      <c r="F23" s="461"/>
      <c r="H23" s="464" t="s">
        <v>286</v>
      </c>
      <c r="I23" s="465"/>
      <c r="J23" s="89"/>
      <c r="L23" s="51"/>
      <c r="P23" s="36"/>
    </row>
    <row r="24" spans="1:16" ht="20.100000000000001" customHeight="1" x14ac:dyDescent="0.2">
      <c r="A24" s="90"/>
      <c r="D24" s="87"/>
      <c r="E24" s="462"/>
      <c r="F24" s="463"/>
      <c r="G24" s="38"/>
      <c r="H24" s="466"/>
      <c r="I24" s="467"/>
      <c r="J24" s="90"/>
      <c r="L24" s="51"/>
      <c r="P24" s="36"/>
    </row>
    <row r="25" spans="1:16" ht="20.100000000000001" customHeight="1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436"/>
      <c r="P25" s="36"/>
    </row>
    <row r="26" spans="1:16" x14ac:dyDescent="0.2">
      <c r="A26" s="36"/>
      <c r="L26" s="51"/>
      <c r="P26" s="36"/>
    </row>
    <row r="27" spans="1:16" s="439" customFormat="1" ht="15" customHeight="1" x14ac:dyDescent="0.25">
      <c r="C27" s="441"/>
      <c r="D27" s="442"/>
      <c r="K27" s="443"/>
    </row>
    <row r="28" spans="1:16" s="439" customFormat="1" ht="15" customHeight="1" x14ac:dyDescent="0.3">
      <c r="B28" s="454" t="s">
        <v>364</v>
      </c>
      <c r="C28" s="441"/>
      <c r="D28" s="442"/>
      <c r="K28" s="443"/>
    </row>
    <row r="29" spans="1:16" x14ac:dyDescent="0.2">
      <c r="O29" s="51"/>
      <c r="P29" s="36"/>
    </row>
    <row r="30" spans="1:16" ht="15" x14ac:dyDescent="0.2">
      <c r="C30" s="444" t="s">
        <v>353</v>
      </c>
      <c r="O30" s="51"/>
      <c r="P30" s="36"/>
    </row>
    <row r="31" spans="1:16" s="439" customFormat="1" ht="15" customHeight="1" x14ac:dyDescent="0.25">
      <c r="C31" s="445" t="s">
        <v>237</v>
      </c>
      <c r="E31" s="446" t="s">
        <v>354</v>
      </c>
      <c r="K31" s="443"/>
    </row>
    <row r="32" spans="1:16" s="439" customFormat="1" ht="15" customHeight="1" x14ac:dyDescent="0.25">
      <c r="B32" s="444"/>
      <c r="C32" s="445" t="s">
        <v>238</v>
      </c>
      <c r="E32" s="446" t="s">
        <v>81</v>
      </c>
      <c r="K32" s="443"/>
    </row>
    <row r="33" spans="1:16" s="439" customFormat="1" ht="15" customHeight="1" x14ac:dyDescent="0.25">
      <c r="B33" s="444"/>
      <c r="C33" s="445" t="s">
        <v>239</v>
      </c>
      <c r="E33" s="446" t="s">
        <v>57</v>
      </c>
      <c r="K33" s="443"/>
    </row>
    <row r="34" spans="1:16" s="439" customFormat="1" ht="15" customHeight="1" x14ac:dyDescent="0.25">
      <c r="B34" s="444"/>
      <c r="C34" s="445" t="s">
        <v>240</v>
      </c>
      <c r="E34" s="446" t="s">
        <v>355</v>
      </c>
      <c r="K34" s="443"/>
    </row>
    <row r="35" spans="1:16" s="439" customFormat="1" ht="15" customHeight="1" x14ac:dyDescent="0.25">
      <c r="B35" s="444"/>
      <c r="C35" s="445" t="s">
        <v>8</v>
      </c>
      <c r="E35" s="447" t="s">
        <v>356</v>
      </c>
      <c r="K35" s="443"/>
    </row>
    <row r="36" spans="1:16" s="439" customFormat="1" ht="15" customHeight="1" x14ac:dyDescent="0.25">
      <c r="A36" s="441"/>
      <c r="B36" s="447"/>
      <c r="C36" s="448"/>
      <c r="K36" s="443"/>
    </row>
    <row r="37" spans="1:16" s="439" customFormat="1" ht="15" customHeight="1" x14ac:dyDescent="0.25">
      <c r="A37" s="441"/>
      <c r="C37" s="437" t="s">
        <v>365</v>
      </c>
      <c r="K37" s="443"/>
    </row>
    <row r="38" spans="1:16" s="439" customFormat="1" ht="15" customHeight="1" x14ac:dyDescent="0.25">
      <c r="A38" s="441"/>
      <c r="B38" s="449"/>
      <c r="C38" s="441" t="s">
        <v>287</v>
      </c>
      <c r="E38" s="450" t="str">
        <f>Input_Events!C3</f>
        <v>This sheet estimates the total number of expected compensation events for each trigger</v>
      </c>
      <c r="K38" s="443"/>
    </row>
    <row r="39" spans="1:16" s="439" customFormat="1" ht="15" customHeight="1" x14ac:dyDescent="0.25">
      <c r="A39" s="441"/>
      <c r="B39" s="449"/>
      <c r="C39" s="441" t="s">
        <v>108</v>
      </c>
      <c r="E39" s="450" t="str">
        <f>Input_CPs!C3</f>
        <v>This sheet captures CP related assumptions such as the number of subscribers and CSA numbers</v>
      </c>
      <c r="K39" s="443"/>
    </row>
    <row r="40" spans="1:16" s="439" customFormat="1" ht="15" customHeight="1" x14ac:dyDescent="0.25">
      <c r="A40" s="441"/>
      <c r="B40" s="449"/>
      <c r="C40" s="441" t="s">
        <v>288</v>
      </c>
      <c r="E40" s="450" t="str">
        <f>Input_Costs!C3</f>
        <v>This sheet captures the general cost assumptions used in the model</v>
      </c>
      <c r="K40" s="443"/>
    </row>
    <row r="41" spans="1:16" s="439" customFormat="1" ht="15" customHeight="1" x14ac:dyDescent="0.25">
      <c r="A41" s="441"/>
      <c r="B41" s="449"/>
      <c r="C41" s="441" t="s">
        <v>107</v>
      </c>
      <c r="E41" s="450" t="str">
        <f>Input_CAPEX!C3</f>
        <v>This sheet captures the development effort estimates for each CP type</v>
      </c>
      <c r="K41" s="443"/>
    </row>
    <row r="42" spans="1:16" s="439" customFormat="1" ht="15" customHeight="1" x14ac:dyDescent="0.25">
      <c r="A42" s="441"/>
      <c r="B42" s="449"/>
      <c r="C42" s="441" t="s">
        <v>109</v>
      </c>
      <c r="E42" s="450" t="str">
        <f>Input_OPEX!C3</f>
        <v>This sheet calculates the total cost per compensation event</v>
      </c>
      <c r="K42" s="443"/>
    </row>
    <row r="43" spans="1:16" s="452" customFormat="1" ht="15" customHeight="1" x14ac:dyDescent="0.25">
      <c r="A43" s="445"/>
      <c r="B43" s="440"/>
      <c r="C43" s="441"/>
      <c r="E43" s="450"/>
      <c r="F43" s="439"/>
      <c r="G43" s="439"/>
      <c r="H43" s="439"/>
      <c r="I43" s="439"/>
      <c r="K43" s="453"/>
    </row>
    <row r="44" spans="1:16" s="439" customFormat="1" ht="15" customHeight="1" x14ac:dyDescent="0.25">
      <c r="A44" s="441"/>
      <c r="B44" s="449"/>
      <c r="C44" s="441" t="s">
        <v>285</v>
      </c>
      <c r="E44" s="450" t="str">
        <f>Calc_CAPEX!C3</f>
        <v>This sheet calculates the upfront CAPEX cost per CP type</v>
      </c>
      <c r="K44" s="443"/>
    </row>
    <row r="45" spans="1:16" s="439" customFormat="1" ht="15" customHeight="1" x14ac:dyDescent="0.25">
      <c r="A45" s="441"/>
      <c r="B45" s="449"/>
      <c r="C45" s="441" t="s">
        <v>286</v>
      </c>
      <c r="E45" s="451" t="str">
        <f>Calc_OPEX!C3</f>
        <v>This sheet calculates the net change in variable OPEX per CP type</v>
      </c>
      <c r="K45" s="443"/>
    </row>
    <row r="46" spans="1:16" s="439" customFormat="1" ht="15" customHeight="1" x14ac:dyDescent="0.25">
      <c r="A46" s="441"/>
      <c r="B46" s="440"/>
      <c r="C46" s="441"/>
      <c r="E46" s="450"/>
      <c r="F46" s="452"/>
      <c r="G46" s="452"/>
      <c r="H46" s="452"/>
      <c r="I46" s="452"/>
      <c r="K46" s="443"/>
    </row>
    <row r="47" spans="1:16" ht="15" x14ac:dyDescent="0.25">
      <c r="A47" s="39"/>
      <c r="B47" s="449"/>
      <c r="C47" s="441" t="s">
        <v>366</v>
      </c>
      <c r="E47" s="450" t="str">
        <f>Output_Costs!C3</f>
        <v>This sheet calculates the annualised cost of auto-compensation over 10 year period</v>
      </c>
      <c r="F47" s="439"/>
      <c r="G47" s="439"/>
      <c r="H47" s="439"/>
      <c r="I47" s="439"/>
      <c r="K47" s="51"/>
      <c r="P47" s="36"/>
    </row>
    <row r="48" spans="1:16" ht="15" x14ac:dyDescent="0.25">
      <c r="A48" s="36"/>
      <c r="B48" s="450"/>
      <c r="C48" s="439"/>
      <c r="D48" s="439"/>
      <c r="E48" s="439"/>
      <c r="F48" s="439"/>
      <c r="G48" s="439"/>
      <c r="H48" s="439"/>
      <c r="I48" s="439"/>
      <c r="K48" s="51"/>
      <c r="P48" s="36"/>
    </row>
  </sheetData>
  <mergeCells count="12">
    <mergeCell ref="K17:L18"/>
    <mergeCell ref="K11:L12"/>
    <mergeCell ref="B8:F8"/>
    <mergeCell ref="H8:I8"/>
    <mergeCell ref="K8:L8"/>
    <mergeCell ref="H20:I21"/>
    <mergeCell ref="E23:F24"/>
    <mergeCell ref="H14:I15"/>
    <mergeCell ref="H23:I24"/>
    <mergeCell ref="B11:C12"/>
    <mergeCell ref="E17:F18"/>
    <mergeCell ref="B14:C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4"/>
  <sheetViews>
    <sheetView showGridLines="0" tabSelected="1" zoomScale="90" zoomScaleNormal="90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5" style="251" customWidth="1"/>
    <col min="2" max="2" width="15.42578125" customWidth="1"/>
    <col min="3" max="3" width="31.140625" customWidth="1"/>
    <col min="5" max="19" width="12.7109375" customWidth="1"/>
  </cols>
  <sheetData>
    <row r="1" spans="1:17" s="2" customFormat="1" ht="12.75" x14ac:dyDescent="0.2">
      <c r="A1" s="249" t="s">
        <v>374</v>
      </c>
      <c r="E1" s="3"/>
      <c r="F1" s="3"/>
      <c r="G1" s="3"/>
      <c r="H1" s="3"/>
      <c r="I1" s="3"/>
      <c r="J1" s="3"/>
      <c r="K1" s="3"/>
    </row>
    <row r="2" spans="1:17" s="2" customFormat="1" ht="12.75" x14ac:dyDescent="0.2">
      <c r="A2" s="249"/>
      <c r="B2" s="2" t="s">
        <v>0</v>
      </c>
      <c r="C2" s="4" t="str">
        <f ca="1">MID(CELL("filename",A1),FIND("]",CELL("filename",A1))+1,256)</f>
        <v>Control_Panel</v>
      </c>
      <c r="E2" s="3"/>
      <c r="F2" s="3"/>
      <c r="G2" s="3"/>
      <c r="H2" s="3"/>
      <c r="I2" s="3"/>
      <c r="J2" s="3"/>
      <c r="K2" s="3"/>
    </row>
    <row r="3" spans="1:17" s="2" customFormat="1" ht="12.75" x14ac:dyDescent="0.2">
      <c r="A3" s="249"/>
      <c r="B3" s="2" t="s">
        <v>1</v>
      </c>
      <c r="C3" s="2" t="s">
        <v>58</v>
      </c>
      <c r="E3" s="3"/>
      <c r="F3" s="3"/>
      <c r="G3" s="3"/>
      <c r="H3" s="3"/>
      <c r="I3" s="3"/>
      <c r="J3" s="3"/>
      <c r="K3" s="3"/>
    </row>
    <row r="4" spans="1:17" s="2" customFormat="1" ht="12.75" x14ac:dyDescent="0.2">
      <c r="A4" s="249"/>
      <c r="E4" s="3"/>
      <c r="F4" s="3"/>
      <c r="G4" s="3"/>
      <c r="H4" s="3"/>
      <c r="I4" s="3"/>
      <c r="J4" s="3"/>
      <c r="K4" s="3"/>
    </row>
    <row r="5" spans="1:17" s="7" customFormat="1" ht="12.75" x14ac:dyDescent="0.2">
      <c r="A5" s="254"/>
      <c r="B5" s="7" t="s">
        <v>2</v>
      </c>
      <c r="C5" s="7" t="s">
        <v>3</v>
      </c>
      <c r="D5" s="7" t="s">
        <v>4</v>
      </c>
      <c r="G5" s="8"/>
      <c r="O5" s="8"/>
    </row>
    <row r="6" spans="1:17" s="91" customFormat="1" x14ac:dyDescent="0.25">
      <c r="A6" s="252"/>
      <c r="B6" s="92"/>
      <c r="C6" s="30"/>
      <c r="D6" s="10"/>
      <c r="E6" s="10"/>
      <c r="F6" s="11"/>
      <c r="G6" s="11"/>
    </row>
    <row r="7" spans="1:17" s="91" customFormat="1" x14ac:dyDescent="0.25">
      <c r="A7" s="252"/>
      <c r="B7" s="30" t="s">
        <v>282</v>
      </c>
      <c r="C7" s="30"/>
      <c r="D7" s="10"/>
      <c r="E7" s="10" t="s">
        <v>19</v>
      </c>
      <c r="F7" s="11"/>
      <c r="G7" s="11"/>
      <c r="H7" s="257"/>
      <c r="I7" s="257"/>
      <c r="J7" s="257"/>
      <c r="L7" s="10" t="s">
        <v>340</v>
      </c>
      <c r="M7" s="11"/>
      <c r="N7" s="11"/>
      <c r="O7" s="257"/>
      <c r="P7" s="257"/>
      <c r="Q7" s="257"/>
    </row>
    <row r="8" spans="1:17" s="91" customFormat="1" x14ac:dyDescent="0.25">
      <c r="A8" s="252"/>
      <c r="B8" s="92"/>
      <c r="C8" s="357"/>
      <c r="D8" s="357"/>
      <c r="E8" s="370" t="s">
        <v>237</v>
      </c>
      <c r="F8" s="371" t="s">
        <v>238</v>
      </c>
      <c r="G8" s="371" t="s">
        <v>239</v>
      </c>
      <c r="H8" s="372" t="s">
        <v>240</v>
      </c>
      <c r="I8" s="372" t="s">
        <v>8</v>
      </c>
      <c r="J8" s="373" t="s">
        <v>283</v>
      </c>
      <c r="L8" s="370" t="s">
        <v>237</v>
      </c>
      <c r="M8" s="371" t="s">
        <v>238</v>
      </c>
      <c r="N8" s="371" t="s">
        <v>239</v>
      </c>
      <c r="O8" s="372" t="s">
        <v>240</v>
      </c>
      <c r="P8" s="372" t="s">
        <v>8</v>
      </c>
      <c r="Q8" s="373" t="s">
        <v>283</v>
      </c>
    </row>
    <row r="9" spans="1:17" s="91" customFormat="1" x14ac:dyDescent="0.25">
      <c r="A9" s="252"/>
      <c r="B9" s="92"/>
      <c r="C9" s="294" t="s">
        <v>292</v>
      </c>
      <c r="D9" s="357" t="s">
        <v>6</v>
      </c>
      <c r="E9" s="361">
        <f t="array" ref="E9:I9">TRANSPOSE(Output_Costs!D14:D18)</f>
        <v>50</v>
      </c>
      <c r="F9" s="362">
        <v>11</v>
      </c>
      <c r="G9" s="362">
        <v>3</v>
      </c>
      <c r="H9" s="362">
        <v>2</v>
      </c>
      <c r="I9" s="362">
        <v>5</v>
      </c>
      <c r="J9" s="367">
        <f>SUM(E9:I9)</f>
        <v>71</v>
      </c>
      <c r="L9" s="361">
        <f>E9</f>
        <v>50</v>
      </c>
      <c r="M9" s="362">
        <f t="shared" ref="M9:P9" si="0">F9</f>
        <v>11</v>
      </c>
      <c r="N9" s="362">
        <f t="shared" si="0"/>
        <v>3</v>
      </c>
      <c r="O9" s="362">
        <f t="shared" si="0"/>
        <v>2</v>
      </c>
      <c r="P9" s="363">
        <f t="shared" si="0"/>
        <v>5</v>
      </c>
      <c r="Q9" s="367">
        <f>SUM(L9:P9)</f>
        <v>71</v>
      </c>
    </row>
    <row r="10" spans="1:17" s="91" customFormat="1" x14ac:dyDescent="0.25">
      <c r="A10" s="252"/>
      <c r="B10" s="92"/>
      <c r="C10" s="294" t="str">
        <f>Trigger1</f>
        <v>Delayed Service Activation</v>
      </c>
      <c r="D10" s="358" t="s">
        <v>284</v>
      </c>
      <c r="E10" s="364">
        <f t="array" ref="E10:I10">TRANSPOSE(Output_Costs!F14:F18)</f>
        <v>10.714888888888888</v>
      </c>
      <c r="F10" s="242">
        <v>283.14888888888885</v>
      </c>
      <c r="G10" s="242">
        <v>754.68055555555554</v>
      </c>
      <c r="H10" s="242">
        <v>716.34722222222229</v>
      </c>
      <c r="I10" s="242">
        <v>241.5</v>
      </c>
      <c r="J10" s="368">
        <f>SUMPRODUCT($E$9:$I$9,E10:I10)</f>
        <v>8554.618333333332</v>
      </c>
      <c r="L10" s="364">
        <f t="array" ref="L10:P10">TRANSPOSE(Output_Costs!N14:N18)/TRANSPOSE(Output_Costs!D14:D18)</f>
        <v>3.4402522302811258</v>
      </c>
      <c r="M10" s="242">
        <v>96.131619295969301</v>
      </c>
      <c r="N10" s="242">
        <v>206.84268102661932</v>
      </c>
      <c r="O10" s="242">
        <v>204.06555065765934</v>
      </c>
      <c r="P10" s="242">
        <v>83.719766997897494</v>
      </c>
      <c r="Q10" s="368">
        <f>SUMPRODUCT($L$9:$P$9,L10:P10)</f>
        <v>2676.7184031543825</v>
      </c>
    </row>
    <row r="11" spans="1:17" s="91" customFormat="1" x14ac:dyDescent="0.25">
      <c r="A11" s="252"/>
      <c r="B11" s="92"/>
      <c r="C11" s="294" t="str">
        <f>Trigger2</f>
        <v>Missed Appointment</v>
      </c>
      <c r="D11" s="358" t="s">
        <v>284</v>
      </c>
      <c r="E11" s="364">
        <f t="array" ref="E11:I11">TRANSPOSE(Output_Costs!F24:F28)</f>
        <v>10.714888888888888</v>
      </c>
      <c r="F11" s="242">
        <v>274.52388888888885</v>
      </c>
      <c r="G11" s="242">
        <v>737.43055555555554</v>
      </c>
      <c r="H11" s="242">
        <v>699.09722222222229</v>
      </c>
      <c r="I11" s="242">
        <v>232.875</v>
      </c>
      <c r="J11" s="368">
        <f t="shared" ref="J11:J13" si="1">SUMPRODUCT($E$9:$I$9,E11:I11)</f>
        <v>8330.368333333332</v>
      </c>
      <c r="L11" s="364">
        <f t="array" ref="L11:P11">TRANSPOSE(Output_Costs!N24:N28)/TRANSPOSE(Output_Costs!D14:D18)</f>
        <v>3.5442005833868739</v>
      </c>
      <c r="M11" s="242">
        <v>93.614120131589985</v>
      </c>
      <c r="N11" s="242">
        <v>215.93745883431302</v>
      </c>
      <c r="O11" s="242">
        <v>204.83546035948143</v>
      </c>
      <c r="P11" s="242">
        <v>80.729775319401142</v>
      </c>
      <c r="Q11" s="368">
        <f t="shared" ref="Q11:Q13" si="2">SUMPRODUCT($L$9:$P$9,L11:P11)</f>
        <v>2668.097524435741</v>
      </c>
    </row>
    <row r="12" spans="1:17" s="91" customFormat="1" x14ac:dyDescent="0.25">
      <c r="A12" s="252"/>
      <c r="B12" s="92"/>
      <c r="C12" s="294" t="str">
        <f>Trigger3</f>
        <v>Delayed Repair (Fixed)</v>
      </c>
      <c r="D12" s="358" t="s">
        <v>284</v>
      </c>
      <c r="E12" s="364">
        <f t="array" ref="E12:I12">TRANSPOSE(Output_Costs!F34:F38)</f>
        <v>10.714888888888888</v>
      </c>
      <c r="F12" s="242">
        <v>274.52388888888885</v>
      </c>
      <c r="G12" s="242">
        <v>722.09722222222229</v>
      </c>
      <c r="H12" s="242">
        <v>722.09722222222229</v>
      </c>
      <c r="I12" s="242">
        <v>232.875</v>
      </c>
      <c r="J12" s="368">
        <f t="shared" si="1"/>
        <v>8330.368333333332</v>
      </c>
      <c r="L12" s="364">
        <f t="array" ref="L12:P12">TRANSPOSE(Output_Costs!N34:N38)/TRANSPOSE(Output_Costs!D14:D18)</f>
        <v>2.7900091134425917</v>
      </c>
      <c r="M12" s="242">
        <v>90.185977086388704</v>
      </c>
      <c r="N12" s="242">
        <v>101.24783043992943</v>
      </c>
      <c r="O12" s="242">
        <v>163.83529942783431</v>
      </c>
      <c r="P12" s="242">
        <v>80.729775319401142</v>
      </c>
      <c r="Q12" s="368">
        <f t="shared" si="2"/>
        <v>2166.6091703948678</v>
      </c>
    </row>
    <row r="13" spans="1:17" s="91" customFormat="1" x14ac:dyDescent="0.25">
      <c r="A13" s="252"/>
      <c r="B13" s="92"/>
      <c r="C13" s="115" t="s">
        <v>230</v>
      </c>
      <c r="D13" s="358" t="s">
        <v>284</v>
      </c>
      <c r="E13" s="365">
        <f t="array" ref="E13:I13">TRANSPOSE(Output_Costs!F44:F48)</f>
        <v>13.096444444444444</v>
      </c>
      <c r="F13" s="366">
        <v>477.17277777777775</v>
      </c>
      <c r="G13" s="366">
        <v>1307.1527777777778</v>
      </c>
      <c r="H13" s="366">
        <v>1268.8194444444446</v>
      </c>
      <c r="I13" s="366">
        <v>405.375</v>
      </c>
      <c r="J13" s="369">
        <f t="shared" si="1"/>
        <v>14389.695</v>
      </c>
      <c r="L13" s="365">
        <f t="array" ref="L13:P13">TRANSPOSE(Output_Costs!N44:N48)/TRANSPOSE(Output_Costs!D14:D18)</f>
        <v>3.3140743791384004</v>
      </c>
      <c r="M13" s="366">
        <v>158.28688867489257</v>
      </c>
      <c r="N13" s="366">
        <v>245.32736395748194</v>
      </c>
      <c r="O13" s="366">
        <v>307.32455600602339</v>
      </c>
      <c r="P13" s="366">
        <v>140.52960888932793</v>
      </c>
      <c r="Q13" s="369">
        <f t="shared" si="2"/>
        <v>3960.1387427118707</v>
      </c>
    </row>
    <row r="14" spans="1:17" s="91" customFormat="1" x14ac:dyDescent="0.25">
      <c r="A14" s="252"/>
      <c r="B14" s="92"/>
      <c r="C14" s="30"/>
      <c r="D14" s="10"/>
      <c r="E14" s="10"/>
      <c r="F14" s="11"/>
      <c r="G14" s="11"/>
    </row>
    <row r="15" spans="1:17" s="7" customFormat="1" ht="12.75" x14ac:dyDescent="0.2">
      <c r="A15" s="254"/>
      <c r="B15" s="7" t="s">
        <v>2</v>
      </c>
      <c r="C15" s="7" t="s">
        <v>3</v>
      </c>
      <c r="D15" s="7" t="s">
        <v>4</v>
      </c>
      <c r="G15" s="8"/>
      <c r="P15" s="8" t="s">
        <v>5</v>
      </c>
    </row>
    <row r="16" spans="1:17" s="91" customFormat="1" x14ac:dyDescent="0.25">
      <c r="A16" s="252"/>
      <c r="B16" s="92"/>
      <c r="C16" s="30"/>
      <c r="D16" s="10"/>
      <c r="E16" s="10"/>
      <c r="F16" s="11"/>
      <c r="G16" s="11"/>
    </row>
    <row r="17" spans="1:16" ht="15.75" thickBot="1" x14ac:dyDescent="0.3">
      <c r="B17" s="386" t="s">
        <v>277</v>
      </c>
      <c r="C17" s="31"/>
      <c r="D17" s="32"/>
      <c r="E17" s="253" t="s">
        <v>247</v>
      </c>
      <c r="G17" s="253" t="s">
        <v>86</v>
      </c>
      <c r="H17" s="253" t="s">
        <v>245</v>
      </c>
      <c r="I17" s="253" t="s">
        <v>87</v>
      </c>
      <c r="K17" s="253" t="s">
        <v>246</v>
      </c>
    </row>
    <row r="18" spans="1:16" s="91" customFormat="1" ht="15.75" thickBot="1" x14ac:dyDescent="0.3">
      <c r="A18" s="252"/>
      <c r="B18" s="357"/>
      <c r="C18" s="294" t="str">
        <f>Trigger1</f>
        <v>Delayed Service Activation</v>
      </c>
      <c r="D18" s="55"/>
      <c r="E18" s="295" t="s">
        <v>245</v>
      </c>
      <c r="G18" s="276">
        <v>-0.2</v>
      </c>
      <c r="H18" s="276">
        <v>0</v>
      </c>
      <c r="I18" s="276">
        <v>0.2</v>
      </c>
      <c r="K18" s="296">
        <f>IF($E18="High",I18,IF($E18="Low",G18,H18))</f>
        <v>0</v>
      </c>
      <c r="M18" s="20" t="s">
        <v>279</v>
      </c>
      <c r="P18" s="21" t="s">
        <v>306</v>
      </c>
    </row>
    <row r="19" spans="1:16" ht="15.75" thickBot="1" x14ac:dyDescent="0.3">
      <c r="B19" s="387"/>
      <c r="C19" s="294" t="str">
        <f>Trigger2</f>
        <v>Missed Appointment</v>
      </c>
      <c r="D19" s="32"/>
      <c r="E19" s="295" t="s">
        <v>245</v>
      </c>
      <c r="G19" s="276">
        <v>-0.2</v>
      </c>
      <c r="H19" s="276">
        <v>0</v>
      </c>
      <c r="I19" s="276">
        <v>0.2</v>
      </c>
      <c r="K19" s="296">
        <f>IF($E19="High",I19,IF($E19="Low",G19,H19))</f>
        <v>0</v>
      </c>
      <c r="M19" s="20" t="s">
        <v>280</v>
      </c>
      <c r="P19" s="5" t="s">
        <v>278</v>
      </c>
    </row>
    <row r="20" spans="1:16" ht="15.75" thickBot="1" x14ac:dyDescent="0.3">
      <c r="B20" s="387"/>
      <c r="C20" s="294" t="str">
        <f>Trigger3</f>
        <v>Delayed Repair (Fixed)</v>
      </c>
      <c r="D20" s="32"/>
      <c r="E20" s="295" t="s">
        <v>245</v>
      </c>
      <c r="G20" s="276">
        <v>-0.2</v>
      </c>
      <c r="H20" s="276">
        <v>0</v>
      </c>
      <c r="I20" s="276">
        <v>0.2</v>
      </c>
      <c r="K20" s="296">
        <f>IF($E20="High",I20,IF($E20="Low",G20,H20))</f>
        <v>0</v>
      </c>
      <c r="M20" s="20" t="s">
        <v>281</v>
      </c>
      <c r="P20" s="21" t="s">
        <v>306</v>
      </c>
    </row>
    <row r="21" spans="1:16" x14ac:dyDescent="0.25">
      <c r="B21" s="387"/>
      <c r="C21" s="102"/>
      <c r="D21" s="102"/>
      <c r="E21" s="102"/>
      <c r="K21" s="96"/>
      <c r="P21" s="5"/>
    </row>
    <row r="22" spans="1:16" ht="15.75" thickBot="1" x14ac:dyDescent="0.3">
      <c r="B22" s="52" t="s">
        <v>295</v>
      </c>
      <c r="C22" s="102"/>
      <c r="D22" s="102"/>
      <c r="E22" s="102"/>
      <c r="G22" s="253" t="s">
        <v>86</v>
      </c>
      <c r="H22" s="253" t="s">
        <v>245</v>
      </c>
      <c r="I22" s="253" t="s">
        <v>87</v>
      </c>
      <c r="K22" s="253" t="s">
        <v>246</v>
      </c>
      <c r="P22" s="383"/>
    </row>
    <row r="23" spans="1:16" ht="15.75" thickBot="1" x14ac:dyDescent="0.3">
      <c r="B23" s="385"/>
      <c r="C23" s="294" t="s">
        <v>296</v>
      </c>
      <c r="D23" s="32"/>
      <c r="E23" s="295" t="s">
        <v>245</v>
      </c>
      <c r="G23" s="276">
        <v>-0.2</v>
      </c>
      <c r="H23" s="276">
        <v>0</v>
      </c>
      <c r="I23" s="276">
        <v>0.2</v>
      </c>
      <c r="K23" s="296">
        <f>IF($E23="High",I23,IF($E23="Low",G23,H23))</f>
        <v>0</v>
      </c>
      <c r="M23" s="20" t="s">
        <v>298</v>
      </c>
      <c r="P23" s="5" t="s">
        <v>302</v>
      </c>
    </row>
    <row r="24" spans="1:16" ht="15.75" thickBot="1" x14ac:dyDescent="0.3">
      <c r="B24" s="385"/>
      <c r="C24" s="294" t="s">
        <v>318</v>
      </c>
      <c r="D24" s="32"/>
      <c r="E24" s="295" t="s">
        <v>245</v>
      </c>
      <c r="G24" s="276">
        <v>0.1</v>
      </c>
      <c r="H24" s="276">
        <v>0.15</v>
      </c>
      <c r="I24" s="276">
        <v>0.2</v>
      </c>
      <c r="K24" s="296">
        <f>IF($E24="High",I24,IF($E24="Low",G24,H24))</f>
        <v>0.15</v>
      </c>
      <c r="M24" s="20"/>
      <c r="P24" s="5" t="s">
        <v>302</v>
      </c>
    </row>
    <row r="25" spans="1:16" ht="15.75" thickBot="1" x14ac:dyDescent="0.3">
      <c r="B25" s="385"/>
      <c r="C25" s="294" t="s">
        <v>297</v>
      </c>
      <c r="D25" s="32"/>
      <c r="E25" s="295" t="s">
        <v>245</v>
      </c>
      <c r="G25" s="276">
        <v>-0.2</v>
      </c>
      <c r="H25" s="276">
        <v>0</v>
      </c>
      <c r="I25" s="276">
        <v>0.2</v>
      </c>
      <c r="K25" s="296">
        <f>IF($E25="High",I25,IF($E25="Low",G25,H25))</f>
        <v>0</v>
      </c>
      <c r="M25" s="20" t="s">
        <v>299</v>
      </c>
      <c r="P25" s="5" t="s">
        <v>302</v>
      </c>
    </row>
    <row r="26" spans="1:16" ht="15.75" thickBot="1" x14ac:dyDescent="0.3">
      <c r="B26" s="385"/>
      <c r="C26" s="294" t="s">
        <v>300</v>
      </c>
      <c r="D26" s="32"/>
      <c r="E26" s="295" t="s">
        <v>245</v>
      </c>
      <c r="G26" s="276">
        <v>-0.2</v>
      </c>
      <c r="H26" s="276">
        <v>0</v>
      </c>
      <c r="I26" s="276">
        <v>0.2</v>
      </c>
      <c r="K26" s="296">
        <f>IF($E26="High",I26,IF($E26="Low",G26,H26))</f>
        <v>0</v>
      </c>
      <c r="M26" s="20" t="s">
        <v>301</v>
      </c>
      <c r="P26" s="5" t="s">
        <v>303</v>
      </c>
    </row>
    <row r="28" spans="1:16" ht="15.75" thickBot="1" x14ac:dyDescent="0.3">
      <c r="B28" s="52" t="s">
        <v>307</v>
      </c>
      <c r="C28" s="102"/>
      <c r="D28" s="102"/>
      <c r="E28" s="102"/>
      <c r="G28" s="253" t="s">
        <v>86</v>
      </c>
      <c r="H28" s="253" t="s">
        <v>245</v>
      </c>
      <c r="I28" s="253" t="s">
        <v>87</v>
      </c>
      <c r="K28" s="253" t="s">
        <v>246</v>
      </c>
      <c r="P28" s="383"/>
    </row>
    <row r="29" spans="1:16" ht="15.75" thickBot="1" x14ac:dyDescent="0.3">
      <c r="B29" s="52"/>
      <c r="C29" s="294" t="s">
        <v>246</v>
      </c>
      <c r="D29" s="32"/>
      <c r="E29" s="295" t="s">
        <v>245</v>
      </c>
      <c r="G29" s="401">
        <v>-0.2</v>
      </c>
      <c r="H29" s="401">
        <v>50</v>
      </c>
      <c r="I29" s="401">
        <v>60</v>
      </c>
      <c r="K29" s="402">
        <f>IF($E29="High",I29,IF($E29="Low",G29,H29))</f>
        <v>50</v>
      </c>
      <c r="P29" s="5" t="s">
        <v>328</v>
      </c>
    </row>
    <row r="30" spans="1:16" x14ac:dyDescent="0.25">
      <c r="B30" s="387"/>
      <c r="C30" s="102"/>
      <c r="D30" s="102"/>
      <c r="E30" s="102"/>
      <c r="G30" s="11"/>
      <c r="H30" s="91"/>
      <c r="I30" s="91"/>
      <c r="J30" s="91"/>
      <c r="K30" s="91"/>
      <c r="L30" s="11"/>
      <c r="M30" s="91"/>
      <c r="N30" s="91"/>
      <c r="P30" s="5"/>
    </row>
    <row r="31" spans="1:16" ht="15.75" thickBot="1" x14ac:dyDescent="0.3">
      <c r="B31" s="52" t="s">
        <v>230</v>
      </c>
      <c r="C31" s="102"/>
      <c r="P31" s="383"/>
    </row>
    <row r="32" spans="1:16" ht="15.75" thickBot="1" x14ac:dyDescent="0.3">
      <c r="B32" s="383"/>
      <c r="C32" s="102" t="str">
        <f>Trigger1</f>
        <v>Delayed Service Activation</v>
      </c>
      <c r="E32" s="295" t="b">
        <v>1</v>
      </c>
      <c r="M32" s="20" t="s">
        <v>231</v>
      </c>
      <c r="P32" s="5" t="s">
        <v>305</v>
      </c>
    </row>
    <row r="33" spans="2:16" ht="15.75" thickBot="1" x14ac:dyDescent="0.3">
      <c r="B33" s="383"/>
      <c r="C33" s="102" t="str">
        <f>Trigger2</f>
        <v>Missed Appointment</v>
      </c>
      <c r="E33" s="295" t="b">
        <v>1</v>
      </c>
      <c r="M33" s="20" t="s">
        <v>232</v>
      </c>
    </row>
    <row r="34" spans="2:16" ht="15.75" thickBot="1" x14ac:dyDescent="0.3">
      <c r="B34" s="383"/>
      <c r="C34" s="102" t="str">
        <f>Trigger3</f>
        <v>Delayed Repair (Fixed)</v>
      </c>
      <c r="E34" s="295" t="b">
        <v>1</v>
      </c>
      <c r="M34" s="20" t="s">
        <v>233</v>
      </c>
    </row>
    <row r="35" spans="2:16" x14ac:dyDescent="0.25">
      <c r="B35" s="383"/>
    </row>
    <row r="36" spans="2:16" ht="15.75" thickBot="1" x14ac:dyDescent="0.3">
      <c r="B36" s="52" t="s">
        <v>248</v>
      </c>
      <c r="C36" s="5"/>
      <c r="D36" s="185"/>
      <c r="E36" s="181"/>
    </row>
    <row r="37" spans="2:16" ht="15.75" thickBot="1" x14ac:dyDescent="0.3">
      <c r="B37" s="383"/>
      <c r="C37" s="5" t="s">
        <v>249</v>
      </c>
      <c r="D37" t="s">
        <v>74</v>
      </c>
      <c r="E37" s="359">
        <v>2</v>
      </c>
      <c r="P37" s="5" t="s">
        <v>325</v>
      </c>
    </row>
    <row r="38" spans="2:16" x14ac:dyDescent="0.25">
      <c r="B38" s="383"/>
    </row>
    <row r="39" spans="2:16" ht="15.75" thickBot="1" x14ac:dyDescent="0.3">
      <c r="B39" s="65" t="s">
        <v>241</v>
      </c>
      <c r="C39" s="292"/>
      <c r="D39" s="32"/>
      <c r="E39" s="171"/>
      <c r="G39" s="93"/>
    </row>
    <row r="40" spans="2:16" ht="15.75" thickBot="1" x14ac:dyDescent="0.3">
      <c r="B40" s="387"/>
      <c r="C40" s="102" t="s">
        <v>92</v>
      </c>
      <c r="E40" s="295">
        <v>0.8</v>
      </c>
      <c r="P40" s="5" t="s">
        <v>327</v>
      </c>
    </row>
    <row r="41" spans="2:16" ht="15.75" thickBot="1" x14ac:dyDescent="0.3">
      <c r="B41" s="387"/>
      <c r="C41" s="102" t="s">
        <v>93</v>
      </c>
      <c r="E41" s="295">
        <v>0</v>
      </c>
      <c r="P41" s="5" t="s">
        <v>327</v>
      </c>
    </row>
    <row r="42" spans="2:16" ht="15.75" thickBot="1" x14ac:dyDescent="0.3">
      <c r="B42" s="33"/>
      <c r="C42" s="102" t="s">
        <v>94</v>
      </c>
      <c r="E42" s="295">
        <v>0.1</v>
      </c>
      <c r="P42" s="5" t="s">
        <v>327</v>
      </c>
    </row>
    <row r="43" spans="2:16" ht="15.75" thickBot="1" x14ac:dyDescent="0.3">
      <c r="B43" s="5"/>
      <c r="C43" s="102" t="s">
        <v>96</v>
      </c>
      <c r="E43" s="295">
        <v>0.1</v>
      </c>
      <c r="P43" s="5" t="s">
        <v>327</v>
      </c>
    </row>
    <row r="44" spans="2:16" x14ac:dyDescent="0.25">
      <c r="B44" s="5"/>
      <c r="C44" s="293" t="s">
        <v>242</v>
      </c>
      <c r="D44" s="288"/>
      <c r="E44" s="289">
        <f>SUM(E40:E43)</f>
        <v>1</v>
      </c>
    </row>
  </sheetData>
  <dataValidations count="3">
    <dataValidation type="list" allowBlank="1" showInputMessage="1" showErrorMessage="1" sqref="E18:E20 E29 E23:E26">
      <formula1>"Low, Base Case, High"</formula1>
    </dataValidation>
    <dataValidation type="list" allowBlank="1" showInputMessage="1" showErrorMessage="1" sqref="E32:E34">
      <formula1>"TRUE, FALSE"</formula1>
    </dataValidation>
    <dataValidation type="list" allowBlank="1" showInputMessage="1" showErrorMessage="1" sqref="E37">
      <formula1>"0,1,2,3"</formula1>
    </dataValidation>
  </dataValidations>
  <pageMargins left="0.7" right="0.7" top="0.75" bottom="0.75" header="0.3" footer="0.3"/>
  <pageSetup paperSize="9" orientation="portrait" horizontalDpi="4294967295" verticalDpi="4294967295" r:id="rId1"/>
  <cellWatches>
    <cellWatch r="Q13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"/>
  <sheetViews>
    <sheetView topLeftCell="A1048576" workbookViewId="0">
      <selection activeCell="A1048576" sqref="A1:XFD1048576"/>
    </sheetView>
  </sheetViews>
  <sheetFormatPr defaultRowHeight="14.85" customHeight="1" zeroHeight="1" x14ac:dyDescent="0.25"/>
  <sheetData>
    <row r="1" ht="15" hidden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38"/>
  <sheetViews>
    <sheetView showGridLines="0" zoomScale="90" zoomScaleNormal="90" workbookViewId="0"/>
  </sheetViews>
  <sheetFormatPr defaultRowHeight="15" x14ac:dyDescent="0.25"/>
  <cols>
    <col min="1" max="1" width="5.42578125" style="251" customWidth="1"/>
    <col min="2" max="2" width="11.5703125" bestFit="1" customWidth="1"/>
    <col min="3" max="3" width="54.85546875" customWidth="1"/>
    <col min="4" max="4" width="6.42578125" bestFit="1" customWidth="1"/>
    <col min="5" max="11" width="12.7109375" customWidth="1"/>
    <col min="12" max="12" width="117.5703125" style="274" customWidth="1"/>
  </cols>
  <sheetData>
    <row r="1" spans="1:18" s="5" customFormat="1" ht="12.75" x14ac:dyDescent="0.2">
      <c r="A1" s="249" t="s">
        <v>373</v>
      </c>
      <c r="E1" s="17"/>
      <c r="L1" s="271"/>
      <c r="M1" s="21"/>
      <c r="N1" s="21"/>
      <c r="O1" s="21"/>
      <c r="P1" s="21"/>
      <c r="Q1" s="21"/>
      <c r="R1" s="21"/>
    </row>
    <row r="2" spans="1:18" s="36" customFormat="1" ht="12.75" x14ac:dyDescent="0.2">
      <c r="A2" s="250" t="s">
        <v>373</v>
      </c>
      <c r="B2" s="36" t="s">
        <v>0</v>
      </c>
      <c r="C2" s="37" t="str">
        <f ca="1">MID(CELL("filename",A1),FIND("]",CELL("filename",A1))+1,256)</f>
        <v>Input_CPs</v>
      </c>
      <c r="D2" s="37"/>
      <c r="K2" s="37"/>
      <c r="L2" s="272"/>
      <c r="M2" s="38"/>
      <c r="N2" s="38"/>
      <c r="O2" s="38"/>
      <c r="P2" s="38"/>
      <c r="Q2" s="38"/>
      <c r="R2" s="38"/>
    </row>
    <row r="3" spans="1:18" s="36" customFormat="1" ht="12.75" x14ac:dyDescent="0.2">
      <c r="A3" s="250"/>
      <c r="B3" s="36" t="s">
        <v>1</v>
      </c>
      <c r="C3" s="36" t="s">
        <v>358</v>
      </c>
      <c r="L3" s="272"/>
      <c r="M3" s="38"/>
      <c r="N3" s="38"/>
      <c r="O3" s="38"/>
      <c r="P3" s="38"/>
      <c r="Q3" s="38"/>
      <c r="R3" s="38"/>
    </row>
    <row r="4" spans="1:18" s="36" customFormat="1" ht="12.75" x14ac:dyDescent="0.2">
      <c r="A4" s="250"/>
      <c r="L4" s="272"/>
      <c r="M4" s="38"/>
      <c r="N4" s="38"/>
      <c r="O4" s="38"/>
      <c r="P4" s="38"/>
      <c r="Q4" s="38"/>
      <c r="R4" s="38"/>
    </row>
    <row r="5" spans="1:18" s="36" customFormat="1" ht="12.75" x14ac:dyDescent="0.2">
      <c r="A5" s="250"/>
      <c r="L5" s="272"/>
      <c r="M5" s="38"/>
      <c r="N5" s="40"/>
      <c r="O5" s="38"/>
      <c r="P5" s="38"/>
      <c r="Q5" s="38"/>
      <c r="R5" s="38"/>
    </row>
    <row r="6" spans="1:18" s="43" customFormat="1" ht="12.75" x14ac:dyDescent="0.2">
      <c r="A6" s="248"/>
      <c r="B6" s="41" t="s">
        <v>2</v>
      </c>
      <c r="C6" s="41" t="s">
        <v>3</v>
      </c>
      <c r="D6" s="7"/>
      <c r="E6" s="122"/>
      <c r="F6" s="122"/>
      <c r="G6" s="122"/>
      <c r="H6" s="122"/>
      <c r="I6" s="122"/>
      <c r="J6" s="122"/>
      <c r="K6" s="122"/>
      <c r="L6" s="273" t="s">
        <v>5</v>
      </c>
      <c r="N6" s="42"/>
    </row>
    <row r="7" spans="1:18" s="5" customFormat="1" ht="12.75" x14ac:dyDescent="0.2">
      <c r="A7" s="249"/>
      <c r="E7" s="50"/>
      <c r="F7" s="50"/>
      <c r="G7" s="50"/>
      <c r="H7" s="50"/>
      <c r="I7" s="50"/>
      <c r="J7" s="50"/>
      <c r="L7" s="271"/>
      <c r="M7" s="21"/>
      <c r="N7" s="21"/>
      <c r="O7" s="21"/>
      <c r="P7" s="21"/>
      <c r="Q7" s="21"/>
      <c r="R7" s="21"/>
    </row>
    <row r="8" spans="1:18" x14ac:dyDescent="0.25">
      <c r="B8" s="52"/>
    </row>
    <row r="9" spans="1:18" x14ac:dyDescent="0.25">
      <c r="B9" s="52"/>
    </row>
    <row r="10" spans="1:18" x14ac:dyDescent="0.25">
      <c r="K10" s="255"/>
    </row>
    <row r="11" spans="1:18" x14ac:dyDescent="0.25">
      <c r="C11" s="53"/>
      <c r="D11" s="53"/>
      <c r="E11" s="53"/>
      <c r="F11" s="53"/>
      <c r="G11" s="53"/>
      <c r="H11" s="53"/>
      <c r="I11" s="53"/>
      <c r="J11" s="53"/>
      <c r="K11" s="98"/>
      <c r="L11" s="184"/>
    </row>
    <row r="12" spans="1:18" x14ac:dyDescent="0.25">
      <c r="C12" s="53"/>
      <c r="D12" s="53"/>
      <c r="E12" s="53"/>
      <c r="F12" s="53"/>
      <c r="G12" s="53"/>
      <c r="H12" s="53"/>
      <c r="I12" s="53"/>
      <c r="J12" s="53"/>
      <c r="K12" s="98"/>
      <c r="L12" s="184"/>
    </row>
    <row r="14" spans="1:18" s="2" customFormat="1" x14ac:dyDescent="0.25">
      <c r="A14" s="249"/>
      <c r="B14" s="57" t="s">
        <v>137</v>
      </c>
      <c r="G14" s="246"/>
      <c r="H14" s="12"/>
      <c r="J14" s="13"/>
    </row>
    <row r="15" spans="1:18" s="2" customFormat="1" x14ac:dyDescent="0.25">
      <c r="A15" s="249"/>
      <c r="B15" s="57"/>
      <c r="C15" s="137" t="s">
        <v>237</v>
      </c>
      <c r="E15" s="381">
        <f>Control_Panel!K29</f>
        <v>50</v>
      </c>
      <c r="L15" s="105" t="s">
        <v>310</v>
      </c>
    </row>
    <row r="16" spans="1:18" s="2" customFormat="1" ht="15" customHeight="1" x14ac:dyDescent="0.25">
      <c r="A16" s="249"/>
      <c r="B16" s="56"/>
      <c r="C16" s="137" t="s">
        <v>238</v>
      </c>
      <c r="E16" s="121">
        <v>11</v>
      </c>
      <c r="L16" s="247" t="s">
        <v>7</v>
      </c>
    </row>
    <row r="17" spans="1:23" s="2" customFormat="1" ht="15" customHeight="1" x14ac:dyDescent="0.25">
      <c r="A17" s="249"/>
      <c r="B17" s="56"/>
      <c r="C17" s="137" t="s">
        <v>239</v>
      </c>
      <c r="E17" s="121">
        <v>3</v>
      </c>
      <c r="L17" s="247"/>
    </row>
    <row r="18" spans="1:23" s="2" customFormat="1" ht="15" customHeight="1" x14ac:dyDescent="0.25">
      <c r="A18" s="249"/>
      <c r="B18" s="56"/>
      <c r="C18" s="137" t="s">
        <v>240</v>
      </c>
      <c r="E18" s="121">
        <v>2</v>
      </c>
      <c r="L18" s="247"/>
    </row>
    <row r="19" spans="1:23" s="2" customFormat="1" x14ac:dyDescent="0.25">
      <c r="A19" s="249"/>
      <c r="B19" s="56"/>
      <c r="C19" s="137" t="s">
        <v>73</v>
      </c>
      <c r="E19" s="121">
        <v>5</v>
      </c>
      <c r="L19" s="110" t="s">
        <v>9</v>
      </c>
    </row>
    <row r="20" spans="1:23" x14ac:dyDescent="0.25">
      <c r="L20"/>
    </row>
    <row r="21" spans="1:23" s="2" customFormat="1" x14ac:dyDescent="0.25">
      <c r="A21" s="249"/>
      <c r="B21" s="57" t="s">
        <v>138</v>
      </c>
      <c r="E21" s="99"/>
      <c r="F21" s="99"/>
      <c r="H21" s="99"/>
      <c r="I21" s="99"/>
      <c r="J21" s="99"/>
      <c r="K21" s="99"/>
      <c r="L21" s="105"/>
      <c r="M21" s="99"/>
      <c r="N21" s="99"/>
      <c r="O21" s="99"/>
      <c r="P21" s="99"/>
      <c r="Q21" s="99"/>
      <c r="R21" s="100"/>
      <c r="S21" s="100"/>
      <c r="T21" s="100"/>
      <c r="U21" s="100"/>
      <c r="V21" s="100"/>
      <c r="W21" s="100"/>
    </row>
    <row r="22" spans="1:23" s="5" customFormat="1" x14ac:dyDescent="0.25">
      <c r="A22" s="249"/>
      <c r="B22" s="383"/>
      <c r="C22" s="2" t="s">
        <v>60</v>
      </c>
      <c r="D22" s="2"/>
      <c r="E22" s="121">
        <v>25600000</v>
      </c>
      <c r="L22" s="99" t="s">
        <v>113</v>
      </c>
    </row>
    <row r="23" spans="1:23" s="5" customFormat="1" x14ac:dyDescent="0.25">
      <c r="A23" s="249"/>
      <c r="B23" s="383"/>
      <c r="E23" s="185"/>
      <c r="F23" s="101"/>
      <c r="L23" s="184"/>
    </row>
    <row r="24" spans="1:23" s="5" customFormat="1" x14ac:dyDescent="0.25">
      <c r="A24" s="251"/>
      <c r="B24" s="383"/>
      <c r="C24" s="5" t="s">
        <v>140</v>
      </c>
      <c r="D24" s="2"/>
      <c r="E24" s="458">
        <v>5000000</v>
      </c>
      <c r="F24" s="101"/>
      <c r="L24" s="184" t="s">
        <v>369</v>
      </c>
    </row>
    <row r="25" spans="1:23" s="5" customFormat="1" x14ac:dyDescent="0.25">
      <c r="A25" s="251"/>
      <c r="B25" s="383"/>
      <c r="C25" s="5" t="s">
        <v>136</v>
      </c>
      <c r="D25" s="2"/>
      <c r="E25" s="458">
        <v>16750000</v>
      </c>
      <c r="F25" s="101"/>
      <c r="G25" s="456"/>
      <c r="H25" s="360"/>
      <c r="L25" s="184" t="s">
        <v>369</v>
      </c>
    </row>
    <row r="26" spans="1:23" s="5" customFormat="1" x14ac:dyDescent="0.25">
      <c r="A26" s="249"/>
      <c r="B26" s="383"/>
      <c r="C26" s="5" t="s">
        <v>135</v>
      </c>
      <c r="D26" s="2"/>
      <c r="E26" s="185">
        <f>E22-SUM(E24:E25)</f>
        <v>3850000</v>
      </c>
      <c r="F26" s="101"/>
      <c r="L26" s="184"/>
    </row>
    <row r="27" spans="1:23" s="5" customFormat="1" x14ac:dyDescent="0.25">
      <c r="A27" s="249"/>
      <c r="B27" s="383"/>
      <c r="E27" s="184"/>
      <c r="F27" s="101"/>
      <c r="L27" s="184"/>
    </row>
    <row r="28" spans="1:23" s="5" customFormat="1" x14ac:dyDescent="0.25">
      <c r="A28" s="249"/>
      <c r="B28" s="383"/>
      <c r="C28" s="5" t="s">
        <v>139</v>
      </c>
      <c r="D28" s="2"/>
      <c r="E28" s="186">
        <f>50%</f>
        <v>0.5</v>
      </c>
      <c r="F28" s="101"/>
      <c r="L28" s="184" t="s">
        <v>293</v>
      </c>
    </row>
    <row r="29" spans="1:23" s="5" customFormat="1" x14ac:dyDescent="0.25">
      <c r="A29" s="249"/>
      <c r="B29" s="383"/>
      <c r="C29" s="2" t="s">
        <v>193</v>
      </c>
      <c r="D29" s="2"/>
      <c r="E29" s="185">
        <f>E26-E30</f>
        <v>1925000</v>
      </c>
      <c r="F29" s="101"/>
      <c r="G29" s="184"/>
    </row>
    <row r="30" spans="1:23" s="5" customFormat="1" x14ac:dyDescent="0.25">
      <c r="A30" s="249"/>
      <c r="B30" s="383"/>
      <c r="C30" s="2" t="s">
        <v>192</v>
      </c>
      <c r="D30" s="2"/>
      <c r="E30" s="185">
        <f>E26*E28</f>
        <v>1925000</v>
      </c>
      <c r="G30" s="184"/>
    </row>
    <row r="31" spans="1:23" s="5" customFormat="1" x14ac:dyDescent="0.25">
      <c r="A31" s="249"/>
      <c r="B31" s="383"/>
      <c r="G31" s="184"/>
    </row>
    <row r="32" spans="1:23" s="5" customFormat="1" x14ac:dyDescent="0.25">
      <c r="A32" s="249"/>
      <c r="B32" s="383"/>
      <c r="C32" s="5" t="s">
        <v>370</v>
      </c>
      <c r="D32" s="2"/>
      <c r="E32" s="185">
        <f>E29/E15</f>
        <v>38500</v>
      </c>
      <c r="G32" s="184"/>
    </row>
    <row r="33" spans="1:12" s="5" customFormat="1" x14ac:dyDescent="0.25">
      <c r="A33" s="93"/>
      <c r="B33" s="383"/>
      <c r="C33" s="2" t="s">
        <v>371</v>
      </c>
      <c r="D33" s="2"/>
      <c r="E33" s="185">
        <f>E30/E16</f>
        <v>175000</v>
      </c>
      <c r="G33" s="246"/>
    </row>
    <row r="35" spans="1:12" x14ac:dyDescent="0.25">
      <c r="B35" s="52" t="s">
        <v>321</v>
      </c>
    </row>
    <row r="37" spans="1:12" x14ac:dyDescent="0.25">
      <c r="E37" s="253" t="s">
        <v>237</v>
      </c>
      <c r="F37" s="253" t="s">
        <v>238</v>
      </c>
      <c r="G37" s="253" t="s">
        <v>239</v>
      </c>
      <c r="H37" s="253" t="s">
        <v>240</v>
      </c>
      <c r="I37" s="253" t="s">
        <v>8</v>
      </c>
    </row>
    <row r="38" spans="1:12" x14ac:dyDescent="0.25">
      <c r="C38" s="53" t="s">
        <v>308</v>
      </c>
      <c r="D38" s="53"/>
      <c r="E38" s="404">
        <v>20</v>
      </c>
      <c r="F38" s="404">
        <v>100</v>
      </c>
      <c r="G38" s="404">
        <v>2500</v>
      </c>
      <c r="H38" s="404">
        <v>2500</v>
      </c>
      <c r="I38" s="404">
        <v>0</v>
      </c>
      <c r="L38" s="184" t="s">
        <v>293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91"/>
  <sheetViews>
    <sheetView showGridLines="0" zoomScale="90" zoomScaleNormal="90" workbookViewId="0"/>
  </sheetViews>
  <sheetFormatPr defaultColWidth="9.42578125" defaultRowHeight="12.75" x14ac:dyDescent="0.2"/>
  <cols>
    <col min="1" max="1" width="8.7109375" style="249" customWidth="1"/>
    <col min="2" max="2" width="15" style="5" customWidth="1"/>
    <col min="3" max="3" width="64.5703125" style="5" bestFit="1" customWidth="1"/>
    <col min="4" max="4" width="8.7109375" style="5" customWidth="1"/>
    <col min="5" max="8" width="12.7109375" style="5" customWidth="1"/>
    <col min="9" max="9" width="12.7109375" style="184" customWidth="1"/>
    <col min="10" max="14" width="12.7109375" style="5" customWidth="1"/>
    <col min="15" max="15" width="12.7109375" style="184" customWidth="1"/>
    <col min="16" max="16" width="20.42578125" style="5" customWidth="1"/>
    <col min="17" max="17" width="7.5703125" style="5" bestFit="1" customWidth="1"/>
    <col min="18" max="19" width="6.5703125" style="5" bestFit="1" customWidth="1"/>
    <col min="20" max="16384" width="9.42578125" style="5"/>
  </cols>
  <sheetData>
    <row r="1" spans="1:15" s="2" customFormat="1" x14ac:dyDescent="0.2">
      <c r="A1" s="249"/>
      <c r="H1" s="182"/>
      <c r="I1" s="182"/>
    </row>
    <row r="2" spans="1:15" s="2" customFormat="1" x14ac:dyDescent="0.2">
      <c r="A2" s="249"/>
      <c r="B2" s="2" t="s">
        <v>0</v>
      </c>
      <c r="C2" s="4" t="str">
        <f ca="1">MID(CELL("filename",A1),FIND("]",CELL("filename",A1))+1,256)</f>
        <v>Input_Events</v>
      </c>
      <c r="D2" s="3"/>
      <c r="E2" s="3"/>
      <c r="F2" s="3"/>
      <c r="G2" s="3"/>
      <c r="H2" s="182"/>
      <c r="I2" s="105"/>
    </row>
    <row r="3" spans="1:15" s="2" customFormat="1" x14ac:dyDescent="0.2">
      <c r="A3" s="249"/>
      <c r="B3" s="2" t="s">
        <v>1</v>
      </c>
      <c r="C3" s="39" t="s">
        <v>82</v>
      </c>
      <c r="D3" s="3"/>
      <c r="E3" s="3"/>
      <c r="F3" s="3"/>
      <c r="G3" s="3"/>
      <c r="H3" s="182"/>
      <c r="I3" s="105"/>
    </row>
    <row r="4" spans="1:15" s="2" customFormat="1" x14ac:dyDescent="0.2">
      <c r="A4" s="249"/>
      <c r="D4" s="5"/>
      <c r="E4" s="5"/>
      <c r="F4" s="5"/>
      <c r="G4" s="5"/>
      <c r="H4" s="182"/>
      <c r="I4" s="105"/>
    </row>
    <row r="5" spans="1:15" ht="15" x14ac:dyDescent="0.25">
      <c r="A5" s="384"/>
      <c r="B5" s="7" t="s">
        <v>322</v>
      </c>
      <c r="C5" s="7"/>
      <c r="D5" s="183"/>
      <c r="E5" s="183"/>
      <c r="F5" s="183"/>
      <c r="G5" s="7"/>
      <c r="H5" s="7"/>
      <c r="I5" s="8" t="s">
        <v>5</v>
      </c>
      <c r="J5" s="7"/>
      <c r="K5" s="7"/>
      <c r="L5" s="7"/>
      <c r="M5" s="7"/>
      <c r="N5" s="7"/>
      <c r="O5" s="7"/>
    </row>
    <row r="6" spans="1:15" ht="15" x14ac:dyDescent="0.25">
      <c r="B6" s="383"/>
      <c r="D6" s="97"/>
      <c r="E6" s="97"/>
      <c r="F6" s="187"/>
      <c r="G6" s="97"/>
      <c r="H6" s="184"/>
      <c r="O6" s="5"/>
    </row>
    <row r="7" spans="1:15" ht="15" x14ac:dyDescent="0.25">
      <c r="B7" s="52" t="s">
        <v>115</v>
      </c>
      <c r="F7" s="189"/>
      <c r="G7" s="16"/>
      <c r="H7" s="184"/>
      <c r="I7" s="189"/>
      <c r="O7" s="5"/>
    </row>
    <row r="8" spans="1:15" ht="15" x14ac:dyDescent="0.25">
      <c r="B8" s="383"/>
      <c r="F8" s="189"/>
      <c r="G8" s="16"/>
      <c r="H8" s="184"/>
      <c r="I8" s="189"/>
      <c r="O8" s="5"/>
    </row>
    <row r="9" spans="1:15" ht="15" x14ac:dyDescent="0.25">
      <c r="B9" s="383"/>
      <c r="C9" s="46" t="s">
        <v>120</v>
      </c>
      <c r="F9" s="189"/>
      <c r="G9" s="16"/>
      <c r="H9" s="184"/>
      <c r="I9" s="189"/>
      <c r="O9" s="5"/>
    </row>
    <row r="10" spans="1:15" ht="15" x14ac:dyDescent="0.25">
      <c r="B10" s="383"/>
      <c r="C10" s="172" t="s">
        <v>116</v>
      </c>
      <c r="E10" s="188">
        <v>5567669.1973855002</v>
      </c>
      <c r="F10" s="184"/>
      <c r="G10" s="16"/>
      <c r="H10" s="184"/>
      <c r="I10" s="184" t="s">
        <v>114</v>
      </c>
      <c r="O10" s="5"/>
    </row>
    <row r="11" spans="1:15" ht="15" x14ac:dyDescent="0.25">
      <c r="B11" s="383"/>
      <c r="C11" s="172" t="s">
        <v>117</v>
      </c>
      <c r="E11" s="188">
        <v>623417.44914486073</v>
      </c>
      <c r="F11" s="184"/>
      <c r="G11" s="16"/>
      <c r="H11" s="184"/>
      <c r="I11" s="184" t="s">
        <v>114</v>
      </c>
      <c r="O11" s="5"/>
    </row>
    <row r="12" spans="1:15" ht="15" x14ac:dyDescent="0.25">
      <c r="B12" s="383"/>
      <c r="C12" s="172" t="s">
        <v>118</v>
      </c>
      <c r="E12" s="190">
        <f>E11/E10</f>
        <v>0.11197099307509305</v>
      </c>
      <c r="F12" s="184"/>
      <c r="G12" s="16"/>
      <c r="H12" s="184"/>
      <c r="O12" s="5"/>
    </row>
    <row r="13" spans="1:15" ht="15" x14ac:dyDescent="0.25">
      <c r="B13" s="383"/>
      <c r="C13" s="172" t="s">
        <v>119</v>
      </c>
      <c r="E13" s="188">
        <v>18255.768058104179</v>
      </c>
      <c r="F13" s="184"/>
      <c r="G13" s="16"/>
      <c r="H13" s="184"/>
      <c r="I13" s="184" t="s">
        <v>114</v>
      </c>
      <c r="O13" s="5"/>
    </row>
    <row r="14" spans="1:15" ht="15" x14ac:dyDescent="0.25">
      <c r="B14" s="383"/>
      <c r="C14" s="172" t="s">
        <v>131</v>
      </c>
      <c r="E14" s="190">
        <f>E13/E11</f>
        <v>2.9283376785724468E-2</v>
      </c>
      <c r="F14" s="184"/>
      <c r="G14" s="16"/>
      <c r="H14" s="184"/>
      <c r="O14" s="5"/>
    </row>
    <row r="15" spans="1:15" ht="15" x14ac:dyDescent="0.25">
      <c r="B15" s="383"/>
      <c r="F15" s="189"/>
      <c r="G15" s="16"/>
      <c r="H15" s="184"/>
      <c r="I15" s="189"/>
      <c r="O15" s="5"/>
    </row>
    <row r="16" spans="1:15" ht="15" x14ac:dyDescent="0.25">
      <c r="B16" s="383"/>
      <c r="C16" s="46" t="s">
        <v>121</v>
      </c>
      <c r="F16" s="189"/>
      <c r="G16" s="16"/>
      <c r="H16" s="184"/>
      <c r="I16" s="189"/>
      <c r="O16" s="5"/>
    </row>
    <row r="17" spans="2:15" ht="15" x14ac:dyDescent="0.25">
      <c r="B17" s="383"/>
      <c r="C17" s="172" t="s">
        <v>116</v>
      </c>
      <c r="E17" s="188">
        <v>5282119.6075585866</v>
      </c>
      <c r="F17" s="184"/>
      <c r="G17" s="16"/>
      <c r="H17" s="184"/>
      <c r="I17" s="184" t="s">
        <v>114</v>
      </c>
      <c r="O17" s="5"/>
    </row>
    <row r="18" spans="2:15" ht="15" x14ac:dyDescent="0.25">
      <c r="B18" s="383"/>
      <c r="C18" s="172" t="s">
        <v>117</v>
      </c>
      <c r="E18" s="188">
        <v>653313.81351498887</v>
      </c>
      <c r="F18" s="184"/>
      <c r="G18" s="16"/>
      <c r="H18" s="184"/>
      <c r="I18" s="184" t="s">
        <v>114</v>
      </c>
      <c r="O18" s="5"/>
    </row>
    <row r="19" spans="2:15" ht="15" x14ac:dyDescent="0.25">
      <c r="B19" s="383"/>
      <c r="C19" s="172" t="s">
        <v>118</v>
      </c>
      <c r="E19" s="190">
        <f>E18/E17</f>
        <v>0.12368402498499134</v>
      </c>
      <c r="F19" s="184"/>
      <c r="G19" s="16"/>
      <c r="H19" s="184"/>
      <c r="O19" s="5"/>
    </row>
    <row r="20" spans="2:15" ht="15" x14ac:dyDescent="0.25">
      <c r="B20" s="383"/>
      <c r="C20" s="172" t="s">
        <v>119</v>
      </c>
      <c r="E20" s="188">
        <v>148406.92857319373</v>
      </c>
      <c r="F20" s="184"/>
      <c r="G20" s="16"/>
      <c r="H20" s="184"/>
      <c r="I20" s="184" t="s">
        <v>114</v>
      </c>
      <c r="O20" s="5"/>
    </row>
    <row r="21" spans="2:15" ht="15" x14ac:dyDescent="0.25">
      <c r="B21" s="383"/>
      <c r="C21" s="172" t="s">
        <v>130</v>
      </c>
      <c r="E21" s="190">
        <f>E20/E18</f>
        <v>0.22716024903059676</v>
      </c>
      <c r="F21" s="184"/>
      <c r="G21" s="16"/>
      <c r="H21" s="184"/>
      <c r="O21" s="5"/>
    </row>
    <row r="22" spans="2:15" ht="15" x14ac:dyDescent="0.25">
      <c r="B22" s="383"/>
      <c r="F22" s="189"/>
      <c r="G22" s="16"/>
      <c r="H22" s="184"/>
      <c r="I22" s="189"/>
      <c r="O22" s="5"/>
    </row>
    <row r="23" spans="2:15" ht="15" x14ac:dyDescent="0.25">
      <c r="B23" s="383"/>
      <c r="C23" s="46" t="s">
        <v>61</v>
      </c>
      <c r="F23" s="189"/>
      <c r="G23" s="16"/>
      <c r="H23" s="184"/>
      <c r="I23" s="189"/>
      <c r="O23" s="5"/>
    </row>
    <row r="24" spans="2:15" ht="15" x14ac:dyDescent="0.25">
      <c r="B24" s="383"/>
      <c r="C24" s="172" t="s">
        <v>116</v>
      </c>
      <c r="E24" s="185">
        <f>E10+E17</f>
        <v>10849788.804944087</v>
      </c>
      <c r="F24" s="184"/>
      <c r="G24" s="16"/>
      <c r="H24" s="184"/>
      <c r="O24" s="5"/>
    </row>
    <row r="25" spans="2:15" ht="15" x14ac:dyDescent="0.25">
      <c r="B25" s="383"/>
      <c r="C25" s="172" t="s">
        <v>117</v>
      </c>
      <c r="E25" s="360">
        <f>E11+E18</f>
        <v>1276731.2626598496</v>
      </c>
      <c r="G25" s="16"/>
      <c r="H25" s="184"/>
      <c r="O25" s="5"/>
    </row>
    <row r="26" spans="2:15" ht="15" x14ac:dyDescent="0.25">
      <c r="B26" s="383"/>
      <c r="C26" s="172" t="s">
        <v>118</v>
      </c>
      <c r="E26" s="190">
        <f>E25/E24</f>
        <v>0.1176733746262473</v>
      </c>
      <c r="F26" s="184"/>
      <c r="G26" s="16"/>
      <c r="H26" s="184"/>
      <c r="O26" s="5"/>
    </row>
    <row r="27" spans="2:15" ht="15" x14ac:dyDescent="0.25">
      <c r="B27" s="383"/>
      <c r="C27" s="172" t="s">
        <v>119</v>
      </c>
      <c r="E27" s="185">
        <f>E13+E20</f>
        <v>166662.69663129791</v>
      </c>
      <c r="F27" s="185"/>
      <c r="G27" s="16"/>
      <c r="H27" s="184"/>
      <c r="O27" s="5"/>
    </row>
    <row r="28" spans="2:15" ht="15" x14ac:dyDescent="0.25">
      <c r="B28" s="383"/>
      <c r="C28" s="172" t="s">
        <v>131</v>
      </c>
      <c r="E28" s="190">
        <f>E27/E25</f>
        <v>0.13053858827274653</v>
      </c>
      <c r="F28" s="184"/>
      <c r="G28" s="16"/>
      <c r="H28" s="184"/>
      <c r="O28" s="5"/>
    </row>
    <row r="29" spans="2:15" ht="15" x14ac:dyDescent="0.25">
      <c r="B29" s="383"/>
      <c r="E29" s="189"/>
      <c r="F29" s="184"/>
      <c r="G29" s="16"/>
      <c r="H29" s="184"/>
      <c r="I29" s="189"/>
      <c r="O29" s="5"/>
    </row>
    <row r="30" spans="2:15" ht="15" x14ac:dyDescent="0.25">
      <c r="B30" s="52" t="s">
        <v>122</v>
      </c>
      <c r="E30" s="189"/>
      <c r="F30" s="184"/>
      <c r="G30" s="16"/>
      <c r="H30" s="184"/>
      <c r="I30" s="189"/>
      <c r="O30" s="5"/>
    </row>
    <row r="31" spans="2:15" ht="15" x14ac:dyDescent="0.25">
      <c r="B31" s="383"/>
      <c r="E31" s="189"/>
      <c r="F31" s="184"/>
      <c r="G31" s="16"/>
      <c r="H31" s="184"/>
      <c r="I31" s="189"/>
      <c r="O31" s="5"/>
    </row>
    <row r="32" spans="2:15" ht="15" x14ac:dyDescent="0.25">
      <c r="B32" s="383"/>
      <c r="C32" s="5" t="s">
        <v>123</v>
      </c>
      <c r="E32" s="419">
        <v>8077247.7417623159</v>
      </c>
      <c r="F32" s="184"/>
      <c r="G32" s="16"/>
      <c r="H32" s="184"/>
      <c r="I32" s="184" t="s">
        <v>114</v>
      </c>
      <c r="O32" s="5"/>
    </row>
    <row r="33" spans="2:15" ht="15" x14ac:dyDescent="0.25">
      <c r="B33" s="383"/>
      <c r="C33" s="5" t="s">
        <v>124</v>
      </c>
      <c r="E33" s="419">
        <v>247673.00049071302</v>
      </c>
      <c r="G33" s="16"/>
      <c r="H33" s="184"/>
      <c r="I33" s="184" t="s">
        <v>114</v>
      </c>
      <c r="O33" s="5"/>
    </row>
    <row r="34" spans="2:15" ht="15" x14ac:dyDescent="0.25">
      <c r="B34" s="383"/>
      <c r="C34" s="5" t="s">
        <v>125</v>
      </c>
      <c r="E34" s="190">
        <f>E33/E32</f>
        <v>3.0663043701154951E-2</v>
      </c>
      <c r="F34" s="184"/>
      <c r="G34" s="16"/>
      <c r="H34" s="184"/>
      <c r="I34" s="184" t="s">
        <v>114</v>
      </c>
      <c r="O34" s="5"/>
    </row>
    <row r="35" spans="2:15" ht="15" x14ac:dyDescent="0.25">
      <c r="B35" s="383"/>
      <c r="C35" s="5" t="s">
        <v>119</v>
      </c>
      <c r="E35" s="419">
        <v>34150.709492776419</v>
      </c>
      <c r="F35" s="185"/>
      <c r="G35" s="16"/>
      <c r="H35" s="184"/>
      <c r="I35" s="184" t="s">
        <v>114</v>
      </c>
      <c r="O35" s="5"/>
    </row>
    <row r="36" spans="2:15" ht="15" x14ac:dyDescent="0.25">
      <c r="B36" s="383"/>
      <c r="C36" s="5" t="s">
        <v>131</v>
      </c>
      <c r="E36" s="190">
        <f>E35/E33</f>
        <v>0.13788628322471091</v>
      </c>
      <c r="F36" s="184"/>
      <c r="G36" s="16"/>
      <c r="H36" s="184"/>
      <c r="O36" s="5"/>
    </row>
    <row r="37" spans="2:15" ht="15" x14ac:dyDescent="0.25">
      <c r="B37" s="383"/>
      <c r="F37" s="189"/>
      <c r="G37" s="16"/>
      <c r="H37" s="184"/>
      <c r="I37" s="189"/>
      <c r="O37" s="5"/>
    </row>
    <row r="38" spans="2:15" ht="15" x14ac:dyDescent="0.25">
      <c r="B38" s="52" t="s">
        <v>64</v>
      </c>
      <c r="F38" s="189"/>
      <c r="G38" s="16"/>
      <c r="H38" s="184"/>
      <c r="I38" s="189"/>
      <c r="O38" s="5"/>
    </row>
    <row r="39" spans="2:15" ht="15" x14ac:dyDescent="0.25">
      <c r="B39" s="383"/>
      <c r="F39" s="189"/>
      <c r="G39" s="16"/>
      <c r="H39" s="184"/>
      <c r="I39" s="189"/>
      <c r="O39" s="5"/>
    </row>
    <row r="40" spans="2:15" ht="15" x14ac:dyDescent="0.25">
      <c r="B40" s="383"/>
      <c r="C40" s="46" t="s">
        <v>120</v>
      </c>
      <c r="F40" s="189"/>
      <c r="G40" s="16"/>
      <c r="H40" s="184"/>
      <c r="I40" s="189"/>
      <c r="O40" s="5"/>
    </row>
    <row r="41" spans="2:15" ht="15" x14ac:dyDescent="0.25">
      <c r="B41" s="383"/>
      <c r="C41" s="172" t="s">
        <v>126</v>
      </c>
      <c r="E41" s="188">
        <v>3848991.4879300394</v>
      </c>
      <c r="F41" s="184"/>
      <c r="G41" s="16"/>
      <c r="H41" s="184"/>
      <c r="I41" s="184" t="s">
        <v>114</v>
      </c>
      <c r="O41" s="5"/>
    </row>
    <row r="42" spans="2:15" ht="15" x14ac:dyDescent="0.25">
      <c r="B42" s="383"/>
      <c r="C42" s="172" t="s">
        <v>127</v>
      </c>
      <c r="E42" s="188">
        <v>1814565.4698872345</v>
      </c>
      <c r="F42" s="184"/>
      <c r="G42" s="16"/>
      <c r="H42" s="184"/>
      <c r="I42" s="184" t="s">
        <v>114</v>
      </c>
      <c r="O42" s="5"/>
    </row>
    <row r="43" spans="2:15" ht="15" x14ac:dyDescent="0.25">
      <c r="B43" s="383"/>
      <c r="C43" s="172" t="s">
        <v>128</v>
      </c>
      <c r="E43" s="188">
        <v>650241.5587732729</v>
      </c>
      <c r="F43" s="184"/>
      <c r="G43" s="16"/>
      <c r="H43" s="184"/>
      <c r="I43" s="184" t="s">
        <v>114</v>
      </c>
      <c r="O43" s="5"/>
    </row>
    <row r="44" spans="2:15" ht="15" x14ac:dyDescent="0.25">
      <c r="B44" s="383"/>
      <c r="C44" s="172" t="s">
        <v>129</v>
      </c>
      <c r="E44" s="188">
        <v>368773.30906406324</v>
      </c>
      <c r="F44" s="184"/>
      <c r="G44" s="16"/>
      <c r="H44" s="184"/>
      <c r="I44" s="184" t="s">
        <v>114</v>
      </c>
      <c r="O44" s="5"/>
    </row>
    <row r="45" spans="2:15" ht="15" x14ac:dyDescent="0.25">
      <c r="B45" s="383"/>
      <c r="C45" s="172" t="s">
        <v>119</v>
      </c>
      <c r="E45" s="188">
        <v>487116.43436846108</v>
      </c>
      <c r="F45" s="184"/>
      <c r="G45" s="16"/>
      <c r="H45" s="184"/>
      <c r="I45" s="184" t="s">
        <v>114</v>
      </c>
      <c r="O45" s="5"/>
    </row>
    <row r="46" spans="2:15" ht="15" x14ac:dyDescent="0.25">
      <c r="B46" s="383"/>
      <c r="E46" s="189"/>
      <c r="F46" s="184"/>
      <c r="G46" s="16"/>
      <c r="H46" s="184"/>
      <c r="I46" s="189"/>
      <c r="O46" s="5"/>
    </row>
    <row r="47" spans="2:15" ht="15" x14ac:dyDescent="0.25">
      <c r="B47" s="383"/>
      <c r="C47" s="46" t="s">
        <v>121</v>
      </c>
      <c r="E47" s="189"/>
      <c r="F47" s="184"/>
      <c r="G47" s="16"/>
      <c r="H47" s="184"/>
      <c r="I47" s="189"/>
      <c r="O47" s="5"/>
    </row>
    <row r="48" spans="2:15" ht="15" x14ac:dyDescent="0.25">
      <c r="B48" s="383"/>
      <c r="C48" s="172" t="s">
        <v>126</v>
      </c>
      <c r="E48" s="188">
        <v>1846156.2968943217</v>
      </c>
      <c r="F48" s="184"/>
      <c r="G48" s="16"/>
      <c r="H48" s="184"/>
      <c r="I48" s="184" t="s">
        <v>114</v>
      </c>
      <c r="O48" s="5"/>
    </row>
    <row r="49" spans="2:15" ht="15" x14ac:dyDescent="0.25">
      <c r="B49" s="383"/>
      <c r="C49" s="172" t="s">
        <v>127</v>
      </c>
      <c r="E49" s="188">
        <v>780375.13629536517</v>
      </c>
      <c r="F49" s="184"/>
      <c r="G49" s="16"/>
      <c r="H49" s="184"/>
      <c r="I49" s="184" t="s">
        <v>114</v>
      </c>
      <c r="O49" s="5"/>
    </row>
    <row r="50" spans="2:15" ht="15" x14ac:dyDescent="0.25">
      <c r="B50" s="383"/>
      <c r="C50" s="172" t="s">
        <v>128</v>
      </c>
      <c r="E50" s="188">
        <v>292975.95886510122</v>
      </c>
      <c r="F50" s="184"/>
      <c r="G50" s="16"/>
      <c r="H50" s="184"/>
      <c r="I50" s="184" t="s">
        <v>114</v>
      </c>
      <c r="O50" s="5"/>
    </row>
    <row r="51" spans="2:15" ht="15" x14ac:dyDescent="0.25">
      <c r="B51" s="383"/>
      <c r="C51" s="172" t="s">
        <v>129</v>
      </c>
      <c r="E51" s="188">
        <v>201943.72747543547</v>
      </c>
      <c r="F51" s="184"/>
      <c r="G51" s="16"/>
      <c r="H51" s="184"/>
      <c r="I51" s="184" t="s">
        <v>114</v>
      </c>
      <c r="O51" s="5"/>
    </row>
    <row r="52" spans="2:15" ht="15" x14ac:dyDescent="0.25">
      <c r="B52" s="383"/>
      <c r="C52" s="172" t="s">
        <v>119</v>
      </c>
      <c r="E52" s="188">
        <v>383257.75808398204</v>
      </c>
      <c r="F52" s="184"/>
      <c r="G52" s="16"/>
      <c r="H52" s="184"/>
      <c r="I52" s="184" t="s">
        <v>114</v>
      </c>
      <c r="O52" s="5"/>
    </row>
    <row r="53" spans="2:15" ht="15" x14ac:dyDescent="0.25">
      <c r="B53" s="383"/>
      <c r="E53" s="189"/>
      <c r="F53" s="184"/>
      <c r="G53" s="16"/>
      <c r="H53" s="184"/>
      <c r="I53" s="189"/>
      <c r="O53" s="5"/>
    </row>
    <row r="54" spans="2:15" ht="15" x14ac:dyDescent="0.25">
      <c r="B54" s="383"/>
      <c r="C54" s="46" t="s">
        <v>61</v>
      </c>
      <c r="E54" s="189"/>
      <c r="F54" s="184"/>
      <c r="G54" s="16"/>
      <c r="H54" s="184"/>
      <c r="I54" s="189"/>
      <c r="O54" s="5"/>
    </row>
    <row r="55" spans="2:15" ht="15" x14ac:dyDescent="0.25">
      <c r="B55" s="383"/>
      <c r="C55" s="172" t="s">
        <v>126</v>
      </c>
      <c r="E55" s="185">
        <f t="shared" ref="E55:E59" si="0">E41+E48</f>
        <v>5695147.7848243611</v>
      </c>
      <c r="F55" s="184"/>
      <c r="G55" s="16"/>
      <c r="H55" s="184"/>
      <c r="O55" s="5"/>
    </row>
    <row r="56" spans="2:15" ht="15" x14ac:dyDescent="0.25">
      <c r="B56" s="383"/>
      <c r="C56" s="172" t="s">
        <v>127</v>
      </c>
      <c r="E56" s="185">
        <f t="shared" si="0"/>
        <v>2594940.6061825994</v>
      </c>
      <c r="F56" s="184"/>
      <c r="G56" s="360"/>
      <c r="H56" s="184"/>
      <c r="O56" s="5"/>
    </row>
    <row r="57" spans="2:15" ht="15" x14ac:dyDescent="0.25">
      <c r="B57" s="383"/>
      <c r="C57" s="172" t="s">
        <v>128</v>
      </c>
      <c r="E57" s="185">
        <f t="shared" si="0"/>
        <v>943217.51763837412</v>
      </c>
      <c r="F57" s="184"/>
      <c r="H57" s="184"/>
      <c r="O57" s="5"/>
    </row>
    <row r="58" spans="2:15" ht="15" x14ac:dyDescent="0.25">
      <c r="B58" s="383"/>
      <c r="C58" s="172" t="s">
        <v>129</v>
      </c>
      <c r="E58" s="185">
        <f t="shared" si="0"/>
        <v>570717.03653949872</v>
      </c>
      <c r="F58" s="184"/>
      <c r="H58" s="184"/>
      <c r="O58" s="5"/>
    </row>
    <row r="59" spans="2:15" ht="15" x14ac:dyDescent="0.25">
      <c r="B59" s="383"/>
      <c r="C59" s="172" t="s">
        <v>119</v>
      </c>
      <c r="E59" s="185">
        <f t="shared" si="0"/>
        <v>870374.19245244307</v>
      </c>
      <c r="F59" s="184"/>
      <c r="G59" s="16"/>
      <c r="H59" s="184"/>
      <c r="O59" s="5"/>
    </row>
    <row r="60" spans="2:15" ht="15" x14ac:dyDescent="0.25">
      <c r="B60" s="383"/>
      <c r="C60" s="172"/>
      <c r="E60" s="185"/>
      <c r="F60" s="184"/>
      <c r="G60" s="16"/>
      <c r="H60" s="184"/>
      <c r="O60" s="5"/>
    </row>
    <row r="61" spans="2:15" ht="15" x14ac:dyDescent="0.25">
      <c r="B61" s="383"/>
      <c r="C61" s="46" t="s">
        <v>134</v>
      </c>
      <c r="E61" s="185"/>
      <c r="F61" s="184"/>
      <c r="G61" s="181"/>
      <c r="H61" s="184"/>
      <c r="O61" s="5"/>
    </row>
    <row r="62" spans="2:15" ht="15" x14ac:dyDescent="0.25">
      <c r="B62" s="383"/>
      <c r="C62" s="172" t="s">
        <v>126</v>
      </c>
      <c r="E62" s="185">
        <f>E55</f>
        <v>5695147.7848243611</v>
      </c>
      <c r="F62" s="181">
        <v>0</v>
      </c>
      <c r="H62" s="184"/>
      <c r="O62" s="5"/>
    </row>
    <row r="63" spans="2:15" ht="15" x14ac:dyDescent="0.25">
      <c r="B63" s="383"/>
      <c r="C63" s="172" t="s">
        <v>345</v>
      </c>
      <c r="E63" s="185">
        <f>E55-E56</f>
        <v>3100207.1786417617</v>
      </c>
      <c r="F63" s="181">
        <v>1</v>
      </c>
      <c r="H63" s="184"/>
      <c r="O63" s="5"/>
    </row>
    <row r="64" spans="2:15" ht="15" x14ac:dyDescent="0.25">
      <c r="B64" s="383"/>
      <c r="C64" s="172" t="s">
        <v>346</v>
      </c>
      <c r="E64" s="185">
        <f>E63-E57</f>
        <v>2156989.6610033875</v>
      </c>
      <c r="F64" s="181">
        <v>2</v>
      </c>
      <c r="H64" s="184"/>
      <c r="O64" s="5"/>
    </row>
    <row r="65" spans="1:23" ht="15" x14ac:dyDescent="0.25">
      <c r="B65" s="383"/>
      <c r="C65" s="172" t="s">
        <v>347</v>
      </c>
      <c r="E65" s="185">
        <f>E64-E58</f>
        <v>1586272.6244638888</v>
      </c>
      <c r="F65" s="181">
        <v>3</v>
      </c>
      <c r="H65" s="184"/>
      <c r="O65" s="5"/>
    </row>
    <row r="66" spans="1:23" ht="15" x14ac:dyDescent="0.25">
      <c r="B66" s="383"/>
      <c r="C66" s="172"/>
      <c r="E66" s="185"/>
      <c r="F66" s="184"/>
      <c r="G66" s="181"/>
      <c r="H66" s="184"/>
      <c r="O66" s="5"/>
    </row>
    <row r="67" spans="1:23" ht="15" x14ac:dyDescent="0.25">
      <c r="B67" s="383"/>
      <c r="C67" s="172" t="s">
        <v>343</v>
      </c>
      <c r="E67" s="190">
        <f>E59/E63</f>
        <v>0.28074710569303452</v>
      </c>
      <c r="F67" s="184"/>
      <c r="G67" s="16"/>
      <c r="H67" s="184"/>
      <c r="O67" s="5"/>
    </row>
    <row r="68" spans="1:23" ht="15" x14ac:dyDescent="0.25">
      <c r="B68" s="383"/>
      <c r="C68" s="172"/>
      <c r="E68" s="185"/>
      <c r="F68" s="184"/>
      <c r="G68" s="181"/>
      <c r="H68" s="184"/>
      <c r="O68" s="5"/>
    </row>
    <row r="69" spans="1:23" ht="15" x14ac:dyDescent="0.25">
      <c r="B69" s="383"/>
      <c r="C69" s="172" t="s">
        <v>132</v>
      </c>
      <c r="E69" s="291">
        <f>Control_Panel!E37</f>
        <v>2</v>
      </c>
      <c r="F69" s="184"/>
      <c r="G69" s="16"/>
      <c r="H69" s="184"/>
      <c r="I69" s="184" t="s">
        <v>294</v>
      </c>
      <c r="O69" s="5"/>
    </row>
    <row r="70" spans="1:23" ht="15" x14ac:dyDescent="0.25">
      <c r="B70" s="383"/>
      <c r="C70" s="172" t="s">
        <v>133</v>
      </c>
      <c r="E70" s="185">
        <f>INDEX(E62:E65,MATCH(E69,$F$62:$F$65,0),0)</f>
        <v>2156989.6610033875</v>
      </c>
      <c r="G70" s="16"/>
      <c r="H70" s="184"/>
      <c r="I70" s="5"/>
      <c r="K70" s="184"/>
      <c r="O70" s="5"/>
    </row>
    <row r="71" spans="1:23" ht="15" x14ac:dyDescent="0.25">
      <c r="B71" s="383"/>
      <c r="C71" s="172" t="s">
        <v>344</v>
      </c>
      <c r="D71" s="49"/>
      <c r="E71" s="185">
        <f>E70*E67</f>
        <v>605568.60433650075</v>
      </c>
      <c r="F71" s="185"/>
      <c r="G71" s="49"/>
      <c r="H71" s="184"/>
      <c r="I71" s="5"/>
      <c r="J71" s="49"/>
      <c r="N71" s="184"/>
      <c r="O71" s="5"/>
    </row>
    <row r="73" spans="1:23" ht="15" x14ac:dyDescent="0.25">
      <c r="B73" s="383"/>
      <c r="I73" s="185"/>
      <c r="J73" s="181"/>
      <c r="L73" s="184"/>
      <c r="O73" s="5"/>
    </row>
    <row r="74" spans="1:23" ht="15" x14ac:dyDescent="0.25">
      <c r="A74" s="384"/>
      <c r="B74" s="7" t="s">
        <v>323</v>
      </c>
      <c r="C74" s="7"/>
      <c r="D74" s="7"/>
      <c r="E74" s="7"/>
      <c r="F74" s="7"/>
      <c r="G74" s="7"/>
      <c r="H74" s="7"/>
      <c r="I74" s="183"/>
      <c r="J74" s="7"/>
      <c r="K74" s="7"/>
      <c r="L74" s="8" t="s">
        <v>5</v>
      </c>
      <c r="M74" s="7"/>
      <c r="N74" s="7"/>
      <c r="O74" s="183"/>
      <c r="P74" s="8" t="s">
        <v>5</v>
      </c>
      <c r="Q74" s="7"/>
      <c r="R74" s="7"/>
      <c r="S74" s="7"/>
      <c r="T74" s="7"/>
      <c r="U74" s="7"/>
      <c r="V74" s="7"/>
      <c r="W74" s="7"/>
    </row>
    <row r="75" spans="1:23" ht="15" x14ac:dyDescent="0.25">
      <c r="B75" s="383"/>
      <c r="D75" s="49"/>
      <c r="E75" s="49"/>
      <c r="F75" s="49"/>
      <c r="G75" s="49"/>
      <c r="H75" s="49"/>
      <c r="I75" s="191"/>
      <c r="J75" s="49"/>
      <c r="K75" s="49"/>
    </row>
    <row r="76" spans="1:23" ht="15" x14ac:dyDescent="0.25">
      <c r="B76" s="383"/>
      <c r="E76" s="311" t="s">
        <v>61</v>
      </c>
      <c r="F76" s="311" t="s">
        <v>237</v>
      </c>
      <c r="G76" s="311" t="s">
        <v>238</v>
      </c>
      <c r="H76" s="311" t="s">
        <v>239</v>
      </c>
      <c r="I76" s="311" t="s">
        <v>240</v>
      </c>
      <c r="J76" s="311" t="s">
        <v>8</v>
      </c>
      <c r="K76" s="184"/>
      <c r="O76" s="5"/>
    </row>
    <row r="77" spans="1:23" ht="15" x14ac:dyDescent="0.25">
      <c r="B77" s="52" t="s">
        <v>259</v>
      </c>
      <c r="E77" s="184"/>
      <c r="I77" s="5"/>
      <c r="K77" s="184"/>
      <c r="O77" s="5"/>
    </row>
    <row r="78" spans="1:23" ht="15" x14ac:dyDescent="0.25">
      <c r="B78" s="383"/>
      <c r="C78" s="5" t="s">
        <v>260</v>
      </c>
      <c r="E78" s="185">
        <f>Input_CPs!E22</f>
        <v>25600000</v>
      </c>
      <c r="F78" s="185">
        <f>Input_CPs!E29</f>
        <v>1925000</v>
      </c>
      <c r="G78" s="185">
        <f>Input_CPs!E30</f>
        <v>1925000</v>
      </c>
      <c r="H78" s="185">
        <f>Input_CPs!E25</f>
        <v>16750000</v>
      </c>
      <c r="I78" s="185">
        <f>Input_CPs!E24</f>
        <v>5000000</v>
      </c>
      <c r="J78" s="275">
        <v>0</v>
      </c>
      <c r="K78" s="184"/>
      <c r="O78" s="5"/>
    </row>
    <row r="79" spans="1:23" ht="15" x14ac:dyDescent="0.25">
      <c r="B79" s="383"/>
      <c r="C79" s="102" t="s">
        <v>261</v>
      </c>
      <c r="E79" s="314">
        <f>E78/$E$78</f>
        <v>1</v>
      </c>
      <c r="F79" s="315">
        <f>F78/$E$78</f>
        <v>7.51953125E-2</v>
      </c>
      <c r="G79" s="315">
        <f t="shared" ref="G79:I79" si="1">G78/$E$78</f>
        <v>7.51953125E-2</v>
      </c>
      <c r="H79" s="315">
        <f t="shared" si="1"/>
        <v>0.654296875</v>
      </c>
      <c r="I79" s="315">
        <f t="shared" si="1"/>
        <v>0.1953125</v>
      </c>
      <c r="J79" s="315">
        <f t="shared" ref="J79" si="2">J78/$E$78</f>
        <v>0</v>
      </c>
      <c r="K79" s="184"/>
      <c r="O79" s="5"/>
    </row>
    <row r="80" spans="1:23" ht="15" x14ac:dyDescent="0.25">
      <c r="B80" s="388"/>
      <c r="C80" s="172"/>
      <c r="E80" s="192"/>
      <c r="F80" s="47"/>
      <c r="G80" s="47"/>
      <c r="H80" s="47"/>
      <c r="I80" s="173"/>
      <c r="J80" s="173"/>
      <c r="K80" s="184"/>
      <c r="O80" s="5"/>
    </row>
    <row r="81" spans="2:15" ht="15" x14ac:dyDescent="0.25">
      <c r="B81" s="52" t="s">
        <v>342</v>
      </c>
      <c r="E81" s="184"/>
      <c r="I81" s="5"/>
      <c r="K81" s="184"/>
      <c r="O81" s="5"/>
    </row>
    <row r="82" spans="2:15" ht="15" x14ac:dyDescent="0.25">
      <c r="B82" s="383"/>
      <c r="C82" s="102" t="s">
        <v>101</v>
      </c>
      <c r="E82" s="185">
        <f>E27</f>
        <v>166662.69663129791</v>
      </c>
      <c r="F82" s="185">
        <f>F$79*$E82</f>
        <v>12532.253555283143</v>
      </c>
      <c r="G82" s="185">
        <f>G$79*$E82</f>
        <v>12532.253555283143</v>
      </c>
      <c r="H82" s="185">
        <f t="shared" ref="F82:J84" si="3">H$79*$E82</f>
        <v>109046.88158493125</v>
      </c>
      <c r="I82" s="185">
        <f t="shared" si="3"/>
        <v>32551.307935800371</v>
      </c>
      <c r="J82" s="185">
        <f t="shared" si="3"/>
        <v>0</v>
      </c>
      <c r="K82" s="184"/>
      <c r="L82" s="93" t="s">
        <v>271</v>
      </c>
      <c r="O82" s="5"/>
    </row>
    <row r="83" spans="2:15" ht="15" x14ac:dyDescent="0.25">
      <c r="B83" s="383"/>
      <c r="C83" s="102" t="s">
        <v>62</v>
      </c>
      <c r="E83" s="185">
        <f>E35</f>
        <v>34150.709492776419</v>
      </c>
      <c r="F83" s="185">
        <f t="shared" si="3"/>
        <v>2567.9732724060395</v>
      </c>
      <c r="G83" s="185">
        <f t="shared" si="3"/>
        <v>2567.9732724060395</v>
      </c>
      <c r="H83" s="185">
        <f t="shared" si="3"/>
        <v>22344.702500156447</v>
      </c>
      <c r="I83" s="185">
        <f t="shared" si="3"/>
        <v>6670.060447807894</v>
      </c>
      <c r="J83" s="185">
        <f t="shared" si="3"/>
        <v>0</v>
      </c>
      <c r="K83" s="184"/>
      <c r="L83" s="93" t="s">
        <v>271</v>
      </c>
      <c r="O83" s="5"/>
    </row>
    <row r="84" spans="2:15" ht="15" x14ac:dyDescent="0.25">
      <c r="B84" s="383"/>
      <c r="C84" s="102" t="s">
        <v>102</v>
      </c>
      <c r="E84" s="185">
        <f>E71</f>
        <v>605568.60433650075</v>
      </c>
      <c r="F84" s="185">
        <f t="shared" si="3"/>
        <v>45535.920443272029</v>
      </c>
      <c r="G84" s="185">
        <f t="shared" si="3"/>
        <v>45535.920443272029</v>
      </c>
      <c r="H84" s="185">
        <f t="shared" si="3"/>
        <v>396221.64541548392</v>
      </c>
      <c r="I84" s="185">
        <f t="shared" si="3"/>
        <v>118275.11803447281</v>
      </c>
      <c r="J84" s="185">
        <f t="shared" si="3"/>
        <v>0</v>
      </c>
      <c r="K84" s="184"/>
      <c r="L84" s="93" t="s">
        <v>271</v>
      </c>
      <c r="O84" s="5"/>
    </row>
    <row r="85" spans="2:15" ht="15" x14ac:dyDescent="0.25">
      <c r="B85" s="383"/>
      <c r="C85" s="102"/>
    </row>
    <row r="87" spans="2:15" x14ac:dyDescent="0.2">
      <c r="I87" s="256"/>
    </row>
    <row r="88" spans="2:15" x14ac:dyDescent="0.2">
      <c r="I88" s="256"/>
    </row>
    <row r="89" spans="2:15" x14ac:dyDescent="0.2">
      <c r="I89" s="256"/>
    </row>
    <row r="90" spans="2:15" x14ac:dyDescent="0.2">
      <c r="I90" s="256"/>
    </row>
    <row r="91" spans="2:15" x14ac:dyDescent="0.2">
      <c r="I91" s="256"/>
    </row>
  </sheetData>
  <pageMargins left="0.25" right="0.25" top="0.75" bottom="0.75" header="0.3" footer="0.3"/>
  <pageSetup paperSize="8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A72"/>
  <sheetViews>
    <sheetView showGridLines="0" zoomScale="90" zoomScaleNormal="90" workbookViewId="0">
      <pane ySplit="6" topLeftCell="A7" activePane="bottomLeft" state="frozen"/>
      <selection activeCell="D212" sqref="D212"/>
      <selection pane="bottomLeft"/>
    </sheetView>
  </sheetViews>
  <sheetFormatPr defaultColWidth="9.42578125" defaultRowHeight="12.75" x14ac:dyDescent="0.2"/>
  <cols>
    <col min="1" max="1" width="7.7109375" style="1" customWidth="1"/>
    <col min="2" max="2" width="12.7109375" style="5" customWidth="1"/>
    <col min="3" max="3" width="49.28515625" style="5" customWidth="1"/>
    <col min="4" max="4" width="10.7109375" style="5" customWidth="1"/>
    <col min="5" max="5" width="10.7109375" style="101" customWidth="1"/>
    <col min="6" max="11" width="10.7109375" style="5" customWidth="1"/>
    <col min="12" max="12" width="94.5703125" style="317" bestFit="1" customWidth="1"/>
    <col min="13" max="16384" width="9.42578125" style="5"/>
  </cols>
  <sheetData>
    <row r="1" spans="1:19" s="2" customFormat="1" x14ac:dyDescent="0.2">
      <c r="A1" s="1"/>
      <c r="E1" s="297"/>
      <c r="I1" s="3"/>
      <c r="J1" s="3"/>
      <c r="K1" s="3"/>
      <c r="L1" s="316"/>
      <c r="M1" s="3"/>
      <c r="N1" s="3"/>
    </row>
    <row r="2" spans="1:19" s="2" customFormat="1" x14ac:dyDescent="0.2">
      <c r="A2" s="1"/>
      <c r="B2" s="2" t="s">
        <v>0</v>
      </c>
      <c r="C2" s="4" t="str">
        <f ca="1">MID(CELL("filename",A1),FIND("]",CELL("filename",A1))+1,256)</f>
        <v>Input_Costs</v>
      </c>
      <c r="E2" s="297"/>
      <c r="I2" s="3"/>
      <c r="J2" s="3"/>
      <c r="K2" s="3"/>
      <c r="L2" s="316"/>
      <c r="M2" s="3"/>
      <c r="N2" s="3"/>
    </row>
    <row r="3" spans="1:19" s="2" customFormat="1" x14ac:dyDescent="0.2">
      <c r="A3" s="1"/>
      <c r="B3" s="2" t="s">
        <v>1</v>
      </c>
      <c r="C3" s="2" t="s">
        <v>357</v>
      </c>
      <c r="E3" s="297"/>
      <c r="I3" s="3"/>
      <c r="J3" s="3"/>
      <c r="K3" s="3"/>
      <c r="L3" s="316"/>
      <c r="M3" s="3"/>
      <c r="N3" s="3"/>
    </row>
    <row r="4" spans="1:19" s="2" customFormat="1" x14ac:dyDescent="0.2">
      <c r="A4" s="1"/>
      <c r="E4" s="297"/>
      <c r="I4" s="3"/>
      <c r="J4" s="3"/>
      <c r="K4" s="3"/>
      <c r="L4" s="316"/>
      <c r="M4" s="3"/>
      <c r="N4" s="3"/>
    </row>
    <row r="5" spans="1:19" x14ac:dyDescent="0.2">
      <c r="F5" s="480"/>
      <c r="G5" s="480"/>
      <c r="H5" s="480"/>
      <c r="I5" s="480"/>
    </row>
    <row r="6" spans="1:19" s="323" customFormat="1" x14ac:dyDescent="0.2">
      <c r="A6" s="322"/>
      <c r="B6" s="323" t="s">
        <v>2</v>
      </c>
      <c r="C6" s="323" t="s">
        <v>3</v>
      </c>
      <c r="D6" s="323" t="s">
        <v>252</v>
      </c>
      <c r="E6" s="323" t="s">
        <v>95</v>
      </c>
      <c r="L6" s="323" t="s">
        <v>5</v>
      </c>
    </row>
    <row r="7" spans="1:19" s="10" customFormat="1" ht="15" x14ac:dyDescent="0.25">
      <c r="A7" s="9"/>
      <c r="B7" s="389"/>
      <c r="E7" s="298"/>
      <c r="J7" s="11"/>
      <c r="K7" s="11"/>
      <c r="L7" s="259"/>
      <c r="S7" s="11"/>
    </row>
    <row r="8" spans="1:19" s="10" customFormat="1" ht="15" x14ac:dyDescent="0.25">
      <c r="A8" s="9"/>
      <c r="B8" s="389" t="s">
        <v>330</v>
      </c>
      <c r="E8" s="298"/>
      <c r="J8" s="11"/>
      <c r="K8" s="11"/>
      <c r="L8" s="259"/>
      <c r="S8" s="11"/>
    </row>
    <row r="9" spans="1:19" ht="15" x14ac:dyDescent="0.25">
      <c r="A9" s="20"/>
      <c r="B9" s="357"/>
      <c r="C9" s="22" t="s">
        <v>68</v>
      </c>
      <c r="D9" s="23" t="s">
        <v>76</v>
      </c>
      <c r="E9" s="421">
        <v>8</v>
      </c>
      <c r="F9" s="14"/>
      <c r="H9" s="14"/>
      <c r="L9" s="105"/>
    </row>
    <row r="10" spans="1:19" ht="15" x14ac:dyDescent="0.25">
      <c r="A10" s="20"/>
      <c r="B10" s="357"/>
      <c r="C10" s="22" t="s">
        <v>69</v>
      </c>
      <c r="D10" s="23" t="s">
        <v>74</v>
      </c>
      <c r="E10" s="421">
        <v>240</v>
      </c>
      <c r="F10" s="14"/>
      <c r="H10" s="14"/>
      <c r="L10" s="105"/>
    </row>
    <row r="11" spans="1:19" s="21" customFormat="1" ht="15" x14ac:dyDescent="0.25">
      <c r="A11" s="20"/>
      <c r="B11" s="357"/>
      <c r="C11" s="22" t="s">
        <v>70</v>
      </c>
      <c r="D11" s="23" t="s">
        <v>26</v>
      </c>
      <c r="E11" s="421">
        <v>60</v>
      </c>
      <c r="F11" s="29"/>
      <c r="H11" s="25"/>
      <c r="I11" s="29"/>
      <c r="L11" s="105"/>
    </row>
    <row r="12" spans="1:19" s="10" customFormat="1" ht="15" x14ac:dyDescent="0.25">
      <c r="A12" s="9"/>
      <c r="B12" s="389"/>
      <c r="E12" s="298"/>
      <c r="J12" s="11"/>
      <c r="K12" s="11"/>
      <c r="L12" s="259"/>
      <c r="S12" s="11"/>
    </row>
    <row r="13" spans="1:19" ht="15" x14ac:dyDescent="0.25">
      <c r="B13" s="257" t="s">
        <v>182</v>
      </c>
      <c r="D13" s="18"/>
      <c r="F13" s="19"/>
      <c r="H13" s="17"/>
      <c r="L13" s="105"/>
    </row>
    <row r="14" spans="1:19" ht="15" x14ac:dyDescent="0.25">
      <c r="B14" s="357"/>
      <c r="C14" s="27" t="s">
        <v>203</v>
      </c>
      <c r="D14" s="23"/>
      <c r="E14" s="299">
        <v>0.6</v>
      </c>
      <c r="F14" s="24"/>
      <c r="H14" s="25"/>
      <c r="J14" s="26"/>
      <c r="K14" s="26"/>
      <c r="L14" s="105" t="s">
        <v>13</v>
      </c>
    </row>
    <row r="15" spans="1:19" ht="15" x14ac:dyDescent="0.25">
      <c r="B15" s="357"/>
      <c r="C15" s="27"/>
      <c r="D15" s="23"/>
      <c r="E15" s="300"/>
      <c r="F15" s="25"/>
      <c r="H15" s="25"/>
      <c r="J15" s="26"/>
      <c r="K15" s="26"/>
      <c r="L15" s="105"/>
    </row>
    <row r="16" spans="1:19" ht="15" x14ac:dyDescent="0.25">
      <c r="B16" s="357"/>
      <c r="C16" s="22" t="s">
        <v>10</v>
      </c>
      <c r="D16" s="23" t="s">
        <v>11</v>
      </c>
      <c r="E16" s="301">
        <v>50000</v>
      </c>
      <c r="F16" s="24"/>
      <c r="H16" s="25"/>
      <c r="J16" s="26"/>
      <c r="K16" s="26"/>
      <c r="L16" s="105" t="s">
        <v>12</v>
      </c>
    </row>
    <row r="17" spans="1:53" ht="15" x14ac:dyDescent="0.25">
      <c r="A17" s="20"/>
      <c r="B17" s="357"/>
      <c r="C17" s="22" t="s">
        <v>14</v>
      </c>
      <c r="D17" s="23" t="s">
        <v>11</v>
      </c>
      <c r="E17" s="422">
        <f>(1+E14)*E16</f>
        <v>80000</v>
      </c>
      <c r="H17" s="25"/>
      <c r="J17" s="28"/>
      <c r="K17" s="28"/>
      <c r="L17" s="105" t="s">
        <v>15</v>
      </c>
    </row>
    <row r="18" spans="1:53" ht="15" x14ac:dyDescent="0.25">
      <c r="A18" s="20"/>
      <c r="B18" s="357"/>
      <c r="C18" s="22"/>
      <c r="D18" s="23"/>
      <c r="E18" s="422"/>
      <c r="H18" s="25"/>
      <c r="J18" s="28"/>
      <c r="K18" s="28"/>
      <c r="L18" s="105"/>
    </row>
    <row r="19" spans="1:53" ht="15" x14ac:dyDescent="0.25">
      <c r="A19" s="20"/>
      <c r="B19" s="357"/>
      <c r="C19" s="22" t="s">
        <v>331</v>
      </c>
      <c r="D19" s="23"/>
      <c r="E19" s="422">
        <f>E17/E10</f>
        <v>333.33333333333331</v>
      </c>
      <c r="H19" s="25"/>
      <c r="I19" s="20" t="s">
        <v>332</v>
      </c>
      <c r="J19" s="28"/>
      <c r="K19" s="28"/>
      <c r="L19" s="105"/>
    </row>
    <row r="20" spans="1:53" ht="15" x14ac:dyDescent="0.25">
      <c r="A20" s="20"/>
      <c r="B20" s="357"/>
      <c r="C20" s="22" t="s">
        <v>84</v>
      </c>
      <c r="D20" s="23" t="s">
        <v>16</v>
      </c>
      <c r="E20" s="302">
        <v>500</v>
      </c>
      <c r="F20" s="14"/>
      <c r="H20" s="14"/>
      <c r="I20" s="20" t="s">
        <v>214</v>
      </c>
      <c r="L20" s="105" t="s">
        <v>17</v>
      </c>
    </row>
    <row r="21" spans="1:53" ht="15" x14ac:dyDescent="0.25">
      <c r="A21" s="20"/>
      <c r="B21" s="357"/>
      <c r="C21" s="22" t="s">
        <v>85</v>
      </c>
      <c r="D21" s="23" t="s">
        <v>16</v>
      </c>
      <c r="E21" s="302">
        <v>500</v>
      </c>
      <c r="F21" s="14"/>
      <c r="H21" s="14"/>
      <c r="I21" s="20" t="s">
        <v>215</v>
      </c>
      <c r="L21" s="105" t="s">
        <v>250</v>
      </c>
    </row>
    <row r="22" spans="1:53" ht="15" x14ac:dyDescent="0.25">
      <c r="A22" s="20"/>
      <c r="B22" s="357"/>
      <c r="C22" s="22"/>
      <c r="E22" s="5"/>
      <c r="H22" s="14"/>
      <c r="I22" s="20"/>
      <c r="L22" s="105"/>
    </row>
    <row r="23" spans="1:53" s="116" customFormat="1" ht="15" x14ac:dyDescent="0.2">
      <c r="B23" s="175"/>
      <c r="C23" s="15" t="s">
        <v>206</v>
      </c>
      <c r="D23" s="134" t="s">
        <v>22</v>
      </c>
      <c r="E23" s="226">
        <f>Control_Panel!K24</f>
        <v>0.15</v>
      </c>
      <c r="F23" s="308"/>
      <c r="J23" s="155"/>
      <c r="K23" s="155"/>
      <c r="L23" s="105" t="s">
        <v>316</v>
      </c>
      <c r="R23" s="117"/>
      <c r="S23" s="117"/>
      <c r="T23" s="117"/>
      <c r="U23" s="117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</row>
    <row r="24" spans="1:53" ht="15" x14ac:dyDescent="0.25">
      <c r="B24" s="383"/>
      <c r="L24" s="105"/>
    </row>
    <row r="25" spans="1:53" ht="15" x14ac:dyDescent="0.25">
      <c r="A25" s="20"/>
      <c r="B25" s="257" t="s">
        <v>166</v>
      </c>
      <c r="C25" s="22"/>
      <c r="L25" s="105"/>
    </row>
    <row r="26" spans="1:53" ht="15" x14ac:dyDescent="0.25">
      <c r="B26" s="383"/>
      <c r="C26" s="5" t="s">
        <v>170</v>
      </c>
      <c r="D26" s="5" t="s">
        <v>27</v>
      </c>
      <c r="E26" s="423">
        <v>0.24</v>
      </c>
      <c r="I26" s="20" t="s">
        <v>171</v>
      </c>
      <c r="L26" s="184" t="s">
        <v>341</v>
      </c>
    </row>
    <row r="27" spans="1:53" ht="15" x14ac:dyDescent="0.25">
      <c r="B27" s="383"/>
      <c r="E27" s="5"/>
      <c r="I27" s="20"/>
      <c r="L27" s="184"/>
    </row>
    <row r="28" spans="1:53" ht="15" x14ac:dyDescent="0.25">
      <c r="A28" s="20"/>
      <c r="B28" s="357"/>
      <c r="C28" s="22" t="s">
        <v>167</v>
      </c>
      <c r="D28" s="23" t="s">
        <v>11</v>
      </c>
      <c r="E28" s="301">
        <v>34000</v>
      </c>
      <c r="F28" s="14"/>
      <c r="H28" s="14"/>
      <c r="L28" s="105"/>
    </row>
    <row r="29" spans="1:53" ht="15" x14ac:dyDescent="0.25">
      <c r="A29" s="20"/>
      <c r="B29" s="357"/>
      <c r="C29" s="22" t="s">
        <v>168</v>
      </c>
      <c r="D29" s="23" t="s">
        <v>11</v>
      </c>
      <c r="E29" s="422">
        <f>(1+E14)*E28</f>
        <v>54400</v>
      </c>
      <c r="F29" s="14"/>
      <c r="H29" s="14"/>
      <c r="L29" s="105" t="s">
        <v>67</v>
      </c>
    </row>
    <row r="30" spans="1:53" ht="15" x14ac:dyDescent="0.25">
      <c r="B30" s="383"/>
      <c r="C30" s="5" t="s">
        <v>168</v>
      </c>
      <c r="D30" s="5" t="s">
        <v>27</v>
      </c>
      <c r="E30" s="424">
        <f>E29/$E$9/$E$10/$E$11</f>
        <v>0.47222222222222221</v>
      </c>
      <c r="I30" s="20" t="s">
        <v>172</v>
      </c>
      <c r="L30" s="184"/>
    </row>
    <row r="32" spans="1:53" ht="15" x14ac:dyDescent="0.25">
      <c r="A32" s="20"/>
      <c r="B32" s="357"/>
      <c r="C32" s="22" t="s">
        <v>169</v>
      </c>
      <c r="D32" s="23" t="s">
        <v>11</v>
      </c>
      <c r="E32" s="422">
        <f>E29</f>
        <v>54400</v>
      </c>
      <c r="F32" s="14"/>
      <c r="H32" s="14"/>
      <c r="L32" s="105" t="s">
        <v>251</v>
      </c>
    </row>
    <row r="33" spans="1:12" s="21" customFormat="1" ht="15" x14ac:dyDescent="0.25">
      <c r="A33" s="20"/>
      <c r="B33" s="357"/>
      <c r="C33" s="22" t="s">
        <v>169</v>
      </c>
      <c r="D33" s="5" t="s">
        <v>27</v>
      </c>
      <c r="E33" s="424">
        <f>E32/$E$9/$E$10/$E$11</f>
        <v>0.47222222222222221</v>
      </c>
      <c r="F33" s="29"/>
      <c r="H33" s="25"/>
      <c r="I33" s="20" t="s">
        <v>173</v>
      </c>
      <c r="L33" s="199"/>
    </row>
    <row r="34" spans="1:12" s="21" customFormat="1" ht="15" x14ac:dyDescent="0.25">
      <c r="A34" s="20"/>
      <c r="B34" s="357"/>
      <c r="C34" s="22"/>
      <c r="D34" s="5"/>
      <c r="E34" s="422"/>
      <c r="F34" s="29"/>
      <c r="H34" s="25"/>
      <c r="I34" s="29"/>
      <c r="L34" s="199"/>
    </row>
    <row r="35" spans="1:12" s="21" customFormat="1" ht="15" x14ac:dyDescent="0.25">
      <c r="A35" s="20"/>
      <c r="B35" s="257" t="s">
        <v>201</v>
      </c>
      <c r="C35" s="22"/>
      <c r="D35" s="5"/>
      <c r="E35" s="422"/>
      <c r="F35" s="29"/>
      <c r="H35" s="25"/>
      <c r="I35" s="29"/>
      <c r="L35" s="199"/>
    </row>
    <row r="36" spans="1:12" s="21" customFormat="1" ht="15" x14ac:dyDescent="0.25">
      <c r="A36" s="20"/>
      <c r="B36" s="357"/>
      <c r="C36" s="22" t="s">
        <v>200</v>
      </c>
      <c r="D36" s="5" t="s">
        <v>16</v>
      </c>
      <c r="E36" s="422">
        <f>CSA_min*E9*E11</f>
        <v>115.19999999999999</v>
      </c>
      <c r="F36" s="29"/>
      <c r="H36" s="25"/>
      <c r="L36" s="199"/>
    </row>
    <row r="37" spans="1:12" s="21" customFormat="1" ht="15" x14ac:dyDescent="0.25">
      <c r="A37" s="20"/>
      <c r="B37" s="357"/>
      <c r="C37" s="22" t="s">
        <v>202</v>
      </c>
      <c r="D37" s="5" t="s">
        <v>16</v>
      </c>
      <c r="E37" s="422">
        <f>E17/E10</f>
        <v>333.33333333333331</v>
      </c>
      <c r="F37" s="29"/>
      <c r="H37" s="25"/>
      <c r="I37" s="20"/>
      <c r="L37" s="199"/>
    </row>
    <row r="38" spans="1:12" ht="15" x14ac:dyDescent="0.25">
      <c r="A38" s="20"/>
      <c r="B38" s="357"/>
      <c r="C38" s="22" t="s">
        <v>198</v>
      </c>
      <c r="D38" s="23" t="s">
        <v>6</v>
      </c>
      <c r="E38" s="301">
        <v>12</v>
      </c>
      <c r="F38" s="14"/>
      <c r="H38" s="14"/>
      <c r="L38" s="105" t="s">
        <v>18</v>
      </c>
    </row>
    <row r="39" spans="1:12" ht="15" x14ac:dyDescent="0.25">
      <c r="A39" s="20"/>
      <c r="B39" s="357"/>
      <c r="C39" s="22" t="s">
        <v>204</v>
      </c>
      <c r="D39" s="5" t="s">
        <v>16</v>
      </c>
      <c r="E39" s="422">
        <f>E36+E37/E38</f>
        <v>142.97777777777776</v>
      </c>
      <c r="F39" s="14"/>
      <c r="H39" s="14"/>
      <c r="I39" s="20" t="s">
        <v>205</v>
      </c>
      <c r="L39" s="105"/>
    </row>
    <row r="40" spans="1:12" s="21" customFormat="1" ht="15" x14ac:dyDescent="0.25">
      <c r="A40" s="20"/>
      <c r="B40" s="357"/>
      <c r="C40" s="22"/>
      <c r="D40" s="23"/>
      <c r="E40" s="303"/>
      <c r="F40" s="29"/>
      <c r="H40" s="25"/>
      <c r="I40" s="29"/>
      <c r="L40" s="199"/>
    </row>
    <row r="41" spans="1:12" s="134" customFormat="1" ht="15" x14ac:dyDescent="0.25">
      <c r="A41" s="319"/>
      <c r="B41" s="390" t="s">
        <v>20</v>
      </c>
      <c r="C41" s="127"/>
      <c r="D41" s="127"/>
      <c r="E41" s="320"/>
      <c r="F41" s="127"/>
      <c r="H41" s="127"/>
      <c r="I41" s="127"/>
      <c r="J41" s="321"/>
      <c r="K41" s="321"/>
      <c r="L41" s="214"/>
    </row>
    <row r="42" spans="1:12" ht="15" x14ac:dyDescent="0.2">
      <c r="B42" s="385"/>
      <c r="C42" s="22" t="s">
        <v>110</v>
      </c>
      <c r="D42" s="23" t="s">
        <v>22</v>
      </c>
      <c r="E42" s="304">
        <v>9.8000000000000004E-2</v>
      </c>
      <c r="F42" s="34"/>
      <c r="I42" s="179"/>
      <c r="L42" s="105" t="s">
        <v>326</v>
      </c>
    </row>
    <row r="43" spans="1:12" ht="15" x14ac:dyDescent="0.2">
      <c r="B43" s="385"/>
      <c r="C43" s="22" t="s">
        <v>290</v>
      </c>
      <c r="D43" s="23" t="s">
        <v>22</v>
      </c>
      <c r="E43" s="304">
        <v>0.02</v>
      </c>
      <c r="F43" s="34"/>
      <c r="I43" s="179"/>
      <c r="L43" s="105" t="s">
        <v>291</v>
      </c>
    </row>
    <row r="44" spans="1:12" ht="15" x14ac:dyDescent="0.2">
      <c r="B44" s="385"/>
      <c r="C44" s="22" t="s">
        <v>111</v>
      </c>
      <c r="D44" s="23" t="s">
        <v>22</v>
      </c>
      <c r="E44" s="305">
        <f>((1+E42)/(1+E43))-1</f>
        <v>7.647058823529429E-2</v>
      </c>
      <c r="F44" s="34"/>
      <c r="I44" s="20" t="s">
        <v>23</v>
      </c>
      <c r="L44" s="105" t="s">
        <v>112</v>
      </c>
    </row>
    <row r="45" spans="1:12" ht="15" x14ac:dyDescent="0.2">
      <c r="B45" s="385"/>
      <c r="C45" s="22"/>
      <c r="D45" s="23"/>
      <c r="E45" s="305"/>
      <c r="F45" s="34"/>
      <c r="I45" s="20"/>
      <c r="L45" s="105"/>
    </row>
    <row r="46" spans="1:12" ht="15" x14ac:dyDescent="0.2">
      <c r="B46" s="385"/>
      <c r="C46" s="22" t="s">
        <v>24</v>
      </c>
      <c r="D46" s="23" t="s">
        <v>25</v>
      </c>
      <c r="E46" s="302">
        <v>10</v>
      </c>
      <c r="F46" s="34"/>
      <c r="I46" s="20" t="s">
        <v>88</v>
      </c>
      <c r="L46" s="105"/>
    </row>
    <row r="47" spans="1:12" ht="15" x14ac:dyDescent="0.2">
      <c r="B47" s="385"/>
      <c r="C47" s="31"/>
      <c r="D47" s="32"/>
      <c r="F47" s="21"/>
      <c r="I47" s="35"/>
      <c r="L47" s="198"/>
    </row>
    <row r="48" spans="1:12" s="134" customFormat="1" ht="15" x14ac:dyDescent="0.25">
      <c r="A48" s="319"/>
      <c r="B48" s="390" t="s">
        <v>91</v>
      </c>
      <c r="C48" s="127"/>
      <c r="D48" s="127"/>
      <c r="E48" s="320"/>
      <c r="F48" s="127"/>
      <c r="H48" s="127"/>
      <c r="I48" s="127"/>
      <c r="J48" s="321"/>
      <c r="K48" s="321"/>
      <c r="L48" s="214"/>
    </row>
    <row r="49" spans="1:12" ht="15" x14ac:dyDescent="0.2">
      <c r="B49" s="385"/>
      <c r="C49" s="294" t="s">
        <v>199</v>
      </c>
      <c r="D49" s="23" t="s">
        <v>22</v>
      </c>
      <c r="E49" s="299">
        <v>0.2</v>
      </c>
      <c r="F49" s="21"/>
      <c r="I49" s="20" t="s">
        <v>90</v>
      </c>
      <c r="L49" s="198" t="s">
        <v>293</v>
      </c>
    </row>
    <row r="50" spans="1:12" ht="15" x14ac:dyDescent="0.2">
      <c r="B50" s="385"/>
      <c r="C50" s="31"/>
      <c r="D50" s="32"/>
      <c r="E50" s="306"/>
      <c r="F50" s="21"/>
      <c r="I50" s="35"/>
      <c r="L50" s="198"/>
    </row>
    <row r="51" spans="1:12" s="134" customFormat="1" ht="15" x14ac:dyDescent="0.25">
      <c r="A51" s="319"/>
      <c r="B51" s="390" t="s">
        <v>253</v>
      </c>
      <c r="C51" s="127"/>
      <c r="D51" s="127"/>
      <c r="E51" s="320"/>
      <c r="F51" s="127"/>
      <c r="H51" s="127"/>
      <c r="I51" s="127"/>
      <c r="J51" s="321"/>
      <c r="K51" s="321"/>
      <c r="L51" s="214"/>
    </row>
    <row r="52" spans="1:12" ht="15" x14ac:dyDescent="0.2">
      <c r="B52" s="385"/>
      <c r="E52" s="306" t="s">
        <v>254</v>
      </c>
      <c r="F52" s="101"/>
      <c r="G52" s="306" t="s">
        <v>244</v>
      </c>
      <c r="I52" s="35"/>
      <c r="L52" s="198"/>
    </row>
    <row r="53" spans="1:12" ht="15" x14ac:dyDescent="0.2">
      <c r="B53" s="385"/>
      <c r="C53" s="5" t="s">
        <v>92</v>
      </c>
      <c r="D53" s="5" t="s">
        <v>28</v>
      </c>
      <c r="E53" s="325">
        <v>0</v>
      </c>
      <c r="F53" s="101"/>
      <c r="G53" s="307">
        <f>Control_Panel!E40</f>
        <v>0.8</v>
      </c>
      <c r="I53" s="35"/>
      <c r="L53" s="198" t="s">
        <v>98</v>
      </c>
    </row>
    <row r="54" spans="1:12" ht="15" x14ac:dyDescent="0.2">
      <c r="B54" s="385"/>
      <c r="C54" s="5" t="s">
        <v>93</v>
      </c>
      <c r="D54" s="5" t="s">
        <v>28</v>
      </c>
      <c r="E54" s="325">
        <v>0.8</v>
      </c>
      <c r="F54" s="101"/>
      <c r="G54" s="307">
        <f>Control_Panel!E41</f>
        <v>0</v>
      </c>
      <c r="I54" s="35"/>
      <c r="L54" s="198" t="s">
        <v>100</v>
      </c>
    </row>
    <row r="55" spans="1:12" ht="15" x14ac:dyDescent="0.2">
      <c r="B55" s="385"/>
      <c r="C55" s="5" t="s">
        <v>94</v>
      </c>
      <c r="D55" s="5" t="s">
        <v>28</v>
      </c>
      <c r="E55" s="325">
        <v>1</v>
      </c>
      <c r="F55" s="101"/>
      <c r="G55" s="307">
        <f>Control_Panel!E42</f>
        <v>0.1</v>
      </c>
      <c r="I55" s="35"/>
      <c r="L55" s="198" t="s">
        <v>99</v>
      </c>
    </row>
    <row r="56" spans="1:12" ht="15" x14ac:dyDescent="0.2">
      <c r="B56" s="385"/>
      <c r="C56" s="5" t="s">
        <v>96</v>
      </c>
      <c r="D56" s="5" t="s">
        <v>28</v>
      </c>
      <c r="E56" s="325">
        <v>0.23</v>
      </c>
      <c r="F56" s="101"/>
      <c r="G56" s="307">
        <f>Control_Panel!E43</f>
        <v>0.1</v>
      </c>
      <c r="I56" s="35"/>
      <c r="L56" s="198" t="s">
        <v>97</v>
      </c>
    </row>
    <row r="57" spans="1:12" ht="15" x14ac:dyDescent="0.2">
      <c r="B57" s="385"/>
      <c r="C57" s="5" t="s">
        <v>243</v>
      </c>
      <c r="D57" s="5" t="s">
        <v>28</v>
      </c>
      <c r="E57" s="425">
        <f>SUMPRODUCT(E53:E56,G53:G56)</f>
        <v>0.12300000000000001</v>
      </c>
      <c r="F57" s="21"/>
      <c r="I57" s="35"/>
      <c r="L57" s="198"/>
    </row>
    <row r="58" spans="1:12" ht="15" x14ac:dyDescent="0.2">
      <c r="B58" s="385"/>
      <c r="E58" s="425"/>
      <c r="F58" s="21"/>
      <c r="I58" s="35"/>
      <c r="L58" s="198"/>
    </row>
    <row r="59" spans="1:12" ht="15" x14ac:dyDescent="0.25">
      <c r="B59" s="390" t="s">
        <v>317</v>
      </c>
      <c r="E59" s="425"/>
      <c r="F59" s="21"/>
      <c r="I59" s="35"/>
      <c r="L59" s="198"/>
    </row>
    <row r="60" spans="1:12" ht="15" x14ac:dyDescent="0.2">
      <c r="B60" s="385"/>
      <c r="C60" s="172" t="s">
        <v>78</v>
      </c>
      <c r="D60" s="44" t="s">
        <v>28</v>
      </c>
      <c r="E60" s="426">
        <v>0.02</v>
      </c>
      <c r="F60" s="21"/>
      <c r="I60" s="35"/>
      <c r="L60" s="5" t="s">
        <v>319</v>
      </c>
    </row>
    <row r="61" spans="1:12" ht="15" x14ac:dyDescent="0.2">
      <c r="B61" s="385"/>
      <c r="C61" s="172" t="s">
        <v>79</v>
      </c>
      <c r="D61" s="44" t="s">
        <v>28</v>
      </c>
      <c r="E61" s="426">
        <v>0.8</v>
      </c>
      <c r="F61" s="21"/>
      <c r="I61" s="35"/>
      <c r="L61" s="198" t="s">
        <v>100</v>
      </c>
    </row>
    <row r="62" spans="1:12" ht="15" x14ac:dyDescent="0.25">
      <c r="B62" s="383"/>
      <c r="L62" s="184"/>
    </row>
    <row r="63" spans="1:12" ht="15" x14ac:dyDescent="0.2">
      <c r="B63" s="391" t="s">
        <v>211</v>
      </c>
      <c r="L63" s="184"/>
    </row>
    <row r="64" spans="1:12" ht="15" x14ac:dyDescent="0.25">
      <c r="B64" s="383"/>
      <c r="E64" s="420" t="s">
        <v>237</v>
      </c>
      <c r="F64" s="180" t="s">
        <v>238</v>
      </c>
      <c r="G64" s="180" t="s">
        <v>239</v>
      </c>
      <c r="H64" s="180" t="s">
        <v>240</v>
      </c>
      <c r="I64" s="180" t="s">
        <v>73</v>
      </c>
      <c r="L64" s="5"/>
    </row>
    <row r="65" spans="1:13" s="113" customFormat="1" ht="15" x14ac:dyDescent="0.25">
      <c r="B65" s="392"/>
      <c r="C65" s="112" t="str">
        <f>Trigger1</f>
        <v>Delayed Service Activation</v>
      </c>
      <c r="D65" s="112" t="s">
        <v>31</v>
      </c>
      <c r="E65" s="409">
        <v>0.25</v>
      </c>
      <c r="F65" s="409">
        <v>0.5</v>
      </c>
      <c r="G65" s="409">
        <v>0.5</v>
      </c>
      <c r="H65" s="409">
        <v>0.5</v>
      </c>
      <c r="I65" s="409">
        <v>0.5</v>
      </c>
      <c r="J65" s="310"/>
      <c r="K65" s="310"/>
      <c r="L65" s="198" t="s">
        <v>293</v>
      </c>
    </row>
    <row r="66" spans="1:13" s="113" customFormat="1" ht="15" x14ac:dyDescent="0.25">
      <c r="B66" s="392"/>
      <c r="C66" s="112" t="str">
        <f>Trigger2</f>
        <v>Missed Appointment</v>
      </c>
      <c r="D66" s="112" t="s">
        <v>31</v>
      </c>
      <c r="E66" s="409">
        <v>0.25</v>
      </c>
      <c r="F66" s="409">
        <v>0.5</v>
      </c>
      <c r="G66" s="409">
        <v>0.5</v>
      </c>
      <c r="H66" s="409">
        <v>0.5</v>
      </c>
      <c r="I66" s="409">
        <v>0.5</v>
      </c>
      <c r="J66" s="310"/>
      <c r="K66" s="310"/>
      <c r="L66" s="198" t="s">
        <v>293</v>
      </c>
    </row>
    <row r="67" spans="1:13" s="309" customFormat="1" ht="15" x14ac:dyDescent="0.25">
      <c r="A67" s="265"/>
      <c r="B67" s="393"/>
      <c r="C67" s="112" t="str">
        <f>Trigger3</f>
        <v>Delayed Repair (Fixed)</v>
      </c>
      <c r="D67" s="112" t="s">
        <v>31</v>
      </c>
      <c r="E67" s="409">
        <v>0.25</v>
      </c>
      <c r="F67" s="409">
        <v>0.5</v>
      </c>
      <c r="G67" s="409">
        <v>0.5</v>
      </c>
      <c r="H67" s="409">
        <v>0.5</v>
      </c>
      <c r="I67" s="409">
        <v>0.5</v>
      </c>
      <c r="J67" s="310"/>
      <c r="K67" s="310"/>
      <c r="L67" s="198" t="s">
        <v>293</v>
      </c>
      <c r="M67" s="241"/>
    </row>
    <row r="68" spans="1:13" customFormat="1" ht="15" x14ac:dyDescent="0.25">
      <c r="A68" s="264"/>
      <c r="B68" s="385"/>
      <c r="C68" s="103" t="s">
        <v>230</v>
      </c>
      <c r="D68" s="103" t="s">
        <v>31</v>
      </c>
      <c r="E68" s="409">
        <v>0.5</v>
      </c>
      <c r="F68" s="409">
        <v>1</v>
      </c>
      <c r="G68" s="409">
        <v>1</v>
      </c>
      <c r="H68" s="409">
        <v>1</v>
      </c>
      <c r="I68" s="409">
        <v>1</v>
      </c>
      <c r="L68" s="198" t="s">
        <v>324</v>
      </c>
    </row>
    <row r="69" spans="1:13" s="309" customFormat="1" ht="15" x14ac:dyDescent="0.25">
      <c r="A69" s="265"/>
      <c r="B69" s="393"/>
      <c r="E69" s="222"/>
      <c r="L69" s="318"/>
    </row>
    <row r="70" spans="1:13" s="309" customFormat="1" ht="15" x14ac:dyDescent="0.25">
      <c r="A70" s="265"/>
      <c r="B70" s="393"/>
      <c r="E70" s="222"/>
      <c r="L70" s="318"/>
    </row>
    <row r="71" spans="1:13" s="309" customFormat="1" ht="15" x14ac:dyDescent="0.25">
      <c r="B71" s="393"/>
      <c r="E71" s="222"/>
      <c r="L71" s="318"/>
    </row>
    <row r="72" spans="1:13" ht="15" x14ac:dyDescent="0.25">
      <c r="B72" s="383"/>
    </row>
  </sheetData>
  <mergeCells count="1">
    <mergeCell ref="F5:I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54"/>
  <sheetViews>
    <sheetView zoomScale="90" zoomScaleNormal="90" workbookViewId="0">
      <pane xSplit="6" ySplit="7" topLeftCell="G8" activePane="bottomRight" state="frozen"/>
      <selection pane="topRight" activeCell="G1" sqref="G1"/>
      <selection pane="bottomLeft" activeCell="A6" sqref="A6"/>
      <selection pane="bottomRight"/>
    </sheetView>
  </sheetViews>
  <sheetFormatPr defaultColWidth="9.140625" defaultRowHeight="15" x14ac:dyDescent="0.25"/>
  <cols>
    <col min="1" max="1" width="9.140625" style="434"/>
    <col min="2" max="2" width="27.85546875" style="113" bestFit="1" customWidth="1"/>
    <col min="3" max="4" width="9.140625" style="113"/>
    <col min="5" max="5" width="101.5703125" style="113" bestFit="1" customWidth="1"/>
    <col min="6" max="7" width="14.5703125" style="113" customWidth="1"/>
    <col min="8" max="8" width="8.85546875"/>
    <col min="9" max="9" width="9.7109375" style="241" bestFit="1" customWidth="1"/>
    <col min="10" max="13" width="9.140625" style="241"/>
    <col min="14" max="16384" width="9.140625" style="113"/>
  </cols>
  <sheetData>
    <row r="1" spans="1:19" s="222" customFormat="1" ht="12.75" x14ac:dyDescent="0.2">
      <c r="A1" s="430" t="s">
        <v>373</v>
      </c>
      <c r="C1" s="138"/>
      <c r="E1" s="214"/>
      <c r="F1" s="138"/>
      <c r="G1" s="138"/>
      <c r="I1" s="343"/>
      <c r="J1" s="343"/>
      <c r="K1" s="343"/>
      <c r="L1" s="343"/>
      <c r="M1" s="343"/>
    </row>
    <row r="2" spans="1:19" s="266" customFormat="1" ht="12.75" x14ac:dyDescent="0.2">
      <c r="A2" s="430"/>
      <c r="B2" s="266" t="s">
        <v>0</v>
      </c>
      <c r="C2" s="267" t="str">
        <f ca="1">MID(CELL("filename",A1),FIND("]",CELL("filename",A1))+1,256)</f>
        <v>Input_CAPEX</v>
      </c>
      <c r="E2" s="268"/>
      <c r="F2" s="269"/>
      <c r="G2" s="269"/>
      <c r="I2" s="376"/>
      <c r="J2" s="376"/>
      <c r="K2" s="376"/>
      <c r="L2" s="376"/>
      <c r="M2" s="376"/>
    </row>
    <row r="3" spans="1:19" s="266" customFormat="1" ht="12.75" x14ac:dyDescent="0.2">
      <c r="A3" s="430"/>
      <c r="B3" s="266" t="s">
        <v>1</v>
      </c>
      <c r="C3" s="270" t="s">
        <v>359</v>
      </c>
      <c r="E3" s="270"/>
      <c r="F3" s="269"/>
      <c r="G3" s="269"/>
      <c r="I3" s="376"/>
      <c r="J3" s="376"/>
      <c r="K3" s="376"/>
      <c r="L3" s="376"/>
      <c r="M3" s="376"/>
    </row>
    <row r="4" spans="1:19" s="266" customFormat="1" ht="12.75" x14ac:dyDescent="0.2">
      <c r="A4" s="430"/>
      <c r="C4" s="270"/>
      <c r="E4" s="270"/>
      <c r="F4" s="269"/>
      <c r="G4" s="269"/>
      <c r="I4" s="376"/>
      <c r="J4" s="376"/>
      <c r="K4" s="376"/>
      <c r="L4" s="376"/>
      <c r="M4" s="376"/>
    </row>
    <row r="5" spans="1:19" s="266" customFormat="1" ht="12.75" x14ac:dyDescent="0.2">
      <c r="A5" s="430"/>
      <c r="B5" s="266" t="s">
        <v>309</v>
      </c>
      <c r="C5" s="270"/>
      <c r="E5" s="270"/>
      <c r="F5" s="269"/>
      <c r="G5" s="269"/>
      <c r="I5" s="376"/>
      <c r="J5" s="376"/>
      <c r="K5" s="376"/>
      <c r="L5" s="376"/>
      <c r="M5" s="376"/>
    </row>
    <row r="6" spans="1:19" s="270" customFormat="1" ht="12.75" x14ac:dyDescent="0.2">
      <c r="A6" s="430"/>
      <c r="C6" s="269"/>
      <c r="F6" s="269"/>
      <c r="G6" s="269"/>
      <c r="I6" s="376"/>
      <c r="J6" s="376"/>
      <c r="K6" s="376"/>
      <c r="L6" s="376"/>
      <c r="M6" s="376"/>
    </row>
    <row r="7" spans="1:19" s="116" customFormat="1" x14ac:dyDescent="0.25">
      <c r="A7" s="431"/>
      <c r="B7" s="324" t="s">
        <v>63</v>
      </c>
      <c r="C7" s="324" t="s">
        <v>228</v>
      </c>
      <c r="D7" s="324" t="s">
        <v>229</v>
      </c>
      <c r="E7" s="324" t="s">
        <v>103</v>
      </c>
      <c r="F7" s="324" t="s">
        <v>227</v>
      </c>
      <c r="G7" s="324"/>
      <c r="H7" s="324"/>
      <c r="I7" s="459" t="s">
        <v>237</v>
      </c>
      <c r="J7" s="459" t="s">
        <v>238</v>
      </c>
      <c r="K7" s="459" t="s">
        <v>239</v>
      </c>
      <c r="L7" s="459" t="s">
        <v>240</v>
      </c>
      <c r="M7" s="459" t="s">
        <v>8</v>
      </c>
    </row>
    <row r="8" spans="1:19" s="270" customFormat="1" ht="12.75" x14ac:dyDescent="0.2">
      <c r="A8" s="430"/>
      <c r="C8" s="269"/>
      <c r="F8" s="269"/>
      <c r="G8" s="269"/>
      <c r="I8" s="376"/>
      <c r="J8" s="376"/>
      <c r="K8" s="376"/>
      <c r="L8" s="376"/>
      <c r="M8" s="376"/>
    </row>
    <row r="9" spans="1:19" s="268" customFormat="1" ht="12.75" x14ac:dyDescent="0.2">
      <c r="A9" s="430"/>
      <c r="C9" s="427"/>
      <c r="F9" s="427"/>
      <c r="G9" s="155"/>
      <c r="I9" s="429" t="s">
        <v>348</v>
      </c>
      <c r="K9" s="428"/>
      <c r="L9" s="428"/>
      <c r="M9" s="428"/>
    </row>
    <row r="10" spans="1:19" s="268" customFormat="1" ht="12.75" x14ac:dyDescent="0.2">
      <c r="A10" s="430"/>
      <c r="C10" s="427"/>
      <c r="F10" s="427"/>
      <c r="G10" s="155"/>
      <c r="I10" s="429"/>
      <c r="K10" s="428"/>
      <c r="L10" s="428"/>
      <c r="M10" s="428"/>
    </row>
    <row r="11" spans="1:19" s="270" customFormat="1" ht="12.75" x14ac:dyDescent="0.2">
      <c r="A11" s="430"/>
      <c r="C11" s="269"/>
      <c r="F11" s="269"/>
      <c r="G11" s="155"/>
      <c r="I11" s="376"/>
      <c r="J11" s="268"/>
      <c r="K11" s="376"/>
      <c r="L11" s="376"/>
      <c r="M11" s="376"/>
    </row>
    <row r="12" spans="1:19" s="270" customFormat="1" ht="12.75" x14ac:dyDescent="0.2">
      <c r="A12" s="430"/>
      <c r="C12" s="269"/>
      <c r="F12" s="269"/>
      <c r="G12" s="155"/>
      <c r="I12" s="376"/>
      <c r="J12" s="268"/>
      <c r="K12" s="376"/>
      <c r="L12" s="376"/>
      <c r="M12" s="376"/>
    </row>
    <row r="13" spans="1:19" s="118" customFormat="1" ht="14.45" customHeight="1" x14ac:dyDescent="0.25">
      <c r="A13" s="432"/>
      <c r="B13" s="120" t="str">
        <f t="shared" ref="B13:B27" si="0">Trigger1</f>
        <v>Delayed Service Activation</v>
      </c>
      <c r="C13" s="120" t="s">
        <v>32</v>
      </c>
      <c r="D13" s="120">
        <v>1</v>
      </c>
      <c r="E13" s="120" t="s">
        <v>314</v>
      </c>
      <c r="F13" s="150" t="b">
        <f t="shared" ref="F13:F27" si="1">T1_on</f>
        <v>1</v>
      </c>
      <c r="G13" s="155"/>
      <c r="I13" s="377">
        <v>0</v>
      </c>
      <c r="J13" s="377">
        <v>30</v>
      </c>
      <c r="K13" s="377">
        <v>60</v>
      </c>
      <c r="L13" s="377">
        <v>60</v>
      </c>
      <c r="M13" s="377">
        <v>30</v>
      </c>
      <c r="N13" s="266"/>
      <c r="O13" s="266"/>
      <c r="P13" s="266"/>
      <c r="Q13" s="266"/>
      <c r="R13" s="266"/>
      <c r="S13" s="266"/>
    </row>
    <row r="14" spans="1:19" s="118" customFormat="1" ht="14.45" customHeight="1" x14ac:dyDescent="0.25">
      <c r="A14" s="432"/>
      <c r="B14" s="120" t="str">
        <f t="shared" si="0"/>
        <v>Delayed Service Activation</v>
      </c>
      <c r="C14" s="120" t="s">
        <v>32</v>
      </c>
      <c r="D14" s="120">
        <v>2</v>
      </c>
      <c r="E14" s="120" t="s">
        <v>220</v>
      </c>
      <c r="F14" s="150" t="b">
        <f t="shared" si="1"/>
        <v>1</v>
      </c>
      <c r="G14" s="155"/>
      <c r="I14" s="377">
        <v>0</v>
      </c>
      <c r="J14" s="377">
        <v>0</v>
      </c>
      <c r="K14" s="377">
        <v>15</v>
      </c>
      <c r="L14" s="377">
        <v>15</v>
      </c>
      <c r="M14" s="377">
        <v>0</v>
      </c>
      <c r="N14" s="266"/>
      <c r="O14" s="266"/>
      <c r="P14" s="266"/>
      <c r="Q14" s="266"/>
      <c r="R14" s="266"/>
      <c r="S14" s="266"/>
    </row>
    <row r="15" spans="1:19" s="118" customFormat="1" ht="14.45" customHeight="1" x14ac:dyDescent="0.25">
      <c r="A15" s="432"/>
      <c r="B15" s="120" t="str">
        <f t="shared" si="0"/>
        <v>Delayed Service Activation</v>
      </c>
      <c r="C15" s="120" t="s">
        <v>32</v>
      </c>
      <c r="D15" s="120">
        <v>3</v>
      </c>
      <c r="E15" s="120" t="s">
        <v>219</v>
      </c>
      <c r="F15" s="150" t="b">
        <f t="shared" si="1"/>
        <v>1</v>
      </c>
      <c r="G15" s="155"/>
      <c r="I15" s="377">
        <v>0</v>
      </c>
      <c r="J15" s="377">
        <v>60</v>
      </c>
      <c r="K15" s="377">
        <v>120</v>
      </c>
      <c r="L15" s="377">
        <v>120</v>
      </c>
      <c r="M15" s="377">
        <v>60</v>
      </c>
      <c r="N15" s="266"/>
      <c r="O15" s="266"/>
      <c r="P15" s="266"/>
      <c r="Q15" s="266"/>
      <c r="R15" s="266"/>
      <c r="S15" s="266"/>
    </row>
    <row r="16" spans="1:19" s="118" customFormat="1" ht="14.45" customHeight="1" x14ac:dyDescent="0.25">
      <c r="A16" s="432"/>
      <c r="B16" s="120" t="str">
        <f t="shared" si="0"/>
        <v>Delayed Service Activation</v>
      </c>
      <c r="C16" s="120" t="s">
        <v>32</v>
      </c>
      <c r="D16" s="120">
        <v>4</v>
      </c>
      <c r="E16" s="120" t="s">
        <v>223</v>
      </c>
      <c r="F16" s="150" t="b">
        <f t="shared" si="1"/>
        <v>1</v>
      </c>
      <c r="G16" s="155"/>
      <c r="I16" s="377">
        <v>0</v>
      </c>
      <c r="J16" s="377">
        <v>0</v>
      </c>
      <c r="K16" s="377">
        <v>6.666666666666667</v>
      </c>
      <c r="L16" s="377">
        <v>20</v>
      </c>
      <c r="M16" s="377">
        <v>0</v>
      </c>
    </row>
    <row r="17" spans="1:13" s="118" customFormat="1" ht="14.45" customHeight="1" x14ac:dyDescent="0.25">
      <c r="A17" s="432"/>
      <c r="B17" s="120" t="str">
        <f t="shared" si="0"/>
        <v>Delayed Service Activation</v>
      </c>
      <c r="C17" s="120" t="s">
        <v>32</v>
      </c>
      <c r="D17" s="120">
        <v>4</v>
      </c>
      <c r="E17" s="120" t="s">
        <v>221</v>
      </c>
      <c r="F17" s="150" t="b">
        <f t="shared" si="1"/>
        <v>1</v>
      </c>
      <c r="G17" s="155"/>
      <c r="I17" s="377">
        <v>0</v>
      </c>
      <c r="J17" s="377">
        <v>30</v>
      </c>
      <c r="K17" s="377">
        <v>60</v>
      </c>
      <c r="L17" s="377">
        <v>0</v>
      </c>
      <c r="M17" s="377">
        <v>30</v>
      </c>
    </row>
    <row r="18" spans="1:13" s="118" customFormat="1" ht="14.45" customHeight="1" x14ac:dyDescent="0.25">
      <c r="A18" s="432"/>
      <c r="B18" s="120" t="str">
        <f t="shared" si="0"/>
        <v>Delayed Service Activation</v>
      </c>
      <c r="C18" s="120" t="s">
        <v>32</v>
      </c>
      <c r="D18" s="120">
        <v>4</v>
      </c>
      <c r="E18" s="120" t="s">
        <v>222</v>
      </c>
      <c r="F18" s="150" t="b">
        <f t="shared" si="1"/>
        <v>1</v>
      </c>
      <c r="G18" s="155"/>
      <c r="I18" s="377">
        <v>0</v>
      </c>
      <c r="J18" s="377">
        <v>0</v>
      </c>
      <c r="K18" s="377">
        <v>20</v>
      </c>
      <c r="L18" s="377">
        <v>0</v>
      </c>
      <c r="M18" s="377">
        <v>0</v>
      </c>
    </row>
    <row r="19" spans="1:13" s="118" customFormat="1" ht="14.45" customHeight="1" x14ac:dyDescent="0.25">
      <c r="A19" s="432"/>
      <c r="B19" s="120" t="str">
        <f t="shared" si="0"/>
        <v>Delayed Service Activation</v>
      </c>
      <c r="C19" s="120" t="s">
        <v>32</v>
      </c>
      <c r="D19" s="120">
        <v>5</v>
      </c>
      <c r="E19" s="120" t="s">
        <v>105</v>
      </c>
      <c r="F19" s="150" t="b">
        <f t="shared" si="1"/>
        <v>1</v>
      </c>
      <c r="G19" s="155"/>
      <c r="I19" s="377">
        <v>0</v>
      </c>
      <c r="J19" s="377">
        <v>15</v>
      </c>
      <c r="K19" s="377">
        <v>30</v>
      </c>
      <c r="L19" s="377">
        <v>30</v>
      </c>
      <c r="M19" s="377">
        <v>15</v>
      </c>
    </row>
    <row r="20" spans="1:13" s="118" customFormat="1" ht="14.45" customHeight="1" x14ac:dyDescent="0.25">
      <c r="A20" s="432"/>
      <c r="B20" s="120" t="str">
        <f t="shared" si="0"/>
        <v>Delayed Service Activation</v>
      </c>
      <c r="C20" s="120" t="s">
        <v>32</v>
      </c>
      <c r="D20" s="120">
        <v>6</v>
      </c>
      <c r="E20" s="120" t="s">
        <v>106</v>
      </c>
      <c r="F20" s="150" t="b">
        <f t="shared" si="1"/>
        <v>1</v>
      </c>
      <c r="G20" s="155"/>
      <c r="I20" s="377">
        <v>0</v>
      </c>
      <c r="J20" s="377">
        <v>15</v>
      </c>
      <c r="K20" s="377">
        <v>30</v>
      </c>
      <c r="L20" s="377">
        <v>30</v>
      </c>
      <c r="M20" s="377">
        <v>15</v>
      </c>
    </row>
    <row r="21" spans="1:13" s="118" customFormat="1" ht="14.45" customHeight="1" x14ac:dyDescent="0.25">
      <c r="A21" s="432"/>
      <c r="B21" s="120" t="str">
        <f t="shared" si="0"/>
        <v>Delayed Service Activation</v>
      </c>
      <c r="C21" s="120" t="s">
        <v>32</v>
      </c>
      <c r="D21" s="120">
        <v>7</v>
      </c>
      <c r="E21" s="120" t="s">
        <v>262</v>
      </c>
      <c r="F21" s="150" t="b">
        <f t="shared" si="1"/>
        <v>1</v>
      </c>
      <c r="G21" s="155"/>
      <c r="I21" s="377">
        <v>0</v>
      </c>
      <c r="J21" s="377">
        <v>60</v>
      </c>
      <c r="K21" s="377">
        <v>120</v>
      </c>
      <c r="L21" s="377">
        <v>120</v>
      </c>
      <c r="M21" s="377">
        <v>60</v>
      </c>
    </row>
    <row r="22" spans="1:13" s="118" customFormat="1" ht="14.45" customHeight="1" x14ac:dyDescent="0.25">
      <c r="A22" s="432"/>
      <c r="B22" s="120" t="str">
        <f t="shared" si="0"/>
        <v>Delayed Service Activation</v>
      </c>
      <c r="C22" s="120" t="s">
        <v>32</v>
      </c>
      <c r="D22" s="120">
        <v>8</v>
      </c>
      <c r="E22" s="120" t="s">
        <v>224</v>
      </c>
      <c r="F22" s="150" t="b">
        <f t="shared" si="1"/>
        <v>1</v>
      </c>
      <c r="G22" s="155"/>
      <c r="I22" s="377">
        <v>0</v>
      </c>
      <c r="J22" s="377">
        <v>60</v>
      </c>
      <c r="K22" s="377">
        <v>120</v>
      </c>
      <c r="L22" s="377">
        <v>120</v>
      </c>
      <c r="M22" s="377">
        <v>60</v>
      </c>
    </row>
    <row r="23" spans="1:13" s="118" customFormat="1" ht="14.45" customHeight="1" x14ac:dyDescent="0.25">
      <c r="A23" s="432"/>
      <c r="B23" s="120" t="str">
        <f t="shared" si="0"/>
        <v>Delayed Service Activation</v>
      </c>
      <c r="C23" s="120" t="s">
        <v>32</v>
      </c>
      <c r="D23" s="120">
        <v>9</v>
      </c>
      <c r="E23" s="120" t="s">
        <v>225</v>
      </c>
      <c r="F23" s="150" t="b">
        <f t="shared" si="1"/>
        <v>1</v>
      </c>
      <c r="G23" s="155"/>
      <c r="I23" s="377">
        <v>0</v>
      </c>
      <c r="J23" s="377">
        <v>30</v>
      </c>
      <c r="K23" s="377">
        <v>60</v>
      </c>
      <c r="L23" s="377">
        <v>60</v>
      </c>
      <c r="M23" s="377">
        <v>30</v>
      </c>
    </row>
    <row r="24" spans="1:13" s="118" customFormat="1" ht="14.45" customHeight="1" x14ac:dyDescent="0.25">
      <c r="A24" s="432"/>
      <c r="B24" s="120" t="str">
        <f t="shared" si="0"/>
        <v>Delayed Service Activation</v>
      </c>
      <c r="C24" s="120" t="s">
        <v>32</v>
      </c>
      <c r="D24" s="120">
        <v>10</v>
      </c>
      <c r="E24" s="120" t="s">
        <v>207</v>
      </c>
      <c r="F24" s="150" t="b">
        <f t="shared" si="1"/>
        <v>1</v>
      </c>
      <c r="G24" s="155"/>
      <c r="I24" s="377">
        <v>0</v>
      </c>
      <c r="J24" s="377">
        <v>60</v>
      </c>
      <c r="K24" s="377">
        <v>120</v>
      </c>
      <c r="L24" s="377">
        <v>120</v>
      </c>
      <c r="M24" s="377">
        <v>60</v>
      </c>
    </row>
    <row r="25" spans="1:13" s="118" customFormat="1" ht="14.45" customHeight="1" x14ac:dyDescent="0.25">
      <c r="A25" s="432"/>
      <c r="B25" s="120" t="str">
        <f t="shared" si="0"/>
        <v>Delayed Service Activation</v>
      </c>
      <c r="C25" s="120" t="s">
        <v>32</v>
      </c>
      <c r="D25" s="120">
        <v>11</v>
      </c>
      <c r="E25" s="120" t="s">
        <v>315</v>
      </c>
      <c r="F25" s="150" t="b">
        <f t="shared" si="1"/>
        <v>1</v>
      </c>
      <c r="G25" s="155"/>
      <c r="I25" s="377">
        <v>0</v>
      </c>
      <c r="J25" s="377">
        <v>60</v>
      </c>
      <c r="K25" s="377">
        <v>120</v>
      </c>
      <c r="L25" s="377">
        <v>120</v>
      </c>
      <c r="M25" s="377">
        <v>60</v>
      </c>
    </row>
    <row r="26" spans="1:13" s="118" customFormat="1" ht="14.45" customHeight="1" x14ac:dyDescent="0.25">
      <c r="A26" s="432"/>
      <c r="B26" s="120" t="str">
        <f t="shared" si="0"/>
        <v>Delayed Service Activation</v>
      </c>
      <c r="C26" s="120" t="s">
        <v>30</v>
      </c>
      <c r="D26" s="120">
        <v>1</v>
      </c>
      <c r="E26" s="120" t="s">
        <v>104</v>
      </c>
      <c r="F26" s="150" t="b">
        <f t="shared" si="1"/>
        <v>1</v>
      </c>
      <c r="G26" s="155"/>
      <c r="I26" s="377">
        <v>10</v>
      </c>
      <c r="J26" s="377">
        <v>20</v>
      </c>
      <c r="K26" s="377">
        <v>40</v>
      </c>
      <c r="L26" s="377">
        <v>40</v>
      </c>
      <c r="M26" s="377">
        <v>0</v>
      </c>
    </row>
    <row r="27" spans="1:13" s="118" customFormat="1" ht="14.45" customHeight="1" x14ac:dyDescent="0.25">
      <c r="A27" s="432"/>
      <c r="B27" s="120" t="str">
        <f t="shared" si="0"/>
        <v>Delayed Service Activation</v>
      </c>
      <c r="C27" s="120" t="s">
        <v>30</v>
      </c>
      <c r="D27" s="120">
        <v>2</v>
      </c>
      <c r="E27" s="120" t="s">
        <v>313</v>
      </c>
      <c r="F27" s="150" t="b">
        <f t="shared" si="1"/>
        <v>1</v>
      </c>
      <c r="G27" s="155"/>
      <c r="I27" s="377">
        <v>20</v>
      </c>
      <c r="J27" s="377">
        <v>40</v>
      </c>
      <c r="K27" s="377">
        <v>80</v>
      </c>
      <c r="L27" s="377">
        <v>80</v>
      </c>
      <c r="M27" s="377">
        <v>0</v>
      </c>
    </row>
    <row r="28" spans="1:13" s="134" customFormat="1" ht="12.75" x14ac:dyDescent="0.2">
      <c r="A28" s="433"/>
      <c r="B28" s="374"/>
      <c r="F28" s="375"/>
      <c r="G28" s="155"/>
      <c r="I28" s="405">
        <f>SUM(I13:I27)</f>
        <v>30</v>
      </c>
      <c r="J28" s="405">
        <f t="shared" ref="J28:M28" si="2">SUM(J13:J27)</f>
        <v>480</v>
      </c>
      <c r="K28" s="405">
        <f t="shared" si="2"/>
        <v>1001.6666666666666</v>
      </c>
      <c r="L28" s="405">
        <f t="shared" si="2"/>
        <v>935</v>
      </c>
      <c r="M28" s="405">
        <f t="shared" si="2"/>
        <v>420</v>
      </c>
    </row>
    <row r="29" spans="1:13" s="116" customFormat="1" x14ac:dyDescent="0.2">
      <c r="A29" s="432"/>
      <c r="B29" s="104"/>
      <c r="F29" s="155"/>
      <c r="G29" s="155"/>
      <c r="I29" s="378"/>
      <c r="J29" s="378"/>
      <c r="K29" s="378"/>
      <c r="L29" s="378"/>
      <c r="M29" s="308"/>
    </row>
    <row r="30" spans="1:13" s="118" customFormat="1" ht="14.45" customHeight="1" x14ac:dyDescent="0.25">
      <c r="A30" s="432"/>
      <c r="B30" s="120" t="str">
        <f t="shared" ref="B30:B43" si="3">Trigger2</f>
        <v>Missed Appointment</v>
      </c>
      <c r="C30" s="120" t="s">
        <v>32</v>
      </c>
      <c r="D30" s="120">
        <v>1</v>
      </c>
      <c r="E30" s="120" t="s">
        <v>314</v>
      </c>
      <c r="F30" s="150" t="b">
        <f t="shared" ref="F30:F43" si="4">T2_on</f>
        <v>1</v>
      </c>
      <c r="G30" s="155"/>
      <c r="I30" s="377">
        <v>0</v>
      </c>
      <c r="J30" s="377">
        <v>30</v>
      </c>
      <c r="K30" s="377">
        <v>60</v>
      </c>
      <c r="L30" s="377">
        <v>60</v>
      </c>
      <c r="M30" s="377">
        <v>30</v>
      </c>
    </row>
    <row r="31" spans="1:13" s="118" customFormat="1" ht="14.45" customHeight="1" x14ac:dyDescent="0.25">
      <c r="A31" s="432"/>
      <c r="B31" s="120" t="str">
        <f t="shared" si="3"/>
        <v>Missed Appointment</v>
      </c>
      <c r="C31" s="120" t="s">
        <v>32</v>
      </c>
      <c r="D31" s="120">
        <v>2</v>
      </c>
      <c r="E31" s="120" t="s">
        <v>220</v>
      </c>
      <c r="F31" s="150" t="b">
        <f t="shared" si="4"/>
        <v>1</v>
      </c>
      <c r="G31" s="155"/>
      <c r="I31" s="377">
        <v>0</v>
      </c>
      <c r="J31" s="377">
        <v>0</v>
      </c>
      <c r="K31" s="377">
        <v>15</v>
      </c>
      <c r="L31" s="377">
        <v>15</v>
      </c>
      <c r="M31" s="377">
        <v>0</v>
      </c>
    </row>
    <row r="32" spans="1:13" s="118" customFormat="1" ht="14.45" customHeight="1" x14ac:dyDescent="0.25">
      <c r="A32" s="432"/>
      <c r="B32" s="120" t="str">
        <f t="shared" si="3"/>
        <v>Missed Appointment</v>
      </c>
      <c r="C32" s="120" t="s">
        <v>32</v>
      </c>
      <c r="D32" s="120">
        <v>3</v>
      </c>
      <c r="E32" s="120" t="s">
        <v>219</v>
      </c>
      <c r="F32" s="150" t="b">
        <f t="shared" si="4"/>
        <v>1</v>
      </c>
      <c r="G32" s="155"/>
      <c r="I32" s="377">
        <v>0</v>
      </c>
      <c r="J32" s="377">
        <v>60</v>
      </c>
      <c r="K32" s="377">
        <v>120</v>
      </c>
      <c r="L32" s="377">
        <v>120</v>
      </c>
      <c r="M32" s="377">
        <v>60</v>
      </c>
    </row>
    <row r="33" spans="1:13" s="118" customFormat="1" ht="14.45" customHeight="1" x14ac:dyDescent="0.25">
      <c r="A33" s="432"/>
      <c r="B33" s="120" t="str">
        <f t="shared" si="3"/>
        <v>Missed Appointment</v>
      </c>
      <c r="C33" s="120" t="s">
        <v>32</v>
      </c>
      <c r="D33" s="120">
        <v>4</v>
      </c>
      <c r="E33" s="120" t="s">
        <v>223</v>
      </c>
      <c r="F33" s="150" t="b">
        <f t="shared" si="4"/>
        <v>1</v>
      </c>
      <c r="G33" s="155"/>
      <c r="I33" s="377">
        <v>0</v>
      </c>
      <c r="J33" s="377">
        <v>0</v>
      </c>
      <c r="K33" s="377">
        <v>6.666666666666667</v>
      </c>
      <c r="L33" s="377">
        <v>20</v>
      </c>
      <c r="M33" s="377">
        <v>0</v>
      </c>
    </row>
    <row r="34" spans="1:13" s="118" customFormat="1" ht="14.45" customHeight="1" x14ac:dyDescent="0.25">
      <c r="A34" s="432"/>
      <c r="B34" s="120" t="str">
        <f t="shared" si="3"/>
        <v>Missed Appointment</v>
      </c>
      <c r="C34" s="120" t="s">
        <v>32</v>
      </c>
      <c r="D34" s="120">
        <v>4</v>
      </c>
      <c r="E34" s="120" t="s">
        <v>221</v>
      </c>
      <c r="F34" s="150" t="b">
        <f t="shared" si="4"/>
        <v>1</v>
      </c>
      <c r="G34" s="155"/>
      <c r="I34" s="377">
        <v>0</v>
      </c>
      <c r="J34" s="377">
        <v>30</v>
      </c>
      <c r="K34" s="377">
        <v>60</v>
      </c>
      <c r="L34" s="377">
        <v>0</v>
      </c>
      <c r="M34" s="377">
        <v>30</v>
      </c>
    </row>
    <row r="35" spans="1:13" s="118" customFormat="1" ht="14.45" customHeight="1" x14ac:dyDescent="0.25">
      <c r="A35" s="432"/>
      <c r="B35" s="120" t="str">
        <f t="shared" si="3"/>
        <v>Missed Appointment</v>
      </c>
      <c r="C35" s="120" t="s">
        <v>32</v>
      </c>
      <c r="D35" s="120">
        <v>4</v>
      </c>
      <c r="E35" s="120" t="s">
        <v>222</v>
      </c>
      <c r="F35" s="150" t="b">
        <f t="shared" si="4"/>
        <v>1</v>
      </c>
      <c r="G35" s="155"/>
      <c r="I35" s="377">
        <v>0</v>
      </c>
      <c r="J35" s="377">
        <v>0</v>
      </c>
      <c r="K35" s="377">
        <v>20</v>
      </c>
      <c r="L35" s="377">
        <v>0</v>
      </c>
      <c r="M35" s="377">
        <v>0</v>
      </c>
    </row>
    <row r="36" spans="1:13" s="118" customFormat="1" ht="14.45" customHeight="1" x14ac:dyDescent="0.25">
      <c r="A36" s="432"/>
      <c r="B36" s="120" t="str">
        <f t="shared" si="3"/>
        <v>Missed Appointment</v>
      </c>
      <c r="C36" s="120" t="s">
        <v>32</v>
      </c>
      <c r="D36" s="120">
        <v>5</v>
      </c>
      <c r="E36" s="120" t="s">
        <v>105</v>
      </c>
      <c r="F36" s="150" t="b">
        <f t="shared" si="4"/>
        <v>1</v>
      </c>
      <c r="G36" s="155"/>
      <c r="I36" s="377">
        <v>0</v>
      </c>
      <c r="J36" s="377">
        <v>15</v>
      </c>
      <c r="K36" s="377">
        <v>30</v>
      </c>
      <c r="L36" s="377">
        <v>30</v>
      </c>
      <c r="M36" s="377">
        <v>15</v>
      </c>
    </row>
    <row r="37" spans="1:13" s="118" customFormat="1" ht="14.45" customHeight="1" x14ac:dyDescent="0.25">
      <c r="A37" s="432"/>
      <c r="B37" s="120" t="str">
        <f t="shared" si="3"/>
        <v>Missed Appointment</v>
      </c>
      <c r="C37" s="120" t="s">
        <v>32</v>
      </c>
      <c r="D37" s="120">
        <v>6</v>
      </c>
      <c r="E37" s="120" t="s">
        <v>262</v>
      </c>
      <c r="F37" s="150" t="b">
        <f t="shared" si="4"/>
        <v>1</v>
      </c>
      <c r="G37" s="155"/>
      <c r="I37" s="377">
        <v>0</v>
      </c>
      <c r="J37" s="377">
        <v>60</v>
      </c>
      <c r="K37" s="377">
        <v>120</v>
      </c>
      <c r="L37" s="377">
        <v>120</v>
      </c>
      <c r="M37" s="377">
        <v>60</v>
      </c>
    </row>
    <row r="38" spans="1:13" s="118" customFormat="1" ht="14.45" customHeight="1" x14ac:dyDescent="0.25">
      <c r="A38" s="432"/>
      <c r="B38" s="120" t="str">
        <f t="shared" si="3"/>
        <v>Missed Appointment</v>
      </c>
      <c r="C38" s="120" t="s">
        <v>32</v>
      </c>
      <c r="D38" s="120">
        <v>7</v>
      </c>
      <c r="E38" s="120" t="s">
        <v>224</v>
      </c>
      <c r="F38" s="150" t="b">
        <f t="shared" si="4"/>
        <v>1</v>
      </c>
      <c r="G38" s="155"/>
      <c r="I38" s="377">
        <v>0</v>
      </c>
      <c r="J38" s="377">
        <v>60</v>
      </c>
      <c r="K38" s="377">
        <v>120</v>
      </c>
      <c r="L38" s="377">
        <v>120</v>
      </c>
      <c r="M38" s="377">
        <v>60</v>
      </c>
    </row>
    <row r="39" spans="1:13" s="118" customFormat="1" ht="14.45" customHeight="1" x14ac:dyDescent="0.25">
      <c r="A39" s="432"/>
      <c r="B39" s="120" t="str">
        <f t="shared" si="3"/>
        <v>Missed Appointment</v>
      </c>
      <c r="C39" s="120" t="s">
        <v>32</v>
      </c>
      <c r="D39" s="120">
        <v>8</v>
      </c>
      <c r="E39" s="120" t="s">
        <v>225</v>
      </c>
      <c r="F39" s="150" t="b">
        <f t="shared" si="4"/>
        <v>1</v>
      </c>
      <c r="G39" s="155"/>
      <c r="I39" s="377">
        <v>0</v>
      </c>
      <c r="J39" s="377">
        <v>30</v>
      </c>
      <c r="K39" s="377">
        <v>60</v>
      </c>
      <c r="L39" s="377">
        <v>60</v>
      </c>
      <c r="M39" s="377">
        <v>30</v>
      </c>
    </row>
    <row r="40" spans="1:13" s="118" customFormat="1" ht="14.45" customHeight="1" x14ac:dyDescent="0.25">
      <c r="A40" s="432"/>
      <c r="B40" s="120" t="str">
        <f t="shared" si="3"/>
        <v>Missed Appointment</v>
      </c>
      <c r="C40" s="120" t="s">
        <v>32</v>
      </c>
      <c r="D40" s="120">
        <v>9</v>
      </c>
      <c r="E40" s="120" t="s">
        <v>207</v>
      </c>
      <c r="F40" s="150" t="b">
        <f t="shared" si="4"/>
        <v>1</v>
      </c>
      <c r="G40" s="155"/>
      <c r="I40" s="377">
        <v>0</v>
      </c>
      <c r="J40" s="377">
        <v>60</v>
      </c>
      <c r="K40" s="377">
        <v>120</v>
      </c>
      <c r="L40" s="377">
        <v>120</v>
      </c>
      <c r="M40" s="377">
        <v>60</v>
      </c>
    </row>
    <row r="41" spans="1:13" s="118" customFormat="1" ht="14.45" customHeight="1" x14ac:dyDescent="0.25">
      <c r="A41" s="432"/>
      <c r="B41" s="120" t="str">
        <f t="shared" si="3"/>
        <v>Missed Appointment</v>
      </c>
      <c r="C41" s="120" t="s">
        <v>32</v>
      </c>
      <c r="D41" s="120">
        <v>10</v>
      </c>
      <c r="E41" s="120" t="s">
        <v>315</v>
      </c>
      <c r="F41" s="150" t="b">
        <f t="shared" si="4"/>
        <v>1</v>
      </c>
      <c r="G41" s="155"/>
      <c r="I41" s="377">
        <v>0</v>
      </c>
      <c r="J41" s="377">
        <v>60</v>
      </c>
      <c r="K41" s="377">
        <v>120</v>
      </c>
      <c r="L41" s="377">
        <v>120</v>
      </c>
      <c r="M41" s="377">
        <v>60</v>
      </c>
    </row>
    <row r="42" spans="1:13" s="118" customFormat="1" ht="14.45" customHeight="1" x14ac:dyDescent="0.25">
      <c r="A42" s="432"/>
      <c r="B42" s="120" t="str">
        <f t="shared" si="3"/>
        <v>Missed Appointment</v>
      </c>
      <c r="C42" s="120" t="s">
        <v>30</v>
      </c>
      <c r="D42" s="120">
        <v>1</v>
      </c>
      <c r="E42" s="120" t="s">
        <v>104</v>
      </c>
      <c r="F42" s="150" t="b">
        <f t="shared" si="4"/>
        <v>1</v>
      </c>
      <c r="G42" s="155"/>
      <c r="I42" s="377">
        <v>10</v>
      </c>
      <c r="J42" s="377">
        <v>20</v>
      </c>
      <c r="K42" s="377">
        <v>40</v>
      </c>
      <c r="L42" s="377">
        <v>40</v>
      </c>
      <c r="M42" s="377">
        <v>0</v>
      </c>
    </row>
    <row r="43" spans="1:13" s="118" customFormat="1" ht="14.45" customHeight="1" x14ac:dyDescent="0.25">
      <c r="A43" s="432"/>
      <c r="B43" s="120" t="str">
        <f t="shared" si="3"/>
        <v>Missed Appointment</v>
      </c>
      <c r="C43" s="120" t="s">
        <v>30</v>
      </c>
      <c r="D43" s="120">
        <v>2</v>
      </c>
      <c r="E43" s="120" t="s">
        <v>313</v>
      </c>
      <c r="F43" s="150" t="b">
        <f t="shared" si="4"/>
        <v>1</v>
      </c>
      <c r="G43" s="155"/>
      <c r="I43" s="377">
        <v>20</v>
      </c>
      <c r="J43" s="377">
        <v>40</v>
      </c>
      <c r="K43" s="377">
        <v>80</v>
      </c>
      <c r="L43" s="377">
        <v>80</v>
      </c>
      <c r="M43" s="377">
        <v>0</v>
      </c>
    </row>
    <row r="44" spans="1:13" s="134" customFormat="1" ht="12.75" x14ac:dyDescent="0.2">
      <c r="A44" s="433"/>
      <c r="B44" s="374"/>
      <c r="F44" s="375"/>
      <c r="G44" s="155"/>
      <c r="I44" s="405">
        <f>SUM(I30:I43)</f>
        <v>30</v>
      </c>
      <c r="J44" s="405">
        <f t="shared" ref="J44:M44" si="5">SUM(J30:J43)</f>
        <v>465</v>
      </c>
      <c r="K44" s="405">
        <f t="shared" si="5"/>
        <v>971.66666666666663</v>
      </c>
      <c r="L44" s="405">
        <f t="shared" si="5"/>
        <v>905</v>
      </c>
      <c r="M44" s="405">
        <f t="shared" si="5"/>
        <v>405</v>
      </c>
    </row>
    <row r="45" spans="1:13" s="116" customFormat="1" x14ac:dyDescent="0.2">
      <c r="A45" s="432"/>
      <c r="B45" s="104"/>
      <c r="F45" s="155"/>
      <c r="G45" s="155"/>
      <c r="I45" s="378"/>
      <c r="J45" s="378"/>
      <c r="K45" s="378"/>
      <c r="L45" s="378"/>
      <c r="M45" s="308"/>
    </row>
    <row r="46" spans="1:13" s="118" customFormat="1" ht="14.45" customHeight="1" x14ac:dyDescent="0.25">
      <c r="A46" s="432"/>
      <c r="B46" s="120" t="str">
        <f t="shared" ref="B46:B58" si="6">Trigger3</f>
        <v>Delayed Repair (Fixed)</v>
      </c>
      <c r="C46" s="120" t="s">
        <v>32</v>
      </c>
      <c r="D46" s="120">
        <v>1</v>
      </c>
      <c r="E46" s="120" t="s">
        <v>314</v>
      </c>
      <c r="F46" s="150" t="b">
        <f t="shared" ref="F46:F58" si="7">T3_on</f>
        <v>1</v>
      </c>
      <c r="G46" s="155"/>
      <c r="I46" s="377">
        <v>0</v>
      </c>
      <c r="J46" s="377">
        <v>30</v>
      </c>
      <c r="K46" s="377">
        <v>60</v>
      </c>
      <c r="L46" s="377">
        <v>60</v>
      </c>
      <c r="M46" s="377">
        <v>30</v>
      </c>
    </row>
    <row r="47" spans="1:13" s="118" customFormat="1" ht="14.45" customHeight="1" x14ac:dyDescent="0.25">
      <c r="A47" s="432"/>
      <c r="B47" s="120" t="str">
        <f t="shared" si="6"/>
        <v>Delayed Repair (Fixed)</v>
      </c>
      <c r="C47" s="120" t="s">
        <v>32</v>
      </c>
      <c r="D47" s="120">
        <v>2</v>
      </c>
      <c r="E47" s="120" t="s">
        <v>220</v>
      </c>
      <c r="F47" s="150" t="b">
        <f t="shared" si="7"/>
        <v>1</v>
      </c>
      <c r="G47" s="155"/>
      <c r="I47" s="377">
        <v>0</v>
      </c>
      <c r="J47" s="377">
        <v>0</v>
      </c>
      <c r="K47" s="377">
        <v>15</v>
      </c>
      <c r="L47" s="377">
        <v>15</v>
      </c>
      <c r="M47" s="377">
        <v>0</v>
      </c>
    </row>
    <row r="48" spans="1:13" s="118" customFormat="1" ht="14.45" customHeight="1" x14ac:dyDescent="0.25">
      <c r="A48" s="432"/>
      <c r="B48" s="120" t="str">
        <f t="shared" si="6"/>
        <v>Delayed Repair (Fixed)</v>
      </c>
      <c r="C48" s="120" t="s">
        <v>32</v>
      </c>
      <c r="D48" s="120">
        <v>3</v>
      </c>
      <c r="E48" s="120" t="s">
        <v>219</v>
      </c>
      <c r="F48" s="150" t="b">
        <f t="shared" si="7"/>
        <v>1</v>
      </c>
      <c r="G48" s="155"/>
      <c r="I48" s="377">
        <v>0</v>
      </c>
      <c r="J48" s="377">
        <v>60</v>
      </c>
      <c r="K48" s="377">
        <v>120</v>
      </c>
      <c r="L48" s="377">
        <v>120</v>
      </c>
      <c r="M48" s="377">
        <v>60</v>
      </c>
    </row>
    <row r="49" spans="1:13" s="118" customFormat="1" ht="14.45" customHeight="1" x14ac:dyDescent="0.25">
      <c r="A49" s="432"/>
      <c r="B49" s="120" t="str">
        <f t="shared" si="6"/>
        <v>Delayed Repair (Fixed)</v>
      </c>
      <c r="C49" s="120" t="s">
        <v>32</v>
      </c>
      <c r="D49" s="120">
        <v>4</v>
      </c>
      <c r="E49" s="120" t="s">
        <v>226</v>
      </c>
      <c r="F49" s="150" t="b">
        <f t="shared" si="7"/>
        <v>1</v>
      </c>
      <c r="G49" s="155"/>
      <c r="I49" s="377">
        <v>0</v>
      </c>
      <c r="J49" s="377">
        <v>15</v>
      </c>
      <c r="K49" s="377">
        <v>30</v>
      </c>
      <c r="L49" s="377">
        <v>30</v>
      </c>
      <c r="M49" s="377">
        <v>15</v>
      </c>
    </row>
    <row r="50" spans="1:13" s="118" customFormat="1" ht="14.45" customHeight="1" x14ac:dyDescent="0.25">
      <c r="A50" s="432"/>
      <c r="B50" s="120" t="str">
        <f t="shared" si="6"/>
        <v>Delayed Repair (Fixed)</v>
      </c>
      <c r="C50" s="120" t="s">
        <v>32</v>
      </c>
      <c r="D50" s="120">
        <v>5</v>
      </c>
      <c r="E50" s="120" t="s">
        <v>105</v>
      </c>
      <c r="F50" s="150" t="b">
        <f t="shared" si="7"/>
        <v>1</v>
      </c>
      <c r="G50" s="155"/>
      <c r="I50" s="377">
        <v>0</v>
      </c>
      <c r="J50" s="377">
        <v>15</v>
      </c>
      <c r="K50" s="377">
        <v>30</v>
      </c>
      <c r="L50" s="377">
        <v>30</v>
      </c>
      <c r="M50" s="377">
        <v>15</v>
      </c>
    </row>
    <row r="51" spans="1:13" s="118" customFormat="1" ht="14.45" customHeight="1" x14ac:dyDescent="0.25">
      <c r="A51" s="432"/>
      <c r="B51" s="120" t="str">
        <f t="shared" si="6"/>
        <v>Delayed Repair (Fixed)</v>
      </c>
      <c r="C51" s="120" t="s">
        <v>32</v>
      </c>
      <c r="D51" s="120">
        <v>6</v>
      </c>
      <c r="E51" s="120" t="s">
        <v>106</v>
      </c>
      <c r="F51" s="150" t="b">
        <f t="shared" si="7"/>
        <v>1</v>
      </c>
      <c r="G51" s="155"/>
      <c r="I51" s="377">
        <v>0</v>
      </c>
      <c r="J51" s="377">
        <v>15</v>
      </c>
      <c r="K51" s="377">
        <v>30</v>
      </c>
      <c r="L51" s="377">
        <v>30</v>
      </c>
      <c r="M51" s="377">
        <v>15</v>
      </c>
    </row>
    <row r="52" spans="1:13" s="118" customFormat="1" ht="14.45" customHeight="1" x14ac:dyDescent="0.25">
      <c r="A52" s="432"/>
      <c r="B52" s="120" t="str">
        <f t="shared" si="6"/>
        <v>Delayed Repair (Fixed)</v>
      </c>
      <c r="C52" s="120" t="s">
        <v>32</v>
      </c>
      <c r="D52" s="120">
        <v>7</v>
      </c>
      <c r="E52" s="120" t="s">
        <v>262</v>
      </c>
      <c r="F52" s="150" t="b">
        <f t="shared" si="7"/>
        <v>1</v>
      </c>
      <c r="G52" s="155"/>
      <c r="I52" s="377">
        <v>0</v>
      </c>
      <c r="J52" s="377">
        <v>60</v>
      </c>
      <c r="K52" s="377">
        <v>120</v>
      </c>
      <c r="L52" s="377">
        <v>120</v>
      </c>
      <c r="M52" s="377">
        <v>60</v>
      </c>
    </row>
    <row r="53" spans="1:13" s="118" customFormat="1" ht="14.45" customHeight="1" x14ac:dyDescent="0.25">
      <c r="A53" s="432"/>
      <c r="B53" s="120" t="str">
        <f t="shared" si="6"/>
        <v>Delayed Repair (Fixed)</v>
      </c>
      <c r="C53" s="120" t="s">
        <v>32</v>
      </c>
      <c r="D53" s="120">
        <v>8</v>
      </c>
      <c r="E53" s="120" t="s">
        <v>224</v>
      </c>
      <c r="F53" s="150" t="b">
        <f t="shared" si="7"/>
        <v>1</v>
      </c>
      <c r="G53" s="155"/>
      <c r="I53" s="377">
        <v>0</v>
      </c>
      <c r="J53" s="377">
        <v>60</v>
      </c>
      <c r="K53" s="377">
        <v>120</v>
      </c>
      <c r="L53" s="377">
        <v>120</v>
      </c>
      <c r="M53" s="377">
        <v>60</v>
      </c>
    </row>
    <row r="54" spans="1:13" s="118" customFormat="1" ht="14.45" customHeight="1" x14ac:dyDescent="0.25">
      <c r="A54" s="432"/>
      <c r="B54" s="120" t="str">
        <f t="shared" si="6"/>
        <v>Delayed Repair (Fixed)</v>
      </c>
      <c r="C54" s="120" t="s">
        <v>32</v>
      </c>
      <c r="D54" s="120">
        <v>9</v>
      </c>
      <c r="E54" s="120" t="s">
        <v>225</v>
      </c>
      <c r="F54" s="150" t="b">
        <f t="shared" si="7"/>
        <v>1</v>
      </c>
      <c r="G54" s="155"/>
      <c r="I54" s="377">
        <v>0</v>
      </c>
      <c r="J54" s="377">
        <v>30</v>
      </c>
      <c r="K54" s="377">
        <v>60</v>
      </c>
      <c r="L54" s="377">
        <v>60</v>
      </c>
      <c r="M54" s="377">
        <v>30</v>
      </c>
    </row>
    <row r="55" spans="1:13" s="118" customFormat="1" ht="14.45" customHeight="1" x14ac:dyDescent="0.25">
      <c r="A55" s="432"/>
      <c r="B55" s="120" t="str">
        <f t="shared" si="6"/>
        <v>Delayed Repair (Fixed)</v>
      </c>
      <c r="C55" s="120" t="s">
        <v>32</v>
      </c>
      <c r="D55" s="120">
        <v>10</v>
      </c>
      <c r="E55" s="120" t="s">
        <v>207</v>
      </c>
      <c r="F55" s="150" t="b">
        <f t="shared" si="7"/>
        <v>1</v>
      </c>
      <c r="G55" s="155"/>
      <c r="I55" s="377">
        <v>0</v>
      </c>
      <c r="J55" s="377">
        <v>60</v>
      </c>
      <c r="K55" s="377">
        <v>120</v>
      </c>
      <c r="L55" s="377">
        <v>120</v>
      </c>
      <c r="M55" s="377">
        <v>60</v>
      </c>
    </row>
    <row r="56" spans="1:13" s="118" customFormat="1" ht="14.45" customHeight="1" x14ac:dyDescent="0.25">
      <c r="A56" s="432"/>
      <c r="B56" s="120" t="str">
        <f t="shared" si="6"/>
        <v>Delayed Repair (Fixed)</v>
      </c>
      <c r="C56" s="120" t="s">
        <v>32</v>
      </c>
      <c r="D56" s="120">
        <v>11</v>
      </c>
      <c r="E56" s="120" t="s">
        <v>315</v>
      </c>
      <c r="F56" s="150" t="b">
        <f t="shared" si="7"/>
        <v>1</v>
      </c>
      <c r="G56" s="155"/>
      <c r="I56" s="377">
        <v>0</v>
      </c>
      <c r="J56" s="377">
        <v>60</v>
      </c>
      <c r="K56" s="377">
        <v>120</v>
      </c>
      <c r="L56" s="377">
        <v>120</v>
      </c>
      <c r="M56" s="377">
        <v>60</v>
      </c>
    </row>
    <row r="57" spans="1:13" s="118" customFormat="1" ht="14.45" customHeight="1" x14ac:dyDescent="0.25">
      <c r="A57" s="432"/>
      <c r="B57" s="120" t="str">
        <f t="shared" si="6"/>
        <v>Delayed Repair (Fixed)</v>
      </c>
      <c r="C57" s="120" t="s">
        <v>30</v>
      </c>
      <c r="D57" s="120">
        <v>1</v>
      </c>
      <c r="E57" s="120" t="s">
        <v>104</v>
      </c>
      <c r="F57" s="150" t="b">
        <f>T3_on</f>
        <v>1</v>
      </c>
      <c r="G57" s="155"/>
      <c r="I57" s="377">
        <v>10</v>
      </c>
      <c r="J57" s="377">
        <v>20</v>
      </c>
      <c r="K57" s="377">
        <v>40</v>
      </c>
      <c r="L57" s="377">
        <v>40</v>
      </c>
      <c r="M57" s="377">
        <v>0</v>
      </c>
    </row>
    <row r="58" spans="1:13" s="118" customFormat="1" ht="14.45" customHeight="1" x14ac:dyDescent="0.25">
      <c r="A58" s="432"/>
      <c r="B58" s="120" t="str">
        <f t="shared" si="6"/>
        <v>Delayed Repair (Fixed)</v>
      </c>
      <c r="C58" s="120" t="s">
        <v>30</v>
      </c>
      <c r="D58" s="120">
        <v>2</v>
      </c>
      <c r="E58" s="120" t="s">
        <v>313</v>
      </c>
      <c r="F58" s="150" t="b">
        <f t="shared" si="7"/>
        <v>1</v>
      </c>
      <c r="G58" s="155"/>
      <c r="I58" s="377">
        <v>20</v>
      </c>
      <c r="J58" s="377">
        <v>40</v>
      </c>
      <c r="K58" s="377">
        <v>80</v>
      </c>
      <c r="L58" s="377">
        <v>80</v>
      </c>
      <c r="M58" s="377">
        <v>0</v>
      </c>
    </row>
    <row r="59" spans="1:13" s="134" customFormat="1" ht="12.75" x14ac:dyDescent="0.2">
      <c r="A59" s="433"/>
      <c r="B59" s="374"/>
      <c r="F59" s="375"/>
      <c r="G59" s="155"/>
      <c r="H59" s="375"/>
      <c r="I59" s="405">
        <f>SUM(I46:I58)</f>
        <v>30</v>
      </c>
      <c r="J59" s="405">
        <f t="shared" ref="J59" si="8">SUM(J46:J58)</f>
        <v>465</v>
      </c>
      <c r="K59" s="405">
        <f t="shared" ref="K59" si="9">SUM(K46:K58)</f>
        <v>945</v>
      </c>
      <c r="L59" s="405">
        <f t="shared" ref="L59" si="10">SUM(L46:L58)</f>
        <v>945</v>
      </c>
      <c r="M59" s="405">
        <f t="shared" ref="M59" si="11">SUM(M46:M58)</f>
        <v>405</v>
      </c>
    </row>
    <row r="60" spans="1:13" s="116" customFormat="1" x14ac:dyDescent="0.25">
      <c r="A60" s="432"/>
      <c r="B60" s="113" t="s">
        <v>234</v>
      </c>
      <c r="C60" s="113"/>
      <c r="D60" s="156">
        <f>COUNTIF(Control_Panel!E32:E34,TRUE)</f>
        <v>3</v>
      </c>
      <c r="F60" s="155"/>
      <c r="G60" s="155"/>
      <c r="H60" s="155"/>
      <c r="I60" s="378"/>
      <c r="J60" s="378"/>
      <c r="K60" s="378"/>
      <c r="L60" s="378"/>
      <c r="M60" s="308"/>
    </row>
    <row r="61" spans="1:13" ht="14.25" customHeight="1" x14ac:dyDescent="0.25">
      <c r="H61" s="113"/>
    </row>
    <row r="62" spans="1:13" s="116" customFormat="1" x14ac:dyDescent="0.25">
      <c r="A62" s="431"/>
      <c r="B62" s="324" t="s">
        <v>63</v>
      </c>
      <c r="C62" s="324" t="s">
        <v>228</v>
      </c>
      <c r="D62" s="324" t="s">
        <v>229</v>
      </c>
      <c r="E62" s="324" t="s">
        <v>103</v>
      </c>
      <c r="F62" s="324" t="s">
        <v>255</v>
      </c>
      <c r="G62" s="324" t="s">
        <v>256</v>
      </c>
      <c r="H62" s="324"/>
      <c r="I62" s="459" t="s">
        <v>237</v>
      </c>
      <c r="J62" s="459" t="s">
        <v>238</v>
      </c>
      <c r="K62" s="459" t="s">
        <v>239</v>
      </c>
      <c r="L62" s="459" t="s">
        <v>240</v>
      </c>
      <c r="M62" s="459" t="s">
        <v>8</v>
      </c>
    </row>
    <row r="63" spans="1:13" x14ac:dyDescent="0.25">
      <c r="H63" s="113"/>
    </row>
    <row r="64" spans="1:13" x14ac:dyDescent="0.25">
      <c r="B64" s="119" t="s">
        <v>230</v>
      </c>
      <c r="C64" s="120" t="s">
        <v>32</v>
      </c>
      <c r="D64" s="120">
        <v>1</v>
      </c>
      <c r="E64" s="120" t="s">
        <v>314</v>
      </c>
      <c r="F64" s="154">
        <f t="shared" ref="F64:F79" si="12">COUNTIFS($E$13:$E$58,E64,$F$13:$F$58,TRUE)</f>
        <v>3</v>
      </c>
      <c r="G64" s="403">
        <v>0.5</v>
      </c>
      <c r="H64" s="241"/>
      <c r="I64" s="377">
        <v>0</v>
      </c>
      <c r="J64" s="379">
        <f t="shared" ref="J64:M79" si="13">IFERROR(SUMIFS(J$13:J$58,$E$13:$E$58,$E64,$F$13:$F$58,TRUE)*(1-$G64*($F64-1)/$F64),0)</f>
        <v>60.000000000000007</v>
      </c>
      <c r="K64" s="379">
        <f t="shared" si="13"/>
        <v>120.00000000000001</v>
      </c>
      <c r="L64" s="379">
        <f t="shared" si="13"/>
        <v>120.00000000000001</v>
      </c>
      <c r="M64" s="379">
        <f t="shared" si="13"/>
        <v>60.000000000000007</v>
      </c>
    </row>
    <row r="65" spans="1:13" x14ac:dyDescent="0.25">
      <c r="B65" s="119" t="s">
        <v>230</v>
      </c>
      <c r="C65" s="120" t="s">
        <v>32</v>
      </c>
      <c r="D65" s="120">
        <v>2</v>
      </c>
      <c r="E65" s="120" t="s">
        <v>220</v>
      </c>
      <c r="F65" s="154">
        <f t="shared" si="12"/>
        <v>3</v>
      </c>
      <c r="G65" s="403">
        <v>1</v>
      </c>
      <c r="H65" s="241"/>
      <c r="I65" s="377">
        <v>0</v>
      </c>
      <c r="J65" s="379">
        <f t="shared" si="13"/>
        <v>0</v>
      </c>
      <c r="K65" s="379">
        <f t="shared" si="13"/>
        <v>15.000000000000002</v>
      </c>
      <c r="L65" s="379">
        <f t="shared" si="13"/>
        <v>15.000000000000002</v>
      </c>
      <c r="M65" s="379">
        <f t="shared" si="13"/>
        <v>0</v>
      </c>
    </row>
    <row r="66" spans="1:13" x14ac:dyDescent="0.25">
      <c r="B66" s="119" t="s">
        <v>230</v>
      </c>
      <c r="C66" s="120" t="s">
        <v>32</v>
      </c>
      <c r="D66" s="120">
        <v>3</v>
      </c>
      <c r="E66" s="120" t="s">
        <v>219</v>
      </c>
      <c r="F66" s="154">
        <f t="shared" si="12"/>
        <v>3</v>
      </c>
      <c r="G66" s="403">
        <v>0.75</v>
      </c>
      <c r="H66" s="241"/>
      <c r="I66" s="377">
        <v>0</v>
      </c>
      <c r="J66" s="379">
        <f t="shared" si="13"/>
        <v>90</v>
      </c>
      <c r="K66" s="379">
        <f t="shared" si="13"/>
        <v>180</v>
      </c>
      <c r="L66" s="379">
        <f t="shared" si="13"/>
        <v>180</v>
      </c>
      <c r="M66" s="379">
        <f t="shared" si="13"/>
        <v>90</v>
      </c>
    </row>
    <row r="67" spans="1:13" x14ac:dyDescent="0.25">
      <c r="B67" s="119" t="s">
        <v>230</v>
      </c>
      <c r="C67" s="120" t="s">
        <v>32</v>
      </c>
      <c r="D67" s="120">
        <v>4</v>
      </c>
      <c r="E67" s="120" t="s">
        <v>223</v>
      </c>
      <c r="F67" s="154">
        <f t="shared" si="12"/>
        <v>2</v>
      </c>
      <c r="G67" s="403">
        <v>1</v>
      </c>
      <c r="H67" s="241"/>
      <c r="I67" s="377">
        <v>0</v>
      </c>
      <c r="J67" s="379">
        <f t="shared" si="13"/>
        <v>0</v>
      </c>
      <c r="K67" s="379">
        <f t="shared" si="13"/>
        <v>6.666666666666667</v>
      </c>
      <c r="L67" s="379">
        <f t="shared" si="13"/>
        <v>20</v>
      </c>
      <c r="M67" s="379">
        <f t="shared" si="13"/>
        <v>0</v>
      </c>
    </row>
    <row r="68" spans="1:13" x14ac:dyDescent="0.25">
      <c r="B68" s="119" t="s">
        <v>230</v>
      </c>
      <c r="C68" s="120" t="s">
        <v>32</v>
      </c>
      <c r="D68" s="120">
        <v>4</v>
      </c>
      <c r="E68" s="120" t="s">
        <v>221</v>
      </c>
      <c r="F68" s="154">
        <f t="shared" si="12"/>
        <v>2</v>
      </c>
      <c r="G68" s="403">
        <v>1</v>
      </c>
      <c r="H68" s="241"/>
      <c r="I68" s="377">
        <v>0</v>
      </c>
      <c r="J68" s="379">
        <f t="shared" si="13"/>
        <v>30</v>
      </c>
      <c r="K68" s="379">
        <f t="shared" si="13"/>
        <v>60</v>
      </c>
      <c r="L68" s="379">
        <f t="shared" si="13"/>
        <v>0</v>
      </c>
      <c r="M68" s="379">
        <f t="shared" si="13"/>
        <v>30</v>
      </c>
    </row>
    <row r="69" spans="1:13" x14ac:dyDescent="0.25">
      <c r="B69" s="119" t="s">
        <v>230</v>
      </c>
      <c r="C69" s="120" t="s">
        <v>32</v>
      </c>
      <c r="D69" s="120">
        <v>4</v>
      </c>
      <c r="E69" s="120" t="s">
        <v>222</v>
      </c>
      <c r="F69" s="154">
        <f t="shared" si="12"/>
        <v>2</v>
      </c>
      <c r="G69" s="403">
        <v>1</v>
      </c>
      <c r="H69" s="241"/>
      <c r="I69" s="377">
        <v>0</v>
      </c>
      <c r="J69" s="379">
        <f t="shared" si="13"/>
        <v>0</v>
      </c>
      <c r="K69" s="379">
        <f t="shared" si="13"/>
        <v>20</v>
      </c>
      <c r="L69" s="379">
        <f t="shared" si="13"/>
        <v>0</v>
      </c>
      <c r="M69" s="379">
        <f t="shared" si="13"/>
        <v>0</v>
      </c>
    </row>
    <row r="70" spans="1:13" x14ac:dyDescent="0.25">
      <c r="B70" s="119" t="s">
        <v>230</v>
      </c>
      <c r="C70" s="120" t="s">
        <v>32</v>
      </c>
      <c r="D70" s="120">
        <v>4</v>
      </c>
      <c r="E70" s="120" t="s">
        <v>226</v>
      </c>
      <c r="F70" s="154">
        <f t="shared" si="12"/>
        <v>1</v>
      </c>
      <c r="G70" s="403">
        <v>0</v>
      </c>
      <c r="H70" s="241"/>
      <c r="I70" s="377">
        <v>0</v>
      </c>
      <c r="J70" s="379">
        <f t="shared" si="13"/>
        <v>15</v>
      </c>
      <c r="K70" s="379">
        <f t="shared" si="13"/>
        <v>30</v>
      </c>
      <c r="L70" s="379">
        <f t="shared" si="13"/>
        <v>30</v>
      </c>
      <c r="M70" s="379">
        <f t="shared" si="13"/>
        <v>15</v>
      </c>
    </row>
    <row r="71" spans="1:13" x14ac:dyDescent="0.25">
      <c r="B71" s="119" t="s">
        <v>230</v>
      </c>
      <c r="C71" s="120" t="s">
        <v>32</v>
      </c>
      <c r="D71" s="120">
        <v>5</v>
      </c>
      <c r="E71" s="120" t="s">
        <v>105</v>
      </c>
      <c r="F71" s="154">
        <f t="shared" si="12"/>
        <v>3</v>
      </c>
      <c r="G71" s="403">
        <v>0</v>
      </c>
      <c r="H71" s="241"/>
      <c r="I71" s="377">
        <v>0</v>
      </c>
      <c r="J71" s="379">
        <f t="shared" si="13"/>
        <v>45</v>
      </c>
      <c r="K71" s="379">
        <f t="shared" si="13"/>
        <v>90</v>
      </c>
      <c r="L71" s="379">
        <f t="shared" si="13"/>
        <v>90</v>
      </c>
      <c r="M71" s="379">
        <f t="shared" si="13"/>
        <v>45</v>
      </c>
    </row>
    <row r="72" spans="1:13" x14ac:dyDescent="0.25">
      <c r="B72" s="119" t="s">
        <v>230</v>
      </c>
      <c r="C72" s="120" t="s">
        <v>32</v>
      </c>
      <c r="D72" s="120">
        <v>6</v>
      </c>
      <c r="E72" s="120" t="s">
        <v>106</v>
      </c>
      <c r="F72" s="154">
        <f t="shared" si="12"/>
        <v>2</v>
      </c>
      <c r="G72" s="403">
        <v>0</v>
      </c>
      <c r="H72" s="241"/>
      <c r="I72" s="377">
        <v>0</v>
      </c>
      <c r="J72" s="379">
        <f t="shared" si="13"/>
        <v>30</v>
      </c>
      <c r="K72" s="379">
        <f t="shared" si="13"/>
        <v>60</v>
      </c>
      <c r="L72" s="379">
        <f t="shared" si="13"/>
        <v>60</v>
      </c>
      <c r="M72" s="379">
        <f t="shared" si="13"/>
        <v>30</v>
      </c>
    </row>
    <row r="73" spans="1:13" x14ac:dyDescent="0.25">
      <c r="B73" s="119" t="s">
        <v>230</v>
      </c>
      <c r="C73" s="120" t="s">
        <v>32</v>
      </c>
      <c r="D73" s="120">
        <v>7</v>
      </c>
      <c r="E73" s="120" t="s">
        <v>262</v>
      </c>
      <c r="F73" s="154">
        <f t="shared" si="12"/>
        <v>3</v>
      </c>
      <c r="G73" s="403">
        <v>0.75</v>
      </c>
      <c r="H73" s="241"/>
      <c r="I73" s="377">
        <v>0</v>
      </c>
      <c r="J73" s="379">
        <f t="shared" si="13"/>
        <v>90</v>
      </c>
      <c r="K73" s="379">
        <f t="shared" si="13"/>
        <v>180</v>
      </c>
      <c r="L73" s="379">
        <f t="shared" si="13"/>
        <v>180</v>
      </c>
      <c r="M73" s="379">
        <f t="shared" si="13"/>
        <v>90</v>
      </c>
    </row>
    <row r="74" spans="1:13" x14ac:dyDescent="0.25">
      <c r="B74" s="119" t="s">
        <v>230</v>
      </c>
      <c r="C74" s="120" t="s">
        <v>32</v>
      </c>
      <c r="D74" s="120">
        <v>8</v>
      </c>
      <c r="E74" s="120" t="s">
        <v>224</v>
      </c>
      <c r="F74" s="154">
        <f t="shared" si="12"/>
        <v>3</v>
      </c>
      <c r="G74" s="403">
        <v>0.75</v>
      </c>
      <c r="H74" s="241"/>
      <c r="I74" s="377">
        <v>0</v>
      </c>
      <c r="J74" s="379">
        <f t="shared" si="13"/>
        <v>90</v>
      </c>
      <c r="K74" s="379">
        <f t="shared" si="13"/>
        <v>180</v>
      </c>
      <c r="L74" s="379">
        <f t="shared" si="13"/>
        <v>180</v>
      </c>
      <c r="M74" s="379">
        <f t="shared" si="13"/>
        <v>90</v>
      </c>
    </row>
    <row r="75" spans="1:13" x14ac:dyDescent="0.25">
      <c r="B75" s="119" t="s">
        <v>230</v>
      </c>
      <c r="C75" s="120" t="s">
        <v>32</v>
      </c>
      <c r="D75" s="120">
        <v>9</v>
      </c>
      <c r="E75" s="120" t="s">
        <v>225</v>
      </c>
      <c r="F75" s="154">
        <f t="shared" si="12"/>
        <v>3</v>
      </c>
      <c r="G75" s="403">
        <v>0.75</v>
      </c>
      <c r="H75" s="241"/>
      <c r="I75" s="377">
        <v>0</v>
      </c>
      <c r="J75" s="379">
        <f t="shared" si="13"/>
        <v>45</v>
      </c>
      <c r="K75" s="379">
        <f t="shared" si="13"/>
        <v>90</v>
      </c>
      <c r="L75" s="379">
        <f t="shared" si="13"/>
        <v>90</v>
      </c>
      <c r="M75" s="379">
        <f t="shared" si="13"/>
        <v>45</v>
      </c>
    </row>
    <row r="76" spans="1:13" x14ac:dyDescent="0.25">
      <c r="B76" s="119" t="s">
        <v>230</v>
      </c>
      <c r="C76" s="120" t="s">
        <v>32</v>
      </c>
      <c r="D76" s="120">
        <v>10</v>
      </c>
      <c r="E76" s="120" t="s">
        <v>207</v>
      </c>
      <c r="F76" s="154">
        <f t="shared" si="12"/>
        <v>3</v>
      </c>
      <c r="G76" s="403">
        <v>0.5</v>
      </c>
      <c r="H76" s="241"/>
      <c r="I76" s="377">
        <v>0</v>
      </c>
      <c r="J76" s="379">
        <f t="shared" si="13"/>
        <v>120.00000000000001</v>
      </c>
      <c r="K76" s="379">
        <f t="shared" si="13"/>
        <v>240.00000000000003</v>
      </c>
      <c r="L76" s="379">
        <f t="shared" si="13"/>
        <v>240.00000000000003</v>
      </c>
      <c r="M76" s="379">
        <f t="shared" si="13"/>
        <v>120.00000000000001</v>
      </c>
    </row>
    <row r="77" spans="1:13" x14ac:dyDescent="0.25">
      <c r="B77" s="119" t="s">
        <v>230</v>
      </c>
      <c r="C77" s="120" t="s">
        <v>32</v>
      </c>
      <c r="D77" s="120">
        <v>11</v>
      </c>
      <c r="E77" s="120" t="s">
        <v>315</v>
      </c>
      <c r="F77" s="154">
        <f t="shared" si="12"/>
        <v>3</v>
      </c>
      <c r="G77" s="403">
        <v>0.75</v>
      </c>
      <c r="H77" s="241"/>
      <c r="I77" s="377">
        <v>0</v>
      </c>
      <c r="J77" s="379">
        <f t="shared" si="13"/>
        <v>90</v>
      </c>
      <c r="K77" s="379">
        <f t="shared" si="13"/>
        <v>180</v>
      </c>
      <c r="L77" s="379">
        <f t="shared" si="13"/>
        <v>180</v>
      </c>
      <c r="M77" s="379">
        <f t="shared" si="13"/>
        <v>90</v>
      </c>
    </row>
    <row r="78" spans="1:13" x14ac:dyDescent="0.25">
      <c r="B78" s="119" t="s">
        <v>230</v>
      </c>
      <c r="C78" s="120" t="s">
        <v>30</v>
      </c>
      <c r="D78" s="120">
        <v>1</v>
      </c>
      <c r="E78" s="120" t="s">
        <v>104</v>
      </c>
      <c r="F78" s="154">
        <f t="shared" si="12"/>
        <v>3</v>
      </c>
      <c r="G78" s="403">
        <v>0.5</v>
      </c>
      <c r="H78" s="241"/>
      <c r="I78" s="377">
        <v>15</v>
      </c>
      <c r="J78" s="379">
        <f t="shared" si="13"/>
        <v>40.000000000000007</v>
      </c>
      <c r="K78" s="379">
        <f t="shared" si="13"/>
        <v>80.000000000000014</v>
      </c>
      <c r="L78" s="379">
        <f t="shared" si="13"/>
        <v>80.000000000000014</v>
      </c>
      <c r="M78" s="379">
        <f t="shared" si="13"/>
        <v>0</v>
      </c>
    </row>
    <row r="79" spans="1:13" x14ac:dyDescent="0.25">
      <c r="B79" s="119" t="s">
        <v>230</v>
      </c>
      <c r="C79" s="120" t="s">
        <v>30</v>
      </c>
      <c r="D79" s="120">
        <v>2</v>
      </c>
      <c r="E79" s="120" t="s">
        <v>313</v>
      </c>
      <c r="F79" s="154">
        <f t="shared" si="12"/>
        <v>3</v>
      </c>
      <c r="G79" s="403">
        <v>0.75</v>
      </c>
      <c r="H79" s="241"/>
      <c r="I79" s="377">
        <v>20</v>
      </c>
      <c r="J79" s="379">
        <f t="shared" si="13"/>
        <v>60</v>
      </c>
      <c r="K79" s="379">
        <f t="shared" si="13"/>
        <v>120</v>
      </c>
      <c r="L79" s="379">
        <f t="shared" si="13"/>
        <v>120</v>
      </c>
      <c r="M79" s="379">
        <f t="shared" si="13"/>
        <v>0</v>
      </c>
    </row>
    <row r="80" spans="1:13" s="134" customFormat="1" ht="12.75" x14ac:dyDescent="0.2">
      <c r="A80" s="433"/>
      <c r="B80" s="374"/>
      <c r="F80" s="375"/>
      <c r="G80" s="375"/>
      <c r="I80" s="405">
        <f>SUM(I64:I79)</f>
        <v>35</v>
      </c>
      <c r="J80" s="405">
        <f t="shared" ref="J80:M80" si="14">SUM(J64:J79)</f>
        <v>805</v>
      </c>
      <c r="K80" s="405">
        <f t="shared" si="14"/>
        <v>1651.6666666666667</v>
      </c>
      <c r="L80" s="405">
        <f t="shared" si="14"/>
        <v>1585</v>
      </c>
      <c r="M80" s="405">
        <f t="shared" si="14"/>
        <v>705</v>
      </c>
    </row>
    <row r="81" spans="1:13" s="134" customFormat="1" ht="12.75" x14ac:dyDescent="0.2">
      <c r="A81" s="435"/>
      <c r="I81" s="380"/>
      <c r="J81" s="380"/>
      <c r="K81" s="380"/>
      <c r="L81" s="380"/>
      <c r="M81" s="380"/>
    </row>
    <row r="82" spans="1:13" x14ac:dyDescent="0.25">
      <c r="H82" s="113"/>
    </row>
    <row r="83" spans="1:13" x14ac:dyDescent="0.25">
      <c r="H83" s="113"/>
    </row>
    <row r="84" spans="1:13" x14ac:dyDescent="0.25">
      <c r="H84" s="113"/>
    </row>
    <row r="85" spans="1:13" x14ac:dyDescent="0.25">
      <c r="H85" s="113"/>
    </row>
    <row r="86" spans="1:13" x14ac:dyDescent="0.25">
      <c r="H86" s="113"/>
    </row>
    <row r="87" spans="1:13" x14ac:dyDescent="0.25">
      <c r="H87" s="113"/>
    </row>
    <row r="88" spans="1:13" x14ac:dyDescent="0.25">
      <c r="H88" s="113"/>
    </row>
    <row r="89" spans="1:13" x14ac:dyDescent="0.25">
      <c r="H89" s="113"/>
    </row>
    <row r="90" spans="1:13" x14ac:dyDescent="0.25">
      <c r="H90" s="113"/>
    </row>
    <row r="91" spans="1:13" x14ac:dyDescent="0.25">
      <c r="H91" s="113"/>
    </row>
    <row r="92" spans="1:13" x14ac:dyDescent="0.25">
      <c r="H92" s="113"/>
    </row>
    <row r="93" spans="1:13" x14ac:dyDescent="0.25">
      <c r="H93" s="113"/>
    </row>
    <row r="94" spans="1:13" x14ac:dyDescent="0.25">
      <c r="H94" s="113"/>
    </row>
    <row r="95" spans="1:13" x14ac:dyDescent="0.25">
      <c r="H95" s="113"/>
    </row>
    <row r="96" spans="1:13" x14ac:dyDescent="0.25">
      <c r="H96" s="113"/>
    </row>
    <row r="97" spans="8:8" x14ac:dyDescent="0.25">
      <c r="H97" s="113"/>
    </row>
    <row r="98" spans="8:8" x14ac:dyDescent="0.25">
      <c r="H98" s="113"/>
    </row>
    <row r="99" spans="8:8" x14ac:dyDescent="0.25">
      <c r="H99" s="113"/>
    </row>
    <row r="100" spans="8:8" x14ac:dyDescent="0.25">
      <c r="H100" s="113"/>
    </row>
    <row r="101" spans="8:8" x14ac:dyDescent="0.25">
      <c r="H101" s="113"/>
    </row>
    <row r="102" spans="8:8" x14ac:dyDescent="0.25">
      <c r="H102" s="113"/>
    </row>
    <row r="103" spans="8:8" x14ac:dyDescent="0.25">
      <c r="H103" s="113"/>
    </row>
    <row r="104" spans="8:8" x14ac:dyDescent="0.25">
      <c r="H104" s="113"/>
    </row>
    <row r="105" spans="8:8" x14ac:dyDescent="0.25">
      <c r="H105" s="113"/>
    </row>
    <row r="106" spans="8:8" x14ac:dyDescent="0.25">
      <c r="H106" s="113"/>
    </row>
    <row r="107" spans="8:8" x14ac:dyDescent="0.25">
      <c r="H107" s="113"/>
    </row>
    <row r="108" spans="8:8" x14ac:dyDescent="0.25">
      <c r="H108" s="113"/>
    </row>
    <row r="109" spans="8:8" x14ac:dyDescent="0.25">
      <c r="H109" s="113"/>
    </row>
    <row r="110" spans="8:8" x14ac:dyDescent="0.25">
      <c r="H110" s="113"/>
    </row>
    <row r="111" spans="8:8" x14ac:dyDescent="0.25">
      <c r="H111" s="113"/>
    </row>
    <row r="112" spans="8:8" x14ac:dyDescent="0.25">
      <c r="H112" s="113"/>
    </row>
    <row r="113" spans="8:8" x14ac:dyDescent="0.25">
      <c r="H113" s="113"/>
    </row>
    <row r="114" spans="8:8" x14ac:dyDescent="0.25">
      <c r="H114" s="113"/>
    </row>
    <row r="115" spans="8:8" x14ac:dyDescent="0.25">
      <c r="H115" s="113"/>
    </row>
    <row r="116" spans="8:8" x14ac:dyDescent="0.25">
      <c r="H116" s="113"/>
    </row>
    <row r="117" spans="8:8" x14ac:dyDescent="0.25">
      <c r="H117" s="113"/>
    </row>
    <row r="118" spans="8:8" x14ac:dyDescent="0.25">
      <c r="H118" s="113"/>
    </row>
    <row r="119" spans="8:8" x14ac:dyDescent="0.25">
      <c r="H119" s="113"/>
    </row>
    <row r="120" spans="8:8" x14ac:dyDescent="0.25">
      <c r="H120" s="113"/>
    </row>
    <row r="121" spans="8:8" x14ac:dyDescent="0.25">
      <c r="H121" s="113"/>
    </row>
    <row r="122" spans="8:8" x14ac:dyDescent="0.25">
      <c r="H122" s="113"/>
    </row>
    <row r="123" spans="8:8" x14ac:dyDescent="0.25">
      <c r="H123" s="113"/>
    </row>
    <row r="124" spans="8:8" x14ac:dyDescent="0.25">
      <c r="H124" s="113"/>
    </row>
    <row r="125" spans="8:8" x14ac:dyDescent="0.25">
      <c r="H125" s="113"/>
    </row>
    <row r="126" spans="8:8" x14ac:dyDescent="0.25">
      <c r="H126" s="113"/>
    </row>
    <row r="127" spans="8:8" x14ac:dyDescent="0.25">
      <c r="H127" s="113"/>
    </row>
    <row r="128" spans="8:8" x14ac:dyDescent="0.25">
      <c r="H128" s="113"/>
    </row>
    <row r="129" spans="8:8" x14ac:dyDescent="0.25">
      <c r="H129" s="113"/>
    </row>
    <row r="130" spans="8:8" x14ac:dyDescent="0.25">
      <c r="H130" s="113"/>
    </row>
    <row r="131" spans="8:8" x14ac:dyDescent="0.25">
      <c r="H131" s="113"/>
    </row>
    <row r="132" spans="8:8" x14ac:dyDescent="0.25">
      <c r="H132" s="113"/>
    </row>
    <row r="133" spans="8:8" x14ac:dyDescent="0.25">
      <c r="H133" s="113"/>
    </row>
    <row r="134" spans="8:8" x14ac:dyDescent="0.25">
      <c r="H134" s="113"/>
    </row>
    <row r="135" spans="8:8" x14ac:dyDescent="0.25">
      <c r="H135" s="113"/>
    </row>
    <row r="136" spans="8:8" x14ac:dyDescent="0.25">
      <c r="H136" s="113"/>
    </row>
    <row r="137" spans="8:8" x14ac:dyDescent="0.25">
      <c r="H137" s="113"/>
    </row>
    <row r="138" spans="8:8" x14ac:dyDescent="0.25">
      <c r="H138" s="113"/>
    </row>
    <row r="139" spans="8:8" x14ac:dyDescent="0.25">
      <c r="H139" s="113"/>
    </row>
    <row r="140" spans="8:8" x14ac:dyDescent="0.25">
      <c r="H140" s="113"/>
    </row>
    <row r="141" spans="8:8" x14ac:dyDescent="0.25">
      <c r="H141" s="113"/>
    </row>
    <row r="142" spans="8:8" x14ac:dyDescent="0.25">
      <c r="H142" s="113"/>
    </row>
    <row r="143" spans="8:8" x14ac:dyDescent="0.25">
      <c r="H143" s="113"/>
    </row>
    <row r="144" spans="8:8" x14ac:dyDescent="0.25">
      <c r="H144" s="113"/>
    </row>
    <row r="145" spans="8:8" x14ac:dyDescent="0.25">
      <c r="H145" s="113"/>
    </row>
    <row r="146" spans="8:8" x14ac:dyDescent="0.25">
      <c r="H146" s="113"/>
    </row>
    <row r="147" spans="8:8" x14ac:dyDescent="0.25">
      <c r="H147" s="113"/>
    </row>
    <row r="148" spans="8:8" x14ac:dyDescent="0.25">
      <c r="H148" s="113"/>
    </row>
    <row r="149" spans="8:8" x14ac:dyDescent="0.25">
      <c r="H149" s="113"/>
    </row>
    <row r="150" spans="8:8" x14ac:dyDescent="0.25">
      <c r="H150" s="113"/>
    </row>
    <row r="151" spans="8:8" x14ac:dyDescent="0.25">
      <c r="H151" s="113"/>
    </row>
    <row r="152" spans="8:8" x14ac:dyDescent="0.25">
      <c r="H152" s="113"/>
    </row>
    <row r="153" spans="8:8" x14ac:dyDescent="0.25">
      <c r="H153" s="113"/>
    </row>
    <row r="154" spans="8:8" x14ac:dyDescent="0.25">
      <c r="H154" s="113"/>
    </row>
  </sheetData>
  <sortState ref="B57:R72">
    <sortCondition descending="1" ref="C57:C72"/>
    <sortCondition ref="D57:D7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159"/>
  <sheetViews>
    <sheetView showGridLines="0" zoomScale="90" zoomScaleNormal="90" workbookViewId="0">
      <pane xSplit="4" ySplit="12" topLeftCell="E13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9.42578125" defaultRowHeight="12.75" x14ac:dyDescent="0.2"/>
  <cols>
    <col min="1" max="1" width="5.42578125" style="197" customWidth="1"/>
    <col min="2" max="2" width="10.7109375" style="198" customWidth="1"/>
    <col min="3" max="3" width="50.42578125" style="198" customWidth="1"/>
    <col min="4" max="4" width="7.7109375" style="198" customWidth="1"/>
    <col min="5" max="5" width="10.7109375" style="198" customWidth="1"/>
    <col min="6" max="7" width="10.7109375" style="48" customWidth="1"/>
    <col min="8" max="8" width="7.7109375" style="231" customWidth="1"/>
    <col min="9" max="11" width="10.7109375" style="48" customWidth="1"/>
    <col min="12" max="12" width="7.7109375" style="231" customWidth="1"/>
    <col min="13" max="15" width="10.7109375" style="48" customWidth="1"/>
    <col min="16" max="16" width="7.7109375" style="231" customWidth="1"/>
    <col min="17" max="19" width="10.7109375" style="48" customWidth="1"/>
    <col min="20" max="20" width="10.7109375" style="231" customWidth="1"/>
    <col min="21" max="22" width="10.7109375" style="198" customWidth="1"/>
    <col min="23" max="23" width="5.42578125" style="198" customWidth="1"/>
    <col min="24" max="24" width="148.42578125" style="198" bestFit="1" customWidth="1"/>
    <col min="25" max="16384" width="9.42578125" style="198"/>
  </cols>
  <sheetData>
    <row r="1" spans="1:30" s="184" customFormat="1" x14ac:dyDescent="0.2">
      <c r="A1" s="197" t="s">
        <v>373</v>
      </c>
      <c r="E1" s="198"/>
      <c r="F1" s="48"/>
      <c r="G1" s="48"/>
      <c r="H1" s="231"/>
      <c r="I1" s="48"/>
      <c r="J1" s="48"/>
      <c r="K1" s="48"/>
      <c r="L1" s="231"/>
      <c r="M1" s="48"/>
      <c r="N1" s="48"/>
      <c r="O1" s="48"/>
      <c r="P1" s="231"/>
      <c r="Q1" s="48"/>
      <c r="R1" s="48"/>
      <c r="S1" s="48"/>
      <c r="T1" s="231"/>
      <c r="U1" s="199"/>
      <c r="V1" s="199"/>
      <c r="W1" s="198"/>
      <c r="X1" s="199"/>
      <c r="Y1" s="200"/>
      <c r="Z1" s="200"/>
      <c r="AA1" s="200"/>
      <c r="AB1" s="200"/>
      <c r="AC1" s="200"/>
    </row>
    <row r="2" spans="1:30" s="201" customFormat="1" x14ac:dyDescent="0.2">
      <c r="A2" s="197"/>
      <c r="B2" s="201" t="s">
        <v>0</v>
      </c>
      <c r="C2" s="202" t="str">
        <f ca="1">MID(CELL("filename",A1),FIND("]",CELL("filename",A1))+1,256)</f>
        <v>Input_OPEX</v>
      </c>
      <c r="D2" s="202"/>
      <c r="E2" s="203"/>
      <c r="F2" s="151"/>
      <c r="G2" s="151"/>
      <c r="H2" s="232"/>
      <c r="I2" s="151"/>
      <c r="J2" s="151"/>
      <c r="K2" s="151"/>
      <c r="L2" s="232"/>
      <c r="M2" s="151"/>
      <c r="N2" s="151"/>
      <c r="O2" s="151"/>
      <c r="P2" s="232"/>
      <c r="Q2" s="151"/>
      <c r="R2" s="151"/>
      <c r="S2" s="151"/>
      <c r="T2" s="232"/>
      <c r="U2" s="204"/>
      <c r="V2" s="205"/>
      <c r="W2" s="204"/>
      <c r="X2" s="205"/>
      <c r="Y2" s="206"/>
      <c r="Z2" s="206"/>
      <c r="AA2" s="206"/>
      <c r="AB2" s="206"/>
      <c r="AC2" s="206"/>
    </row>
    <row r="3" spans="1:30" s="201" customFormat="1" x14ac:dyDescent="0.2">
      <c r="A3" s="197"/>
      <c r="B3" s="201" t="s">
        <v>1</v>
      </c>
      <c r="C3" s="204" t="s">
        <v>360</v>
      </c>
      <c r="E3" s="204"/>
      <c r="F3" s="151"/>
      <c r="G3" s="151"/>
      <c r="H3" s="232"/>
      <c r="I3" s="151"/>
      <c r="J3" s="151"/>
      <c r="K3" s="151"/>
      <c r="L3" s="232"/>
      <c r="M3" s="151"/>
      <c r="N3" s="151"/>
      <c r="O3" s="151"/>
      <c r="P3" s="232"/>
      <c r="Q3" s="151"/>
      <c r="R3" s="151"/>
      <c r="S3" s="151"/>
      <c r="T3" s="232"/>
      <c r="U3" s="204"/>
      <c r="V3" s="204"/>
      <c r="W3" s="204"/>
      <c r="X3" s="207"/>
      <c r="Y3" s="206"/>
      <c r="Z3" s="206"/>
      <c r="AA3" s="206"/>
      <c r="AB3" s="206"/>
      <c r="AC3" s="206"/>
    </row>
    <row r="4" spans="1:30" s="201" customFormat="1" x14ac:dyDescent="0.2">
      <c r="A4" s="197"/>
      <c r="E4" s="204"/>
      <c r="F4" s="151"/>
      <c r="G4" s="151"/>
      <c r="H4" s="232"/>
      <c r="I4" s="151"/>
      <c r="J4" s="151"/>
      <c r="K4" s="151"/>
      <c r="L4" s="232"/>
      <c r="M4" s="151"/>
      <c r="N4" s="151"/>
      <c r="O4" s="151"/>
      <c r="P4" s="232"/>
      <c r="Q4" s="151"/>
      <c r="R4" s="151"/>
      <c r="S4" s="151"/>
      <c r="T4" s="232"/>
      <c r="U4" s="204"/>
      <c r="V4" s="204"/>
      <c r="W4" s="204"/>
      <c r="X4" s="207"/>
      <c r="Y4" s="208"/>
      <c r="Z4" s="206"/>
      <c r="AA4" s="206"/>
      <c r="AB4" s="206"/>
      <c r="AC4" s="206"/>
    </row>
    <row r="5" spans="1:30" s="211" customFormat="1" x14ac:dyDescent="0.2">
      <c r="A5" s="197"/>
      <c r="B5" s="209" t="s">
        <v>311</v>
      </c>
      <c r="C5" s="209" t="s">
        <v>312</v>
      </c>
      <c r="D5" s="210" t="s">
        <v>4</v>
      </c>
      <c r="E5" s="228"/>
      <c r="F5" s="228" t="s">
        <v>237</v>
      </c>
      <c r="G5" s="228"/>
      <c r="H5" s="233"/>
      <c r="I5" s="228"/>
      <c r="J5" s="228" t="s">
        <v>238</v>
      </c>
      <c r="K5" s="228"/>
      <c r="L5" s="233"/>
      <c r="M5" s="228"/>
      <c r="N5" s="228" t="s">
        <v>239</v>
      </c>
      <c r="O5" s="228"/>
      <c r="P5" s="233"/>
      <c r="Q5" s="228"/>
      <c r="R5" s="228" t="s">
        <v>240</v>
      </c>
      <c r="S5" s="228"/>
      <c r="T5" s="231"/>
      <c r="U5" s="214"/>
      <c r="V5" s="214"/>
      <c r="W5" s="214"/>
      <c r="X5" s="214"/>
      <c r="Y5" s="214"/>
      <c r="Z5" s="214"/>
      <c r="AA5" s="214"/>
      <c r="AB5" s="214"/>
      <c r="AC5" s="214"/>
      <c r="AD5" s="214"/>
    </row>
    <row r="6" spans="1:30" s="214" customFormat="1" ht="15" x14ac:dyDescent="0.25">
      <c r="A6" s="197"/>
      <c r="B6" s="400" t="s">
        <v>181</v>
      </c>
      <c r="C6" s="329"/>
      <c r="D6" s="329" t="s">
        <v>59</v>
      </c>
      <c r="E6" s="329" t="s">
        <v>59</v>
      </c>
      <c r="F6" s="329" t="s">
        <v>77</v>
      </c>
      <c r="G6" s="329" t="s">
        <v>89</v>
      </c>
      <c r="H6" s="330"/>
      <c r="I6" s="329" t="s">
        <v>59</v>
      </c>
      <c r="J6" s="329" t="s">
        <v>77</v>
      </c>
      <c r="K6" s="329" t="s">
        <v>89</v>
      </c>
      <c r="L6" s="330"/>
      <c r="M6" s="329" t="s">
        <v>59</v>
      </c>
      <c r="N6" s="329" t="s">
        <v>77</v>
      </c>
      <c r="O6" s="329" t="s">
        <v>89</v>
      </c>
      <c r="P6" s="330"/>
      <c r="Q6" s="329" t="s">
        <v>59</v>
      </c>
      <c r="R6" s="329" t="s">
        <v>77</v>
      </c>
      <c r="S6" s="329" t="s">
        <v>89</v>
      </c>
      <c r="T6" s="231"/>
    </row>
    <row r="7" spans="1:30" s="214" customFormat="1" x14ac:dyDescent="0.2">
      <c r="A7" s="197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138"/>
    </row>
    <row r="8" spans="1:30" s="96" customFormat="1" ht="15" x14ac:dyDescent="0.25">
      <c r="C8" s="96" t="str">
        <f>Trigger1</f>
        <v>Delayed Service Activation</v>
      </c>
      <c r="D8" s="229" t="s">
        <v>28</v>
      </c>
      <c r="E8" s="230">
        <f>E60</f>
        <v>1.6535555555555554</v>
      </c>
      <c r="F8" s="230">
        <f>F60</f>
        <v>1.1298888888888889</v>
      </c>
      <c r="G8" s="230">
        <f>G60</f>
        <v>-0.5236666666666665</v>
      </c>
      <c r="H8" s="234"/>
      <c r="I8" s="230">
        <f>I60</f>
        <v>1.6535555555555554</v>
      </c>
      <c r="J8" s="230">
        <f>J60</f>
        <v>1.1298888888888889</v>
      </c>
      <c r="K8" s="230">
        <f>K60</f>
        <v>-0.5236666666666665</v>
      </c>
      <c r="L8" s="236"/>
      <c r="M8" s="230">
        <f>M60</f>
        <v>1.6535555555555554</v>
      </c>
      <c r="N8" s="230">
        <f>N60</f>
        <v>1.1298888888888889</v>
      </c>
      <c r="O8" s="230">
        <f>O60</f>
        <v>-0.5236666666666665</v>
      </c>
      <c r="P8" s="236"/>
      <c r="Q8" s="230">
        <f>Q60</f>
        <v>1.5354999999999999</v>
      </c>
      <c r="R8" s="230">
        <f>R60</f>
        <v>1.0118333333333334</v>
      </c>
      <c r="S8" s="230">
        <f>S60</f>
        <v>-0.5236666666666665</v>
      </c>
      <c r="T8" s="237"/>
    </row>
    <row r="9" spans="1:30" s="96" customFormat="1" ht="15" x14ac:dyDescent="0.25">
      <c r="C9" s="96" t="str">
        <f>Trigger2</f>
        <v>Missed Appointment</v>
      </c>
      <c r="D9" s="229" t="s">
        <v>28</v>
      </c>
      <c r="E9" s="230">
        <f>E108</f>
        <v>1.6695555555555555</v>
      </c>
      <c r="F9" s="230">
        <f>F108</f>
        <v>1.1378888888888887</v>
      </c>
      <c r="G9" s="230">
        <f>G108</f>
        <v>-0.53166666666666673</v>
      </c>
      <c r="H9" s="234"/>
      <c r="I9" s="230">
        <f>I108</f>
        <v>1.6695555555555555</v>
      </c>
      <c r="J9" s="230">
        <f>J108</f>
        <v>1.1378888888888887</v>
      </c>
      <c r="K9" s="230">
        <f>K108</f>
        <v>-0.53166666666666673</v>
      </c>
      <c r="L9" s="236"/>
      <c r="M9" s="230">
        <f>M108</f>
        <v>1.6695555555555555</v>
      </c>
      <c r="N9" s="230">
        <f>N108</f>
        <v>1.1378888888888887</v>
      </c>
      <c r="O9" s="230">
        <f>O108</f>
        <v>-0.53166666666666673</v>
      </c>
      <c r="P9" s="236"/>
      <c r="Q9" s="230">
        <f>Q108</f>
        <v>1.5514999999999999</v>
      </c>
      <c r="R9" s="230">
        <f>R108</f>
        <v>1.0198333333333334</v>
      </c>
      <c r="S9" s="230">
        <f>S108</f>
        <v>-0.53166666666666651</v>
      </c>
      <c r="T9" s="237"/>
    </row>
    <row r="10" spans="1:30" s="96" customFormat="1" ht="15" x14ac:dyDescent="0.25">
      <c r="C10" s="96" t="str">
        <f>Trigger3</f>
        <v>Delayed Repair (Fixed)</v>
      </c>
      <c r="D10" s="229" t="s">
        <v>28</v>
      </c>
      <c r="E10" s="230">
        <f>E158</f>
        <v>2.0234166666666664</v>
      </c>
      <c r="F10" s="230">
        <f>F158</f>
        <v>1.1653055555555556</v>
      </c>
      <c r="G10" s="230">
        <f>G158</f>
        <v>-0.85811111111111082</v>
      </c>
      <c r="H10" s="234"/>
      <c r="I10" s="230">
        <f>I158</f>
        <v>2.0234166666666664</v>
      </c>
      <c r="J10" s="230">
        <f>J158</f>
        <v>1.1653055555555556</v>
      </c>
      <c r="K10" s="230">
        <f>K158</f>
        <v>-0.85811111111111082</v>
      </c>
      <c r="L10" s="236"/>
      <c r="M10" s="230">
        <f>M158</f>
        <v>2.0234166666666664</v>
      </c>
      <c r="N10" s="230">
        <f>N158</f>
        <v>1.1653055555555556</v>
      </c>
      <c r="O10" s="230">
        <f>O158</f>
        <v>-0.85811111111111082</v>
      </c>
      <c r="P10" s="236"/>
      <c r="Q10" s="230">
        <f>Q158</f>
        <v>1.9171666666666665</v>
      </c>
      <c r="R10" s="230">
        <f>R158</f>
        <v>1.0590555555555556</v>
      </c>
      <c r="S10" s="230">
        <f>S158</f>
        <v>-0.85811111111111082</v>
      </c>
      <c r="T10" s="237"/>
    </row>
    <row r="11" spans="1:30" s="214" customFormat="1" x14ac:dyDescent="0.2">
      <c r="A11" s="197"/>
      <c r="E11" s="227"/>
      <c r="F11" s="227"/>
      <c r="G11" s="227"/>
      <c r="H11" s="235"/>
      <c r="I11" s="227"/>
      <c r="J11" s="227"/>
      <c r="K11" s="227"/>
      <c r="L11" s="235"/>
      <c r="M11" s="227"/>
      <c r="N11" s="227"/>
      <c r="O11" s="227"/>
      <c r="P11" s="235"/>
      <c r="Q11" s="227"/>
      <c r="R11" s="227"/>
      <c r="S11" s="227"/>
      <c r="T11" s="231"/>
    </row>
    <row r="12" spans="1:30" s="218" customFormat="1" x14ac:dyDescent="0.2">
      <c r="A12" s="197"/>
      <c r="B12" s="215"/>
      <c r="C12" s="215" t="s">
        <v>3</v>
      </c>
      <c r="D12" s="183" t="s">
        <v>4</v>
      </c>
      <c r="E12" s="228"/>
      <c r="F12" s="228" t="s">
        <v>237</v>
      </c>
      <c r="G12" s="228"/>
      <c r="H12" s="233"/>
      <c r="I12" s="228"/>
      <c r="J12" s="228" t="s">
        <v>238</v>
      </c>
      <c r="K12" s="228"/>
      <c r="L12" s="233"/>
      <c r="M12" s="228"/>
      <c r="N12" s="228" t="s">
        <v>239</v>
      </c>
      <c r="O12" s="228"/>
      <c r="P12" s="233"/>
      <c r="Q12" s="228"/>
      <c r="R12" s="228" t="s">
        <v>240</v>
      </c>
      <c r="S12" s="228"/>
      <c r="T12" s="233"/>
      <c r="U12" s="323" t="s">
        <v>5</v>
      </c>
      <c r="V12" s="178"/>
      <c r="W12" s="216"/>
      <c r="X12" s="216"/>
      <c r="Y12" s="217"/>
    </row>
    <row r="14" spans="1:30" s="222" customFormat="1" ht="15" x14ac:dyDescent="0.25">
      <c r="A14" s="197"/>
      <c r="B14" s="400" t="str">
        <f>Trigger1</f>
        <v>Delayed Service Activation</v>
      </c>
      <c r="C14" s="212"/>
      <c r="D14" s="328"/>
      <c r="E14" s="329" t="s">
        <v>59</v>
      </c>
      <c r="F14" s="329" t="s">
        <v>77</v>
      </c>
      <c r="G14" s="329" t="s">
        <v>89</v>
      </c>
      <c r="H14" s="330"/>
      <c r="I14" s="329" t="s">
        <v>59</v>
      </c>
      <c r="J14" s="329" t="s">
        <v>77</v>
      </c>
      <c r="K14" s="329" t="s">
        <v>89</v>
      </c>
      <c r="L14" s="330"/>
      <c r="M14" s="329" t="s">
        <v>59</v>
      </c>
      <c r="N14" s="329" t="s">
        <v>77</v>
      </c>
      <c r="O14" s="329" t="s">
        <v>89</v>
      </c>
      <c r="P14" s="330"/>
      <c r="Q14" s="329" t="s">
        <v>59</v>
      </c>
      <c r="R14" s="329" t="s">
        <v>77</v>
      </c>
      <c r="S14" s="329" t="s">
        <v>89</v>
      </c>
      <c r="U14" s="214"/>
    </row>
    <row r="15" spans="1:30" s="184" customFormat="1" ht="15" x14ac:dyDescent="0.25">
      <c r="A15" s="197"/>
      <c r="B15" s="394"/>
      <c r="D15" s="219"/>
      <c r="E15" s="176"/>
      <c r="F15" s="176"/>
      <c r="G15" s="176"/>
      <c r="H15" s="237"/>
      <c r="I15" s="334"/>
      <c r="J15" s="334"/>
      <c r="K15" s="176"/>
      <c r="L15" s="331"/>
      <c r="M15" s="334"/>
      <c r="N15" s="334"/>
      <c r="O15" s="176"/>
      <c r="P15" s="331"/>
      <c r="Q15" s="334"/>
      <c r="R15" s="334"/>
      <c r="S15" s="176"/>
      <c r="T15" s="200"/>
      <c r="U15" s="198"/>
    </row>
    <row r="16" spans="1:30" s="184" customFormat="1" ht="15" x14ac:dyDescent="0.25">
      <c r="A16" s="197"/>
      <c r="B16" s="220" t="s">
        <v>147</v>
      </c>
      <c r="D16" s="219"/>
      <c r="E16" s="176"/>
      <c r="F16" s="176"/>
      <c r="G16" s="176"/>
      <c r="H16" s="237"/>
      <c r="I16" s="334"/>
      <c r="J16" s="334"/>
      <c r="K16" s="176"/>
      <c r="L16" s="331"/>
      <c r="M16" s="334"/>
      <c r="N16" s="334"/>
      <c r="O16" s="176"/>
      <c r="P16" s="331"/>
      <c r="Q16" s="334"/>
      <c r="R16" s="334"/>
      <c r="S16" s="176"/>
      <c r="T16" s="200"/>
      <c r="U16" s="198"/>
    </row>
    <row r="17" spans="1:21" s="184" customFormat="1" ht="15" x14ac:dyDescent="0.25">
      <c r="A17" s="197"/>
      <c r="B17" s="394"/>
      <c r="C17" s="102" t="s">
        <v>145</v>
      </c>
      <c r="D17" s="219" t="s">
        <v>26</v>
      </c>
      <c r="E17" s="335">
        <v>0</v>
      </c>
      <c r="F17" s="335">
        <v>0</v>
      </c>
      <c r="G17" s="336">
        <f t="shared" ref="G17:G26" si="0">F17-E17</f>
        <v>0</v>
      </c>
      <c r="H17" s="337"/>
      <c r="I17" s="338">
        <f t="shared" ref="I17:I25" si="1">E17</f>
        <v>0</v>
      </c>
      <c r="J17" s="338">
        <f t="shared" ref="J17:J25" si="2">F17</f>
        <v>0</v>
      </c>
      <c r="K17" s="336">
        <f t="shared" ref="K17:K26" si="3">J17-I17</f>
        <v>0</v>
      </c>
      <c r="L17" s="331"/>
      <c r="M17" s="338">
        <f t="shared" ref="M17:M25" si="4">E17</f>
        <v>0</v>
      </c>
      <c r="N17" s="338">
        <f t="shared" ref="N17:N25" si="5">F17</f>
        <v>0</v>
      </c>
      <c r="O17" s="336">
        <f t="shared" ref="O17:O26" si="6">N17-M17</f>
        <v>0</v>
      </c>
      <c r="P17" s="331"/>
      <c r="Q17" s="338">
        <f t="shared" ref="Q17:Q25" si="7">E17</f>
        <v>0</v>
      </c>
      <c r="R17" s="338">
        <f t="shared" ref="R17:R25" si="8">F17</f>
        <v>0</v>
      </c>
      <c r="S17" s="336">
        <f t="shared" ref="S17:S26" si="9">R17-Q17</f>
        <v>0</v>
      </c>
      <c r="T17" s="200"/>
      <c r="U17" s="198" t="s">
        <v>183</v>
      </c>
    </row>
    <row r="18" spans="1:21" s="184" customFormat="1" ht="15" x14ac:dyDescent="0.25">
      <c r="A18" s="197"/>
      <c r="B18" s="394"/>
      <c r="C18" s="102" t="s">
        <v>141</v>
      </c>
      <c r="D18" s="219" t="s">
        <v>26</v>
      </c>
      <c r="E18" s="335">
        <v>2</v>
      </c>
      <c r="F18" s="335">
        <v>2</v>
      </c>
      <c r="G18" s="336">
        <f t="shared" si="0"/>
        <v>0</v>
      </c>
      <c r="H18" s="337"/>
      <c r="I18" s="338">
        <f t="shared" si="1"/>
        <v>2</v>
      </c>
      <c r="J18" s="338">
        <f t="shared" si="2"/>
        <v>2</v>
      </c>
      <c r="K18" s="336">
        <f t="shared" si="3"/>
        <v>0</v>
      </c>
      <c r="L18" s="331"/>
      <c r="M18" s="338">
        <f t="shared" si="4"/>
        <v>2</v>
      </c>
      <c r="N18" s="338">
        <f t="shared" si="5"/>
        <v>2</v>
      </c>
      <c r="O18" s="336">
        <f t="shared" si="6"/>
        <v>0</v>
      </c>
      <c r="P18" s="331"/>
      <c r="Q18" s="338">
        <f t="shared" si="7"/>
        <v>2</v>
      </c>
      <c r="R18" s="338">
        <f t="shared" si="8"/>
        <v>2</v>
      </c>
      <c r="S18" s="336">
        <f t="shared" si="9"/>
        <v>0</v>
      </c>
      <c r="T18" s="200"/>
      <c r="U18" s="198" t="s">
        <v>184</v>
      </c>
    </row>
    <row r="19" spans="1:21" s="184" customFormat="1" ht="15" x14ac:dyDescent="0.25">
      <c r="A19" s="197"/>
      <c r="B19" s="394"/>
      <c r="C19" s="102" t="s">
        <v>142</v>
      </c>
      <c r="D19" s="219" t="s">
        <v>26</v>
      </c>
      <c r="E19" s="335">
        <v>1</v>
      </c>
      <c r="F19" s="335">
        <v>1</v>
      </c>
      <c r="G19" s="336">
        <f t="shared" si="0"/>
        <v>0</v>
      </c>
      <c r="H19" s="337"/>
      <c r="I19" s="338">
        <f t="shared" si="1"/>
        <v>1</v>
      </c>
      <c r="J19" s="338">
        <f t="shared" si="2"/>
        <v>1</v>
      </c>
      <c r="K19" s="336">
        <f t="shared" si="3"/>
        <v>0</v>
      </c>
      <c r="L19" s="331"/>
      <c r="M19" s="338">
        <f t="shared" si="4"/>
        <v>1</v>
      </c>
      <c r="N19" s="338">
        <f t="shared" si="5"/>
        <v>1</v>
      </c>
      <c r="O19" s="336">
        <f t="shared" si="6"/>
        <v>0</v>
      </c>
      <c r="P19" s="331"/>
      <c r="Q19" s="338">
        <f t="shared" si="7"/>
        <v>1</v>
      </c>
      <c r="R19" s="338">
        <f t="shared" si="8"/>
        <v>1</v>
      </c>
      <c r="S19" s="336">
        <f t="shared" si="9"/>
        <v>0</v>
      </c>
      <c r="T19" s="200"/>
      <c r="U19" s="198" t="s">
        <v>187</v>
      </c>
    </row>
    <row r="20" spans="1:21" s="184" customFormat="1" ht="15" x14ac:dyDescent="0.25">
      <c r="A20" s="197"/>
      <c r="B20" s="394"/>
      <c r="C20" s="102" t="s">
        <v>143</v>
      </c>
      <c r="D20" s="219" t="s">
        <v>26</v>
      </c>
      <c r="E20" s="335">
        <v>1</v>
      </c>
      <c r="F20" s="335">
        <v>0</v>
      </c>
      <c r="G20" s="336">
        <f t="shared" si="0"/>
        <v>-1</v>
      </c>
      <c r="H20" s="337"/>
      <c r="I20" s="338">
        <f t="shared" si="1"/>
        <v>1</v>
      </c>
      <c r="J20" s="338">
        <f t="shared" si="2"/>
        <v>0</v>
      </c>
      <c r="K20" s="336">
        <f t="shared" si="3"/>
        <v>-1</v>
      </c>
      <c r="L20" s="331"/>
      <c r="M20" s="338">
        <f t="shared" si="4"/>
        <v>1</v>
      </c>
      <c r="N20" s="338">
        <f t="shared" si="5"/>
        <v>0</v>
      </c>
      <c r="O20" s="336">
        <f t="shared" si="6"/>
        <v>-1</v>
      </c>
      <c r="P20" s="331"/>
      <c r="Q20" s="338">
        <f t="shared" si="7"/>
        <v>1</v>
      </c>
      <c r="R20" s="338">
        <f t="shared" si="8"/>
        <v>0</v>
      </c>
      <c r="S20" s="336">
        <f t="shared" si="9"/>
        <v>-1</v>
      </c>
      <c r="T20" s="200"/>
      <c r="U20" s="198" t="s">
        <v>258</v>
      </c>
    </row>
    <row r="21" spans="1:21" s="184" customFormat="1" ht="15" x14ac:dyDescent="0.25">
      <c r="A21" s="197"/>
      <c r="B21" s="394"/>
      <c r="C21" s="102" t="s">
        <v>161</v>
      </c>
      <c r="D21" s="219" t="s">
        <v>26</v>
      </c>
      <c r="E21" s="335">
        <v>0</v>
      </c>
      <c r="F21" s="335">
        <v>0</v>
      </c>
      <c r="G21" s="336">
        <f t="shared" si="0"/>
        <v>0</v>
      </c>
      <c r="H21" s="337"/>
      <c r="I21" s="338">
        <f t="shared" si="1"/>
        <v>0</v>
      </c>
      <c r="J21" s="338">
        <f t="shared" si="2"/>
        <v>0</v>
      </c>
      <c r="K21" s="336">
        <f t="shared" si="3"/>
        <v>0</v>
      </c>
      <c r="L21" s="331"/>
      <c r="M21" s="338">
        <f t="shared" si="4"/>
        <v>0</v>
      </c>
      <c r="N21" s="338">
        <f t="shared" si="5"/>
        <v>0</v>
      </c>
      <c r="O21" s="336">
        <f t="shared" si="6"/>
        <v>0</v>
      </c>
      <c r="P21" s="331"/>
      <c r="Q21" s="338">
        <f t="shared" si="7"/>
        <v>0</v>
      </c>
      <c r="R21" s="338">
        <f t="shared" si="8"/>
        <v>0</v>
      </c>
      <c r="S21" s="336">
        <f t="shared" si="9"/>
        <v>0</v>
      </c>
      <c r="T21" s="200"/>
      <c r="U21" s="198" t="s">
        <v>183</v>
      </c>
    </row>
    <row r="22" spans="1:21" s="184" customFormat="1" ht="15" x14ac:dyDescent="0.25">
      <c r="A22" s="197"/>
      <c r="B22" s="394"/>
      <c r="C22" s="102" t="s">
        <v>162</v>
      </c>
      <c r="D22" s="219" t="s">
        <v>26</v>
      </c>
      <c r="E22" s="335">
        <v>0</v>
      </c>
      <c r="F22" s="335">
        <v>0</v>
      </c>
      <c r="G22" s="336">
        <f t="shared" si="0"/>
        <v>0</v>
      </c>
      <c r="H22" s="337"/>
      <c r="I22" s="338">
        <f t="shared" si="1"/>
        <v>0</v>
      </c>
      <c r="J22" s="338">
        <f t="shared" si="2"/>
        <v>0</v>
      </c>
      <c r="K22" s="336">
        <f t="shared" si="3"/>
        <v>0</v>
      </c>
      <c r="L22" s="331"/>
      <c r="M22" s="338">
        <f t="shared" si="4"/>
        <v>0</v>
      </c>
      <c r="N22" s="338">
        <f t="shared" si="5"/>
        <v>0</v>
      </c>
      <c r="O22" s="336">
        <f t="shared" si="6"/>
        <v>0</v>
      </c>
      <c r="P22" s="331"/>
      <c r="Q22" s="338">
        <f t="shared" si="7"/>
        <v>0</v>
      </c>
      <c r="R22" s="338">
        <f t="shared" si="8"/>
        <v>0</v>
      </c>
      <c r="S22" s="336">
        <f t="shared" si="9"/>
        <v>0</v>
      </c>
      <c r="T22" s="200"/>
      <c r="U22" s="198" t="s">
        <v>185</v>
      </c>
    </row>
    <row r="23" spans="1:21" s="184" customFormat="1" ht="15" x14ac:dyDescent="0.25">
      <c r="A23" s="197"/>
      <c r="B23" s="394"/>
      <c r="C23" s="102" t="s">
        <v>144</v>
      </c>
      <c r="D23" s="219" t="s">
        <v>26</v>
      </c>
      <c r="E23" s="335">
        <v>1</v>
      </c>
      <c r="F23" s="335">
        <v>0</v>
      </c>
      <c r="G23" s="336">
        <f t="shared" si="0"/>
        <v>-1</v>
      </c>
      <c r="H23" s="337"/>
      <c r="I23" s="338">
        <f t="shared" si="1"/>
        <v>1</v>
      </c>
      <c r="J23" s="338">
        <f t="shared" si="2"/>
        <v>0</v>
      </c>
      <c r="K23" s="336">
        <f t="shared" si="3"/>
        <v>-1</v>
      </c>
      <c r="L23" s="331"/>
      <c r="M23" s="338">
        <f t="shared" si="4"/>
        <v>1</v>
      </c>
      <c r="N23" s="338">
        <f t="shared" si="5"/>
        <v>0</v>
      </c>
      <c r="O23" s="336">
        <f t="shared" si="6"/>
        <v>-1</v>
      </c>
      <c r="P23" s="331"/>
      <c r="Q23" s="338">
        <f t="shared" si="7"/>
        <v>1</v>
      </c>
      <c r="R23" s="338">
        <f t="shared" si="8"/>
        <v>0</v>
      </c>
      <c r="S23" s="336">
        <f t="shared" si="9"/>
        <v>-1</v>
      </c>
      <c r="T23" s="200"/>
      <c r="U23" s="198" t="s">
        <v>186</v>
      </c>
    </row>
    <row r="24" spans="1:21" s="184" customFormat="1" ht="15" x14ac:dyDescent="0.25">
      <c r="A24" s="197"/>
      <c r="B24" s="394"/>
      <c r="C24" s="102" t="s">
        <v>163</v>
      </c>
      <c r="D24" s="219" t="s">
        <v>26</v>
      </c>
      <c r="E24" s="335">
        <v>0</v>
      </c>
      <c r="F24" s="335">
        <v>0</v>
      </c>
      <c r="G24" s="336">
        <f t="shared" si="0"/>
        <v>0</v>
      </c>
      <c r="H24" s="337"/>
      <c r="I24" s="338">
        <f t="shared" si="1"/>
        <v>0</v>
      </c>
      <c r="J24" s="338">
        <f t="shared" si="2"/>
        <v>0</v>
      </c>
      <c r="K24" s="336">
        <f t="shared" si="3"/>
        <v>0</v>
      </c>
      <c r="L24" s="331"/>
      <c r="M24" s="338">
        <f t="shared" si="4"/>
        <v>0</v>
      </c>
      <c r="N24" s="338">
        <f t="shared" si="5"/>
        <v>0</v>
      </c>
      <c r="O24" s="336">
        <f t="shared" si="6"/>
        <v>0</v>
      </c>
      <c r="P24" s="331"/>
      <c r="Q24" s="338">
        <f t="shared" si="7"/>
        <v>0</v>
      </c>
      <c r="R24" s="338">
        <f t="shared" si="8"/>
        <v>0</v>
      </c>
      <c r="S24" s="336">
        <f t="shared" si="9"/>
        <v>0</v>
      </c>
      <c r="T24" s="200"/>
      <c r="U24" s="198" t="s">
        <v>183</v>
      </c>
    </row>
    <row r="25" spans="1:21" s="184" customFormat="1" ht="15" x14ac:dyDescent="0.25">
      <c r="A25" s="197"/>
      <c r="B25" s="394"/>
      <c r="C25" s="102" t="s">
        <v>164</v>
      </c>
      <c r="D25" s="219" t="s">
        <v>26</v>
      </c>
      <c r="E25" s="335">
        <v>0</v>
      </c>
      <c r="F25" s="335">
        <v>0</v>
      </c>
      <c r="G25" s="336">
        <f t="shared" si="0"/>
        <v>0</v>
      </c>
      <c r="H25" s="337"/>
      <c r="I25" s="338">
        <f t="shared" si="1"/>
        <v>0</v>
      </c>
      <c r="J25" s="338">
        <f t="shared" si="2"/>
        <v>0</v>
      </c>
      <c r="K25" s="336">
        <f t="shared" si="3"/>
        <v>0</v>
      </c>
      <c r="L25" s="331"/>
      <c r="M25" s="338">
        <f t="shared" si="4"/>
        <v>0</v>
      </c>
      <c r="N25" s="338">
        <f t="shared" si="5"/>
        <v>0</v>
      </c>
      <c r="O25" s="336">
        <f t="shared" si="6"/>
        <v>0</v>
      </c>
      <c r="P25" s="331"/>
      <c r="Q25" s="338">
        <f t="shared" si="7"/>
        <v>0</v>
      </c>
      <c r="R25" s="338">
        <f t="shared" si="8"/>
        <v>0</v>
      </c>
      <c r="S25" s="336">
        <f t="shared" si="9"/>
        <v>0</v>
      </c>
      <c r="T25" s="200"/>
      <c r="U25" s="198" t="s">
        <v>183</v>
      </c>
    </row>
    <row r="26" spans="1:21" s="184" customFormat="1" ht="15" x14ac:dyDescent="0.25">
      <c r="A26" s="197"/>
      <c r="B26" s="394"/>
      <c r="C26" s="184" t="s">
        <v>61</v>
      </c>
      <c r="D26" s="219" t="s">
        <v>26</v>
      </c>
      <c r="E26" s="336">
        <f>SUM(E17:E25)</f>
        <v>5</v>
      </c>
      <c r="F26" s="336">
        <f>SUM(F17:F25)</f>
        <v>3</v>
      </c>
      <c r="G26" s="336">
        <f t="shared" si="0"/>
        <v>-2</v>
      </c>
      <c r="H26" s="337"/>
      <c r="I26" s="336">
        <f>SUM(I17:I25)</f>
        <v>5</v>
      </c>
      <c r="J26" s="336">
        <f>SUM(J17:J25)</f>
        <v>3</v>
      </c>
      <c r="K26" s="336">
        <f t="shared" si="3"/>
        <v>-2</v>
      </c>
      <c r="L26" s="331"/>
      <c r="M26" s="336">
        <f>SUM(M17:M25)</f>
        <v>5</v>
      </c>
      <c r="N26" s="336">
        <f>SUM(N17:N25)</f>
        <v>3</v>
      </c>
      <c r="O26" s="336">
        <f t="shared" si="6"/>
        <v>-2</v>
      </c>
      <c r="P26" s="331"/>
      <c r="Q26" s="336">
        <f>SUM(Q17:Q25)</f>
        <v>5</v>
      </c>
      <c r="R26" s="336">
        <f>SUM(R17:R25)</f>
        <v>3</v>
      </c>
      <c r="S26" s="336">
        <f t="shared" si="9"/>
        <v>-2</v>
      </c>
      <c r="T26" s="200"/>
      <c r="U26" s="198"/>
    </row>
    <row r="27" spans="1:21" ht="15" x14ac:dyDescent="0.25">
      <c r="B27" s="395"/>
      <c r="E27" s="339"/>
      <c r="F27" s="339"/>
      <c r="G27" s="339"/>
      <c r="H27" s="330"/>
      <c r="I27" s="176"/>
      <c r="J27" s="176"/>
      <c r="K27" s="176"/>
      <c r="L27" s="331"/>
      <c r="M27" s="176"/>
      <c r="N27" s="176"/>
      <c r="O27" s="176"/>
      <c r="P27" s="331"/>
      <c r="Q27" s="176"/>
      <c r="R27" s="176"/>
      <c r="S27" s="176"/>
      <c r="T27" s="199"/>
    </row>
    <row r="28" spans="1:21" ht="15" x14ac:dyDescent="0.25">
      <c r="B28" s="396" t="s">
        <v>148</v>
      </c>
      <c r="E28" s="339"/>
      <c r="F28" s="339"/>
      <c r="G28" s="339"/>
      <c r="H28" s="330"/>
      <c r="I28" s="176"/>
      <c r="J28" s="176"/>
      <c r="K28" s="176"/>
      <c r="L28" s="331"/>
      <c r="M28" s="176"/>
      <c r="N28" s="176"/>
      <c r="O28" s="176"/>
      <c r="P28" s="331"/>
      <c r="Q28" s="176"/>
      <c r="R28" s="176"/>
      <c r="S28" s="176"/>
      <c r="T28" s="199"/>
    </row>
    <row r="29" spans="1:21" ht="15" x14ac:dyDescent="0.25">
      <c r="B29" s="395"/>
      <c r="C29" s="102" t="s">
        <v>161</v>
      </c>
      <c r="E29" s="339"/>
      <c r="F29" s="339"/>
      <c r="G29" s="339"/>
      <c r="H29" s="330"/>
      <c r="I29" s="176"/>
      <c r="J29" s="176"/>
      <c r="K29" s="176"/>
      <c r="L29" s="331"/>
      <c r="M29" s="176"/>
      <c r="N29" s="176"/>
      <c r="O29" s="176"/>
      <c r="P29" s="331"/>
      <c r="Q29" s="176"/>
      <c r="R29" s="176"/>
      <c r="S29" s="176"/>
      <c r="T29" s="199"/>
    </row>
    <row r="30" spans="1:21" s="184" customFormat="1" ht="15" x14ac:dyDescent="0.25">
      <c r="A30" s="197"/>
      <c r="B30" s="394"/>
      <c r="C30" s="172" t="s">
        <v>66</v>
      </c>
      <c r="D30" s="184" t="s">
        <v>22</v>
      </c>
      <c r="E30" s="332">
        <v>0.15</v>
      </c>
      <c r="F30" s="332">
        <v>0.05</v>
      </c>
      <c r="G30" s="333">
        <f>F30-E30</f>
        <v>-9.9999999999999992E-2</v>
      </c>
      <c r="H30" s="237"/>
      <c r="I30" s="307">
        <f>E30</f>
        <v>0.15</v>
      </c>
      <c r="J30" s="307">
        <f t="shared" ref="J30:J31" si="10">F30</f>
        <v>0.05</v>
      </c>
      <c r="K30" s="333">
        <f>J30-I30</f>
        <v>-9.9999999999999992E-2</v>
      </c>
      <c r="L30" s="331"/>
      <c r="M30" s="307">
        <f>E30</f>
        <v>0.15</v>
      </c>
      <c r="N30" s="307">
        <f t="shared" ref="N30:N31" si="11">F30</f>
        <v>0.05</v>
      </c>
      <c r="O30" s="333">
        <f>N30-M30</f>
        <v>-9.9999999999999992E-2</v>
      </c>
      <c r="P30" s="331"/>
      <c r="Q30" s="307">
        <f>E30</f>
        <v>0.15</v>
      </c>
      <c r="R30" s="307">
        <f t="shared" ref="R30:R31" si="12">F30</f>
        <v>0.05</v>
      </c>
      <c r="S30" s="333">
        <f>R30-Q30</f>
        <v>-9.9999999999999992E-2</v>
      </c>
      <c r="T30" s="200"/>
      <c r="U30" s="198" t="s">
        <v>257</v>
      </c>
    </row>
    <row r="31" spans="1:21" s="184" customFormat="1" ht="15" x14ac:dyDescent="0.25">
      <c r="A31" s="197"/>
      <c r="B31" s="394"/>
      <c r="C31" s="172" t="s">
        <v>146</v>
      </c>
      <c r="D31" s="184" t="s">
        <v>26</v>
      </c>
      <c r="E31" s="335">
        <v>3</v>
      </c>
      <c r="F31" s="335">
        <v>3</v>
      </c>
      <c r="G31" s="336">
        <f t="shared" ref="G31" si="13">F31-E31</f>
        <v>0</v>
      </c>
      <c r="H31" s="237"/>
      <c r="I31" s="338">
        <f t="shared" ref="I31" si="14">E31</f>
        <v>3</v>
      </c>
      <c r="J31" s="338">
        <f t="shared" si="10"/>
        <v>3</v>
      </c>
      <c r="K31" s="336">
        <f t="shared" ref="K31" si="15">J31-I31</f>
        <v>0</v>
      </c>
      <c r="L31" s="331"/>
      <c r="M31" s="338">
        <f t="shared" ref="M31" si="16">E31</f>
        <v>3</v>
      </c>
      <c r="N31" s="338">
        <f t="shared" si="11"/>
        <v>3</v>
      </c>
      <c r="O31" s="336">
        <f t="shared" ref="O31" si="17">N31-M31</f>
        <v>0</v>
      </c>
      <c r="P31" s="331"/>
      <c r="Q31" s="338">
        <f t="shared" ref="Q31" si="18">E31</f>
        <v>3</v>
      </c>
      <c r="R31" s="338">
        <f t="shared" si="12"/>
        <v>3</v>
      </c>
      <c r="S31" s="336">
        <f t="shared" ref="S31" si="19">R31-Q31</f>
        <v>0</v>
      </c>
      <c r="T31" s="200"/>
      <c r="U31" s="198" t="s">
        <v>188</v>
      </c>
    </row>
    <row r="32" spans="1:21" s="184" customFormat="1" ht="15" x14ac:dyDescent="0.25">
      <c r="A32" s="197"/>
      <c r="B32" s="394"/>
      <c r="C32" s="102"/>
      <c r="E32" s="176"/>
      <c r="F32" s="176"/>
      <c r="G32" s="176"/>
      <c r="H32" s="237"/>
      <c r="I32" s="176"/>
      <c r="J32" s="176"/>
      <c r="K32" s="176"/>
      <c r="L32" s="331"/>
      <c r="M32" s="176"/>
      <c r="N32" s="176"/>
      <c r="O32" s="176"/>
      <c r="P32" s="331"/>
      <c r="Q32" s="176"/>
      <c r="R32" s="176"/>
      <c r="S32" s="176"/>
      <c r="T32" s="200"/>
      <c r="U32" s="198"/>
    </row>
    <row r="33" spans="1:21" s="184" customFormat="1" ht="15" x14ac:dyDescent="0.25">
      <c r="A33" s="197"/>
      <c r="B33" s="394"/>
      <c r="C33" s="102" t="s">
        <v>162</v>
      </c>
      <c r="E33" s="176"/>
      <c r="F33" s="176"/>
      <c r="G33" s="176"/>
      <c r="H33" s="237"/>
      <c r="I33" s="176"/>
      <c r="J33" s="176"/>
      <c r="K33" s="176"/>
      <c r="L33" s="331"/>
      <c r="M33" s="176"/>
      <c r="N33" s="176"/>
      <c r="O33" s="176"/>
      <c r="P33" s="331"/>
      <c r="Q33" s="176"/>
      <c r="R33" s="176"/>
      <c r="S33" s="176"/>
      <c r="T33" s="200"/>
      <c r="U33" s="198"/>
    </row>
    <row r="34" spans="1:21" s="184" customFormat="1" ht="15" x14ac:dyDescent="0.25">
      <c r="A34" s="197"/>
      <c r="B34" s="394"/>
      <c r="C34" s="172" t="s">
        <v>78</v>
      </c>
      <c r="D34" s="44" t="s">
        <v>22</v>
      </c>
      <c r="E34" s="287">
        <v>0</v>
      </c>
      <c r="F34" s="332">
        <v>0.9</v>
      </c>
      <c r="G34" s="333">
        <f>F34-E34</f>
        <v>0.9</v>
      </c>
      <c r="H34" s="237"/>
      <c r="I34" s="307">
        <f>E34</f>
        <v>0</v>
      </c>
      <c r="J34" s="307">
        <f t="shared" ref="J34:J35" si="20">F34</f>
        <v>0.9</v>
      </c>
      <c r="K34" s="333">
        <f>J34-I34</f>
        <v>0.9</v>
      </c>
      <c r="L34" s="331"/>
      <c r="M34" s="307">
        <f>E34</f>
        <v>0</v>
      </c>
      <c r="N34" s="307">
        <f t="shared" ref="N34:N35" si="21">F34</f>
        <v>0.9</v>
      </c>
      <c r="O34" s="333">
        <f>N34-M34</f>
        <v>0.9</v>
      </c>
      <c r="P34" s="331"/>
      <c r="Q34" s="307">
        <f>E34</f>
        <v>0</v>
      </c>
      <c r="R34" s="307">
        <f t="shared" ref="R34:R35" si="22">F34</f>
        <v>0.9</v>
      </c>
      <c r="S34" s="333">
        <f>R34-Q34</f>
        <v>0.9</v>
      </c>
      <c r="T34" s="200"/>
      <c r="U34" s="198" t="s">
        <v>188</v>
      </c>
    </row>
    <row r="35" spans="1:21" s="184" customFormat="1" ht="15" x14ac:dyDescent="0.25">
      <c r="A35" s="197"/>
      <c r="B35" s="394"/>
      <c r="C35" s="172" t="s">
        <v>79</v>
      </c>
      <c r="D35" s="44" t="s">
        <v>22</v>
      </c>
      <c r="E35" s="287">
        <v>0</v>
      </c>
      <c r="F35" s="332">
        <v>9.9999999999999978E-2</v>
      </c>
      <c r="G35" s="333">
        <f>F35-E35</f>
        <v>9.9999999999999978E-2</v>
      </c>
      <c r="H35" s="237"/>
      <c r="I35" s="307">
        <f t="shared" ref="I35" si="23">E35</f>
        <v>0</v>
      </c>
      <c r="J35" s="307">
        <f t="shared" si="20"/>
        <v>9.9999999999999978E-2</v>
      </c>
      <c r="K35" s="333">
        <f>J35-I35</f>
        <v>9.9999999999999978E-2</v>
      </c>
      <c r="L35" s="331"/>
      <c r="M35" s="307">
        <f>E35</f>
        <v>0</v>
      </c>
      <c r="N35" s="307">
        <f t="shared" si="21"/>
        <v>9.9999999999999978E-2</v>
      </c>
      <c r="O35" s="333">
        <f>N35-M35</f>
        <v>9.9999999999999978E-2</v>
      </c>
      <c r="P35" s="331"/>
      <c r="Q35" s="307">
        <f>E35</f>
        <v>0</v>
      </c>
      <c r="R35" s="307">
        <f t="shared" si="22"/>
        <v>9.9999999999999978E-2</v>
      </c>
      <c r="S35" s="333">
        <f>R35-Q35</f>
        <v>9.9999999999999978E-2</v>
      </c>
      <c r="T35" s="200"/>
      <c r="U35" s="198" t="s">
        <v>188</v>
      </c>
    </row>
    <row r="36" spans="1:21" s="184" customFormat="1" ht="15" x14ac:dyDescent="0.25">
      <c r="A36" s="197"/>
      <c r="B36" s="394"/>
      <c r="C36" s="172" t="s">
        <v>78</v>
      </c>
      <c r="D36" s="44" t="s">
        <v>28</v>
      </c>
      <c r="E36" s="195">
        <f>Input_Costs!$E$60</f>
        <v>0.02</v>
      </c>
      <c r="F36" s="195">
        <f>Input_Costs!$E$60</f>
        <v>0.02</v>
      </c>
      <c r="G36" s="340">
        <f>F36-E36</f>
        <v>0</v>
      </c>
      <c r="H36" s="236"/>
      <c r="I36" s="195">
        <f>Input_Costs!$E$60</f>
        <v>0.02</v>
      </c>
      <c r="J36" s="195">
        <f>Input_Costs!$E$60</f>
        <v>0.02</v>
      </c>
      <c r="K36" s="340">
        <f t="shared" ref="K36:K37" si="24">J36-I36</f>
        <v>0</v>
      </c>
      <c r="L36" s="341"/>
      <c r="M36" s="195">
        <f>Input_Costs!$E$60</f>
        <v>0.02</v>
      </c>
      <c r="N36" s="195">
        <f>Input_Costs!$E$60</f>
        <v>0.02</v>
      </c>
      <c r="O36" s="340">
        <f t="shared" ref="O36:O37" si="25">N36-M36</f>
        <v>0</v>
      </c>
      <c r="P36" s="341"/>
      <c r="Q36" s="195">
        <f>Input_Costs!$E$60</f>
        <v>0.02</v>
      </c>
      <c r="R36" s="195">
        <f>Input_Costs!$E$60</f>
        <v>0.02</v>
      </c>
      <c r="S36" s="340">
        <f t="shared" ref="S36:S37" si="26">R36-Q36</f>
        <v>0</v>
      </c>
      <c r="T36" s="200"/>
      <c r="U36" s="198" t="s">
        <v>188</v>
      </c>
    </row>
    <row r="37" spans="1:21" s="184" customFormat="1" ht="15" x14ac:dyDescent="0.25">
      <c r="A37" s="197"/>
      <c r="B37" s="394"/>
      <c r="C37" s="172" t="s">
        <v>79</v>
      </c>
      <c r="D37" s="44" t="s">
        <v>28</v>
      </c>
      <c r="E37" s="195">
        <f>Input_Costs!$E$61</f>
        <v>0.8</v>
      </c>
      <c r="F37" s="195">
        <f>Input_Costs!$E$61</f>
        <v>0.8</v>
      </c>
      <c r="G37" s="340">
        <f>F37-E37</f>
        <v>0</v>
      </c>
      <c r="H37" s="236"/>
      <c r="I37" s="195">
        <f>Input_Costs!$E$61</f>
        <v>0.8</v>
      </c>
      <c r="J37" s="195">
        <f>Input_Costs!$E$61</f>
        <v>0.8</v>
      </c>
      <c r="K37" s="340">
        <f t="shared" si="24"/>
        <v>0</v>
      </c>
      <c r="L37" s="341"/>
      <c r="M37" s="195">
        <f>Input_Costs!$E$61</f>
        <v>0.8</v>
      </c>
      <c r="N37" s="195">
        <f>Input_Costs!$E$61</f>
        <v>0.8</v>
      </c>
      <c r="O37" s="340">
        <f t="shared" si="25"/>
        <v>0</v>
      </c>
      <c r="P37" s="341"/>
      <c r="Q37" s="195">
        <f>Input_Costs!$E$61</f>
        <v>0.8</v>
      </c>
      <c r="R37" s="195">
        <f>Input_Costs!$E$61</f>
        <v>0.8</v>
      </c>
      <c r="S37" s="340">
        <f t="shared" si="26"/>
        <v>0</v>
      </c>
      <c r="T37" s="200"/>
      <c r="U37" s="198" t="s">
        <v>188</v>
      </c>
    </row>
    <row r="38" spans="1:21" ht="15" x14ac:dyDescent="0.25">
      <c r="B38" s="395"/>
      <c r="E38" s="176"/>
      <c r="F38" s="176"/>
      <c r="G38" s="176"/>
      <c r="H38" s="237"/>
      <c r="I38" s="176"/>
      <c r="J38" s="176"/>
      <c r="K38" s="176"/>
      <c r="L38" s="331"/>
      <c r="M38" s="176"/>
      <c r="N38" s="176"/>
      <c r="O38" s="176"/>
      <c r="P38" s="331"/>
      <c r="Q38" s="176"/>
      <c r="R38" s="176"/>
      <c r="S38" s="176"/>
      <c r="T38" s="199"/>
    </row>
    <row r="39" spans="1:21" ht="15" x14ac:dyDescent="0.25">
      <c r="B39" s="396"/>
      <c r="C39" s="198" t="s">
        <v>266</v>
      </c>
      <c r="E39" s="339"/>
      <c r="F39" s="339"/>
      <c r="G39" s="339"/>
      <c r="H39" s="330"/>
      <c r="I39" s="339"/>
      <c r="J39" s="339"/>
      <c r="K39" s="339"/>
      <c r="L39" s="331"/>
      <c r="M39" s="176"/>
      <c r="N39" s="176"/>
      <c r="O39" s="339"/>
      <c r="P39" s="331"/>
      <c r="Q39" s="176"/>
      <c r="R39" s="176"/>
      <c r="S39" s="339"/>
      <c r="T39" s="200"/>
    </row>
    <row r="40" spans="1:21" ht="15" x14ac:dyDescent="0.25">
      <c r="B40" s="396"/>
      <c r="C40" s="196" t="s">
        <v>267</v>
      </c>
      <c r="D40" s="198" t="s">
        <v>28</v>
      </c>
      <c r="E40" s="338">
        <f>Input_Costs!$E$57</f>
        <v>0.12300000000000001</v>
      </c>
      <c r="F40" s="338">
        <f>Input_Costs!$E$57</f>
        <v>0.12300000000000001</v>
      </c>
      <c r="G40" s="340">
        <f>F40-E40</f>
        <v>0</v>
      </c>
      <c r="H40" s="330"/>
      <c r="I40" s="338">
        <f>Input_Costs!$E$57</f>
        <v>0.12300000000000001</v>
      </c>
      <c r="J40" s="338">
        <f>Input_Costs!$E$57</f>
        <v>0.12300000000000001</v>
      </c>
      <c r="K40" s="340">
        <f>J40-I40</f>
        <v>0</v>
      </c>
      <c r="L40" s="331"/>
      <c r="M40" s="338">
        <f>Input_Costs!$E$57</f>
        <v>0.12300000000000001</v>
      </c>
      <c r="N40" s="338">
        <f>Input_Costs!$E$57</f>
        <v>0.12300000000000001</v>
      </c>
      <c r="O40" s="340">
        <f>N40-M40</f>
        <v>0</v>
      </c>
      <c r="P40" s="331"/>
      <c r="Q40" s="338">
        <f>Input_Costs!$E$57</f>
        <v>0.12300000000000001</v>
      </c>
      <c r="R40" s="338">
        <f>Input_Costs!$E$57</f>
        <v>0.12300000000000001</v>
      </c>
      <c r="S40" s="340">
        <f>R40-Q40</f>
        <v>0</v>
      </c>
      <c r="T40" s="200"/>
      <c r="U40" s="198" t="s">
        <v>269</v>
      </c>
    </row>
    <row r="41" spans="1:21" ht="15" x14ac:dyDescent="0.25">
      <c r="B41" s="396"/>
      <c r="E41" s="339"/>
      <c r="F41" s="339"/>
      <c r="G41" s="339"/>
      <c r="H41" s="330"/>
      <c r="I41" s="339"/>
      <c r="J41" s="339"/>
      <c r="K41" s="339"/>
      <c r="L41" s="331"/>
      <c r="M41" s="176"/>
      <c r="N41" s="176"/>
      <c r="O41" s="339"/>
      <c r="P41" s="331"/>
      <c r="Q41" s="176"/>
      <c r="R41" s="176"/>
      <c r="S41" s="339"/>
      <c r="T41" s="200"/>
    </row>
    <row r="42" spans="1:21" ht="15" x14ac:dyDescent="0.25">
      <c r="B42" s="395"/>
      <c r="C42" s="102" t="s">
        <v>164</v>
      </c>
      <c r="E42" s="176"/>
      <c r="F42" s="176"/>
      <c r="G42" s="176"/>
      <c r="H42" s="237"/>
      <c r="I42" s="176"/>
      <c r="J42" s="176"/>
      <c r="K42" s="176"/>
      <c r="L42" s="331"/>
      <c r="M42" s="176"/>
      <c r="N42" s="176"/>
      <c r="O42" s="176"/>
      <c r="P42" s="331"/>
      <c r="Q42" s="176"/>
      <c r="R42" s="176"/>
      <c r="S42" s="176"/>
      <c r="T42" s="199"/>
    </row>
    <row r="43" spans="1:21" ht="15" x14ac:dyDescent="0.25">
      <c r="B43" s="396"/>
      <c r="C43" s="196" t="s">
        <v>151</v>
      </c>
      <c r="E43" s="332">
        <v>1</v>
      </c>
      <c r="F43" s="332">
        <v>1</v>
      </c>
      <c r="G43" s="333">
        <f t="shared" ref="G43" si="27">F43-E43</f>
        <v>0</v>
      </c>
      <c r="H43" s="330"/>
      <c r="I43" s="307">
        <f t="shared" ref="I43" si="28">E43</f>
        <v>1</v>
      </c>
      <c r="J43" s="307">
        <f t="shared" ref="J43" si="29">F43</f>
        <v>1</v>
      </c>
      <c r="K43" s="333">
        <f t="shared" ref="K43" si="30">J43-I43</f>
        <v>0</v>
      </c>
      <c r="L43" s="331"/>
      <c r="M43" s="307">
        <f t="shared" ref="M43" si="31">E43</f>
        <v>1</v>
      </c>
      <c r="N43" s="307">
        <f t="shared" ref="N43" si="32">F43</f>
        <v>1</v>
      </c>
      <c r="O43" s="333">
        <f t="shared" ref="O43" si="33">N43-M43</f>
        <v>0</v>
      </c>
      <c r="P43" s="331"/>
      <c r="Q43" s="332">
        <v>0</v>
      </c>
      <c r="R43" s="332">
        <v>0</v>
      </c>
      <c r="S43" s="333">
        <f t="shared" ref="S43" si="34">R43-Q43</f>
        <v>0</v>
      </c>
      <c r="T43" s="199"/>
    </row>
    <row r="44" spans="1:21" s="184" customFormat="1" ht="15" x14ac:dyDescent="0.25">
      <c r="A44" s="197"/>
      <c r="B44" s="394"/>
      <c r="C44" s="172" t="s">
        <v>196</v>
      </c>
      <c r="D44" s="184" t="s">
        <v>22</v>
      </c>
      <c r="E44" s="332">
        <v>0.05</v>
      </c>
      <c r="F44" s="332">
        <v>0.05</v>
      </c>
      <c r="G44" s="333">
        <f t="shared" ref="G44:G45" si="35">F44-E44</f>
        <v>0</v>
      </c>
      <c r="H44" s="237"/>
      <c r="I44" s="307">
        <f>E44</f>
        <v>0.05</v>
      </c>
      <c r="J44" s="307">
        <f t="shared" ref="J44:J45" si="36">F44</f>
        <v>0.05</v>
      </c>
      <c r="K44" s="333">
        <f>J44-I44</f>
        <v>0</v>
      </c>
      <c r="L44" s="331"/>
      <c r="M44" s="307">
        <f>E44</f>
        <v>0.05</v>
      </c>
      <c r="N44" s="307">
        <f t="shared" ref="N44:N45" si="37">F44</f>
        <v>0.05</v>
      </c>
      <c r="O44" s="333">
        <f>N44-M44</f>
        <v>0</v>
      </c>
      <c r="P44" s="331"/>
      <c r="Q44" s="332">
        <v>0</v>
      </c>
      <c r="R44" s="332">
        <v>0</v>
      </c>
      <c r="S44" s="333">
        <f>R44-Q44</f>
        <v>0</v>
      </c>
      <c r="T44" s="200"/>
      <c r="U44" s="198" t="s">
        <v>320</v>
      </c>
    </row>
    <row r="45" spans="1:21" s="184" customFormat="1" ht="15" x14ac:dyDescent="0.25">
      <c r="A45" s="197"/>
      <c r="B45" s="394"/>
      <c r="C45" s="172" t="s">
        <v>197</v>
      </c>
      <c r="D45" s="184" t="s">
        <v>26</v>
      </c>
      <c r="E45" s="342">
        <v>5</v>
      </c>
      <c r="F45" s="342">
        <v>5</v>
      </c>
      <c r="G45" s="176">
        <f t="shared" si="35"/>
        <v>0</v>
      </c>
      <c r="H45" s="237"/>
      <c r="I45" s="338">
        <f t="shared" ref="I45" si="38">E45</f>
        <v>5</v>
      </c>
      <c r="J45" s="338">
        <f t="shared" si="36"/>
        <v>5</v>
      </c>
      <c r="K45" s="336">
        <f t="shared" ref="K45" si="39">J45-I45</f>
        <v>0</v>
      </c>
      <c r="L45" s="331"/>
      <c r="M45" s="338">
        <f t="shared" ref="M45" si="40">E45</f>
        <v>5</v>
      </c>
      <c r="N45" s="338">
        <f t="shared" si="37"/>
        <v>5</v>
      </c>
      <c r="O45" s="336">
        <f t="shared" ref="O45" si="41">N45-M45</f>
        <v>0</v>
      </c>
      <c r="P45" s="331"/>
      <c r="Q45" s="342">
        <v>0</v>
      </c>
      <c r="R45" s="342">
        <v>0</v>
      </c>
      <c r="S45" s="336">
        <f t="shared" ref="S45" si="42">R45-Q45</f>
        <v>0</v>
      </c>
      <c r="T45" s="200"/>
      <c r="U45" s="198" t="s">
        <v>188</v>
      </c>
    </row>
    <row r="46" spans="1:21" s="214" customFormat="1" ht="15" x14ac:dyDescent="0.25">
      <c r="A46" s="197"/>
      <c r="B46" s="397"/>
      <c r="E46" s="343"/>
      <c r="F46" s="343"/>
      <c r="G46" s="343"/>
      <c r="H46" s="330"/>
      <c r="I46" s="176"/>
      <c r="J46" s="176"/>
      <c r="K46" s="176"/>
      <c r="L46" s="331"/>
      <c r="M46" s="176"/>
      <c r="N46" s="176"/>
      <c r="O46" s="176"/>
      <c r="P46" s="331"/>
      <c r="Q46" s="176"/>
      <c r="R46" s="176"/>
      <c r="S46" s="176"/>
      <c r="T46" s="199"/>
      <c r="U46" s="221"/>
    </row>
    <row r="47" spans="1:21" s="212" customFormat="1" ht="15" x14ac:dyDescent="0.25">
      <c r="A47" s="197"/>
      <c r="B47" s="398" t="s">
        <v>80</v>
      </c>
      <c r="E47" s="329" t="s">
        <v>59</v>
      </c>
      <c r="F47" s="329" t="s">
        <v>77</v>
      </c>
      <c r="G47" s="329" t="s">
        <v>89</v>
      </c>
      <c r="H47" s="330"/>
      <c r="I47" s="329" t="s">
        <v>59</v>
      </c>
      <c r="J47" s="329" t="s">
        <v>77</v>
      </c>
      <c r="K47" s="329" t="s">
        <v>89</v>
      </c>
      <c r="L47" s="330"/>
      <c r="M47" s="329" t="s">
        <v>59</v>
      </c>
      <c r="N47" s="329" t="s">
        <v>77</v>
      </c>
      <c r="O47" s="329" t="s">
        <v>89</v>
      </c>
      <c r="P47" s="330"/>
      <c r="Q47" s="329" t="s">
        <v>59</v>
      </c>
      <c r="R47" s="329" t="s">
        <v>77</v>
      </c>
      <c r="S47" s="329" t="s">
        <v>89</v>
      </c>
      <c r="T47" s="200"/>
      <c r="U47" s="213"/>
    </row>
    <row r="48" spans="1:21" s="222" customFormat="1" ht="15" x14ac:dyDescent="0.25">
      <c r="A48" s="197"/>
      <c r="B48" s="393"/>
      <c r="C48" s="110"/>
      <c r="E48" s="344"/>
      <c r="F48" s="344"/>
      <c r="G48" s="344"/>
      <c r="H48" s="345"/>
      <c r="I48" s="344"/>
      <c r="J48" s="344"/>
      <c r="K48" s="344"/>
      <c r="L48" s="346"/>
      <c r="M48" s="344"/>
      <c r="N48" s="344"/>
      <c r="O48" s="344"/>
      <c r="P48" s="346"/>
      <c r="Q48" s="344"/>
      <c r="R48" s="344"/>
      <c r="S48" s="344"/>
      <c r="T48" s="174"/>
      <c r="U48" s="153"/>
    </row>
    <row r="49" spans="1:23" s="222" customFormat="1" ht="15" x14ac:dyDescent="0.25">
      <c r="A49" s="197"/>
      <c r="B49" s="393"/>
      <c r="C49" s="222" t="s">
        <v>174</v>
      </c>
      <c r="D49" s="152" t="s">
        <v>26</v>
      </c>
      <c r="E49" s="344">
        <f>E26</f>
        <v>5</v>
      </c>
      <c r="F49" s="344">
        <f>F26</f>
        <v>3</v>
      </c>
      <c r="G49" s="344">
        <f>F49-E49</f>
        <v>-2</v>
      </c>
      <c r="H49" s="345"/>
      <c r="I49" s="344">
        <f>I26</f>
        <v>5</v>
      </c>
      <c r="J49" s="344">
        <f>J26</f>
        <v>3</v>
      </c>
      <c r="K49" s="344">
        <f>J49-I49</f>
        <v>-2</v>
      </c>
      <c r="L49" s="346"/>
      <c r="M49" s="344">
        <f>M26</f>
        <v>5</v>
      </c>
      <c r="N49" s="344">
        <f>N26</f>
        <v>3</v>
      </c>
      <c r="O49" s="344">
        <f>N49-M49</f>
        <v>-2</v>
      </c>
      <c r="P49" s="346"/>
      <c r="Q49" s="344">
        <f>Q26</f>
        <v>5</v>
      </c>
      <c r="R49" s="344">
        <f>R26</f>
        <v>3</v>
      </c>
      <c r="S49" s="344">
        <f>R49-Q49</f>
        <v>-2</v>
      </c>
      <c r="T49" s="199"/>
      <c r="U49" s="138"/>
      <c r="W49" s="214"/>
    </row>
    <row r="50" spans="1:23" s="222" customFormat="1" ht="15" x14ac:dyDescent="0.25">
      <c r="A50" s="197"/>
      <c r="B50" s="393"/>
      <c r="C50" s="222" t="s">
        <v>175</v>
      </c>
      <c r="D50" s="152" t="s">
        <v>26</v>
      </c>
      <c r="E50" s="344">
        <f>E30*E31</f>
        <v>0.44999999999999996</v>
      </c>
      <c r="F50" s="344">
        <f>F30*F31</f>
        <v>0.15000000000000002</v>
      </c>
      <c r="G50" s="344">
        <f>F50-E50</f>
        <v>-0.29999999999999993</v>
      </c>
      <c r="H50" s="345"/>
      <c r="I50" s="344">
        <f>I30*I31</f>
        <v>0.44999999999999996</v>
      </c>
      <c r="J50" s="344">
        <f>J30*J31</f>
        <v>0.15000000000000002</v>
      </c>
      <c r="K50" s="344">
        <f>J50-I50</f>
        <v>-0.29999999999999993</v>
      </c>
      <c r="L50" s="346"/>
      <c r="M50" s="344">
        <f>M30*M31</f>
        <v>0.44999999999999996</v>
      </c>
      <c r="N50" s="344">
        <f>N30*N31</f>
        <v>0.15000000000000002</v>
      </c>
      <c r="O50" s="344">
        <f>N50-M50</f>
        <v>-0.29999999999999993</v>
      </c>
      <c r="P50" s="346"/>
      <c r="Q50" s="344">
        <f>Q30*Q31</f>
        <v>0.44999999999999996</v>
      </c>
      <c r="R50" s="344">
        <f>R30*R31</f>
        <v>0.15000000000000002</v>
      </c>
      <c r="S50" s="344">
        <f>R50-Q50</f>
        <v>-0.29999999999999993</v>
      </c>
      <c r="T50" s="199"/>
      <c r="U50" s="138"/>
      <c r="W50" s="214"/>
    </row>
    <row r="51" spans="1:23" s="222" customFormat="1" ht="15" x14ac:dyDescent="0.25">
      <c r="A51" s="197"/>
      <c r="B51" s="393"/>
      <c r="C51" s="222" t="s">
        <v>176</v>
      </c>
      <c r="D51" s="152" t="s">
        <v>26</v>
      </c>
      <c r="E51" s="344">
        <f>E43*E44*E45</f>
        <v>0.25</v>
      </c>
      <c r="F51" s="344">
        <f>F43*F44*F45</f>
        <v>0.25</v>
      </c>
      <c r="G51" s="344">
        <f>F51-E51</f>
        <v>0</v>
      </c>
      <c r="H51" s="345"/>
      <c r="I51" s="344">
        <f>I43*I44*I45</f>
        <v>0.25</v>
      </c>
      <c r="J51" s="344">
        <f>J43*J44*J45</f>
        <v>0.25</v>
      </c>
      <c r="K51" s="344">
        <f>J51-I51</f>
        <v>0</v>
      </c>
      <c r="L51" s="346"/>
      <c r="M51" s="344">
        <f>M43*M44*M45</f>
        <v>0.25</v>
      </c>
      <c r="N51" s="344">
        <f>N43*N44*N45</f>
        <v>0.25</v>
      </c>
      <c r="O51" s="344">
        <f>N51-M51</f>
        <v>0</v>
      </c>
      <c r="P51" s="346"/>
      <c r="Q51" s="344">
        <f>Q43*Q44*Q45</f>
        <v>0</v>
      </c>
      <c r="R51" s="344">
        <f>R43*R44*R45</f>
        <v>0</v>
      </c>
      <c r="S51" s="344">
        <f>R51-Q51</f>
        <v>0</v>
      </c>
      <c r="T51" s="199"/>
      <c r="U51" s="138"/>
      <c r="W51" s="214"/>
    </row>
    <row r="52" spans="1:23" s="214" customFormat="1" ht="15" x14ac:dyDescent="0.25">
      <c r="A52" s="197"/>
      <c r="B52" s="397"/>
      <c r="E52" s="344"/>
      <c r="F52" s="344"/>
      <c r="G52" s="344"/>
      <c r="H52" s="345"/>
      <c r="I52" s="344"/>
      <c r="J52" s="344"/>
      <c r="K52" s="344"/>
      <c r="L52" s="346"/>
      <c r="M52" s="344"/>
      <c r="N52" s="344"/>
      <c r="O52" s="344"/>
      <c r="P52" s="346"/>
      <c r="Q52" s="344"/>
      <c r="R52" s="344"/>
      <c r="S52" s="344"/>
      <c r="T52" s="199"/>
    </row>
    <row r="53" spans="1:23" s="222" customFormat="1" ht="15" x14ac:dyDescent="0.25">
      <c r="A53" s="197"/>
      <c r="B53" s="393"/>
      <c r="C53" s="222" t="s">
        <v>177</v>
      </c>
      <c r="D53" s="222" t="s">
        <v>28</v>
      </c>
      <c r="E53" s="344">
        <f>E49*CSA_min</f>
        <v>1.2</v>
      </c>
      <c r="F53" s="344">
        <f>F49*CSA_min</f>
        <v>0.72</v>
      </c>
      <c r="G53" s="344">
        <f t="shared" ref="G53:G55" si="43">F53-E53</f>
        <v>-0.48</v>
      </c>
      <c r="H53" s="345"/>
      <c r="I53" s="344">
        <f>I49*CSA_min</f>
        <v>1.2</v>
      </c>
      <c r="J53" s="344">
        <f>J49*CSA_min</f>
        <v>0.72</v>
      </c>
      <c r="K53" s="344">
        <f t="shared" ref="K53:K55" si="44">J53-I53</f>
        <v>-0.48</v>
      </c>
      <c r="L53" s="346"/>
      <c r="M53" s="344">
        <f>M49*CSA_min</f>
        <v>1.2</v>
      </c>
      <c r="N53" s="344">
        <f>N49*CSA_min</f>
        <v>0.72</v>
      </c>
      <c r="O53" s="344">
        <f t="shared" ref="O53:O55" si="45">N53-M53</f>
        <v>-0.48</v>
      </c>
      <c r="P53" s="346"/>
      <c r="Q53" s="344">
        <f>Q49*CSA_min</f>
        <v>1.2</v>
      </c>
      <c r="R53" s="344">
        <f>R49*CSA_min</f>
        <v>0.72</v>
      </c>
      <c r="S53" s="344">
        <f t="shared" ref="S53:S55" si="46">R53-Q53</f>
        <v>-0.48</v>
      </c>
      <c r="T53" s="174"/>
      <c r="U53" s="153"/>
    </row>
    <row r="54" spans="1:23" s="222" customFormat="1" ht="15" x14ac:dyDescent="0.25">
      <c r="A54" s="197"/>
      <c r="B54" s="393"/>
      <c r="C54" s="222" t="s">
        <v>178</v>
      </c>
      <c r="D54" s="222" t="s">
        <v>28</v>
      </c>
      <c r="E54" s="344">
        <f>E50*CSAM_min</f>
        <v>0.21249999999999997</v>
      </c>
      <c r="F54" s="344">
        <f>F50*CSAM_min</f>
        <v>7.0833333333333345E-2</v>
      </c>
      <c r="G54" s="344">
        <f t="shared" si="43"/>
        <v>-0.14166666666666661</v>
      </c>
      <c r="H54" s="345"/>
      <c r="I54" s="344">
        <f>I50*CSAM_min</f>
        <v>0.21249999999999997</v>
      </c>
      <c r="J54" s="344">
        <f>J50*CSAM_min</f>
        <v>7.0833333333333345E-2</v>
      </c>
      <c r="K54" s="344">
        <f t="shared" si="44"/>
        <v>-0.14166666666666661</v>
      </c>
      <c r="L54" s="346"/>
      <c r="M54" s="344">
        <f>M50*CSAM_min</f>
        <v>0.21249999999999997</v>
      </c>
      <c r="N54" s="344">
        <f>N50*CSAM_min</f>
        <v>7.0833333333333345E-2</v>
      </c>
      <c r="O54" s="344">
        <f t="shared" si="45"/>
        <v>-0.14166666666666661</v>
      </c>
      <c r="P54" s="346"/>
      <c r="Q54" s="344">
        <f>Q50*CSAM_min</f>
        <v>0.21249999999999997</v>
      </c>
      <c r="R54" s="344">
        <f>R50*CSAM_min</f>
        <v>7.0833333333333345E-2</v>
      </c>
      <c r="S54" s="344">
        <f t="shared" si="46"/>
        <v>-0.14166666666666661</v>
      </c>
      <c r="T54" s="174"/>
      <c r="U54" s="153"/>
    </row>
    <row r="55" spans="1:23" s="222" customFormat="1" ht="15" x14ac:dyDescent="0.25">
      <c r="A55" s="197"/>
      <c r="B55" s="393"/>
      <c r="C55" s="222" t="s">
        <v>179</v>
      </c>
      <c r="D55" s="222" t="s">
        <v>28</v>
      </c>
      <c r="E55" s="344">
        <f>E51*SPM_min</f>
        <v>0.11805555555555555</v>
      </c>
      <c r="F55" s="344">
        <f>F51*SPM_min</f>
        <v>0.11805555555555555</v>
      </c>
      <c r="G55" s="344">
        <f t="shared" si="43"/>
        <v>0</v>
      </c>
      <c r="H55" s="345"/>
      <c r="I55" s="344">
        <f>I51*SPM_min</f>
        <v>0.11805555555555555</v>
      </c>
      <c r="J55" s="344">
        <f>J51*SPM_min</f>
        <v>0.11805555555555555</v>
      </c>
      <c r="K55" s="344">
        <f t="shared" si="44"/>
        <v>0</v>
      </c>
      <c r="L55" s="346"/>
      <c r="M55" s="344">
        <f>M51*SPM_min</f>
        <v>0.11805555555555555</v>
      </c>
      <c r="N55" s="344">
        <f>N51*SPM_min</f>
        <v>0.11805555555555555</v>
      </c>
      <c r="O55" s="344">
        <f t="shared" si="45"/>
        <v>0</v>
      </c>
      <c r="P55" s="346"/>
      <c r="Q55" s="344">
        <f>Q51*SPM_min</f>
        <v>0</v>
      </c>
      <c r="R55" s="344">
        <f>R51*SPM_min</f>
        <v>0</v>
      </c>
      <c r="S55" s="344">
        <f t="shared" si="46"/>
        <v>0</v>
      </c>
      <c r="T55" s="174"/>
      <c r="U55" s="153"/>
    </row>
    <row r="56" spans="1:23" ht="15" x14ac:dyDescent="0.25">
      <c r="B56" s="395"/>
      <c r="E56" s="344"/>
      <c r="F56" s="344"/>
      <c r="G56" s="344"/>
      <c r="H56" s="345"/>
      <c r="I56" s="344"/>
      <c r="J56" s="344"/>
      <c r="K56" s="344"/>
      <c r="L56" s="346"/>
      <c r="M56" s="344"/>
      <c r="N56" s="344"/>
      <c r="O56" s="344"/>
      <c r="P56" s="346"/>
      <c r="Q56" s="344"/>
      <c r="R56" s="344"/>
      <c r="S56" s="344"/>
      <c r="T56" s="199"/>
    </row>
    <row r="57" spans="1:23" s="222" customFormat="1" ht="15" x14ac:dyDescent="0.25">
      <c r="A57" s="197"/>
      <c r="B57" s="393"/>
      <c r="C57" s="110" t="s">
        <v>180</v>
      </c>
      <c r="D57" s="222" t="s">
        <v>28</v>
      </c>
      <c r="E57" s="344">
        <f>(E34*E36)+(E35*E37)</f>
        <v>0</v>
      </c>
      <c r="F57" s="344">
        <f>(F34*F36)+(F35*F37)</f>
        <v>9.799999999999999E-2</v>
      </c>
      <c r="G57" s="344">
        <f>F57-E57</f>
        <v>9.799999999999999E-2</v>
      </c>
      <c r="H57" s="345"/>
      <c r="I57" s="344">
        <f>(I34*I36)+(I35*I37)</f>
        <v>0</v>
      </c>
      <c r="J57" s="344">
        <f>(J34*J36)+(J35*J37)</f>
        <v>9.799999999999999E-2</v>
      </c>
      <c r="K57" s="344">
        <f>J57-I57</f>
        <v>9.799999999999999E-2</v>
      </c>
      <c r="L57" s="346"/>
      <c r="M57" s="344">
        <f>(M34*M36)+(M35*M37)</f>
        <v>0</v>
      </c>
      <c r="N57" s="344">
        <f>(N34*N36)+(N35*N37)</f>
        <v>9.799999999999999E-2</v>
      </c>
      <c r="O57" s="344">
        <f>N57-M57</f>
        <v>9.799999999999999E-2</v>
      </c>
      <c r="P57" s="346"/>
      <c r="Q57" s="344">
        <f>(Q34*Q36)+(Q35*Q37)</f>
        <v>0</v>
      </c>
      <c r="R57" s="344">
        <f>(R34*R36)+(R35*R37)</f>
        <v>9.799999999999999E-2</v>
      </c>
      <c r="S57" s="344">
        <f>R57-Q57</f>
        <v>9.799999999999999E-2</v>
      </c>
      <c r="T57" s="174"/>
      <c r="U57" s="153"/>
    </row>
    <row r="58" spans="1:23" s="222" customFormat="1" ht="15" x14ac:dyDescent="0.25">
      <c r="A58" s="197"/>
      <c r="B58" s="393"/>
      <c r="C58" s="110" t="s">
        <v>268</v>
      </c>
      <c r="D58" s="222" t="s">
        <v>28</v>
      </c>
      <c r="E58" s="344">
        <f>E40</f>
        <v>0.12300000000000001</v>
      </c>
      <c r="F58" s="344">
        <f>F40</f>
        <v>0.12300000000000001</v>
      </c>
      <c r="G58" s="344">
        <f t="shared" ref="G58" si="47">F58-E58</f>
        <v>0</v>
      </c>
      <c r="H58" s="345"/>
      <c r="I58" s="344">
        <f>I40</f>
        <v>0.12300000000000001</v>
      </c>
      <c r="J58" s="344">
        <f>J40</f>
        <v>0.12300000000000001</v>
      </c>
      <c r="K58" s="344">
        <f t="shared" ref="K58" si="48">J58-I58</f>
        <v>0</v>
      </c>
      <c r="L58" s="346"/>
      <c r="M58" s="344">
        <f>M40</f>
        <v>0.12300000000000001</v>
      </c>
      <c r="N58" s="344">
        <f>N40</f>
        <v>0.12300000000000001</v>
      </c>
      <c r="O58" s="344">
        <f t="shared" ref="O58" si="49">N58-M58</f>
        <v>0</v>
      </c>
      <c r="P58" s="346"/>
      <c r="Q58" s="344">
        <f>Q40</f>
        <v>0.12300000000000001</v>
      </c>
      <c r="R58" s="344">
        <f>R40</f>
        <v>0.12300000000000001</v>
      </c>
      <c r="S58" s="344">
        <f t="shared" ref="S58" si="50">R58-Q58</f>
        <v>0</v>
      </c>
      <c r="T58" s="174"/>
      <c r="U58" s="153"/>
    </row>
    <row r="59" spans="1:23" s="222" customFormat="1" ht="15" x14ac:dyDescent="0.25">
      <c r="A59" s="197"/>
      <c r="B59" s="393"/>
      <c r="C59" s="110"/>
      <c r="E59" s="347"/>
      <c r="F59" s="347"/>
      <c r="G59" s="348"/>
      <c r="H59" s="349"/>
      <c r="I59" s="347"/>
      <c r="J59" s="347"/>
      <c r="K59" s="348"/>
      <c r="L59" s="349"/>
      <c r="M59" s="347"/>
      <c r="N59" s="347"/>
      <c r="O59" s="348"/>
      <c r="P59" s="349"/>
      <c r="Q59" s="347"/>
      <c r="R59" s="347"/>
      <c r="S59" s="348"/>
      <c r="T59" s="174"/>
      <c r="U59" s="153"/>
    </row>
    <row r="60" spans="1:23" s="222" customFormat="1" ht="15" x14ac:dyDescent="0.25">
      <c r="A60" s="197"/>
      <c r="B60" s="393"/>
      <c r="C60" s="326" t="s">
        <v>264</v>
      </c>
      <c r="D60" s="222" t="s">
        <v>28</v>
      </c>
      <c r="E60" s="327">
        <f>SUM(E53:E58)</f>
        <v>1.6535555555555554</v>
      </c>
      <c r="F60" s="327">
        <f>SUM(F53:F58)</f>
        <v>1.1298888888888889</v>
      </c>
      <c r="G60" s="350">
        <f>F60-E60</f>
        <v>-0.5236666666666665</v>
      </c>
      <c r="H60" s="327"/>
      <c r="I60" s="327">
        <f>SUM(I53:I58)</f>
        <v>1.6535555555555554</v>
      </c>
      <c r="J60" s="327">
        <f>SUM(J53:J58)</f>
        <v>1.1298888888888889</v>
      </c>
      <c r="K60" s="350">
        <f>J60-I60</f>
        <v>-0.5236666666666665</v>
      </c>
      <c r="L60" s="327"/>
      <c r="M60" s="327">
        <f>SUM(M53:M58)</f>
        <v>1.6535555555555554</v>
      </c>
      <c r="N60" s="327">
        <f>SUM(N53:N58)</f>
        <v>1.1298888888888889</v>
      </c>
      <c r="O60" s="350">
        <f>N60-M60</f>
        <v>-0.5236666666666665</v>
      </c>
      <c r="P60" s="327"/>
      <c r="Q60" s="327">
        <f>SUM(Q53:Q58)</f>
        <v>1.5354999999999999</v>
      </c>
      <c r="R60" s="327">
        <f>SUM(R53:R58)</f>
        <v>1.0118333333333334</v>
      </c>
      <c r="S60" s="350">
        <f>R60-Q60</f>
        <v>-0.5236666666666665</v>
      </c>
      <c r="U60" s="153"/>
    </row>
    <row r="61" spans="1:23" s="214" customFormat="1" ht="15" x14ac:dyDescent="0.25">
      <c r="A61" s="197"/>
      <c r="B61" s="397"/>
      <c r="E61" s="343"/>
      <c r="F61" s="343"/>
      <c r="G61" s="343"/>
      <c r="H61" s="330"/>
      <c r="I61" s="343"/>
      <c r="J61" s="343"/>
      <c r="K61" s="343"/>
      <c r="L61" s="330"/>
      <c r="M61" s="343"/>
      <c r="N61" s="343"/>
      <c r="O61" s="343"/>
      <c r="P61" s="330"/>
      <c r="Q61" s="343"/>
      <c r="R61" s="343"/>
      <c r="S61" s="343"/>
      <c r="T61" s="199"/>
    </row>
    <row r="62" spans="1:23" s="212" customFormat="1" ht="15" x14ac:dyDescent="0.25">
      <c r="A62" s="197"/>
      <c r="B62" s="400" t="str">
        <f>Trigger2</f>
        <v>Missed Appointment</v>
      </c>
      <c r="E62" s="329" t="s">
        <v>59</v>
      </c>
      <c r="F62" s="329" t="s">
        <v>77</v>
      </c>
      <c r="G62" s="329" t="s">
        <v>89</v>
      </c>
      <c r="H62" s="330"/>
      <c r="I62" s="329" t="s">
        <v>59</v>
      </c>
      <c r="J62" s="329" t="s">
        <v>77</v>
      </c>
      <c r="K62" s="329" t="s">
        <v>89</v>
      </c>
      <c r="L62" s="330"/>
      <c r="M62" s="329" t="s">
        <v>59</v>
      </c>
      <c r="N62" s="329" t="s">
        <v>77</v>
      </c>
      <c r="O62" s="329" t="s">
        <v>89</v>
      </c>
      <c r="P62" s="330"/>
      <c r="Q62" s="329" t="s">
        <v>59</v>
      </c>
      <c r="R62" s="329" t="s">
        <v>77</v>
      </c>
      <c r="S62" s="329" t="s">
        <v>89</v>
      </c>
      <c r="T62" s="200"/>
      <c r="U62" s="213"/>
    </row>
    <row r="63" spans="1:23" s="184" customFormat="1" ht="15" x14ac:dyDescent="0.25">
      <c r="A63" s="197"/>
      <c r="B63" s="394"/>
      <c r="D63" s="219"/>
      <c r="E63" s="176"/>
      <c r="F63" s="176"/>
      <c r="G63" s="176"/>
      <c r="H63" s="237"/>
      <c r="I63" s="176"/>
      <c r="J63" s="176"/>
      <c r="K63" s="176"/>
      <c r="L63" s="331"/>
      <c r="M63" s="176"/>
      <c r="N63" s="176"/>
      <c r="O63" s="176"/>
      <c r="P63" s="331"/>
      <c r="Q63" s="176"/>
      <c r="R63" s="176"/>
      <c r="S63" s="176"/>
      <c r="T63" s="200"/>
      <c r="U63" s="198" t="s">
        <v>189</v>
      </c>
    </row>
    <row r="64" spans="1:23" s="184" customFormat="1" ht="15" x14ac:dyDescent="0.25">
      <c r="A64" s="197"/>
      <c r="B64" s="220" t="s">
        <v>147</v>
      </c>
      <c r="D64" s="219"/>
      <c r="E64" s="176"/>
      <c r="F64" s="176"/>
      <c r="G64" s="176"/>
      <c r="H64" s="237"/>
      <c r="I64" s="176"/>
      <c r="J64" s="176"/>
      <c r="K64" s="176"/>
      <c r="L64" s="331"/>
      <c r="M64" s="176"/>
      <c r="N64" s="176"/>
      <c r="O64" s="176"/>
      <c r="P64" s="331"/>
      <c r="Q64" s="176"/>
      <c r="R64" s="176"/>
      <c r="S64" s="176"/>
      <c r="T64" s="200"/>
      <c r="U64" s="198"/>
    </row>
    <row r="65" spans="1:21" s="184" customFormat="1" ht="15" x14ac:dyDescent="0.25">
      <c r="A65" s="197"/>
      <c r="B65" s="220"/>
      <c r="C65" s="184" t="s">
        <v>145</v>
      </c>
      <c r="D65" s="219" t="s">
        <v>26</v>
      </c>
      <c r="E65" s="335">
        <v>0</v>
      </c>
      <c r="F65" s="335">
        <v>0</v>
      </c>
      <c r="G65" s="336">
        <f t="shared" ref="G65:G74" si="51">F65-E65</f>
        <v>0</v>
      </c>
      <c r="H65" s="337"/>
      <c r="I65" s="338">
        <f t="shared" ref="I65:I73" si="52">E65</f>
        <v>0</v>
      </c>
      <c r="J65" s="338">
        <f t="shared" ref="J65:J73" si="53">F65</f>
        <v>0</v>
      </c>
      <c r="K65" s="336">
        <f t="shared" ref="K65:K74" si="54">J65-I65</f>
        <v>0</v>
      </c>
      <c r="L65" s="331"/>
      <c r="M65" s="338">
        <f t="shared" ref="M65:M73" si="55">E65</f>
        <v>0</v>
      </c>
      <c r="N65" s="338">
        <f t="shared" ref="N65:N73" si="56">F65</f>
        <v>0</v>
      </c>
      <c r="O65" s="336">
        <f t="shared" ref="O65:O74" si="57">N65-M65</f>
        <v>0</v>
      </c>
      <c r="P65" s="331"/>
      <c r="Q65" s="338">
        <f t="shared" ref="Q65:Q73" si="58">E65</f>
        <v>0</v>
      </c>
      <c r="R65" s="338">
        <f t="shared" ref="R65:R73" si="59">F65</f>
        <v>0</v>
      </c>
      <c r="S65" s="336">
        <f t="shared" ref="S65:S74" si="60">R65-Q65</f>
        <v>0</v>
      </c>
      <c r="T65" s="200"/>
      <c r="U65" s="198" t="s">
        <v>183</v>
      </c>
    </row>
    <row r="66" spans="1:21" s="184" customFormat="1" ht="15" x14ac:dyDescent="0.25">
      <c r="A66" s="197"/>
      <c r="B66" s="220"/>
      <c r="C66" s="184" t="s">
        <v>141</v>
      </c>
      <c r="D66" s="219" t="s">
        <v>26</v>
      </c>
      <c r="E66" s="335">
        <v>2</v>
      </c>
      <c r="F66" s="335">
        <v>2</v>
      </c>
      <c r="G66" s="336">
        <f t="shared" si="51"/>
        <v>0</v>
      </c>
      <c r="H66" s="337"/>
      <c r="I66" s="338">
        <f t="shared" si="52"/>
        <v>2</v>
      </c>
      <c r="J66" s="338">
        <f t="shared" si="53"/>
        <v>2</v>
      </c>
      <c r="K66" s="336">
        <f t="shared" si="54"/>
        <v>0</v>
      </c>
      <c r="L66" s="331"/>
      <c r="M66" s="338">
        <f t="shared" si="55"/>
        <v>2</v>
      </c>
      <c r="N66" s="338">
        <f t="shared" si="56"/>
        <v>2</v>
      </c>
      <c r="O66" s="336">
        <f t="shared" si="57"/>
        <v>0</v>
      </c>
      <c r="P66" s="331"/>
      <c r="Q66" s="338">
        <f t="shared" si="58"/>
        <v>2</v>
      </c>
      <c r="R66" s="338">
        <f t="shared" si="59"/>
        <v>2</v>
      </c>
      <c r="S66" s="336">
        <f t="shared" si="60"/>
        <v>0</v>
      </c>
      <c r="T66" s="200"/>
      <c r="U66" s="198" t="s">
        <v>184</v>
      </c>
    </row>
    <row r="67" spans="1:21" s="184" customFormat="1" ht="15" x14ac:dyDescent="0.25">
      <c r="A67" s="197"/>
      <c r="B67" s="220"/>
      <c r="C67" s="184" t="s">
        <v>149</v>
      </c>
      <c r="D67" s="219" t="s">
        <v>26</v>
      </c>
      <c r="E67" s="335">
        <v>1</v>
      </c>
      <c r="F67" s="335">
        <v>1</v>
      </c>
      <c r="G67" s="336">
        <f t="shared" si="51"/>
        <v>0</v>
      </c>
      <c r="H67" s="337"/>
      <c r="I67" s="338">
        <f t="shared" si="52"/>
        <v>1</v>
      </c>
      <c r="J67" s="338">
        <f t="shared" si="53"/>
        <v>1</v>
      </c>
      <c r="K67" s="336">
        <f t="shared" si="54"/>
        <v>0</v>
      </c>
      <c r="L67" s="331"/>
      <c r="M67" s="338">
        <f t="shared" si="55"/>
        <v>1</v>
      </c>
      <c r="N67" s="338">
        <f t="shared" si="56"/>
        <v>1</v>
      </c>
      <c r="O67" s="336">
        <f t="shared" si="57"/>
        <v>0</v>
      </c>
      <c r="P67" s="331"/>
      <c r="Q67" s="338">
        <f t="shared" si="58"/>
        <v>1</v>
      </c>
      <c r="R67" s="338">
        <f t="shared" si="59"/>
        <v>1</v>
      </c>
      <c r="S67" s="336">
        <f t="shared" si="60"/>
        <v>0</v>
      </c>
      <c r="T67" s="200"/>
      <c r="U67" s="198" t="s">
        <v>187</v>
      </c>
    </row>
    <row r="68" spans="1:21" s="184" customFormat="1" ht="15" x14ac:dyDescent="0.25">
      <c r="A68" s="197"/>
      <c r="B68" s="220"/>
      <c r="C68" s="184" t="s">
        <v>150</v>
      </c>
      <c r="D68" s="219" t="s">
        <v>26</v>
      </c>
      <c r="E68" s="335">
        <v>1</v>
      </c>
      <c r="F68" s="335">
        <v>0</v>
      </c>
      <c r="G68" s="336">
        <f t="shared" si="51"/>
        <v>-1</v>
      </c>
      <c r="H68" s="337"/>
      <c r="I68" s="338">
        <f t="shared" si="52"/>
        <v>1</v>
      </c>
      <c r="J68" s="338">
        <f t="shared" si="53"/>
        <v>0</v>
      </c>
      <c r="K68" s="336">
        <f t="shared" si="54"/>
        <v>-1</v>
      </c>
      <c r="L68" s="331"/>
      <c r="M68" s="338">
        <f t="shared" si="55"/>
        <v>1</v>
      </c>
      <c r="N68" s="338">
        <f t="shared" si="56"/>
        <v>0</v>
      </c>
      <c r="O68" s="336">
        <f t="shared" si="57"/>
        <v>-1</v>
      </c>
      <c r="P68" s="331"/>
      <c r="Q68" s="338">
        <f t="shared" si="58"/>
        <v>1</v>
      </c>
      <c r="R68" s="338">
        <f t="shared" si="59"/>
        <v>0</v>
      </c>
      <c r="S68" s="336">
        <f t="shared" si="60"/>
        <v>-1</v>
      </c>
      <c r="T68" s="200"/>
      <c r="U68" s="198" t="s">
        <v>258</v>
      </c>
    </row>
    <row r="69" spans="1:21" s="184" customFormat="1" ht="15" x14ac:dyDescent="0.25">
      <c r="A69" s="197"/>
      <c r="B69" s="220"/>
      <c r="C69" s="184" t="s">
        <v>161</v>
      </c>
      <c r="D69" s="219" t="s">
        <v>26</v>
      </c>
      <c r="E69" s="335">
        <v>0</v>
      </c>
      <c r="F69" s="335">
        <v>0</v>
      </c>
      <c r="G69" s="336">
        <f t="shared" si="51"/>
        <v>0</v>
      </c>
      <c r="H69" s="337"/>
      <c r="I69" s="338">
        <f t="shared" si="52"/>
        <v>0</v>
      </c>
      <c r="J69" s="338">
        <f t="shared" si="53"/>
        <v>0</v>
      </c>
      <c r="K69" s="336">
        <f t="shared" si="54"/>
        <v>0</v>
      </c>
      <c r="L69" s="331"/>
      <c r="M69" s="338">
        <f t="shared" si="55"/>
        <v>0</v>
      </c>
      <c r="N69" s="338">
        <f t="shared" si="56"/>
        <v>0</v>
      </c>
      <c r="O69" s="336">
        <f t="shared" si="57"/>
        <v>0</v>
      </c>
      <c r="P69" s="331"/>
      <c r="Q69" s="338">
        <f t="shared" si="58"/>
        <v>0</v>
      </c>
      <c r="R69" s="338">
        <f t="shared" si="59"/>
        <v>0</v>
      </c>
      <c r="S69" s="336">
        <f t="shared" si="60"/>
        <v>0</v>
      </c>
      <c r="T69" s="200"/>
      <c r="U69" s="198" t="s">
        <v>183</v>
      </c>
    </row>
    <row r="70" spans="1:21" s="184" customFormat="1" ht="15" x14ac:dyDescent="0.25">
      <c r="A70" s="197"/>
      <c r="B70" s="220"/>
      <c r="C70" s="184" t="s">
        <v>162</v>
      </c>
      <c r="D70" s="219" t="s">
        <v>26</v>
      </c>
      <c r="E70" s="335">
        <v>0</v>
      </c>
      <c r="F70" s="335">
        <v>0</v>
      </c>
      <c r="G70" s="336">
        <f t="shared" si="51"/>
        <v>0</v>
      </c>
      <c r="H70" s="337"/>
      <c r="I70" s="338">
        <f t="shared" si="52"/>
        <v>0</v>
      </c>
      <c r="J70" s="338">
        <f t="shared" si="53"/>
        <v>0</v>
      </c>
      <c r="K70" s="336">
        <f t="shared" si="54"/>
        <v>0</v>
      </c>
      <c r="L70" s="331"/>
      <c r="M70" s="338">
        <f t="shared" si="55"/>
        <v>0</v>
      </c>
      <c r="N70" s="338">
        <f t="shared" si="56"/>
        <v>0</v>
      </c>
      <c r="O70" s="336">
        <f t="shared" si="57"/>
        <v>0</v>
      </c>
      <c r="P70" s="331"/>
      <c r="Q70" s="338">
        <f t="shared" si="58"/>
        <v>0</v>
      </c>
      <c r="R70" s="338">
        <f t="shared" si="59"/>
        <v>0</v>
      </c>
      <c r="S70" s="336">
        <f t="shared" si="60"/>
        <v>0</v>
      </c>
      <c r="T70" s="200"/>
      <c r="U70" s="198" t="s">
        <v>185</v>
      </c>
    </row>
    <row r="71" spans="1:21" s="184" customFormat="1" ht="15" x14ac:dyDescent="0.25">
      <c r="A71" s="197"/>
      <c r="B71" s="220"/>
      <c r="C71" s="184" t="s">
        <v>144</v>
      </c>
      <c r="D71" s="219" t="s">
        <v>26</v>
      </c>
      <c r="E71" s="335">
        <v>1</v>
      </c>
      <c r="F71" s="335">
        <v>0</v>
      </c>
      <c r="G71" s="336">
        <f t="shared" si="51"/>
        <v>-1</v>
      </c>
      <c r="H71" s="337"/>
      <c r="I71" s="338">
        <f t="shared" si="52"/>
        <v>1</v>
      </c>
      <c r="J71" s="338">
        <f t="shared" si="53"/>
        <v>0</v>
      </c>
      <c r="K71" s="336">
        <f t="shared" si="54"/>
        <v>-1</v>
      </c>
      <c r="L71" s="331"/>
      <c r="M71" s="338">
        <f t="shared" si="55"/>
        <v>1</v>
      </c>
      <c r="N71" s="338">
        <f t="shared" si="56"/>
        <v>0</v>
      </c>
      <c r="O71" s="336">
        <f t="shared" si="57"/>
        <v>-1</v>
      </c>
      <c r="P71" s="331"/>
      <c r="Q71" s="338">
        <f t="shared" si="58"/>
        <v>1</v>
      </c>
      <c r="R71" s="338">
        <f t="shared" si="59"/>
        <v>0</v>
      </c>
      <c r="S71" s="336">
        <f t="shared" si="60"/>
        <v>-1</v>
      </c>
      <c r="T71" s="200"/>
      <c r="U71" s="198" t="s">
        <v>186</v>
      </c>
    </row>
    <row r="72" spans="1:21" s="184" customFormat="1" ht="15" x14ac:dyDescent="0.25">
      <c r="A72" s="197"/>
      <c r="B72" s="220"/>
      <c r="C72" s="184" t="s">
        <v>163</v>
      </c>
      <c r="D72" s="219" t="s">
        <v>26</v>
      </c>
      <c r="E72" s="335">
        <v>0</v>
      </c>
      <c r="F72" s="335">
        <v>0</v>
      </c>
      <c r="G72" s="336">
        <f t="shared" si="51"/>
        <v>0</v>
      </c>
      <c r="H72" s="337"/>
      <c r="I72" s="338">
        <f t="shared" si="52"/>
        <v>0</v>
      </c>
      <c r="J72" s="338">
        <f t="shared" si="53"/>
        <v>0</v>
      </c>
      <c r="K72" s="336">
        <f t="shared" si="54"/>
        <v>0</v>
      </c>
      <c r="L72" s="331"/>
      <c r="M72" s="338">
        <f t="shared" si="55"/>
        <v>0</v>
      </c>
      <c r="N72" s="338">
        <f t="shared" si="56"/>
        <v>0</v>
      </c>
      <c r="O72" s="336">
        <f t="shared" si="57"/>
        <v>0</v>
      </c>
      <c r="P72" s="331"/>
      <c r="Q72" s="338">
        <f t="shared" si="58"/>
        <v>0</v>
      </c>
      <c r="R72" s="338">
        <f t="shared" si="59"/>
        <v>0</v>
      </c>
      <c r="S72" s="336">
        <f t="shared" si="60"/>
        <v>0</v>
      </c>
      <c r="T72" s="200"/>
      <c r="U72" s="198" t="s">
        <v>183</v>
      </c>
    </row>
    <row r="73" spans="1:21" s="184" customFormat="1" ht="15" x14ac:dyDescent="0.25">
      <c r="A73" s="197"/>
      <c r="B73" s="220"/>
      <c r="C73" s="198" t="s">
        <v>164</v>
      </c>
      <c r="D73" s="219" t="s">
        <v>26</v>
      </c>
      <c r="E73" s="335">
        <v>0</v>
      </c>
      <c r="F73" s="335">
        <v>0</v>
      </c>
      <c r="G73" s="336">
        <f t="shared" si="51"/>
        <v>0</v>
      </c>
      <c r="H73" s="337"/>
      <c r="I73" s="338">
        <f t="shared" si="52"/>
        <v>0</v>
      </c>
      <c r="J73" s="338">
        <f t="shared" si="53"/>
        <v>0</v>
      </c>
      <c r="K73" s="336">
        <f t="shared" si="54"/>
        <v>0</v>
      </c>
      <c r="L73" s="331"/>
      <c r="M73" s="338">
        <f t="shared" si="55"/>
        <v>0</v>
      </c>
      <c r="N73" s="338">
        <f t="shared" si="56"/>
        <v>0</v>
      </c>
      <c r="O73" s="336">
        <f t="shared" si="57"/>
        <v>0</v>
      </c>
      <c r="P73" s="331"/>
      <c r="Q73" s="338">
        <f t="shared" si="58"/>
        <v>0</v>
      </c>
      <c r="R73" s="338">
        <f t="shared" si="59"/>
        <v>0</v>
      </c>
      <c r="S73" s="336">
        <f t="shared" si="60"/>
        <v>0</v>
      </c>
      <c r="T73" s="200"/>
      <c r="U73" s="198" t="s">
        <v>183</v>
      </c>
    </row>
    <row r="74" spans="1:21" s="184" customFormat="1" ht="15" x14ac:dyDescent="0.25">
      <c r="A74" s="197"/>
      <c r="B74" s="220"/>
      <c r="C74" s="184" t="s">
        <v>61</v>
      </c>
      <c r="D74" s="219" t="s">
        <v>26</v>
      </c>
      <c r="E74" s="336">
        <f>SUM(E65:E73)</f>
        <v>5</v>
      </c>
      <c r="F74" s="336">
        <f>SUM(F65:F73)</f>
        <v>3</v>
      </c>
      <c r="G74" s="336">
        <f t="shared" si="51"/>
        <v>-2</v>
      </c>
      <c r="H74" s="337"/>
      <c r="I74" s="336">
        <f>SUM(I65:I73)</f>
        <v>5</v>
      </c>
      <c r="J74" s="336">
        <f>SUM(J65:J73)</f>
        <v>3</v>
      </c>
      <c r="K74" s="336">
        <f t="shared" si="54"/>
        <v>-2</v>
      </c>
      <c r="L74" s="331"/>
      <c r="M74" s="336">
        <f>SUM(M65:M73)</f>
        <v>5</v>
      </c>
      <c r="N74" s="336">
        <f>SUM(N65:N73)</f>
        <v>3</v>
      </c>
      <c r="O74" s="336">
        <f t="shared" si="57"/>
        <v>-2</v>
      </c>
      <c r="P74" s="331"/>
      <c r="Q74" s="336">
        <f>SUM(Q65:Q73)</f>
        <v>5</v>
      </c>
      <c r="R74" s="336">
        <f>SUM(R65:R73)</f>
        <v>3</v>
      </c>
      <c r="S74" s="336">
        <f t="shared" si="60"/>
        <v>-2</v>
      </c>
      <c r="T74" s="200"/>
      <c r="U74" s="198"/>
    </row>
    <row r="75" spans="1:21" ht="15" x14ac:dyDescent="0.25">
      <c r="B75" s="395"/>
      <c r="E75" s="339"/>
      <c r="F75" s="339"/>
      <c r="G75" s="339"/>
      <c r="H75" s="330"/>
      <c r="I75" s="176"/>
      <c r="J75" s="176"/>
      <c r="K75" s="339"/>
      <c r="L75" s="331"/>
      <c r="M75" s="176"/>
      <c r="N75" s="176"/>
      <c r="O75" s="339"/>
      <c r="P75" s="331"/>
      <c r="Q75" s="176"/>
      <c r="R75" s="176"/>
      <c r="S75" s="339"/>
      <c r="T75" s="199"/>
    </row>
    <row r="76" spans="1:21" ht="15" x14ac:dyDescent="0.25">
      <c r="B76" s="396" t="s">
        <v>148</v>
      </c>
      <c r="E76" s="339"/>
      <c r="F76" s="339"/>
      <c r="G76" s="339"/>
      <c r="H76" s="330"/>
      <c r="I76" s="176"/>
      <c r="J76" s="176"/>
      <c r="K76" s="339"/>
      <c r="L76" s="331"/>
      <c r="M76" s="176"/>
      <c r="N76" s="176"/>
      <c r="O76" s="339"/>
      <c r="P76" s="331"/>
      <c r="Q76" s="176"/>
      <c r="R76" s="176"/>
      <c r="S76" s="339"/>
      <c r="T76" s="199"/>
    </row>
    <row r="77" spans="1:21" ht="15" x14ac:dyDescent="0.25">
      <c r="B77" s="396"/>
      <c r="C77" s="184" t="s">
        <v>161</v>
      </c>
      <c r="E77" s="339"/>
      <c r="F77" s="339"/>
      <c r="G77" s="339"/>
      <c r="H77" s="330"/>
      <c r="I77" s="176"/>
      <c r="J77" s="176"/>
      <c r="K77" s="339"/>
      <c r="L77" s="331"/>
      <c r="M77" s="176"/>
      <c r="N77" s="176"/>
      <c r="O77" s="339"/>
      <c r="P77" s="331"/>
      <c r="Q77" s="176"/>
      <c r="R77" s="176"/>
      <c r="S77" s="339"/>
      <c r="T77" s="238"/>
    </row>
    <row r="78" spans="1:21" s="184" customFormat="1" ht="15" x14ac:dyDescent="0.25">
      <c r="A78" s="197"/>
      <c r="B78" s="394"/>
      <c r="C78" s="172" t="s">
        <v>66</v>
      </c>
      <c r="D78" s="184" t="s">
        <v>22</v>
      </c>
      <c r="E78" s="332">
        <v>0.15</v>
      </c>
      <c r="F78" s="332">
        <v>0.05</v>
      </c>
      <c r="G78" s="333">
        <f>F78-E78</f>
        <v>-9.9999999999999992E-2</v>
      </c>
      <c r="H78" s="351"/>
      <c r="I78" s="338">
        <f t="shared" ref="I78:I79" si="61">E78</f>
        <v>0.15</v>
      </c>
      <c r="J78" s="338">
        <f t="shared" ref="J78:J79" si="62">F78</f>
        <v>0.05</v>
      </c>
      <c r="K78" s="333">
        <f>J78-I78</f>
        <v>-9.9999999999999992E-2</v>
      </c>
      <c r="L78" s="331"/>
      <c r="M78" s="338">
        <f t="shared" ref="M78:M79" si="63">E78</f>
        <v>0.15</v>
      </c>
      <c r="N78" s="338">
        <f t="shared" ref="N78:N79" si="64">F78</f>
        <v>0.05</v>
      </c>
      <c r="O78" s="333">
        <f>N78-M78</f>
        <v>-9.9999999999999992E-2</v>
      </c>
      <c r="P78" s="331"/>
      <c r="Q78" s="338">
        <f t="shared" ref="Q78:Q79" si="65">E78</f>
        <v>0.15</v>
      </c>
      <c r="R78" s="338">
        <f t="shared" ref="R78:R79" si="66">F78</f>
        <v>0.05</v>
      </c>
      <c r="S78" s="333">
        <f>R78-Q78</f>
        <v>-9.9999999999999992E-2</v>
      </c>
      <c r="T78" s="200"/>
      <c r="U78" s="198" t="s">
        <v>257</v>
      </c>
    </row>
    <row r="79" spans="1:21" s="184" customFormat="1" ht="15" x14ac:dyDescent="0.25">
      <c r="A79" s="197"/>
      <c r="B79" s="394"/>
      <c r="C79" s="172" t="s">
        <v>146</v>
      </c>
      <c r="D79" s="184" t="s">
        <v>26</v>
      </c>
      <c r="E79" s="342">
        <v>3</v>
      </c>
      <c r="F79" s="342">
        <v>3</v>
      </c>
      <c r="G79" s="176">
        <f>F79-E79</f>
        <v>0</v>
      </c>
      <c r="H79" s="237"/>
      <c r="I79" s="338">
        <f t="shared" si="61"/>
        <v>3</v>
      </c>
      <c r="J79" s="338">
        <f t="shared" si="62"/>
        <v>3</v>
      </c>
      <c r="K79" s="176">
        <f>J79-I79</f>
        <v>0</v>
      </c>
      <c r="L79" s="331"/>
      <c r="M79" s="338">
        <f t="shared" si="63"/>
        <v>3</v>
      </c>
      <c r="N79" s="338">
        <f t="shared" si="64"/>
        <v>3</v>
      </c>
      <c r="O79" s="176">
        <f>N79-M79</f>
        <v>0</v>
      </c>
      <c r="P79" s="331"/>
      <c r="Q79" s="338">
        <f t="shared" si="65"/>
        <v>3</v>
      </c>
      <c r="R79" s="338">
        <f t="shared" si="66"/>
        <v>3</v>
      </c>
      <c r="S79" s="176">
        <f>R79-Q79</f>
        <v>0</v>
      </c>
      <c r="T79" s="200"/>
      <c r="U79" s="198" t="s">
        <v>188</v>
      </c>
    </row>
    <row r="80" spans="1:21" ht="15" x14ac:dyDescent="0.25">
      <c r="B80" s="396"/>
      <c r="E80" s="339"/>
      <c r="F80" s="339"/>
      <c r="G80" s="339"/>
      <c r="H80" s="330"/>
      <c r="I80" s="339"/>
      <c r="J80" s="339"/>
      <c r="K80" s="339"/>
      <c r="L80" s="331"/>
      <c r="M80" s="176"/>
      <c r="N80" s="176"/>
      <c r="O80" s="339"/>
      <c r="P80" s="331"/>
      <c r="Q80" s="176"/>
      <c r="R80" s="176"/>
      <c r="S80" s="339"/>
      <c r="T80" s="200"/>
    </row>
    <row r="81" spans="1:21" ht="15" x14ac:dyDescent="0.25">
      <c r="B81" s="396"/>
      <c r="C81" s="184" t="s">
        <v>162</v>
      </c>
      <c r="E81" s="339"/>
      <c r="F81" s="339"/>
      <c r="G81" s="339"/>
      <c r="H81" s="330"/>
      <c r="I81" s="339"/>
      <c r="J81" s="339"/>
      <c r="K81" s="339"/>
      <c r="L81" s="331"/>
      <c r="M81" s="176"/>
      <c r="N81" s="176"/>
      <c r="O81" s="339"/>
      <c r="P81" s="331"/>
      <c r="Q81" s="176"/>
      <c r="R81" s="176"/>
      <c r="S81" s="339"/>
      <c r="T81" s="200"/>
    </row>
    <row r="82" spans="1:21" s="184" customFormat="1" ht="15" x14ac:dyDescent="0.25">
      <c r="A82" s="197"/>
      <c r="B82" s="394"/>
      <c r="C82" s="172" t="s">
        <v>78</v>
      </c>
      <c r="D82" s="44" t="s">
        <v>22</v>
      </c>
      <c r="E82" s="332">
        <v>0</v>
      </c>
      <c r="F82" s="332">
        <v>0.9</v>
      </c>
      <c r="G82" s="333">
        <f>F82-E82</f>
        <v>0.9</v>
      </c>
      <c r="H82" s="351"/>
      <c r="I82" s="338">
        <f t="shared" ref="I82:I83" si="67">E82</f>
        <v>0</v>
      </c>
      <c r="J82" s="338">
        <f t="shared" ref="J82:J83" si="68">F82</f>
        <v>0.9</v>
      </c>
      <c r="K82" s="333">
        <f>J82-I82</f>
        <v>0.9</v>
      </c>
      <c r="L82" s="331"/>
      <c r="M82" s="338">
        <f t="shared" ref="M82:M83" si="69">E82</f>
        <v>0</v>
      </c>
      <c r="N82" s="338">
        <f t="shared" ref="N82:N83" si="70">F82</f>
        <v>0.9</v>
      </c>
      <c r="O82" s="333">
        <f>N82-M82</f>
        <v>0.9</v>
      </c>
      <c r="P82" s="331"/>
      <c r="Q82" s="338">
        <f t="shared" ref="Q82:Q83" si="71">E82</f>
        <v>0</v>
      </c>
      <c r="R82" s="338">
        <f t="shared" ref="R82:R83" si="72">F82</f>
        <v>0.9</v>
      </c>
      <c r="S82" s="333">
        <f>R82-Q82</f>
        <v>0.9</v>
      </c>
      <c r="T82" s="200"/>
      <c r="U82" s="198" t="s">
        <v>188</v>
      </c>
    </row>
    <row r="83" spans="1:21" s="184" customFormat="1" ht="15" x14ac:dyDescent="0.25">
      <c r="A83" s="197"/>
      <c r="B83" s="394"/>
      <c r="C83" s="172" t="s">
        <v>79</v>
      </c>
      <c r="D83" s="44" t="s">
        <v>22</v>
      </c>
      <c r="E83" s="332">
        <v>0</v>
      </c>
      <c r="F83" s="332">
        <v>9.9999999999999978E-2</v>
      </c>
      <c r="G83" s="333">
        <f>F83-E83</f>
        <v>9.9999999999999978E-2</v>
      </c>
      <c r="H83" s="351"/>
      <c r="I83" s="338">
        <f t="shared" si="67"/>
        <v>0</v>
      </c>
      <c r="J83" s="338">
        <f t="shared" si="68"/>
        <v>9.9999999999999978E-2</v>
      </c>
      <c r="K83" s="333">
        <f>J83-I83</f>
        <v>9.9999999999999978E-2</v>
      </c>
      <c r="L83" s="331"/>
      <c r="M83" s="338">
        <f t="shared" si="69"/>
        <v>0</v>
      </c>
      <c r="N83" s="338">
        <f t="shared" si="70"/>
        <v>9.9999999999999978E-2</v>
      </c>
      <c r="O83" s="333">
        <f>N83-M83</f>
        <v>9.9999999999999978E-2</v>
      </c>
      <c r="P83" s="331"/>
      <c r="Q83" s="338">
        <f t="shared" si="71"/>
        <v>0</v>
      </c>
      <c r="R83" s="338">
        <f t="shared" si="72"/>
        <v>9.9999999999999978E-2</v>
      </c>
      <c r="S83" s="333">
        <f>R83-Q83</f>
        <v>9.9999999999999978E-2</v>
      </c>
      <c r="T83" s="200"/>
      <c r="U83" s="198" t="s">
        <v>188</v>
      </c>
    </row>
    <row r="84" spans="1:21" s="184" customFormat="1" ht="15" x14ac:dyDescent="0.25">
      <c r="A84" s="197"/>
      <c r="B84" s="394"/>
      <c r="C84" s="172" t="s">
        <v>78</v>
      </c>
      <c r="D84" s="44" t="s">
        <v>28</v>
      </c>
      <c r="E84" s="195">
        <f>Input_Costs!$E$60</f>
        <v>0.02</v>
      </c>
      <c r="F84" s="195">
        <f>Input_Costs!$E$60</f>
        <v>0.02</v>
      </c>
      <c r="G84" s="340">
        <f>F84-E84</f>
        <v>0</v>
      </c>
      <c r="H84" s="236"/>
      <c r="I84" s="195">
        <f>Input_Costs!$E$60</f>
        <v>0.02</v>
      </c>
      <c r="J84" s="195">
        <f>Input_Costs!$E$60</f>
        <v>0.02</v>
      </c>
      <c r="K84" s="340">
        <f>J84-I84</f>
        <v>0</v>
      </c>
      <c r="L84" s="331"/>
      <c r="M84" s="195">
        <f>Input_Costs!$E$60</f>
        <v>0.02</v>
      </c>
      <c r="N84" s="195">
        <f>Input_Costs!$E$60</f>
        <v>0.02</v>
      </c>
      <c r="O84" s="340">
        <f>N84-M84</f>
        <v>0</v>
      </c>
      <c r="P84" s="331"/>
      <c r="Q84" s="195">
        <f>Input_Costs!$E$60</f>
        <v>0.02</v>
      </c>
      <c r="R84" s="195">
        <f>Input_Costs!$E$60</f>
        <v>0.02</v>
      </c>
      <c r="S84" s="340">
        <f>R84-Q84</f>
        <v>0</v>
      </c>
      <c r="T84" s="200"/>
      <c r="U84" s="198" t="s">
        <v>188</v>
      </c>
    </row>
    <row r="85" spans="1:21" s="184" customFormat="1" ht="15" x14ac:dyDescent="0.25">
      <c r="A85" s="197"/>
      <c r="B85" s="394"/>
      <c r="C85" s="172" t="s">
        <v>79</v>
      </c>
      <c r="D85" s="44" t="s">
        <v>28</v>
      </c>
      <c r="E85" s="195">
        <f>Input_Costs!$E$61</f>
        <v>0.8</v>
      </c>
      <c r="F85" s="195">
        <f>Input_Costs!$E$61</f>
        <v>0.8</v>
      </c>
      <c r="G85" s="340">
        <f>F85-E85</f>
        <v>0</v>
      </c>
      <c r="H85" s="236"/>
      <c r="I85" s="195">
        <f>Input_Costs!$E$61</f>
        <v>0.8</v>
      </c>
      <c r="J85" s="195">
        <f>Input_Costs!$E$61</f>
        <v>0.8</v>
      </c>
      <c r="K85" s="340">
        <f>J85-I85</f>
        <v>0</v>
      </c>
      <c r="L85" s="331"/>
      <c r="M85" s="195">
        <f>Input_Costs!$E$61</f>
        <v>0.8</v>
      </c>
      <c r="N85" s="195">
        <f>Input_Costs!$E$61</f>
        <v>0.8</v>
      </c>
      <c r="O85" s="340">
        <f>N85-M85</f>
        <v>0</v>
      </c>
      <c r="P85" s="331"/>
      <c r="Q85" s="195">
        <f>Input_Costs!$E$61</f>
        <v>0.8</v>
      </c>
      <c r="R85" s="195">
        <f>Input_Costs!$E$61</f>
        <v>0.8</v>
      </c>
      <c r="S85" s="340">
        <f>R85-Q85</f>
        <v>0</v>
      </c>
      <c r="T85" s="199"/>
      <c r="U85" s="198" t="s">
        <v>188</v>
      </c>
    </row>
    <row r="86" spans="1:21" ht="15" x14ac:dyDescent="0.25">
      <c r="B86" s="396"/>
      <c r="E86" s="339"/>
      <c r="F86" s="339"/>
      <c r="G86" s="339"/>
      <c r="H86" s="330"/>
      <c r="I86" s="339"/>
      <c r="J86" s="339"/>
      <c r="K86" s="339"/>
      <c r="L86" s="331"/>
      <c r="M86" s="176"/>
      <c r="N86" s="176"/>
      <c r="O86" s="339"/>
      <c r="P86" s="331"/>
      <c r="Q86" s="176"/>
      <c r="R86" s="176"/>
      <c r="S86" s="339"/>
      <c r="T86" s="200"/>
    </row>
    <row r="87" spans="1:21" ht="15" x14ac:dyDescent="0.25">
      <c r="B87" s="396"/>
      <c r="C87" s="198" t="s">
        <v>266</v>
      </c>
      <c r="E87" s="339"/>
      <c r="F87" s="339"/>
      <c r="G87" s="339"/>
      <c r="H87" s="330"/>
      <c r="I87" s="339"/>
      <c r="J87" s="339"/>
      <c r="K87" s="339"/>
      <c r="L87" s="331"/>
      <c r="M87" s="176"/>
      <c r="N87" s="176"/>
      <c r="O87" s="339"/>
      <c r="P87" s="331"/>
      <c r="Q87" s="176"/>
      <c r="R87" s="176"/>
      <c r="S87" s="339"/>
      <c r="T87" s="200"/>
    </row>
    <row r="88" spans="1:21" ht="15" x14ac:dyDescent="0.25">
      <c r="B88" s="396"/>
      <c r="C88" s="196" t="s">
        <v>267</v>
      </c>
      <c r="D88" s="198" t="s">
        <v>28</v>
      </c>
      <c r="E88" s="338">
        <f>Input_Costs!$E$57</f>
        <v>0.12300000000000001</v>
      </c>
      <c r="F88" s="338">
        <f>Input_Costs!$E$57</f>
        <v>0.12300000000000001</v>
      </c>
      <c r="G88" s="340">
        <f>F88-E88</f>
        <v>0</v>
      </c>
      <c r="H88" s="330"/>
      <c r="I88" s="338">
        <f>Input_Costs!$E$57</f>
        <v>0.12300000000000001</v>
      </c>
      <c r="J88" s="338">
        <f>Input_Costs!$E$57</f>
        <v>0.12300000000000001</v>
      </c>
      <c r="K88" s="340">
        <f>J88-I88</f>
        <v>0</v>
      </c>
      <c r="L88" s="331"/>
      <c r="M88" s="338">
        <f>Input_Costs!$E$57</f>
        <v>0.12300000000000001</v>
      </c>
      <c r="N88" s="338">
        <f>Input_Costs!$E$57</f>
        <v>0.12300000000000001</v>
      </c>
      <c r="O88" s="340">
        <f>N88-M88</f>
        <v>0</v>
      </c>
      <c r="P88" s="331"/>
      <c r="Q88" s="338">
        <f>Input_Costs!$E$57</f>
        <v>0.12300000000000001</v>
      </c>
      <c r="R88" s="338">
        <f>Input_Costs!$E$57</f>
        <v>0.12300000000000001</v>
      </c>
      <c r="S88" s="340">
        <f>R88-Q88</f>
        <v>0</v>
      </c>
      <c r="T88" s="200"/>
      <c r="U88" s="198" t="s">
        <v>269</v>
      </c>
    </row>
    <row r="89" spans="1:21" ht="15" x14ac:dyDescent="0.25">
      <c r="B89" s="396"/>
      <c r="E89" s="339"/>
      <c r="F89" s="339"/>
      <c r="G89" s="339"/>
      <c r="H89" s="330"/>
      <c r="I89" s="339"/>
      <c r="J89" s="339"/>
      <c r="K89" s="339"/>
      <c r="L89" s="331"/>
      <c r="M89" s="176"/>
      <c r="N89" s="176"/>
      <c r="O89" s="339"/>
      <c r="P89" s="331"/>
      <c r="Q89" s="176"/>
      <c r="R89" s="176"/>
      <c r="S89" s="339"/>
      <c r="T89" s="200"/>
    </row>
    <row r="90" spans="1:21" ht="15" x14ac:dyDescent="0.25">
      <c r="B90" s="396"/>
      <c r="C90" s="198" t="s">
        <v>164</v>
      </c>
      <c r="E90" s="339"/>
      <c r="F90" s="339"/>
      <c r="G90" s="339"/>
      <c r="H90" s="330"/>
      <c r="I90" s="339"/>
      <c r="J90" s="339"/>
      <c r="K90" s="339"/>
      <c r="L90" s="331"/>
      <c r="M90" s="176"/>
      <c r="N90" s="176"/>
      <c r="O90" s="339"/>
      <c r="P90" s="331"/>
      <c r="Q90" s="176"/>
      <c r="R90" s="176"/>
      <c r="S90" s="339"/>
      <c r="T90" s="200"/>
    </row>
    <row r="91" spans="1:21" ht="15" x14ac:dyDescent="0.25">
      <c r="B91" s="396"/>
      <c r="C91" s="196" t="s">
        <v>151</v>
      </c>
      <c r="E91" s="332">
        <v>1</v>
      </c>
      <c r="F91" s="332">
        <v>1</v>
      </c>
      <c r="G91" s="333">
        <f t="shared" ref="G91:G93" si="73">F91-E91</f>
        <v>0</v>
      </c>
      <c r="H91" s="330"/>
      <c r="I91" s="307">
        <f t="shared" ref="I91" si="74">E91</f>
        <v>1</v>
      </c>
      <c r="J91" s="307">
        <f t="shared" ref="J91" si="75">F91</f>
        <v>1</v>
      </c>
      <c r="K91" s="333">
        <f t="shared" ref="K91" si="76">J91-I91</f>
        <v>0</v>
      </c>
      <c r="L91" s="331"/>
      <c r="M91" s="307">
        <f t="shared" ref="M91" si="77">E91</f>
        <v>1</v>
      </c>
      <c r="N91" s="307">
        <f t="shared" ref="N91" si="78">F91</f>
        <v>1</v>
      </c>
      <c r="O91" s="333">
        <f t="shared" ref="O91:O93" si="79">N91-M91</f>
        <v>0</v>
      </c>
      <c r="P91" s="331"/>
      <c r="Q91" s="332">
        <v>0</v>
      </c>
      <c r="R91" s="332">
        <v>0</v>
      </c>
      <c r="S91" s="333">
        <f t="shared" ref="S91:S93" si="80">R91-Q91</f>
        <v>0</v>
      </c>
      <c r="T91" s="199"/>
      <c r="U91" s="198" t="s">
        <v>188</v>
      </c>
    </row>
    <row r="92" spans="1:21" s="184" customFormat="1" ht="15" x14ac:dyDescent="0.25">
      <c r="A92" s="197"/>
      <c r="B92" s="394"/>
      <c r="C92" s="172" t="s">
        <v>196</v>
      </c>
      <c r="D92" s="184" t="s">
        <v>22</v>
      </c>
      <c r="E92" s="332">
        <v>0.05</v>
      </c>
      <c r="F92" s="332">
        <v>0.05</v>
      </c>
      <c r="G92" s="333">
        <f t="shared" si="73"/>
        <v>0</v>
      </c>
      <c r="H92" s="351"/>
      <c r="I92" s="307">
        <f>E92</f>
        <v>0.05</v>
      </c>
      <c r="J92" s="307">
        <f t="shared" ref="J92" si="81">F92</f>
        <v>0.05</v>
      </c>
      <c r="K92" s="333">
        <f t="shared" ref="K92:K93" si="82">J92-I92</f>
        <v>0</v>
      </c>
      <c r="L92" s="331"/>
      <c r="M92" s="307">
        <f>E92</f>
        <v>0.05</v>
      </c>
      <c r="N92" s="307">
        <f t="shared" ref="N92" si="83">F92</f>
        <v>0.05</v>
      </c>
      <c r="O92" s="333">
        <f t="shared" si="79"/>
        <v>0</v>
      </c>
      <c r="P92" s="331"/>
      <c r="Q92" s="332">
        <v>0</v>
      </c>
      <c r="R92" s="332">
        <v>0</v>
      </c>
      <c r="S92" s="333">
        <f t="shared" si="80"/>
        <v>0</v>
      </c>
      <c r="T92" s="200"/>
      <c r="U92" s="198" t="s">
        <v>320</v>
      </c>
    </row>
    <row r="93" spans="1:21" s="184" customFormat="1" ht="15" x14ac:dyDescent="0.25">
      <c r="A93" s="197"/>
      <c r="B93" s="394"/>
      <c r="C93" s="172" t="s">
        <v>197</v>
      </c>
      <c r="D93" s="184" t="s">
        <v>26</v>
      </c>
      <c r="E93" s="342">
        <v>5</v>
      </c>
      <c r="F93" s="342">
        <v>5</v>
      </c>
      <c r="G93" s="176">
        <f t="shared" si="73"/>
        <v>0</v>
      </c>
      <c r="H93" s="237"/>
      <c r="I93" s="307">
        <f t="shared" ref="I93" si="84">E93</f>
        <v>5</v>
      </c>
      <c r="J93" s="307">
        <f t="shared" ref="J93" si="85">F93</f>
        <v>5</v>
      </c>
      <c r="K93" s="176">
        <f t="shared" si="82"/>
        <v>0</v>
      </c>
      <c r="L93" s="331"/>
      <c r="M93" s="307">
        <f t="shared" ref="M93" si="86">E93</f>
        <v>5</v>
      </c>
      <c r="N93" s="307">
        <f t="shared" ref="N93" si="87">F93</f>
        <v>5</v>
      </c>
      <c r="O93" s="176">
        <f t="shared" si="79"/>
        <v>0</v>
      </c>
      <c r="P93" s="331"/>
      <c r="Q93" s="342">
        <v>0</v>
      </c>
      <c r="R93" s="342">
        <v>0</v>
      </c>
      <c r="S93" s="176">
        <f t="shared" si="80"/>
        <v>0</v>
      </c>
      <c r="T93" s="200"/>
      <c r="U93" s="198" t="s">
        <v>188</v>
      </c>
    </row>
    <row r="94" spans="1:21" s="184" customFormat="1" ht="15" x14ac:dyDescent="0.25">
      <c r="A94" s="197"/>
      <c r="B94" s="394"/>
      <c r="E94" s="339"/>
      <c r="F94" s="339"/>
      <c r="G94" s="339"/>
      <c r="H94" s="330"/>
      <c r="I94" s="339"/>
      <c r="J94" s="339"/>
      <c r="K94" s="339"/>
      <c r="L94" s="330"/>
      <c r="M94" s="339"/>
      <c r="N94" s="339"/>
      <c r="O94" s="339"/>
      <c r="P94" s="330"/>
      <c r="Q94" s="339"/>
      <c r="R94" s="339"/>
      <c r="S94" s="339"/>
      <c r="T94" s="199"/>
      <c r="U94" s="219"/>
    </row>
    <row r="95" spans="1:21" s="212" customFormat="1" ht="15" x14ac:dyDescent="0.25">
      <c r="A95" s="197"/>
      <c r="B95" s="398" t="s">
        <v>80</v>
      </c>
      <c r="E95" s="329" t="s">
        <v>59</v>
      </c>
      <c r="F95" s="329" t="s">
        <v>77</v>
      </c>
      <c r="G95" s="329" t="s">
        <v>89</v>
      </c>
      <c r="H95" s="330"/>
      <c r="I95" s="329" t="s">
        <v>59</v>
      </c>
      <c r="J95" s="329" t="s">
        <v>77</v>
      </c>
      <c r="K95" s="329" t="s">
        <v>89</v>
      </c>
      <c r="L95" s="330"/>
      <c r="M95" s="329" t="s">
        <v>59</v>
      </c>
      <c r="N95" s="329" t="s">
        <v>77</v>
      </c>
      <c r="O95" s="329" t="s">
        <v>89</v>
      </c>
      <c r="P95" s="330"/>
      <c r="Q95" s="329" t="s">
        <v>59</v>
      </c>
      <c r="R95" s="329" t="s">
        <v>77</v>
      </c>
      <c r="S95" s="329" t="s">
        <v>89</v>
      </c>
      <c r="T95" s="200"/>
      <c r="U95" s="213"/>
    </row>
    <row r="96" spans="1:21" s="184" customFormat="1" ht="15" x14ac:dyDescent="0.25">
      <c r="A96" s="197"/>
      <c r="B96" s="394"/>
      <c r="E96" s="339"/>
      <c r="F96" s="339"/>
      <c r="G96" s="339"/>
      <c r="H96" s="330"/>
      <c r="I96" s="339"/>
      <c r="J96" s="339"/>
      <c r="K96" s="339"/>
      <c r="L96" s="330"/>
      <c r="M96" s="339"/>
      <c r="N96" s="339"/>
      <c r="O96" s="339"/>
      <c r="P96" s="330"/>
      <c r="Q96" s="339"/>
      <c r="R96" s="339"/>
      <c r="S96" s="339"/>
      <c r="T96" s="199"/>
      <c r="U96" s="219"/>
    </row>
    <row r="97" spans="1:23" s="222" customFormat="1" ht="15" x14ac:dyDescent="0.25">
      <c r="A97" s="197"/>
      <c r="B97" s="393"/>
      <c r="C97" s="222" t="s">
        <v>174</v>
      </c>
      <c r="D97" s="152" t="s">
        <v>26</v>
      </c>
      <c r="E97" s="344">
        <f>E74</f>
        <v>5</v>
      </c>
      <c r="F97" s="344">
        <f>F74</f>
        <v>3</v>
      </c>
      <c r="G97" s="344">
        <f>F97-E97</f>
        <v>-2</v>
      </c>
      <c r="H97" s="345"/>
      <c r="I97" s="344">
        <f>I74</f>
        <v>5</v>
      </c>
      <c r="J97" s="344">
        <f>J74</f>
        <v>3</v>
      </c>
      <c r="K97" s="344">
        <f>J97-I97</f>
        <v>-2</v>
      </c>
      <c r="L97" s="346"/>
      <c r="M97" s="344">
        <f>M74</f>
        <v>5</v>
      </c>
      <c r="N97" s="344">
        <f>N74</f>
        <v>3</v>
      </c>
      <c r="O97" s="344">
        <f>N97-M97</f>
        <v>-2</v>
      </c>
      <c r="P97" s="346"/>
      <c r="Q97" s="344">
        <f>Q74</f>
        <v>5</v>
      </c>
      <c r="R97" s="344">
        <f>R74</f>
        <v>3</v>
      </c>
      <c r="S97" s="344">
        <f>R97-Q97</f>
        <v>-2</v>
      </c>
      <c r="T97" s="199"/>
      <c r="U97" s="138"/>
      <c r="W97" s="214"/>
    </row>
    <row r="98" spans="1:23" s="222" customFormat="1" ht="15" x14ac:dyDescent="0.25">
      <c r="A98" s="197"/>
      <c r="B98" s="393"/>
      <c r="C98" s="222" t="s">
        <v>175</v>
      </c>
      <c r="D98" s="152" t="s">
        <v>26</v>
      </c>
      <c r="E98" s="344">
        <f>E78*E79</f>
        <v>0.44999999999999996</v>
      </c>
      <c r="F98" s="344">
        <f>F78*F79</f>
        <v>0.15000000000000002</v>
      </c>
      <c r="G98" s="344">
        <f>F98-E98</f>
        <v>-0.29999999999999993</v>
      </c>
      <c r="H98" s="345"/>
      <c r="I98" s="344">
        <f>I78*I79</f>
        <v>0.44999999999999996</v>
      </c>
      <c r="J98" s="344">
        <f>J78*J79</f>
        <v>0.15000000000000002</v>
      </c>
      <c r="K98" s="344">
        <f>J98-I98</f>
        <v>-0.29999999999999993</v>
      </c>
      <c r="L98" s="346"/>
      <c r="M98" s="344">
        <f>M78*M79</f>
        <v>0.44999999999999996</v>
      </c>
      <c r="N98" s="344">
        <f>N78*N79</f>
        <v>0.15000000000000002</v>
      </c>
      <c r="O98" s="344">
        <f>N98-M98</f>
        <v>-0.29999999999999993</v>
      </c>
      <c r="P98" s="346"/>
      <c r="Q98" s="344">
        <f>Q78*Q79</f>
        <v>0.44999999999999996</v>
      </c>
      <c r="R98" s="344">
        <f>R78*R79</f>
        <v>0.15000000000000002</v>
      </c>
      <c r="S98" s="344">
        <f>R98-Q98</f>
        <v>-0.29999999999999993</v>
      </c>
      <c r="T98" s="199"/>
      <c r="U98" s="138"/>
      <c r="W98" s="214"/>
    </row>
    <row r="99" spans="1:23" s="222" customFormat="1" ht="15" x14ac:dyDescent="0.25">
      <c r="A99" s="197"/>
      <c r="B99" s="393"/>
      <c r="C99" s="222" t="s">
        <v>176</v>
      </c>
      <c r="D99" s="152" t="s">
        <v>26</v>
      </c>
      <c r="E99" s="344">
        <f>E91*E92*E93</f>
        <v>0.25</v>
      </c>
      <c r="F99" s="344">
        <f>F91*F92*F93</f>
        <v>0.25</v>
      </c>
      <c r="G99" s="344">
        <f>F99-E99</f>
        <v>0</v>
      </c>
      <c r="H99" s="345"/>
      <c r="I99" s="344">
        <f>I91*I92*I93</f>
        <v>0.25</v>
      </c>
      <c r="J99" s="344">
        <f>J91*J92*J93</f>
        <v>0.25</v>
      </c>
      <c r="K99" s="344">
        <f t="shared" ref="K99:K105" si="88">J99-I99</f>
        <v>0</v>
      </c>
      <c r="L99" s="346"/>
      <c r="M99" s="344">
        <f>M91*M92*M93</f>
        <v>0.25</v>
      </c>
      <c r="N99" s="344">
        <f>N91*N92*N93</f>
        <v>0.25</v>
      </c>
      <c r="O99" s="344">
        <f t="shared" ref="O99:O106" si="89">N99-M99</f>
        <v>0</v>
      </c>
      <c r="P99" s="346"/>
      <c r="Q99" s="344">
        <f>Q91*Q92*Q93</f>
        <v>0</v>
      </c>
      <c r="R99" s="344">
        <f>R91*R92*R93</f>
        <v>0</v>
      </c>
      <c r="S99" s="344">
        <f t="shared" ref="S99:S106" si="90">R99-Q99</f>
        <v>0</v>
      </c>
      <c r="T99" s="199"/>
      <c r="U99" s="138"/>
      <c r="W99" s="214"/>
    </row>
    <row r="100" spans="1:23" s="222" customFormat="1" ht="15" x14ac:dyDescent="0.25">
      <c r="A100" s="197"/>
      <c r="B100" s="393"/>
      <c r="C100" s="214"/>
      <c r="D100" s="214"/>
      <c r="E100" s="344"/>
      <c r="F100" s="344"/>
      <c r="G100" s="344"/>
      <c r="H100" s="345"/>
      <c r="I100" s="344"/>
      <c r="J100" s="344"/>
      <c r="K100" s="344"/>
      <c r="L100" s="346"/>
      <c r="M100" s="344"/>
      <c r="N100" s="344"/>
      <c r="O100" s="344"/>
      <c r="P100" s="346"/>
      <c r="Q100" s="344"/>
      <c r="R100" s="344"/>
      <c r="S100" s="344"/>
      <c r="T100" s="174"/>
      <c r="U100" s="153"/>
    </row>
    <row r="101" spans="1:23" s="222" customFormat="1" ht="15" x14ac:dyDescent="0.25">
      <c r="A101" s="197"/>
      <c r="B101" s="393"/>
      <c r="C101" s="222" t="s">
        <v>177</v>
      </c>
      <c r="D101" s="222" t="s">
        <v>28</v>
      </c>
      <c r="E101" s="344">
        <f>E97*CSA_min</f>
        <v>1.2</v>
      </c>
      <c r="F101" s="344">
        <f>F97*CSA_min</f>
        <v>0.72</v>
      </c>
      <c r="G101" s="344">
        <f t="shared" ref="G101:G105" si="91">F101-E101</f>
        <v>-0.48</v>
      </c>
      <c r="H101" s="345"/>
      <c r="I101" s="344">
        <f>I97*CSA_min</f>
        <v>1.2</v>
      </c>
      <c r="J101" s="344">
        <f>J97*CSA_min</f>
        <v>0.72</v>
      </c>
      <c r="K101" s="344">
        <f t="shared" si="88"/>
        <v>-0.48</v>
      </c>
      <c r="L101" s="346"/>
      <c r="M101" s="344">
        <f>M97*CSA_min</f>
        <v>1.2</v>
      </c>
      <c r="N101" s="344">
        <f>N97*CSA_min</f>
        <v>0.72</v>
      </c>
      <c r="O101" s="344">
        <f t="shared" si="89"/>
        <v>-0.48</v>
      </c>
      <c r="P101" s="346"/>
      <c r="Q101" s="344">
        <f>Q97*CSA_min</f>
        <v>1.2</v>
      </c>
      <c r="R101" s="344">
        <f>R97*CSA_min</f>
        <v>0.72</v>
      </c>
      <c r="S101" s="344">
        <f t="shared" si="90"/>
        <v>-0.48</v>
      </c>
      <c r="T101" s="174"/>
      <c r="U101" s="153"/>
    </row>
    <row r="102" spans="1:23" s="222" customFormat="1" ht="15" x14ac:dyDescent="0.25">
      <c r="A102" s="197"/>
      <c r="B102" s="393"/>
      <c r="C102" s="222" t="s">
        <v>178</v>
      </c>
      <c r="D102" s="222" t="s">
        <v>28</v>
      </c>
      <c r="E102" s="344">
        <f>E98*CSAM_min</f>
        <v>0.21249999999999997</v>
      </c>
      <c r="F102" s="344">
        <f>F98*CSAM_min</f>
        <v>7.0833333333333345E-2</v>
      </c>
      <c r="G102" s="344">
        <f t="shared" si="91"/>
        <v>-0.14166666666666661</v>
      </c>
      <c r="H102" s="345"/>
      <c r="I102" s="344">
        <f>I98*CSAM_min</f>
        <v>0.21249999999999997</v>
      </c>
      <c r="J102" s="344">
        <f>J98*CSAM_min</f>
        <v>7.0833333333333345E-2</v>
      </c>
      <c r="K102" s="344">
        <f t="shared" si="88"/>
        <v>-0.14166666666666661</v>
      </c>
      <c r="L102" s="346"/>
      <c r="M102" s="344">
        <f>M98*CSAM_min</f>
        <v>0.21249999999999997</v>
      </c>
      <c r="N102" s="344">
        <f>N98*CSAM_min</f>
        <v>7.0833333333333345E-2</v>
      </c>
      <c r="O102" s="344">
        <f t="shared" si="89"/>
        <v>-0.14166666666666661</v>
      </c>
      <c r="P102" s="346"/>
      <c r="Q102" s="344">
        <f>Q98*CSAM_min</f>
        <v>0.21249999999999997</v>
      </c>
      <c r="R102" s="344">
        <f>R98*CSAM_min</f>
        <v>7.0833333333333345E-2</v>
      </c>
      <c r="S102" s="344">
        <f t="shared" si="90"/>
        <v>-0.14166666666666661</v>
      </c>
      <c r="T102" s="174"/>
      <c r="U102" s="153"/>
    </row>
    <row r="103" spans="1:23" s="222" customFormat="1" ht="15" x14ac:dyDescent="0.25">
      <c r="A103" s="197"/>
      <c r="B103" s="393"/>
      <c r="C103" s="222" t="s">
        <v>179</v>
      </c>
      <c r="D103" s="222" t="s">
        <v>28</v>
      </c>
      <c r="E103" s="344">
        <f>E99*SPM_min</f>
        <v>0.11805555555555555</v>
      </c>
      <c r="F103" s="344">
        <f>F99*SPM_min</f>
        <v>0.11805555555555555</v>
      </c>
      <c r="G103" s="344">
        <f t="shared" si="91"/>
        <v>0</v>
      </c>
      <c r="H103" s="345"/>
      <c r="I103" s="344">
        <f>I99*SPM_min</f>
        <v>0.11805555555555555</v>
      </c>
      <c r="J103" s="344">
        <f>J99*SPM_min</f>
        <v>0.11805555555555555</v>
      </c>
      <c r="K103" s="344">
        <f t="shared" si="88"/>
        <v>0</v>
      </c>
      <c r="L103" s="346"/>
      <c r="M103" s="344">
        <f>M99*SPM_min</f>
        <v>0.11805555555555555</v>
      </c>
      <c r="N103" s="344">
        <f>N99*SPM_min</f>
        <v>0.11805555555555555</v>
      </c>
      <c r="O103" s="344">
        <f t="shared" si="89"/>
        <v>0</v>
      </c>
      <c r="P103" s="346"/>
      <c r="Q103" s="344">
        <f>Q99*SPM_min</f>
        <v>0</v>
      </c>
      <c r="R103" s="344">
        <f>R99*SPM_min</f>
        <v>0</v>
      </c>
      <c r="S103" s="344">
        <f t="shared" si="90"/>
        <v>0</v>
      </c>
      <c r="T103" s="174"/>
      <c r="U103" s="153"/>
    </row>
    <row r="104" spans="1:23" s="222" customFormat="1" ht="15" x14ac:dyDescent="0.25">
      <c r="A104" s="197"/>
      <c r="B104" s="393"/>
      <c r="C104" s="198"/>
      <c r="D104" s="198"/>
      <c r="E104" s="344"/>
      <c r="F104" s="344"/>
      <c r="G104" s="344"/>
      <c r="H104" s="345"/>
      <c r="I104" s="344"/>
      <c r="J104" s="344"/>
      <c r="K104" s="344"/>
      <c r="L104" s="346"/>
      <c r="M104" s="344"/>
      <c r="N104" s="344"/>
      <c r="O104" s="344"/>
      <c r="P104" s="346"/>
      <c r="Q104" s="344"/>
      <c r="R104" s="344"/>
      <c r="S104" s="344"/>
      <c r="T104" s="174"/>
      <c r="U104" s="153"/>
    </row>
    <row r="105" spans="1:23" s="222" customFormat="1" ht="15" x14ac:dyDescent="0.25">
      <c r="A105" s="197"/>
      <c r="B105" s="393"/>
      <c r="C105" s="110" t="s">
        <v>180</v>
      </c>
      <c r="D105" s="222" t="s">
        <v>28</v>
      </c>
      <c r="E105" s="344">
        <f>(E82*E83)+(E84*E85)</f>
        <v>1.6E-2</v>
      </c>
      <c r="F105" s="344">
        <f>(F82*F83)+(F84*F85)</f>
        <v>0.10599999999999998</v>
      </c>
      <c r="G105" s="344">
        <f t="shared" si="91"/>
        <v>8.9999999999999983E-2</v>
      </c>
      <c r="H105" s="345"/>
      <c r="I105" s="344">
        <f>(I82*I83)+(I84*I85)</f>
        <v>1.6E-2</v>
      </c>
      <c r="J105" s="344">
        <f>(J82*J83)+(J84*J85)</f>
        <v>0.10599999999999998</v>
      </c>
      <c r="K105" s="344">
        <f t="shared" si="88"/>
        <v>8.9999999999999983E-2</v>
      </c>
      <c r="L105" s="346"/>
      <c r="M105" s="344">
        <f>(M82*M83)+(M84*M85)</f>
        <v>1.6E-2</v>
      </c>
      <c r="N105" s="344">
        <f>(N82*N83)+(N84*N85)</f>
        <v>0.10599999999999998</v>
      </c>
      <c r="O105" s="344">
        <f t="shared" si="89"/>
        <v>8.9999999999999983E-2</v>
      </c>
      <c r="P105" s="346"/>
      <c r="Q105" s="344">
        <f>(Q82*Q83)+(Q84*Q85)</f>
        <v>1.6E-2</v>
      </c>
      <c r="R105" s="344">
        <f>(R82*R83)+(R84*R85)</f>
        <v>0.10599999999999998</v>
      </c>
      <c r="S105" s="344">
        <f t="shared" si="90"/>
        <v>8.9999999999999983E-2</v>
      </c>
      <c r="T105" s="174"/>
      <c r="U105" s="153"/>
    </row>
    <row r="106" spans="1:23" s="222" customFormat="1" ht="15" x14ac:dyDescent="0.25">
      <c r="A106" s="197"/>
      <c r="B106" s="393"/>
      <c r="C106" s="110" t="s">
        <v>268</v>
      </c>
      <c r="D106" s="222" t="s">
        <v>28</v>
      </c>
      <c r="E106" s="344">
        <f>E88</f>
        <v>0.12300000000000001</v>
      </c>
      <c r="F106" s="344">
        <f>F88</f>
        <v>0.12300000000000001</v>
      </c>
      <c r="G106" s="344">
        <f t="shared" ref="G106" si="92">F106-E106</f>
        <v>0</v>
      </c>
      <c r="H106" s="345"/>
      <c r="I106" s="344">
        <f>I88</f>
        <v>0.12300000000000001</v>
      </c>
      <c r="J106" s="344">
        <f>J88</f>
        <v>0.12300000000000001</v>
      </c>
      <c r="K106" s="344">
        <f t="shared" ref="K106" si="93">J106-I106</f>
        <v>0</v>
      </c>
      <c r="L106" s="346"/>
      <c r="M106" s="344">
        <f>M88</f>
        <v>0.12300000000000001</v>
      </c>
      <c r="N106" s="344">
        <f>N88</f>
        <v>0.12300000000000001</v>
      </c>
      <c r="O106" s="344">
        <f t="shared" si="89"/>
        <v>0</v>
      </c>
      <c r="P106" s="346"/>
      <c r="Q106" s="344">
        <f>Q88</f>
        <v>0.12300000000000001</v>
      </c>
      <c r="R106" s="344">
        <f>R88</f>
        <v>0.12300000000000001</v>
      </c>
      <c r="S106" s="344">
        <f t="shared" si="90"/>
        <v>0</v>
      </c>
      <c r="T106" s="174"/>
      <c r="U106" s="153"/>
    </row>
    <row r="107" spans="1:23" s="214" customFormat="1" ht="15" x14ac:dyDescent="0.25">
      <c r="A107" s="197"/>
      <c r="B107" s="397"/>
      <c r="C107" s="223"/>
      <c r="E107" s="347"/>
      <c r="F107" s="343"/>
      <c r="G107" s="343"/>
      <c r="H107" s="330"/>
      <c r="I107" s="343"/>
      <c r="J107" s="343"/>
      <c r="K107" s="343"/>
      <c r="L107" s="330"/>
      <c r="M107" s="347"/>
      <c r="N107" s="343"/>
      <c r="O107" s="343"/>
      <c r="P107" s="330"/>
      <c r="Q107" s="347"/>
      <c r="R107" s="343"/>
      <c r="S107" s="343"/>
      <c r="T107" s="239"/>
      <c r="U107" s="170"/>
    </row>
    <row r="108" spans="1:23" s="222" customFormat="1" ht="15" x14ac:dyDescent="0.25">
      <c r="A108" s="197"/>
      <c r="B108" s="393"/>
      <c r="C108" s="326" t="s">
        <v>263</v>
      </c>
      <c r="D108" s="222" t="s">
        <v>28</v>
      </c>
      <c r="E108" s="327">
        <f>SUM(E101:E106)</f>
        <v>1.6695555555555555</v>
      </c>
      <c r="F108" s="327">
        <f>SUM(F101:F106)</f>
        <v>1.1378888888888887</v>
      </c>
      <c r="G108" s="350">
        <f>F108-E108</f>
        <v>-0.53166666666666673</v>
      </c>
      <c r="H108" s="327"/>
      <c r="I108" s="327">
        <f>SUM(I101:I106)</f>
        <v>1.6695555555555555</v>
      </c>
      <c r="J108" s="327">
        <f>SUM(J101:J106)</f>
        <v>1.1378888888888887</v>
      </c>
      <c r="K108" s="350">
        <f>J108-I108</f>
        <v>-0.53166666666666673</v>
      </c>
      <c r="L108" s="327"/>
      <c r="M108" s="327">
        <f>SUM(M101:M106)</f>
        <v>1.6695555555555555</v>
      </c>
      <c r="N108" s="327">
        <f>SUM(N101:N106)</f>
        <v>1.1378888888888887</v>
      </c>
      <c r="O108" s="350">
        <f>N108-M108</f>
        <v>-0.53166666666666673</v>
      </c>
      <c r="P108" s="327"/>
      <c r="Q108" s="327">
        <f>SUM(Q101:Q106)</f>
        <v>1.5514999999999999</v>
      </c>
      <c r="R108" s="327">
        <f>SUM(R101:R106)</f>
        <v>1.0198333333333334</v>
      </c>
      <c r="S108" s="350">
        <f>R108-Q108</f>
        <v>-0.53166666666666651</v>
      </c>
      <c r="U108" s="153"/>
    </row>
    <row r="109" spans="1:23" s="200" customFormat="1" ht="15" x14ac:dyDescent="0.25">
      <c r="A109" s="197"/>
      <c r="B109" s="399"/>
      <c r="C109" s="224"/>
      <c r="D109" s="224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U109" s="174"/>
    </row>
    <row r="110" spans="1:23" s="212" customFormat="1" ht="15" x14ac:dyDescent="0.25">
      <c r="A110" s="197"/>
      <c r="B110" s="400" t="str">
        <f>Trigger3</f>
        <v>Delayed Repair (Fixed)</v>
      </c>
      <c r="E110" s="329" t="s">
        <v>59</v>
      </c>
      <c r="F110" s="329" t="s">
        <v>77</v>
      </c>
      <c r="G110" s="329" t="s">
        <v>89</v>
      </c>
      <c r="H110" s="330"/>
      <c r="I110" s="329" t="s">
        <v>59</v>
      </c>
      <c r="J110" s="329" t="s">
        <v>77</v>
      </c>
      <c r="K110" s="329" t="s">
        <v>89</v>
      </c>
      <c r="L110" s="330"/>
      <c r="M110" s="329" t="s">
        <v>59</v>
      </c>
      <c r="N110" s="329" t="s">
        <v>77</v>
      </c>
      <c r="O110" s="329" t="s">
        <v>89</v>
      </c>
      <c r="P110" s="330"/>
      <c r="Q110" s="329" t="s">
        <v>59</v>
      </c>
      <c r="R110" s="329" t="s">
        <v>77</v>
      </c>
      <c r="S110" s="329" t="s">
        <v>89</v>
      </c>
      <c r="T110" s="231"/>
      <c r="V110" s="213"/>
    </row>
    <row r="111" spans="1:23" s="184" customFormat="1" ht="15" x14ac:dyDescent="0.25">
      <c r="A111" s="197"/>
      <c r="B111" s="220"/>
      <c r="D111" s="219"/>
      <c r="E111" s="176"/>
      <c r="F111" s="176"/>
      <c r="G111" s="176"/>
      <c r="H111" s="237"/>
      <c r="I111" s="176"/>
      <c r="J111" s="176"/>
      <c r="K111" s="176"/>
      <c r="L111" s="331"/>
      <c r="M111" s="176"/>
      <c r="N111" s="176"/>
      <c r="O111" s="176"/>
      <c r="P111" s="331"/>
      <c r="Q111" s="176"/>
      <c r="R111" s="176"/>
      <c r="S111" s="176"/>
      <c r="T111" s="200"/>
      <c r="U111" s="198"/>
    </row>
    <row r="112" spans="1:23" s="184" customFormat="1" ht="15" x14ac:dyDescent="0.25">
      <c r="A112" s="197"/>
      <c r="B112" s="220" t="s">
        <v>147</v>
      </c>
      <c r="D112" s="219"/>
      <c r="E112" s="176"/>
      <c r="F112" s="176"/>
      <c r="G112" s="176"/>
      <c r="H112" s="237"/>
      <c r="I112" s="176"/>
      <c r="J112" s="176"/>
      <c r="K112" s="176"/>
      <c r="L112" s="331"/>
      <c r="M112" s="176"/>
      <c r="N112" s="176"/>
      <c r="O112" s="176"/>
      <c r="P112" s="331"/>
      <c r="Q112" s="176"/>
      <c r="R112" s="176"/>
      <c r="S112" s="176"/>
      <c r="T112" s="200"/>
      <c r="U112" s="198"/>
    </row>
    <row r="113" spans="1:21" s="184" customFormat="1" ht="15" x14ac:dyDescent="0.25">
      <c r="A113" s="197"/>
      <c r="B113" s="220"/>
      <c r="C113" s="184" t="s">
        <v>152</v>
      </c>
      <c r="D113" s="219"/>
      <c r="E113" s="335">
        <v>0</v>
      </c>
      <c r="F113" s="335">
        <v>0</v>
      </c>
      <c r="G113" s="336">
        <f t="shared" ref="G113" si="94">F113-E113</f>
        <v>0</v>
      </c>
      <c r="H113" s="337"/>
      <c r="I113" s="338">
        <f t="shared" ref="I113:I123" si="95">E113</f>
        <v>0</v>
      </c>
      <c r="J113" s="338">
        <f t="shared" ref="J113:J123" si="96">F113</f>
        <v>0</v>
      </c>
      <c r="K113" s="336">
        <f t="shared" ref="K113:K124" si="97">J113-I113</f>
        <v>0</v>
      </c>
      <c r="L113" s="331"/>
      <c r="M113" s="338">
        <f t="shared" ref="M113:M123" si="98">E113</f>
        <v>0</v>
      </c>
      <c r="N113" s="338">
        <f t="shared" ref="N113:N123" si="99">F113</f>
        <v>0</v>
      </c>
      <c r="O113" s="336">
        <f t="shared" ref="O113:O124" si="100">N113-M113</f>
        <v>0</v>
      </c>
      <c r="P113" s="331"/>
      <c r="Q113" s="338">
        <f t="shared" ref="Q113:Q123" si="101">E113</f>
        <v>0</v>
      </c>
      <c r="R113" s="338">
        <f t="shared" ref="R113:R123" si="102">F113</f>
        <v>0</v>
      </c>
      <c r="S113" s="336">
        <f t="shared" ref="S113:S124" si="103">R113-Q113</f>
        <v>0</v>
      </c>
      <c r="T113" s="238"/>
      <c r="U113" s="198" t="s">
        <v>190</v>
      </c>
    </row>
    <row r="114" spans="1:21" s="184" customFormat="1" ht="15" x14ac:dyDescent="0.25">
      <c r="A114" s="197"/>
      <c r="B114" s="220"/>
      <c r="C114" s="184" t="s">
        <v>141</v>
      </c>
      <c r="D114" s="219"/>
      <c r="E114" s="335">
        <v>0</v>
      </c>
      <c r="F114" s="335">
        <v>0</v>
      </c>
      <c r="G114" s="336">
        <f t="shared" ref="G114:G123" si="104">F114-E114</f>
        <v>0</v>
      </c>
      <c r="H114" s="337"/>
      <c r="I114" s="338">
        <f t="shared" si="95"/>
        <v>0</v>
      </c>
      <c r="J114" s="338">
        <f t="shared" si="96"/>
        <v>0</v>
      </c>
      <c r="K114" s="336">
        <f t="shared" si="97"/>
        <v>0</v>
      </c>
      <c r="L114" s="331"/>
      <c r="M114" s="338">
        <f t="shared" si="98"/>
        <v>0</v>
      </c>
      <c r="N114" s="338">
        <f t="shared" si="99"/>
        <v>0</v>
      </c>
      <c r="O114" s="336">
        <f t="shared" si="100"/>
        <v>0</v>
      </c>
      <c r="P114" s="331"/>
      <c r="Q114" s="338">
        <f t="shared" si="101"/>
        <v>0</v>
      </c>
      <c r="R114" s="338">
        <f t="shared" si="102"/>
        <v>0</v>
      </c>
      <c r="S114" s="336">
        <f t="shared" si="103"/>
        <v>0</v>
      </c>
      <c r="T114" s="200"/>
      <c r="U114" s="198" t="s">
        <v>191</v>
      </c>
    </row>
    <row r="115" spans="1:21" s="184" customFormat="1" ht="15" x14ac:dyDescent="0.25">
      <c r="A115" s="197"/>
      <c r="B115" s="220"/>
      <c r="C115" s="184" t="s">
        <v>153</v>
      </c>
      <c r="D115" s="219"/>
      <c r="E115" s="335">
        <v>0</v>
      </c>
      <c r="F115" s="335">
        <v>0</v>
      </c>
      <c r="G115" s="336">
        <f t="shared" si="104"/>
        <v>0</v>
      </c>
      <c r="H115" s="337"/>
      <c r="I115" s="338">
        <f t="shared" si="95"/>
        <v>0</v>
      </c>
      <c r="J115" s="338">
        <f t="shared" si="96"/>
        <v>0</v>
      </c>
      <c r="K115" s="336">
        <f t="shared" si="97"/>
        <v>0</v>
      </c>
      <c r="L115" s="331"/>
      <c r="M115" s="338">
        <f t="shared" si="98"/>
        <v>0</v>
      </c>
      <c r="N115" s="338">
        <f t="shared" si="99"/>
        <v>0</v>
      </c>
      <c r="O115" s="336">
        <f t="shared" si="100"/>
        <v>0</v>
      </c>
      <c r="P115" s="331"/>
      <c r="Q115" s="338">
        <f t="shared" si="101"/>
        <v>0</v>
      </c>
      <c r="R115" s="338">
        <f t="shared" si="102"/>
        <v>0</v>
      </c>
      <c r="S115" s="336">
        <f t="shared" si="103"/>
        <v>0</v>
      </c>
      <c r="T115" s="200"/>
      <c r="U115" s="198" t="s">
        <v>191</v>
      </c>
    </row>
    <row r="116" spans="1:21" s="184" customFormat="1" ht="15" x14ac:dyDescent="0.25">
      <c r="A116" s="197"/>
      <c r="B116" s="220"/>
      <c r="C116" s="184" t="s">
        <v>154</v>
      </c>
      <c r="D116" s="219"/>
      <c r="E116" s="335">
        <v>0</v>
      </c>
      <c r="F116" s="335">
        <v>0</v>
      </c>
      <c r="G116" s="336">
        <f t="shared" si="104"/>
        <v>0</v>
      </c>
      <c r="H116" s="337"/>
      <c r="I116" s="338">
        <f t="shared" si="95"/>
        <v>0</v>
      </c>
      <c r="J116" s="338">
        <f t="shared" si="96"/>
        <v>0</v>
      </c>
      <c r="K116" s="336">
        <f t="shared" si="97"/>
        <v>0</v>
      </c>
      <c r="L116" s="331"/>
      <c r="M116" s="338">
        <f t="shared" si="98"/>
        <v>0</v>
      </c>
      <c r="N116" s="338">
        <f t="shared" si="99"/>
        <v>0</v>
      </c>
      <c r="O116" s="336">
        <f t="shared" si="100"/>
        <v>0</v>
      </c>
      <c r="P116" s="331"/>
      <c r="Q116" s="338">
        <f t="shared" si="101"/>
        <v>0</v>
      </c>
      <c r="R116" s="338">
        <f t="shared" si="102"/>
        <v>0</v>
      </c>
      <c r="S116" s="336">
        <f t="shared" si="103"/>
        <v>0</v>
      </c>
      <c r="T116" s="200"/>
      <c r="U116" s="198" t="s">
        <v>191</v>
      </c>
    </row>
    <row r="117" spans="1:21" s="184" customFormat="1" ht="15" x14ac:dyDescent="0.25">
      <c r="A117" s="197"/>
      <c r="B117" s="220"/>
      <c r="C117" s="184" t="s">
        <v>155</v>
      </c>
      <c r="D117" s="219"/>
      <c r="E117" s="335">
        <v>3</v>
      </c>
      <c r="F117" s="335">
        <v>3</v>
      </c>
      <c r="G117" s="336">
        <f t="shared" si="104"/>
        <v>0</v>
      </c>
      <c r="H117" s="337"/>
      <c r="I117" s="338">
        <f t="shared" si="95"/>
        <v>3</v>
      </c>
      <c r="J117" s="338">
        <f t="shared" si="96"/>
        <v>3</v>
      </c>
      <c r="K117" s="336">
        <f t="shared" si="97"/>
        <v>0</v>
      </c>
      <c r="L117" s="331"/>
      <c r="M117" s="338">
        <f t="shared" si="98"/>
        <v>3</v>
      </c>
      <c r="N117" s="338">
        <f t="shared" si="99"/>
        <v>3</v>
      </c>
      <c r="O117" s="336">
        <f t="shared" si="100"/>
        <v>0</v>
      </c>
      <c r="P117" s="331"/>
      <c r="Q117" s="338">
        <f t="shared" si="101"/>
        <v>3</v>
      </c>
      <c r="R117" s="338">
        <f t="shared" si="102"/>
        <v>3</v>
      </c>
      <c r="S117" s="336">
        <f t="shared" si="103"/>
        <v>0</v>
      </c>
      <c r="T117" s="200"/>
      <c r="U117" s="198" t="s">
        <v>187</v>
      </c>
    </row>
    <row r="118" spans="1:21" s="184" customFormat="1" ht="15" x14ac:dyDescent="0.25">
      <c r="A118" s="197"/>
      <c r="B118" s="220"/>
      <c r="C118" s="184" t="s">
        <v>156</v>
      </c>
      <c r="D118" s="219"/>
      <c r="E118" s="335">
        <v>2</v>
      </c>
      <c r="F118" s="335">
        <v>0</v>
      </c>
      <c r="G118" s="336">
        <f t="shared" si="104"/>
        <v>-2</v>
      </c>
      <c r="H118" s="337"/>
      <c r="I118" s="338">
        <f t="shared" si="95"/>
        <v>2</v>
      </c>
      <c r="J118" s="338">
        <f t="shared" si="96"/>
        <v>0</v>
      </c>
      <c r="K118" s="336">
        <f t="shared" si="97"/>
        <v>-2</v>
      </c>
      <c r="L118" s="331"/>
      <c r="M118" s="338">
        <f t="shared" si="98"/>
        <v>2</v>
      </c>
      <c r="N118" s="338">
        <f t="shared" si="99"/>
        <v>0</v>
      </c>
      <c r="O118" s="336">
        <f t="shared" si="100"/>
        <v>-2</v>
      </c>
      <c r="P118" s="331"/>
      <c r="Q118" s="338">
        <f t="shared" si="101"/>
        <v>2</v>
      </c>
      <c r="R118" s="338">
        <f t="shared" si="102"/>
        <v>0</v>
      </c>
      <c r="S118" s="336">
        <f t="shared" si="103"/>
        <v>-2</v>
      </c>
      <c r="T118" s="200"/>
      <c r="U118" s="198" t="s">
        <v>258</v>
      </c>
    </row>
    <row r="119" spans="1:21" s="184" customFormat="1" ht="15" x14ac:dyDescent="0.25">
      <c r="A119" s="197"/>
      <c r="B119" s="220"/>
      <c r="C119" s="184" t="s">
        <v>165</v>
      </c>
      <c r="D119" s="219"/>
      <c r="E119" s="335">
        <v>0</v>
      </c>
      <c r="F119" s="335">
        <v>0</v>
      </c>
      <c r="G119" s="336">
        <f t="shared" si="104"/>
        <v>0</v>
      </c>
      <c r="H119" s="337"/>
      <c r="I119" s="338">
        <f t="shared" si="95"/>
        <v>0</v>
      </c>
      <c r="J119" s="338">
        <f t="shared" si="96"/>
        <v>0</v>
      </c>
      <c r="K119" s="336">
        <f t="shared" si="97"/>
        <v>0</v>
      </c>
      <c r="L119" s="331"/>
      <c r="M119" s="338">
        <f t="shared" si="98"/>
        <v>0</v>
      </c>
      <c r="N119" s="338">
        <f t="shared" si="99"/>
        <v>0</v>
      </c>
      <c r="O119" s="336">
        <f t="shared" si="100"/>
        <v>0</v>
      </c>
      <c r="P119" s="331"/>
      <c r="Q119" s="338">
        <f t="shared" si="101"/>
        <v>0</v>
      </c>
      <c r="R119" s="338">
        <f t="shared" si="102"/>
        <v>0</v>
      </c>
      <c r="S119" s="336">
        <f t="shared" si="103"/>
        <v>0</v>
      </c>
      <c r="T119" s="199"/>
      <c r="U119" s="198" t="s">
        <v>183</v>
      </c>
    </row>
    <row r="120" spans="1:21" s="184" customFormat="1" ht="15" x14ac:dyDescent="0.25">
      <c r="A120" s="197"/>
      <c r="B120" s="220"/>
      <c r="C120" s="184" t="s">
        <v>157</v>
      </c>
      <c r="D120" s="219"/>
      <c r="E120" s="335">
        <v>0</v>
      </c>
      <c r="F120" s="335">
        <v>0</v>
      </c>
      <c r="G120" s="336">
        <f t="shared" si="104"/>
        <v>0</v>
      </c>
      <c r="H120" s="337"/>
      <c r="I120" s="338">
        <f t="shared" si="95"/>
        <v>0</v>
      </c>
      <c r="J120" s="338">
        <f t="shared" si="96"/>
        <v>0</v>
      </c>
      <c r="K120" s="336">
        <f t="shared" si="97"/>
        <v>0</v>
      </c>
      <c r="L120" s="331"/>
      <c r="M120" s="338">
        <f t="shared" si="98"/>
        <v>0</v>
      </c>
      <c r="N120" s="338">
        <f t="shared" si="99"/>
        <v>0</v>
      </c>
      <c r="O120" s="336">
        <f t="shared" si="100"/>
        <v>0</v>
      </c>
      <c r="P120" s="331"/>
      <c r="Q120" s="338">
        <f t="shared" si="101"/>
        <v>0</v>
      </c>
      <c r="R120" s="338">
        <f t="shared" si="102"/>
        <v>0</v>
      </c>
      <c r="S120" s="336">
        <f t="shared" si="103"/>
        <v>0</v>
      </c>
      <c r="T120" s="199"/>
      <c r="U120" s="198" t="s">
        <v>185</v>
      </c>
    </row>
    <row r="121" spans="1:21" s="184" customFormat="1" ht="15" x14ac:dyDescent="0.25">
      <c r="A121" s="197"/>
      <c r="B121" s="220"/>
      <c r="C121" s="184" t="s">
        <v>158</v>
      </c>
      <c r="D121" s="219"/>
      <c r="E121" s="335">
        <v>1</v>
      </c>
      <c r="F121" s="335">
        <v>0</v>
      </c>
      <c r="G121" s="336">
        <f t="shared" si="104"/>
        <v>-1</v>
      </c>
      <c r="H121" s="337"/>
      <c r="I121" s="338">
        <f t="shared" si="95"/>
        <v>1</v>
      </c>
      <c r="J121" s="338">
        <f t="shared" si="96"/>
        <v>0</v>
      </c>
      <c r="K121" s="336">
        <f t="shared" si="97"/>
        <v>-1</v>
      </c>
      <c r="L121" s="331"/>
      <c r="M121" s="338">
        <f t="shared" si="98"/>
        <v>1</v>
      </c>
      <c r="N121" s="338">
        <f t="shared" si="99"/>
        <v>0</v>
      </c>
      <c r="O121" s="336">
        <f t="shared" si="100"/>
        <v>-1</v>
      </c>
      <c r="P121" s="331"/>
      <c r="Q121" s="338">
        <f t="shared" si="101"/>
        <v>1</v>
      </c>
      <c r="R121" s="338">
        <f t="shared" si="102"/>
        <v>0</v>
      </c>
      <c r="S121" s="336">
        <f t="shared" si="103"/>
        <v>-1</v>
      </c>
      <c r="T121" s="199"/>
      <c r="U121" s="198" t="s">
        <v>186</v>
      </c>
    </row>
    <row r="122" spans="1:21" s="184" customFormat="1" ht="15" x14ac:dyDescent="0.25">
      <c r="A122" s="197"/>
      <c r="B122" s="220"/>
      <c r="C122" s="184" t="s">
        <v>159</v>
      </c>
      <c r="D122" s="219"/>
      <c r="E122" s="335">
        <v>0</v>
      </c>
      <c r="F122" s="335">
        <v>0</v>
      </c>
      <c r="G122" s="336">
        <f t="shared" si="104"/>
        <v>0</v>
      </c>
      <c r="H122" s="337"/>
      <c r="I122" s="338">
        <f t="shared" si="95"/>
        <v>0</v>
      </c>
      <c r="J122" s="338">
        <f t="shared" si="96"/>
        <v>0</v>
      </c>
      <c r="K122" s="336">
        <f t="shared" si="97"/>
        <v>0</v>
      </c>
      <c r="L122" s="331"/>
      <c r="M122" s="338">
        <f t="shared" si="98"/>
        <v>0</v>
      </c>
      <c r="N122" s="338">
        <f t="shared" si="99"/>
        <v>0</v>
      </c>
      <c r="O122" s="336">
        <f t="shared" si="100"/>
        <v>0</v>
      </c>
      <c r="P122" s="331"/>
      <c r="Q122" s="338">
        <f t="shared" si="101"/>
        <v>0</v>
      </c>
      <c r="R122" s="338">
        <f t="shared" si="102"/>
        <v>0</v>
      </c>
      <c r="S122" s="336">
        <f t="shared" si="103"/>
        <v>0</v>
      </c>
      <c r="T122" s="200"/>
      <c r="U122" s="198" t="s">
        <v>183</v>
      </c>
    </row>
    <row r="123" spans="1:21" s="184" customFormat="1" ht="15" x14ac:dyDescent="0.25">
      <c r="A123" s="197"/>
      <c r="B123" s="220"/>
      <c r="C123" s="184" t="s">
        <v>160</v>
      </c>
      <c r="D123" s="219"/>
      <c r="E123" s="335">
        <v>0</v>
      </c>
      <c r="F123" s="335">
        <v>0</v>
      </c>
      <c r="G123" s="336">
        <f t="shared" si="104"/>
        <v>0</v>
      </c>
      <c r="H123" s="337"/>
      <c r="I123" s="338">
        <f t="shared" si="95"/>
        <v>0</v>
      </c>
      <c r="J123" s="338">
        <f t="shared" si="96"/>
        <v>0</v>
      </c>
      <c r="K123" s="336">
        <f t="shared" si="97"/>
        <v>0</v>
      </c>
      <c r="L123" s="331"/>
      <c r="M123" s="338">
        <f t="shared" si="98"/>
        <v>0</v>
      </c>
      <c r="N123" s="338">
        <f t="shared" si="99"/>
        <v>0</v>
      </c>
      <c r="O123" s="336">
        <f t="shared" si="100"/>
        <v>0</v>
      </c>
      <c r="P123" s="331"/>
      <c r="Q123" s="338">
        <f t="shared" si="101"/>
        <v>0</v>
      </c>
      <c r="R123" s="338">
        <f t="shared" si="102"/>
        <v>0</v>
      </c>
      <c r="S123" s="336">
        <f t="shared" si="103"/>
        <v>0</v>
      </c>
      <c r="T123" s="200"/>
      <c r="U123" s="198" t="s">
        <v>183</v>
      </c>
    </row>
    <row r="124" spans="1:21" s="184" customFormat="1" ht="15" x14ac:dyDescent="0.25">
      <c r="A124" s="197"/>
      <c r="B124" s="220"/>
      <c r="C124" s="184" t="s">
        <v>61</v>
      </c>
      <c r="D124" s="219" t="s">
        <v>26</v>
      </c>
      <c r="E124" s="336">
        <f>SUM(E113:E123)</f>
        <v>6</v>
      </c>
      <c r="F124" s="336">
        <f>SUM(F113:F123)</f>
        <v>3</v>
      </c>
      <c r="G124" s="336">
        <f t="shared" ref="G124" si="105">F124-E124</f>
        <v>-3</v>
      </c>
      <c r="H124" s="337"/>
      <c r="I124" s="336">
        <f>SUM(I115:I123)</f>
        <v>6</v>
      </c>
      <c r="J124" s="336">
        <f>SUM(J115:J123)</f>
        <v>3</v>
      </c>
      <c r="K124" s="336">
        <f t="shared" si="97"/>
        <v>-3</v>
      </c>
      <c r="L124" s="331"/>
      <c r="M124" s="336">
        <f>SUM(M115:M123)</f>
        <v>6</v>
      </c>
      <c r="N124" s="336">
        <f>SUM(N115:N123)</f>
        <v>3</v>
      </c>
      <c r="O124" s="336">
        <f t="shared" si="100"/>
        <v>-3</v>
      </c>
      <c r="P124" s="331"/>
      <c r="Q124" s="336">
        <f>SUM(Q115:Q123)</f>
        <v>6</v>
      </c>
      <c r="R124" s="336">
        <f>SUM(R115:R123)</f>
        <v>3</v>
      </c>
      <c r="S124" s="336">
        <f t="shared" si="103"/>
        <v>-3</v>
      </c>
      <c r="T124" s="200"/>
      <c r="U124" s="198"/>
    </row>
    <row r="125" spans="1:21" ht="15" x14ac:dyDescent="0.25">
      <c r="B125" s="395"/>
      <c r="E125" s="339"/>
      <c r="F125" s="339"/>
      <c r="G125" s="339"/>
      <c r="H125" s="330"/>
      <c r="I125" s="101"/>
      <c r="J125" s="101"/>
      <c r="K125" s="339"/>
      <c r="L125" s="331"/>
      <c r="M125" s="176"/>
      <c r="N125" s="176"/>
      <c r="O125" s="339"/>
      <c r="P125" s="331"/>
      <c r="Q125" s="176"/>
      <c r="R125" s="176"/>
      <c r="S125" s="339"/>
      <c r="T125" s="199"/>
    </row>
    <row r="126" spans="1:21" ht="15" x14ac:dyDescent="0.25">
      <c r="B126" s="396" t="s">
        <v>148</v>
      </c>
      <c r="E126" s="339"/>
      <c r="F126" s="339"/>
      <c r="G126" s="339"/>
      <c r="H126" s="330"/>
      <c r="I126" s="101"/>
      <c r="J126" s="101"/>
      <c r="K126" s="339"/>
      <c r="L126" s="331"/>
      <c r="M126" s="176"/>
      <c r="N126" s="176"/>
      <c r="O126" s="339"/>
      <c r="P126" s="331"/>
      <c r="Q126" s="176"/>
      <c r="R126" s="176"/>
      <c r="S126" s="339"/>
      <c r="T126" s="199"/>
    </row>
    <row r="127" spans="1:21" ht="15" x14ac:dyDescent="0.25">
      <c r="B127" s="396"/>
      <c r="C127" s="184" t="s">
        <v>165</v>
      </c>
      <c r="E127" s="339"/>
      <c r="F127" s="339"/>
      <c r="G127" s="339"/>
      <c r="H127" s="330"/>
      <c r="I127" s="101"/>
      <c r="J127" s="101"/>
      <c r="K127" s="339"/>
      <c r="L127" s="331"/>
      <c r="M127" s="176"/>
      <c r="N127" s="176"/>
      <c r="O127" s="339"/>
      <c r="P127" s="331"/>
      <c r="Q127" s="176"/>
      <c r="R127" s="176"/>
      <c r="S127" s="339"/>
      <c r="T127" s="199"/>
    </row>
    <row r="128" spans="1:21" s="184" customFormat="1" ht="15" x14ac:dyDescent="0.25">
      <c r="A128" s="197"/>
      <c r="B128" s="394"/>
      <c r="C128" s="172" t="s">
        <v>66</v>
      </c>
      <c r="D128" s="184" t="s">
        <v>22</v>
      </c>
      <c r="E128" s="332">
        <v>0.15</v>
      </c>
      <c r="F128" s="332">
        <v>0.05</v>
      </c>
      <c r="G128" s="333">
        <f t="shared" ref="G128:G129" si="106">F128-E128</f>
        <v>-9.9999999999999992E-2</v>
      </c>
      <c r="H128" s="330"/>
      <c r="I128" s="307">
        <f>E128</f>
        <v>0.15</v>
      </c>
      <c r="J128" s="307">
        <f t="shared" ref="J128:J129" si="107">F128</f>
        <v>0.05</v>
      </c>
      <c r="K128" s="333">
        <f t="shared" ref="K128:K129" si="108">J128-I128</f>
        <v>-9.9999999999999992E-2</v>
      </c>
      <c r="L128" s="331"/>
      <c r="M128" s="307">
        <f>E128</f>
        <v>0.15</v>
      </c>
      <c r="N128" s="307">
        <f t="shared" ref="N128:N129" si="109">F128</f>
        <v>0.05</v>
      </c>
      <c r="O128" s="333">
        <f t="shared" ref="O128:O129" si="110">N128-M128</f>
        <v>-9.9999999999999992E-2</v>
      </c>
      <c r="P128" s="331"/>
      <c r="Q128" s="307">
        <f>E128</f>
        <v>0.15</v>
      </c>
      <c r="R128" s="307">
        <f t="shared" ref="R128:R129" si="111">F128</f>
        <v>0.05</v>
      </c>
      <c r="S128" s="333">
        <f t="shared" ref="S128:S129" si="112">R128-Q128</f>
        <v>-9.9999999999999992E-2</v>
      </c>
      <c r="T128" s="200"/>
      <c r="U128" s="198" t="s">
        <v>257</v>
      </c>
    </row>
    <row r="129" spans="1:21" s="184" customFormat="1" ht="15" x14ac:dyDescent="0.25">
      <c r="A129" s="197"/>
      <c r="B129" s="394"/>
      <c r="C129" s="172" t="s">
        <v>65</v>
      </c>
      <c r="D129" s="184" t="s">
        <v>26</v>
      </c>
      <c r="E129" s="342">
        <v>5</v>
      </c>
      <c r="F129" s="342">
        <v>5</v>
      </c>
      <c r="G129" s="336">
        <f t="shared" si="106"/>
        <v>0</v>
      </c>
      <c r="H129" s="330"/>
      <c r="I129" s="338">
        <f t="shared" ref="I129" si="113">E129</f>
        <v>5</v>
      </c>
      <c r="J129" s="338">
        <f t="shared" si="107"/>
        <v>5</v>
      </c>
      <c r="K129" s="336">
        <f t="shared" si="108"/>
        <v>0</v>
      </c>
      <c r="L129" s="331"/>
      <c r="M129" s="338">
        <f t="shared" ref="M129" si="114">E129</f>
        <v>5</v>
      </c>
      <c r="N129" s="338">
        <f t="shared" si="109"/>
        <v>5</v>
      </c>
      <c r="O129" s="336">
        <f t="shared" si="110"/>
        <v>0</v>
      </c>
      <c r="P129" s="331"/>
      <c r="Q129" s="338">
        <f t="shared" ref="Q129" si="115">E129</f>
        <v>5</v>
      </c>
      <c r="R129" s="338">
        <f t="shared" si="111"/>
        <v>5</v>
      </c>
      <c r="S129" s="336">
        <f t="shared" si="112"/>
        <v>0</v>
      </c>
      <c r="T129" s="200"/>
      <c r="U129" s="198" t="s">
        <v>188</v>
      </c>
    </row>
    <row r="130" spans="1:21" ht="15" x14ac:dyDescent="0.25">
      <c r="B130" s="396"/>
      <c r="E130" s="339"/>
      <c r="F130" s="339"/>
      <c r="G130" s="339"/>
      <c r="H130" s="330"/>
      <c r="I130" s="101"/>
      <c r="J130" s="101"/>
      <c r="K130" s="339"/>
      <c r="L130" s="331"/>
      <c r="M130" s="176"/>
      <c r="N130" s="176"/>
      <c r="O130" s="339"/>
      <c r="P130" s="331"/>
      <c r="Q130" s="176"/>
      <c r="R130" s="176"/>
      <c r="S130" s="339"/>
      <c r="T130" s="199"/>
    </row>
    <row r="131" spans="1:21" ht="15" x14ac:dyDescent="0.25">
      <c r="B131" s="396"/>
      <c r="C131" s="184" t="s">
        <v>157</v>
      </c>
      <c r="E131" s="339"/>
      <c r="F131" s="339"/>
      <c r="G131" s="339"/>
      <c r="H131" s="330"/>
      <c r="I131" s="101"/>
      <c r="J131" s="101"/>
      <c r="K131" s="339"/>
      <c r="L131" s="331"/>
      <c r="M131" s="176"/>
      <c r="N131" s="176"/>
      <c r="O131" s="339"/>
      <c r="P131" s="331"/>
      <c r="Q131" s="176"/>
      <c r="R131" s="176"/>
      <c r="S131" s="339"/>
      <c r="T131" s="199"/>
    </row>
    <row r="132" spans="1:21" s="184" customFormat="1" ht="15" x14ac:dyDescent="0.25">
      <c r="A132" s="197"/>
      <c r="B132" s="394"/>
      <c r="C132" s="172" t="s">
        <v>78</v>
      </c>
      <c r="D132" s="44" t="s">
        <v>22</v>
      </c>
      <c r="E132" s="332">
        <v>0</v>
      </c>
      <c r="F132" s="332">
        <v>0.9</v>
      </c>
      <c r="G132" s="333">
        <f t="shared" ref="G132:G135" si="116">F132-E132</f>
        <v>0.9</v>
      </c>
      <c r="H132" s="330"/>
      <c r="I132" s="307">
        <f>E132</f>
        <v>0</v>
      </c>
      <c r="J132" s="307">
        <f t="shared" ref="J132:J133" si="117">F132</f>
        <v>0.9</v>
      </c>
      <c r="K132" s="333">
        <f t="shared" ref="K132:K135" si="118">J132-I132</f>
        <v>0.9</v>
      </c>
      <c r="L132" s="331"/>
      <c r="M132" s="307">
        <f>E132</f>
        <v>0</v>
      </c>
      <c r="N132" s="307">
        <f t="shared" ref="N132:N133" si="119">F132</f>
        <v>0.9</v>
      </c>
      <c r="O132" s="333">
        <f t="shared" ref="O132:O135" si="120">N132-M132</f>
        <v>0.9</v>
      </c>
      <c r="P132" s="331"/>
      <c r="Q132" s="307">
        <f>E132</f>
        <v>0</v>
      </c>
      <c r="R132" s="307">
        <f t="shared" ref="R132:R133" si="121">F132</f>
        <v>0.9</v>
      </c>
      <c r="S132" s="333">
        <f t="shared" ref="S132:S135" si="122">R132-Q132</f>
        <v>0.9</v>
      </c>
      <c r="T132" s="200"/>
      <c r="U132" s="198" t="s">
        <v>188</v>
      </c>
    </row>
    <row r="133" spans="1:21" s="184" customFormat="1" ht="15" x14ac:dyDescent="0.25">
      <c r="A133" s="197"/>
      <c r="B133" s="394"/>
      <c r="C133" s="172" t="s">
        <v>79</v>
      </c>
      <c r="D133" s="44" t="s">
        <v>22</v>
      </c>
      <c r="E133" s="332">
        <v>0</v>
      </c>
      <c r="F133" s="332">
        <v>9.9999999999999978E-2</v>
      </c>
      <c r="G133" s="333">
        <f t="shared" si="116"/>
        <v>9.9999999999999978E-2</v>
      </c>
      <c r="H133" s="330"/>
      <c r="I133" s="307">
        <f>E133</f>
        <v>0</v>
      </c>
      <c r="J133" s="307">
        <f t="shared" si="117"/>
        <v>9.9999999999999978E-2</v>
      </c>
      <c r="K133" s="333">
        <f t="shared" si="118"/>
        <v>9.9999999999999978E-2</v>
      </c>
      <c r="L133" s="331"/>
      <c r="M133" s="307">
        <f>E133</f>
        <v>0</v>
      </c>
      <c r="N133" s="307">
        <f t="shared" si="119"/>
        <v>9.9999999999999978E-2</v>
      </c>
      <c r="O133" s="333">
        <f t="shared" si="120"/>
        <v>9.9999999999999978E-2</v>
      </c>
      <c r="P133" s="331"/>
      <c r="Q133" s="307">
        <f>E133</f>
        <v>0</v>
      </c>
      <c r="R133" s="307">
        <f t="shared" si="121"/>
        <v>9.9999999999999978E-2</v>
      </c>
      <c r="S133" s="333">
        <f t="shared" si="122"/>
        <v>9.9999999999999978E-2</v>
      </c>
      <c r="T133" s="200"/>
      <c r="U133" s="198" t="s">
        <v>188</v>
      </c>
    </row>
    <row r="134" spans="1:21" s="184" customFormat="1" ht="15" x14ac:dyDescent="0.25">
      <c r="A134" s="197"/>
      <c r="B134" s="394"/>
      <c r="C134" s="172" t="s">
        <v>78</v>
      </c>
      <c r="D134" s="44" t="s">
        <v>28</v>
      </c>
      <c r="E134" s="195">
        <f>Input_Costs!$E$60</f>
        <v>0.02</v>
      </c>
      <c r="F134" s="195">
        <f>Input_Costs!$E$60</f>
        <v>0.02</v>
      </c>
      <c r="G134" s="336">
        <f t="shared" si="116"/>
        <v>0</v>
      </c>
      <c r="H134" s="330"/>
      <c r="I134" s="195">
        <f>Input_Costs!$E$60</f>
        <v>0.02</v>
      </c>
      <c r="J134" s="195">
        <f>Input_Costs!$E$60</f>
        <v>0.02</v>
      </c>
      <c r="K134" s="336">
        <f t="shared" si="118"/>
        <v>0</v>
      </c>
      <c r="L134" s="331"/>
      <c r="M134" s="195">
        <f>Input_Costs!$E$60</f>
        <v>0.02</v>
      </c>
      <c r="N134" s="195">
        <f>Input_Costs!$E$60</f>
        <v>0.02</v>
      </c>
      <c r="O134" s="336">
        <f t="shared" si="120"/>
        <v>0</v>
      </c>
      <c r="P134" s="331"/>
      <c r="Q134" s="195">
        <f>Input_Costs!$E$60</f>
        <v>0.02</v>
      </c>
      <c r="R134" s="195">
        <f>Input_Costs!$E$60</f>
        <v>0.02</v>
      </c>
      <c r="S134" s="336">
        <f t="shared" si="122"/>
        <v>0</v>
      </c>
      <c r="T134" s="200"/>
      <c r="U134" s="198" t="s">
        <v>188</v>
      </c>
    </row>
    <row r="135" spans="1:21" s="184" customFormat="1" ht="15" x14ac:dyDescent="0.25">
      <c r="A135" s="197"/>
      <c r="B135" s="394"/>
      <c r="C135" s="172" t="s">
        <v>79</v>
      </c>
      <c r="D135" s="44" t="s">
        <v>28</v>
      </c>
      <c r="E135" s="195">
        <f>Input_Costs!$E$61</f>
        <v>0.8</v>
      </c>
      <c r="F135" s="195">
        <f>Input_Costs!$E$61</f>
        <v>0.8</v>
      </c>
      <c r="G135" s="336">
        <f t="shared" si="116"/>
        <v>0</v>
      </c>
      <c r="H135" s="330"/>
      <c r="I135" s="195">
        <f>Input_Costs!$E$61</f>
        <v>0.8</v>
      </c>
      <c r="J135" s="195">
        <f>Input_Costs!$E$61</f>
        <v>0.8</v>
      </c>
      <c r="K135" s="336">
        <f t="shared" si="118"/>
        <v>0</v>
      </c>
      <c r="L135" s="331"/>
      <c r="M135" s="195">
        <f>Input_Costs!$E$61</f>
        <v>0.8</v>
      </c>
      <c r="N135" s="195">
        <f>Input_Costs!$E$61</f>
        <v>0.8</v>
      </c>
      <c r="O135" s="336">
        <f t="shared" si="120"/>
        <v>0</v>
      </c>
      <c r="P135" s="331"/>
      <c r="Q135" s="195">
        <f>Input_Costs!$E$61</f>
        <v>0.8</v>
      </c>
      <c r="R135" s="195">
        <f>Input_Costs!$E$61</f>
        <v>0.8</v>
      </c>
      <c r="S135" s="336">
        <f t="shared" si="122"/>
        <v>0</v>
      </c>
      <c r="T135" s="200"/>
      <c r="U135" s="198" t="s">
        <v>188</v>
      </c>
    </row>
    <row r="136" spans="1:21" ht="15" x14ac:dyDescent="0.25">
      <c r="B136" s="395"/>
      <c r="E136" s="339"/>
      <c r="F136" s="339"/>
      <c r="G136" s="339"/>
      <c r="H136" s="330"/>
      <c r="I136" s="101"/>
      <c r="J136" s="101"/>
      <c r="K136" s="339"/>
      <c r="L136" s="331"/>
      <c r="M136" s="176"/>
      <c r="N136" s="176"/>
      <c r="O136" s="339"/>
      <c r="P136" s="331"/>
      <c r="Q136" s="176"/>
      <c r="R136" s="176"/>
      <c r="S136" s="339"/>
      <c r="T136" s="199"/>
    </row>
    <row r="137" spans="1:21" ht="15" x14ac:dyDescent="0.25">
      <c r="B137" s="396"/>
      <c r="C137" s="198" t="s">
        <v>270</v>
      </c>
      <c r="E137" s="339"/>
      <c r="F137" s="339"/>
      <c r="G137" s="339"/>
      <c r="H137" s="330"/>
      <c r="I137" s="339"/>
      <c r="J137" s="339"/>
      <c r="K137" s="339"/>
      <c r="L137" s="331"/>
      <c r="M137" s="176"/>
      <c r="N137" s="176"/>
      <c r="O137" s="339"/>
      <c r="P137" s="331"/>
      <c r="Q137" s="176"/>
      <c r="R137" s="176"/>
      <c r="S137" s="339"/>
      <c r="T137" s="200"/>
    </row>
    <row r="138" spans="1:21" ht="15" x14ac:dyDescent="0.25">
      <c r="B138" s="396"/>
      <c r="C138" s="196" t="s">
        <v>267</v>
      </c>
      <c r="D138" s="198" t="s">
        <v>28</v>
      </c>
      <c r="E138" s="338">
        <f>Input_Costs!$E$57</f>
        <v>0.12300000000000001</v>
      </c>
      <c r="F138" s="338">
        <f>Input_Costs!$E$57</f>
        <v>0.12300000000000001</v>
      </c>
      <c r="G138" s="340">
        <f>F138-E138</f>
        <v>0</v>
      </c>
      <c r="H138" s="330"/>
      <c r="I138" s="338">
        <f>Input_Costs!$E$57</f>
        <v>0.12300000000000001</v>
      </c>
      <c r="J138" s="338">
        <f>Input_Costs!$E$57</f>
        <v>0.12300000000000001</v>
      </c>
      <c r="K138" s="340">
        <f>J138-I138</f>
        <v>0</v>
      </c>
      <c r="L138" s="331"/>
      <c r="M138" s="338">
        <f>Input_Costs!$E$57</f>
        <v>0.12300000000000001</v>
      </c>
      <c r="N138" s="338">
        <f>Input_Costs!$E$57</f>
        <v>0.12300000000000001</v>
      </c>
      <c r="O138" s="340">
        <f>N138-M138</f>
        <v>0</v>
      </c>
      <c r="P138" s="331"/>
      <c r="Q138" s="338">
        <f>Input_Costs!$E$57</f>
        <v>0.12300000000000001</v>
      </c>
      <c r="R138" s="338">
        <f>Input_Costs!$E$57</f>
        <v>0.12300000000000001</v>
      </c>
      <c r="S138" s="340">
        <f>R138-Q138</f>
        <v>0</v>
      </c>
      <c r="T138" s="200"/>
      <c r="U138" s="198" t="s">
        <v>269</v>
      </c>
    </row>
    <row r="139" spans="1:21" ht="15" x14ac:dyDescent="0.25">
      <c r="B139" s="396"/>
      <c r="E139" s="339"/>
      <c r="F139" s="339"/>
      <c r="G139" s="339"/>
      <c r="H139" s="330"/>
      <c r="I139" s="339"/>
      <c r="J139" s="339"/>
      <c r="K139" s="339"/>
      <c r="L139" s="331"/>
      <c r="M139" s="176"/>
      <c r="N139" s="176"/>
      <c r="O139" s="339"/>
      <c r="P139" s="331"/>
      <c r="Q139" s="176"/>
      <c r="R139" s="176"/>
      <c r="S139" s="339"/>
      <c r="T139" s="200"/>
    </row>
    <row r="140" spans="1:21" ht="15" x14ac:dyDescent="0.25">
      <c r="B140" s="396"/>
      <c r="C140" s="184" t="s">
        <v>160</v>
      </c>
      <c r="E140" s="339"/>
      <c r="F140" s="339"/>
      <c r="G140" s="339"/>
      <c r="H140" s="330"/>
      <c r="I140" s="101"/>
      <c r="J140" s="101"/>
      <c r="K140" s="339"/>
      <c r="L140" s="331"/>
      <c r="M140" s="176"/>
      <c r="N140" s="176"/>
      <c r="O140" s="339"/>
      <c r="P140" s="331"/>
      <c r="Q140" s="176"/>
      <c r="R140" s="176"/>
      <c r="S140" s="339"/>
      <c r="T140" s="199"/>
    </row>
    <row r="141" spans="1:21" ht="15" x14ac:dyDescent="0.25">
      <c r="B141" s="396"/>
      <c r="C141" s="196" t="s">
        <v>194</v>
      </c>
      <c r="E141" s="332">
        <v>0.9</v>
      </c>
      <c r="F141" s="332">
        <v>0.9</v>
      </c>
      <c r="G141" s="333">
        <f t="shared" ref="G141:G143" si="123">F141-E141</f>
        <v>0</v>
      </c>
      <c r="H141" s="330"/>
      <c r="I141" s="307">
        <f>E141</f>
        <v>0.9</v>
      </c>
      <c r="J141" s="307">
        <f t="shared" ref="J141" si="124">F141</f>
        <v>0.9</v>
      </c>
      <c r="K141" s="333">
        <f t="shared" ref="K141:K143" si="125">J141-I141</f>
        <v>0</v>
      </c>
      <c r="L141" s="331"/>
      <c r="M141" s="307">
        <f>E141</f>
        <v>0.9</v>
      </c>
      <c r="N141" s="307">
        <f t="shared" ref="N141" si="126">F141</f>
        <v>0.9</v>
      </c>
      <c r="O141" s="333">
        <f t="shared" ref="O141:O143" si="127">N141-M141</f>
        <v>0</v>
      </c>
      <c r="P141" s="331"/>
      <c r="Q141" s="332">
        <v>0</v>
      </c>
      <c r="R141" s="332">
        <v>0</v>
      </c>
      <c r="S141" s="333">
        <f t="shared" ref="S141:S143" si="128">R141-Q141</f>
        <v>0</v>
      </c>
      <c r="T141" s="199"/>
      <c r="U141" s="198" t="s">
        <v>195</v>
      </c>
    </row>
    <row r="142" spans="1:21" s="184" customFormat="1" ht="15" x14ac:dyDescent="0.25">
      <c r="A142" s="197"/>
      <c r="B142" s="394"/>
      <c r="C142" s="172" t="s">
        <v>196</v>
      </c>
      <c r="D142" s="184" t="s">
        <v>22</v>
      </c>
      <c r="E142" s="332">
        <v>0.05</v>
      </c>
      <c r="F142" s="332">
        <v>0.05</v>
      </c>
      <c r="G142" s="333">
        <f t="shared" si="123"/>
        <v>0</v>
      </c>
      <c r="H142" s="330"/>
      <c r="I142" s="307">
        <f>E142</f>
        <v>0.05</v>
      </c>
      <c r="J142" s="307">
        <f t="shared" ref="J142:J143" si="129">F142</f>
        <v>0.05</v>
      </c>
      <c r="K142" s="333">
        <f t="shared" si="125"/>
        <v>0</v>
      </c>
      <c r="L142" s="331"/>
      <c r="M142" s="307">
        <f>E142</f>
        <v>0.05</v>
      </c>
      <c r="N142" s="307">
        <f t="shared" ref="N142:N143" si="130">F142</f>
        <v>0.05</v>
      </c>
      <c r="O142" s="333">
        <f t="shared" si="127"/>
        <v>0</v>
      </c>
      <c r="P142" s="331"/>
      <c r="Q142" s="332">
        <v>0</v>
      </c>
      <c r="R142" s="332">
        <v>0</v>
      </c>
      <c r="S142" s="333">
        <f t="shared" si="128"/>
        <v>0</v>
      </c>
      <c r="T142" s="200"/>
      <c r="U142" s="198" t="s">
        <v>320</v>
      </c>
    </row>
    <row r="143" spans="1:21" s="184" customFormat="1" ht="15" x14ac:dyDescent="0.25">
      <c r="A143" s="197"/>
      <c r="B143" s="394"/>
      <c r="C143" s="172" t="s">
        <v>197</v>
      </c>
      <c r="D143" s="184" t="s">
        <v>26</v>
      </c>
      <c r="E143" s="342">
        <v>5</v>
      </c>
      <c r="F143" s="342">
        <v>5</v>
      </c>
      <c r="G143" s="336">
        <f t="shared" si="123"/>
        <v>0</v>
      </c>
      <c r="H143" s="330"/>
      <c r="I143" s="338">
        <f t="shared" ref="I143" si="131">E143</f>
        <v>5</v>
      </c>
      <c r="J143" s="338">
        <f t="shared" si="129"/>
        <v>5</v>
      </c>
      <c r="K143" s="336">
        <f t="shared" si="125"/>
        <v>0</v>
      </c>
      <c r="L143" s="331"/>
      <c r="M143" s="338">
        <f t="shared" ref="M143" si="132">E143</f>
        <v>5</v>
      </c>
      <c r="N143" s="338">
        <f t="shared" si="130"/>
        <v>5</v>
      </c>
      <c r="O143" s="336">
        <f t="shared" si="127"/>
        <v>0</v>
      </c>
      <c r="P143" s="331"/>
      <c r="Q143" s="342">
        <v>0</v>
      </c>
      <c r="R143" s="342">
        <v>0</v>
      </c>
      <c r="S143" s="336">
        <f t="shared" si="128"/>
        <v>0</v>
      </c>
      <c r="T143" s="200"/>
      <c r="U143" s="198" t="s">
        <v>188</v>
      </c>
    </row>
    <row r="144" spans="1:21" s="184" customFormat="1" ht="15" x14ac:dyDescent="0.25">
      <c r="A144" s="197"/>
      <c r="B144" s="394"/>
      <c r="E144" s="339"/>
      <c r="F144" s="339"/>
      <c r="G144" s="339"/>
      <c r="H144" s="330"/>
      <c r="I144" s="176"/>
      <c r="J144" s="176"/>
      <c r="K144" s="176"/>
      <c r="L144" s="331"/>
      <c r="M144" s="176"/>
      <c r="N144" s="176"/>
      <c r="O144" s="176"/>
      <c r="P144" s="331"/>
      <c r="Q144" s="176"/>
      <c r="R144" s="176"/>
      <c r="S144" s="176"/>
      <c r="T144" s="200"/>
      <c r="U144" s="219"/>
    </row>
    <row r="145" spans="1:23" s="212" customFormat="1" ht="15" x14ac:dyDescent="0.25">
      <c r="A145" s="197"/>
      <c r="B145" s="398" t="s">
        <v>80</v>
      </c>
      <c r="E145" s="329" t="s">
        <v>59</v>
      </c>
      <c r="F145" s="329" t="s">
        <v>77</v>
      </c>
      <c r="G145" s="329" t="s">
        <v>89</v>
      </c>
      <c r="H145" s="330"/>
      <c r="I145" s="329" t="s">
        <v>59</v>
      </c>
      <c r="J145" s="329" t="s">
        <v>77</v>
      </c>
      <c r="K145" s="329" t="s">
        <v>89</v>
      </c>
      <c r="L145" s="330"/>
      <c r="M145" s="329" t="s">
        <v>59</v>
      </c>
      <c r="N145" s="329" t="s">
        <v>77</v>
      </c>
      <c r="O145" s="329" t="s">
        <v>89</v>
      </c>
      <c r="P145" s="330"/>
      <c r="Q145" s="329" t="s">
        <v>59</v>
      </c>
      <c r="R145" s="329" t="s">
        <v>77</v>
      </c>
      <c r="S145" s="329" t="s">
        <v>89</v>
      </c>
      <c r="T145" s="200"/>
      <c r="U145" s="213"/>
    </row>
    <row r="146" spans="1:23" s="184" customFormat="1" ht="15" x14ac:dyDescent="0.25">
      <c r="A146" s="197"/>
      <c r="B146" s="394"/>
      <c r="E146" s="339"/>
      <c r="F146" s="339"/>
      <c r="G146" s="339"/>
      <c r="H146" s="330"/>
      <c r="I146" s="176"/>
      <c r="J146" s="176"/>
      <c r="K146" s="176"/>
      <c r="L146" s="331"/>
      <c r="M146" s="176"/>
      <c r="N146" s="176"/>
      <c r="O146" s="176"/>
      <c r="P146" s="331"/>
      <c r="Q146" s="176"/>
      <c r="R146" s="176"/>
      <c r="S146" s="176"/>
      <c r="T146" s="200"/>
      <c r="U146" s="219"/>
    </row>
    <row r="147" spans="1:23" s="222" customFormat="1" ht="15" x14ac:dyDescent="0.25">
      <c r="A147" s="197"/>
      <c r="B147" s="393"/>
      <c r="C147" s="222" t="s">
        <v>174</v>
      </c>
      <c r="D147" s="152" t="s">
        <v>26</v>
      </c>
      <c r="E147" s="344">
        <f>E124</f>
        <v>6</v>
      </c>
      <c r="F147" s="344">
        <f>F124</f>
        <v>3</v>
      </c>
      <c r="G147" s="344">
        <f>F147-E147</f>
        <v>-3</v>
      </c>
      <c r="H147" s="345"/>
      <c r="I147" s="344">
        <f>I124</f>
        <v>6</v>
      </c>
      <c r="J147" s="344">
        <f>J124</f>
        <v>3</v>
      </c>
      <c r="K147" s="344">
        <f>J147-I147</f>
        <v>-3</v>
      </c>
      <c r="L147" s="346"/>
      <c r="M147" s="344">
        <f>M124</f>
        <v>6</v>
      </c>
      <c r="N147" s="344">
        <f>N124</f>
        <v>3</v>
      </c>
      <c r="O147" s="344">
        <f>N147-M147</f>
        <v>-3</v>
      </c>
      <c r="P147" s="346"/>
      <c r="Q147" s="344">
        <f>Q124</f>
        <v>6</v>
      </c>
      <c r="R147" s="344">
        <f>R124</f>
        <v>3</v>
      </c>
      <c r="S147" s="344">
        <f>R147-Q147</f>
        <v>-3</v>
      </c>
      <c r="T147" s="199"/>
      <c r="U147" s="138"/>
      <c r="W147" s="214"/>
    </row>
    <row r="148" spans="1:23" s="222" customFormat="1" ht="15" x14ac:dyDescent="0.25">
      <c r="A148" s="197"/>
      <c r="B148" s="393"/>
      <c r="C148" s="222" t="s">
        <v>175</v>
      </c>
      <c r="D148" s="152" t="s">
        <v>26</v>
      </c>
      <c r="E148" s="344">
        <f>E128*E129</f>
        <v>0.75</v>
      </c>
      <c r="F148" s="344">
        <f>F128*F129</f>
        <v>0.25</v>
      </c>
      <c r="G148" s="344">
        <f>F148-E148</f>
        <v>-0.5</v>
      </c>
      <c r="H148" s="345"/>
      <c r="I148" s="344">
        <f>I128*I129</f>
        <v>0.75</v>
      </c>
      <c r="J148" s="344">
        <f>J128*J129</f>
        <v>0.25</v>
      </c>
      <c r="K148" s="344">
        <f>J148-I148</f>
        <v>-0.5</v>
      </c>
      <c r="L148" s="346"/>
      <c r="M148" s="344">
        <f>M128*M129</f>
        <v>0.75</v>
      </c>
      <c r="N148" s="344">
        <f>N128*N129</f>
        <v>0.25</v>
      </c>
      <c r="O148" s="344">
        <f>N148-M148</f>
        <v>-0.5</v>
      </c>
      <c r="P148" s="346"/>
      <c r="Q148" s="344">
        <f>Q128*Q129</f>
        <v>0.75</v>
      </c>
      <c r="R148" s="344">
        <f>R128*R129</f>
        <v>0.25</v>
      </c>
      <c r="S148" s="344">
        <f>R148-Q148</f>
        <v>-0.5</v>
      </c>
      <c r="T148" s="199"/>
      <c r="U148" s="138"/>
      <c r="W148" s="214"/>
    </row>
    <row r="149" spans="1:23" s="222" customFormat="1" ht="15" x14ac:dyDescent="0.25">
      <c r="A149" s="197"/>
      <c r="B149" s="393"/>
      <c r="C149" s="222" t="s">
        <v>176</v>
      </c>
      <c r="D149" s="152" t="s">
        <v>26</v>
      </c>
      <c r="E149" s="344">
        <f>E141*E142*E143</f>
        <v>0.22500000000000003</v>
      </c>
      <c r="F149" s="344">
        <f>F141*F142*F143</f>
        <v>0.22500000000000003</v>
      </c>
      <c r="G149" s="344">
        <f t="shared" ref="G149:G158" si="133">F149-E149</f>
        <v>0</v>
      </c>
      <c r="H149" s="345"/>
      <c r="I149" s="344">
        <f>I141*I142*I143</f>
        <v>0.22500000000000003</v>
      </c>
      <c r="J149" s="344">
        <f>J141*J142*J143</f>
        <v>0.22500000000000003</v>
      </c>
      <c r="K149" s="344">
        <f t="shared" ref="K149:K158" si="134">J149-I149</f>
        <v>0</v>
      </c>
      <c r="L149" s="346"/>
      <c r="M149" s="344">
        <f>M141*M142*M143</f>
        <v>0.22500000000000003</v>
      </c>
      <c r="N149" s="344">
        <f>N141*N142*N143</f>
        <v>0.22500000000000003</v>
      </c>
      <c r="O149" s="344">
        <f t="shared" ref="O149:O158" si="135">N149-M149</f>
        <v>0</v>
      </c>
      <c r="P149" s="346"/>
      <c r="Q149" s="344">
        <f>Q141*Q142*Q143</f>
        <v>0</v>
      </c>
      <c r="R149" s="344">
        <f>R141*R142*R143</f>
        <v>0</v>
      </c>
      <c r="S149" s="344">
        <f t="shared" ref="S149:S158" si="136">R149-Q149</f>
        <v>0</v>
      </c>
      <c r="T149" s="199"/>
      <c r="U149" s="138"/>
      <c r="W149" s="214"/>
    </row>
    <row r="150" spans="1:23" s="222" customFormat="1" ht="15" x14ac:dyDescent="0.25">
      <c r="A150" s="197"/>
      <c r="B150" s="393"/>
      <c r="C150" s="214"/>
      <c r="D150" s="214"/>
      <c r="E150" s="344"/>
      <c r="F150" s="344"/>
      <c r="G150" s="344"/>
      <c r="H150" s="345"/>
      <c r="I150" s="344"/>
      <c r="J150" s="344"/>
      <c r="K150" s="344"/>
      <c r="L150" s="346"/>
      <c r="M150" s="344"/>
      <c r="N150" s="344"/>
      <c r="O150" s="344"/>
      <c r="P150" s="346"/>
      <c r="Q150" s="344"/>
      <c r="R150" s="344"/>
      <c r="S150" s="344"/>
      <c r="T150" s="174"/>
      <c r="U150" s="153"/>
    </row>
    <row r="151" spans="1:23" s="222" customFormat="1" ht="15" x14ac:dyDescent="0.25">
      <c r="A151" s="197"/>
      <c r="B151" s="393"/>
      <c r="C151" s="222" t="s">
        <v>177</v>
      </c>
      <c r="D151" s="222" t="s">
        <v>28</v>
      </c>
      <c r="E151" s="344">
        <f>E147*CSA_min</f>
        <v>1.44</v>
      </c>
      <c r="F151" s="344">
        <f>F147*CSA_min</f>
        <v>0.72</v>
      </c>
      <c r="G151" s="344">
        <f t="shared" si="133"/>
        <v>-0.72</v>
      </c>
      <c r="H151" s="345"/>
      <c r="I151" s="344">
        <f>I147*CSA_min</f>
        <v>1.44</v>
      </c>
      <c r="J151" s="344">
        <f>J147*CSA_min</f>
        <v>0.72</v>
      </c>
      <c r="K151" s="344">
        <f t="shared" si="134"/>
        <v>-0.72</v>
      </c>
      <c r="L151" s="346"/>
      <c r="M151" s="344">
        <f>M147*CSA_min</f>
        <v>1.44</v>
      </c>
      <c r="N151" s="344">
        <f>N147*CSA_min</f>
        <v>0.72</v>
      </c>
      <c r="O151" s="344">
        <f t="shared" si="135"/>
        <v>-0.72</v>
      </c>
      <c r="P151" s="346"/>
      <c r="Q151" s="344">
        <f>Q147*CSA_min</f>
        <v>1.44</v>
      </c>
      <c r="R151" s="344">
        <f>R147*CSA_min</f>
        <v>0.72</v>
      </c>
      <c r="S151" s="344">
        <f t="shared" si="136"/>
        <v>-0.72</v>
      </c>
      <c r="T151" s="174"/>
      <c r="U151" s="153"/>
    </row>
    <row r="152" spans="1:23" s="222" customFormat="1" ht="15" x14ac:dyDescent="0.25">
      <c r="A152" s="197"/>
      <c r="B152" s="393"/>
      <c r="C152" s="222" t="s">
        <v>178</v>
      </c>
      <c r="D152" s="222" t="s">
        <v>28</v>
      </c>
      <c r="E152" s="344">
        <f>E148*CSAM_min</f>
        <v>0.35416666666666663</v>
      </c>
      <c r="F152" s="344">
        <f>F148*CSAM_min</f>
        <v>0.11805555555555555</v>
      </c>
      <c r="G152" s="344">
        <f t="shared" si="133"/>
        <v>-0.23611111111111108</v>
      </c>
      <c r="H152" s="345"/>
      <c r="I152" s="344">
        <f>I148*CSAM_min</f>
        <v>0.35416666666666663</v>
      </c>
      <c r="J152" s="344">
        <f>J148*CSAM_min</f>
        <v>0.11805555555555555</v>
      </c>
      <c r="K152" s="344">
        <f t="shared" si="134"/>
        <v>-0.23611111111111108</v>
      </c>
      <c r="L152" s="346"/>
      <c r="M152" s="344">
        <f>M148*CSAM_min</f>
        <v>0.35416666666666663</v>
      </c>
      <c r="N152" s="344">
        <f>N148*CSAM_min</f>
        <v>0.11805555555555555</v>
      </c>
      <c r="O152" s="344">
        <f t="shared" si="135"/>
        <v>-0.23611111111111108</v>
      </c>
      <c r="P152" s="346"/>
      <c r="Q152" s="344">
        <f>Q148*CSAM_min</f>
        <v>0.35416666666666663</v>
      </c>
      <c r="R152" s="344">
        <f>R148*CSAM_min</f>
        <v>0.11805555555555555</v>
      </c>
      <c r="S152" s="344">
        <f t="shared" si="136"/>
        <v>-0.23611111111111108</v>
      </c>
      <c r="T152" s="174"/>
      <c r="U152" s="153"/>
    </row>
    <row r="153" spans="1:23" s="222" customFormat="1" ht="15" x14ac:dyDescent="0.25">
      <c r="A153" s="197"/>
      <c r="B153" s="393"/>
      <c r="C153" s="222" t="s">
        <v>179</v>
      </c>
      <c r="D153" s="222" t="s">
        <v>28</v>
      </c>
      <c r="E153" s="344">
        <f>E149*SPM_min</f>
        <v>0.10625000000000001</v>
      </c>
      <c r="F153" s="344">
        <f>F149*SPM_min</f>
        <v>0.10625000000000001</v>
      </c>
      <c r="G153" s="344">
        <f t="shared" si="133"/>
        <v>0</v>
      </c>
      <c r="H153" s="345"/>
      <c r="I153" s="344">
        <f>I149*SPM_min</f>
        <v>0.10625000000000001</v>
      </c>
      <c r="J153" s="344">
        <f>J149*SPM_min</f>
        <v>0.10625000000000001</v>
      </c>
      <c r="K153" s="344">
        <f t="shared" si="134"/>
        <v>0</v>
      </c>
      <c r="L153" s="346"/>
      <c r="M153" s="344">
        <f>M149*SPM_min</f>
        <v>0.10625000000000001</v>
      </c>
      <c r="N153" s="344">
        <f>N149*SPM_min</f>
        <v>0.10625000000000001</v>
      </c>
      <c r="O153" s="344">
        <f t="shared" si="135"/>
        <v>0</v>
      </c>
      <c r="P153" s="346"/>
      <c r="Q153" s="344">
        <f>Q149*SPM_min</f>
        <v>0</v>
      </c>
      <c r="R153" s="344">
        <f>R149*SPM_min</f>
        <v>0</v>
      </c>
      <c r="S153" s="344">
        <f t="shared" si="136"/>
        <v>0</v>
      </c>
      <c r="T153" s="174"/>
      <c r="U153" s="153"/>
    </row>
    <row r="154" spans="1:23" s="222" customFormat="1" ht="15" x14ac:dyDescent="0.25">
      <c r="A154" s="197"/>
      <c r="B154" s="393"/>
      <c r="C154" s="198"/>
      <c r="D154" s="198"/>
      <c r="E154" s="344"/>
      <c r="F154" s="344"/>
      <c r="G154" s="344"/>
      <c r="H154" s="345"/>
      <c r="I154" s="344"/>
      <c r="J154" s="344"/>
      <c r="K154" s="344"/>
      <c r="L154" s="346"/>
      <c r="M154" s="344"/>
      <c r="N154" s="344"/>
      <c r="O154" s="344"/>
      <c r="P154" s="346"/>
      <c r="Q154" s="344"/>
      <c r="R154" s="344"/>
      <c r="S154" s="344"/>
      <c r="T154" s="174"/>
      <c r="U154" s="153"/>
    </row>
    <row r="155" spans="1:23" s="222" customFormat="1" ht="15" x14ac:dyDescent="0.25">
      <c r="A155" s="197"/>
      <c r="B155" s="393"/>
      <c r="C155" s="110" t="s">
        <v>180</v>
      </c>
      <c r="D155" s="222" t="s">
        <v>28</v>
      </c>
      <c r="E155" s="344">
        <f>(E132*E134)+(E133*E135)</f>
        <v>0</v>
      </c>
      <c r="F155" s="344">
        <f>(F132*F134)+(F133*F135)</f>
        <v>9.799999999999999E-2</v>
      </c>
      <c r="G155" s="344">
        <f t="shared" si="133"/>
        <v>9.799999999999999E-2</v>
      </c>
      <c r="H155" s="345"/>
      <c r="I155" s="344">
        <f>(I132*I134)+(I133*I135)</f>
        <v>0</v>
      </c>
      <c r="J155" s="344">
        <f>(J132*J134)+(J133*J135)</f>
        <v>9.799999999999999E-2</v>
      </c>
      <c r="K155" s="344">
        <f t="shared" si="134"/>
        <v>9.799999999999999E-2</v>
      </c>
      <c r="L155" s="346"/>
      <c r="M155" s="344">
        <f>(M132*M134)+(M133*M135)</f>
        <v>0</v>
      </c>
      <c r="N155" s="344">
        <f>(N132*N134)+(N133*N135)</f>
        <v>9.799999999999999E-2</v>
      </c>
      <c r="O155" s="344">
        <f t="shared" si="135"/>
        <v>9.799999999999999E-2</v>
      </c>
      <c r="P155" s="346"/>
      <c r="Q155" s="344">
        <f>(Q132*Q134)+(Q133*Q135)</f>
        <v>0</v>
      </c>
      <c r="R155" s="344">
        <f>(R132*R134)+(R133*R135)</f>
        <v>9.799999999999999E-2</v>
      </c>
      <c r="S155" s="344">
        <f t="shared" si="136"/>
        <v>9.799999999999999E-2</v>
      </c>
      <c r="T155" s="174"/>
      <c r="U155" s="153"/>
    </row>
    <row r="156" spans="1:23" s="222" customFormat="1" ht="15" x14ac:dyDescent="0.25">
      <c r="A156" s="197"/>
      <c r="B156" s="393"/>
      <c r="C156" s="110" t="s">
        <v>268</v>
      </c>
      <c r="D156" s="222" t="s">
        <v>28</v>
      </c>
      <c r="E156" s="344">
        <f>E138</f>
        <v>0.12300000000000001</v>
      </c>
      <c r="F156" s="344">
        <f>F138</f>
        <v>0.12300000000000001</v>
      </c>
      <c r="G156" s="344">
        <f t="shared" si="133"/>
        <v>0</v>
      </c>
      <c r="H156" s="345"/>
      <c r="I156" s="344">
        <f>I138</f>
        <v>0.12300000000000001</v>
      </c>
      <c r="J156" s="344">
        <f>J138</f>
        <v>0.12300000000000001</v>
      </c>
      <c r="K156" s="344">
        <f t="shared" si="134"/>
        <v>0</v>
      </c>
      <c r="L156" s="346"/>
      <c r="M156" s="344">
        <f>M138</f>
        <v>0.12300000000000001</v>
      </c>
      <c r="N156" s="344">
        <f>N138</f>
        <v>0.12300000000000001</v>
      </c>
      <c r="O156" s="344">
        <f t="shared" si="135"/>
        <v>0</v>
      </c>
      <c r="P156" s="346"/>
      <c r="Q156" s="344">
        <f>Q138</f>
        <v>0.12300000000000001</v>
      </c>
      <c r="R156" s="344">
        <f>R138</f>
        <v>0.12300000000000001</v>
      </c>
      <c r="S156" s="344">
        <f t="shared" si="136"/>
        <v>0</v>
      </c>
      <c r="T156" s="174"/>
      <c r="U156" s="153"/>
    </row>
    <row r="157" spans="1:23" s="184" customFormat="1" ht="15" x14ac:dyDescent="0.25">
      <c r="A157" s="197"/>
      <c r="B157" s="394"/>
      <c r="E157" s="339"/>
      <c r="F157" s="339"/>
      <c r="G157" s="339"/>
      <c r="H157" s="330"/>
      <c r="I157" s="176"/>
      <c r="J157" s="176"/>
      <c r="K157" s="176"/>
      <c r="L157" s="331"/>
      <c r="M157" s="176"/>
      <c r="N157" s="176"/>
      <c r="O157" s="176"/>
      <c r="P157" s="331"/>
      <c r="Q157" s="176"/>
      <c r="R157" s="176"/>
      <c r="S157" s="176"/>
      <c r="T157" s="200"/>
      <c r="U157" s="219"/>
    </row>
    <row r="158" spans="1:23" s="222" customFormat="1" ht="15" x14ac:dyDescent="0.25">
      <c r="A158" s="197"/>
      <c r="B158" s="393"/>
      <c r="C158" s="326" t="s">
        <v>265</v>
      </c>
      <c r="D158" s="222" t="s">
        <v>28</v>
      </c>
      <c r="E158" s="327">
        <f>SUM(E151:E156)</f>
        <v>2.0234166666666664</v>
      </c>
      <c r="F158" s="327">
        <f>SUM(F151:F156)</f>
        <v>1.1653055555555556</v>
      </c>
      <c r="G158" s="350">
        <f t="shared" si="133"/>
        <v>-0.85811111111111082</v>
      </c>
      <c r="H158" s="327"/>
      <c r="I158" s="327">
        <f>SUM(I151:I156)</f>
        <v>2.0234166666666664</v>
      </c>
      <c r="J158" s="327">
        <f>SUM(J151:J156)</f>
        <v>1.1653055555555556</v>
      </c>
      <c r="K158" s="350">
        <f t="shared" si="134"/>
        <v>-0.85811111111111082</v>
      </c>
      <c r="L158" s="327"/>
      <c r="M158" s="327">
        <f>SUM(M151:M156)</f>
        <v>2.0234166666666664</v>
      </c>
      <c r="N158" s="327">
        <f>SUM(N151:N156)</f>
        <v>1.1653055555555556</v>
      </c>
      <c r="O158" s="350">
        <f t="shared" si="135"/>
        <v>-0.85811111111111082</v>
      </c>
      <c r="P158" s="327"/>
      <c r="Q158" s="327">
        <f>SUM(Q151:Q156)</f>
        <v>1.9171666666666665</v>
      </c>
      <c r="R158" s="327">
        <f>SUM(R151:R156)</f>
        <v>1.0590555555555556</v>
      </c>
      <c r="S158" s="350">
        <f t="shared" si="136"/>
        <v>-0.85811111111111082</v>
      </c>
      <c r="U158" s="153"/>
    </row>
    <row r="159" spans="1:23" ht="15" x14ac:dyDescent="0.25">
      <c r="B159" s="39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"/>
  <sheetViews>
    <sheetView workbookViewId="0">
      <selection sqref="A1:XFD1048576"/>
    </sheetView>
  </sheetViews>
  <sheetFormatPr defaultColWidth="8.5703125" defaultRowHeight="15" x14ac:dyDescent="0.25"/>
  <cols>
    <col min="1" max="16384" width="8.5703125" style="113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77"/>
  <sheetViews>
    <sheetView showGridLines="0" zoomScale="90" zoomScaleNormal="9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3.42578125" style="251" customWidth="1"/>
    <col min="2" max="2" width="14.42578125" style="219" bestFit="1" customWidth="1"/>
    <col min="3" max="3" width="38.42578125" customWidth="1"/>
    <col min="4" max="5" width="12.7109375" customWidth="1"/>
    <col min="6" max="6" width="7.7109375" customWidth="1"/>
    <col min="7" max="11" width="12.7109375" style="94" customWidth="1"/>
    <col min="12" max="12" width="10" bestFit="1" customWidth="1"/>
  </cols>
  <sheetData>
    <row r="1" spans="1:27" x14ac:dyDescent="0.25">
      <c r="A1" s="262"/>
      <c r="B1" s="105"/>
      <c r="C1" s="103"/>
      <c r="D1" s="103"/>
      <c r="E1" s="103"/>
      <c r="F1" s="103"/>
    </row>
    <row r="2" spans="1:27" x14ac:dyDescent="0.25">
      <c r="A2" s="262"/>
      <c r="B2" s="105" t="s">
        <v>0</v>
      </c>
      <c r="C2" s="106" t="str">
        <f ca="1">MID(CELL("filename",A1),FIND("]",CELL("filename",A1))+1,256)</f>
        <v>Calc_CAPEX</v>
      </c>
      <c r="D2" s="106"/>
      <c r="E2" s="103"/>
      <c r="F2" s="103"/>
    </row>
    <row r="3" spans="1:27" x14ac:dyDescent="0.25">
      <c r="A3" s="262"/>
      <c r="B3" s="105" t="s">
        <v>1</v>
      </c>
      <c r="C3" s="169" t="s">
        <v>361</v>
      </c>
      <c r="D3" s="107"/>
      <c r="E3" s="103"/>
      <c r="F3" s="103"/>
    </row>
    <row r="4" spans="1:27" x14ac:dyDescent="0.25">
      <c r="A4" s="262"/>
      <c r="B4" s="105"/>
      <c r="C4" s="103"/>
      <c r="D4" s="103"/>
      <c r="E4" s="103"/>
      <c r="F4" s="103"/>
      <c r="G4" s="107"/>
      <c r="H4" s="177"/>
      <c r="I4" s="177"/>
      <c r="J4" s="177"/>
      <c r="K4" s="125"/>
    </row>
    <row r="5" spans="1:27" s="219" customFormat="1" x14ac:dyDescent="0.25">
      <c r="A5" s="263"/>
      <c r="B5" s="108" t="s">
        <v>2</v>
      </c>
      <c r="C5" s="109" t="s">
        <v>3</v>
      </c>
      <c r="D5" s="109"/>
      <c r="E5" s="109" t="s">
        <v>4</v>
      </c>
      <c r="F5" s="109"/>
      <c r="G5" s="135" t="s">
        <v>237</v>
      </c>
      <c r="H5" s="135" t="s">
        <v>238</v>
      </c>
      <c r="I5" s="135" t="s">
        <v>239</v>
      </c>
      <c r="J5" s="135" t="s">
        <v>240</v>
      </c>
      <c r="K5" s="135" t="s">
        <v>73</v>
      </c>
      <c r="L5" s="135"/>
      <c r="M5" s="135"/>
      <c r="N5" s="135" t="s">
        <v>75</v>
      </c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</row>
    <row r="6" spans="1:27" s="91" customFormat="1" x14ac:dyDescent="0.25">
      <c r="A6" s="264"/>
      <c r="B6" s="259"/>
      <c r="C6" s="260"/>
      <c r="D6" s="260"/>
      <c r="E6" s="260"/>
      <c r="F6" s="260"/>
      <c r="G6" s="261"/>
      <c r="H6" s="261"/>
      <c r="I6" s="261"/>
      <c r="J6" s="261"/>
      <c r="K6" s="261"/>
    </row>
    <row r="7" spans="1:27" x14ac:dyDescent="0.25">
      <c r="A7" s="264"/>
      <c r="B7" s="30" t="s">
        <v>208</v>
      </c>
      <c r="D7" s="114"/>
      <c r="E7" s="114"/>
      <c r="F7" s="114"/>
      <c r="G7" s="176"/>
      <c r="H7" s="176"/>
      <c r="I7" s="176"/>
      <c r="J7" s="176"/>
      <c r="K7" s="176"/>
    </row>
    <row r="8" spans="1:27" x14ac:dyDescent="0.25">
      <c r="A8" s="264"/>
      <c r="B8" s="30"/>
      <c r="C8" s="103" t="str">
        <f>Trigger1</f>
        <v>Delayed Service Activation</v>
      </c>
      <c r="D8" s="114" t="s">
        <v>32</v>
      </c>
      <c r="E8" s="103" t="s">
        <v>31</v>
      </c>
      <c r="F8" s="103"/>
      <c r="G8" s="407">
        <f>SUMIFS(Input_CAPEX!I:I,Input_CAPEX!$B:$B,$C8,Input_CAPEX!$C:$C,$D8)</f>
        <v>0</v>
      </c>
      <c r="H8" s="407">
        <f>SUMIFS(Input_CAPEX!J:J,Input_CAPEX!$B:$B,$C8,Input_CAPEX!$C:$C,$D8)</f>
        <v>420</v>
      </c>
      <c r="I8" s="407">
        <f>SUMIFS(Input_CAPEX!K:K,Input_CAPEX!$B:$B,$C8,Input_CAPEX!$C:$C,$D8)</f>
        <v>881.66666666666663</v>
      </c>
      <c r="J8" s="407">
        <f>SUMIFS(Input_CAPEX!L:L,Input_CAPEX!$B:$B,$C8,Input_CAPEX!$C:$C,$D8)</f>
        <v>815</v>
      </c>
      <c r="K8" s="407">
        <f>SUMIFS(Input_CAPEX!M:M,Input_CAPEX!$B:$B,$C8,Input_CAPEX!$C:$C,$D8)</f>
        <v>420</v>
      </c>
    </row>
    <row r="9" spans="1:27" x14ac:dyDescent="0.25">
      <c r="A9" s="264"/>
      <c r="B9" s="30"/>
      <c r="C9" s="103" t="str">
        <f>Trigger2</f>
        <v>Missed Appointment</v>
      </c>
      <c r="D9" s="114" t="s">
        <v>32</v>
      </c>
      <c r="E9" s="103" t="s">
        <v>31</v>
      </c>
      <c r="F9" s="103"/>
      <c r="G9" s="407">
        <f>SUMIFS(Input_CAPEX!I:I,Input_CAPEX!$B:$B,$C9,Input_CAPEX!$C:$C,$D9)</f>
        <v>0</v>
      </c>
      <c r="H9" s="407">
        <f>SUMIFS(Input_CAPEX!J:J,Input_CAPEX!$B:$B,$C9,Input_CAPEX!$C:$C,$D9)</f>
        <v>405</v>
      </c>
      <c r="I9" s="407">
        <f>SUMIFS(Input_CAPEX!K:K,Input_CAPEX!$B:$B,$C9,Input_CAPEX!$C:$C,$D9)</f>
        <v>851.66666666666663</v>
      </c>
      <c r="J9" s="407">
        <f>SUMIFS(Input_CAPEX!L:L,Input_CAPEX!$B:$B,$C9,Input_CAPEX!$C:$C,$D9)</f>
        <v>785</v>
      </c>
      <c r="K9" s="407">
        <f>SUMIFS(Input_CAPEX!M:M,Input_CAPEX!$B:$B,$C9,Input_CAPEX!$C:$C,$D9)</f>
        <v>405</v>
      </c>
    </row>
    <row r="10" spans="1:27" x14ac:dyDescent="0.25">
      <c r="A10" s="264"/>
      <c r="B10" s="30"/>
      <c r="C10" s="103" t="str">
        <f>Trigger3</f>
        <v>Delayed Repair (Fixed)</v>
      </c>
      <c r="D10" s="114" t="s">
        <v>32</v>
      </c>
      <c r="E10" s="103" t="s">
        <v>31</v>
      </c>
      <c r="F10" s="103"/>
      <c r="G10" s="407">
        <f>SUMIFS(Input_CAPEX!I:I,Input_CAPEX!$B:$B,$C10,Input_CAPEX!$C:$C,$D10)</f>
        <v>0</v>
      </c>
      <c r="H10" s="407">
        <f>SUMIFS(Input_CAPEX!J:J,Input_CAPEX!$B:$B,$C10,Input_CAPEX!$C:$C,$D10)</f>
        <v>405</v>
      </c>
      <c r="I10" s="407">
        <f>SUMIFS(Input_CAPEX!K:K,Input_CAPEX!$B:$B,$C10,Input_CAPEX!$C:$C,$D10)</f>
        <v>825</v>
      </c>
      <c r="J10" s="407">
        <f>SUMIFS(Input_CAPEX!L:L,Input_CAPEX!$B:$B,$C10,Input_CAPEX!$C:$C,$D10)</f>
        <v>825</v>
      </c>
      <c r="K10" s="407">
        <f>SUMIFS(Input_CAPEX!M:M,Input_CAPEX!$B:$B,$C10,Input_CAPEX!$C:$C,$D10)</f>
        <v>405</v>
      </c>
    </row>
    <row r="11" spans="1:27" x14ac:dyDescent="0.25">
      <c r="A11" s="264"/>
      <c r="B11" s="30"/>
      <c r="C11" s="103" t="s">
        <v>230</v>
      </c>
      <c r="D11" s="114" t="s">
        <v>32</v>
      </c>
      <c r="E11" s="103" t="s">
        <v>31</v>
      </c>
      <c r="F11" s="103"/>
      <c r="G11" s="407">
        <f>SUMIFS(Input_CAPEX!I:I,Input_CAPEX!$B:$B,$C11,Input_CAPEX!$C:$C,$D11)</f>
        <v>0</v>
      </c>
      <c r="H11" s="407">
        <f>SUMIFS(Input_CAPEX!J:J,Input_CAPEX!$B:$B,$C11,Input_CAPEX!$C:$C,$D11)</f>
        <v>705</v>
      </c>
      <c r="I11" s="407">
        <f>SUMIFS(Input_CAPEX!K:K,Input_CAPEX!$B:$B,$C11,Input_CAPEX!$C:$C,$D11)</f>
        <v>1451.6666666666667</v>
      </c>
      <c r="J11" s="407">
        <f>SUMIFS(Input_CAPEX!L:L,Input_CAPEX!$B:$B,$C11,Input_CAPEX!$C:$C,$D11)</f>
        <v>1385</v>
      </c>
      <c r="K11" s="407">
        <f>SUMIFS(Input_CAPEX!M:M,Input_CAPEX!$B:$B,$C11,Input_CAPEX!$C:$C,$D11)</f>
        <v>705</v>
      </c>
    </row>
    <row r="12" spans="1:27" x14ac:dyDescent="0.25">
      <c r="A12" s="264"/>
      <c r="B12" s="30"/>
      <c r="C12" s="114"/>
      <c r="D12" s="114"/>
      <c r="E12" s="114"/>
      <c r="F12" s="114"/>
      <c r="G12" s="407"/>
      <c r="H12" s="407"/>
      <c r="I12" s="407"/>
      <c r="J12" s="407"/>
      <c r="K12" s="407"/>
    </row>
    <row r="13" spans="1:27" x14ac:dyDescent="0.25">
      <c r="A13" s="264"/>
      <c r="B13" s="30" t="s">
        <v>209</v>
      </c>
      <c r="C13" s="114"/>
      <c r="D13" s="114"/>
      <c r="E13" s="114"/>
      <c r="F13" s="114"/>
      <c r="G13" s="407"/>
      <c r="H13" s="407"/>
      <c r="I13" s="407"/>
      <c r="J13" s="407"/>
      <c r="K13" s="407"/>
    </row>
    <row r="14" spans="1:27" x14ac:dyDescent="0.25">
      <c r="A14" s="264"/>
      <c r="B14" s="30"/>
      <c r="C14" s="103" t="str">
        <f>Trigger1</f>
        <v>Delayed Service Activation</v>
      </c>
      <c r="D14" s="114" t="s">
        <v>30</v>
      </c>
      <c r="E14" s="103" t="s">
        <v>31</v>
      </c>
      <c r="F14" s="103"/>
      <c r="G14" s="407">
        <f>SUMIFS(Input_CAPEX!I:I,Input_CAPEX!$B:$B,$C14,Input_CAPEX!$C:$C,$D14)</f>
        <v>30</v>
      </c>
      <c r="H14" s="407">
        <f>SUMIFS(Input_CAPEX!J:J,Input_CAPEX!$B:$B,$C14,Input_CAPEX!$C:$C,$D14)</f>
        <v>60</v>
      </c>
      <c r="I14" s="407">
        <f>SUMIFS(Input_CAPEX!K:K,Input_CAPEX!$B:$B,$C14,Input_CAPEX!$C:$C,$D14)</f>
        <v>120</v>
      </c>
      <c r="J14" s="407">
        <f>SUMIFS(Input_CAPEX!L:L,Input_CAPEX!$B:$B,$C14,Input_CAPEX!$C:$C,$D14)</f>
        <v>120</v>
      </c>
      <c r="K14" s="407">
        <f>SUMIFS(Input_CAPEX!M:M,Input_CAPEX!$B:$B,$C14,Input_CAPEX!$C:$C,$D14)</f>
        <v>0</v>
      </c>
    </row>
    <row r="15" spans="1:27" x14ac:dyDescent="0.25">
      <c r="A15" s="264"/>
      <c r="B15" s="30"/>
      <c r="C15" s="103" t="str">
        <f>Trigger2</f>
        <v>Missed Appointment</v>
      </c>
      <c r="D15" s="114" t="s">
        <v>30</v>
      </c>
      <c r="E15" s="103" t="s">
        <v>31</v>
      </c>
      <c r="F15" s="103"/>
      <c r="G15" s="407">
        <f>SUMIFS(Input_CAPEX!I:I,Input_CAPEX!$B:$B,$C15,Input_CAPEX!$C:$C,$D15)</f>
        <v>30</v>
      </c>
      <c r="H15" s="407">
        <f>SUMIFS(Input_CAPEX!J:J,Input_CAPEX!$B:$B,$C15,Input_CAPEX!$C:$C,$D15)</f>
        <v>60</v>
      </c>
      <c r="I15" s="407">
        <f>SUMIFS(Input_CAPEX!K:K,Input_CAPEX!$B:$B,$C15,Input_CAPEX!$C:$C,$D15)</f>
        <v>120</v>
      </c>
      <c r="J15" s="407">
        <f>SUMIFS(Input_CAPEX!L:L,Input_CAPEX!$B:$B,$C15,Input_CAPEX!$C:$C,$D15)</f>
        <v>120</v>
      </c>
      <c r="K15" s="407">
        <f>SUMIFS(Input_CAPEX!M:M,Input_CAPEX!$B:$B,$C15,Input_CAPEX!$C:$C,$D15)</f>
        <v>0</v>
      </c>
    </row>
    <row r="16" spans="1:27" x14ac:dyDescent="0.25">
      <c r="A16" s="264"/>
      <c r="B16" s="30"/>
      <c r="C16" s="103" t="str">
        <f>Trigger3</f>
        <v>Delayed Repair (Fixed)</v>
      </c>
      <c r="D16" s="114" t="s">
        <v>30</v>
      </c>
      <c r="E16" s="103" t="s">
        <v>31</v>
      </c>
      <c r="F16" s="103"/>
      <c r="G16" s="407">
        <f>SUMIFS(Input_CAPEX!I:I,Input_CAPEX!$B:$B,$C16,Input_CAPEX!$C:$C,$D16)</f>
        <v>30</v>
      </c>
      <c r="H16" s="407">
        <f>SUMIFS(Input_CAPEX!J:J,Input_CAPEX!$B:$B,$C16,Input_CAPEX!$C:$C,$D16)</f>
        <v>60</v>
      </c>
      <c r="I16" s="407">
        <f>SUMIFS(Input_CAPEX!K:K,Input_CAPEX!$B:$B,$C16,Input_CAPEX!$C:$C,$D16)</f>
        <v>120</v>
      </c>
      <c r="J16" s="407">
        <f>SUMIFS(Input_CAPEX!L:L,Input_CAPEX!$B:$B,$C16,Input_CAPEX!$C:$C,$D16)</f>
        <v>120</v>
      </c>
      <c r="K16" s="407">
        <f>SUMIFS(Input_CAPEX!M:M,Input_CAPEX!$B:$B,$C16,Input_CAPEX!$C:$C,$D16)</f>
        <v>0</v>
      </c>
    </row>
    <row r="17" spans="1:14" x14ac:dyDescent="0.25">
      <c r="A17" s="264"/>
      <c r="B17" s="30"/>
      <c r="C17" s="103" t="s">
        <v>230</v>
      </c>
      <c r="D17" s="114" t="s">
        <v>30</v>
      </c>
      <c r="E17" s="103" t="s">
        <v>31</v>
      </c>
      <c r="F17" s="103"/>
      <c r="G17" s="407">
        <f>SUMIFS(Input_CAPEX!I:I,Input_CAPEX!$B:$B,$C17,Input_CAPEX!$C:$C,$D17)</f>
        <v>35</v>
      </c>
      <c r="H17" s="407">
        <f>SUMIFS(Input_CAPEX!J:J,Input_CAPEX!$B:$B,$C17,Input_CAPEX!$C:$C,$D17)</f>
        <v>100</v>
      </c>
      <c r="I17" s="407">
        <f>SUMIFS(Input_CAPEX!K:K,Input_CAPEX!$B:$B,$C17,Input_CAPEX!$C:$C,$D17)</f>
        <v>200</v>
      </c>
      <c r="J17" s="407">
        <f>SUMIFS(Input_CAPEX!L:L,Input_CAPEX!$B:$B,$C17,Input_CAPEX!$C:$C,$D17)</f>
        <v>200</v>
      </c>
      <c r="K17" s="407">
        <f>SUMIFS(Input_CAPEX!M:M,Input_CAPEX!$B:$B,$C17,Input_CAPEX!$C:$C,$D17)</f>
        <v>0</v>
      </c>
    </row>
    <row r="18" spans="1:14" x14ac:dyDescent="0.25">
      <c r="A18" s="264"/>
      <c r="B18" s="30"/>
      <c r="C18" s="114"/>
      <c r="D18" s="114"/>
      <c r="E18" s="114"/>
      <c r="F18" s="114"/>
      <c r="G18" s="407"/>
      <c r="H18" s="407"/>
      <c r="I18" s="407"/>
      <c r="J18" s="407"/>
      <c r="K18" s="407"/>
    </row>
    <row r="19" spans="1:14" x14ac:dyDescent="0.25">
      <c r="A19" s="264"/>
      <c r="B19" s="30" t="s">
        <v>210</v>
      </c>
      <c r="C19" s="114"/>
      <c r="D19" s="114"/>
      <c r="E19" s="114"/>
      <c r="F19" s="114"/>
      <c r="G19" s="407"/>
      <c r="H19" s="407"/>
      <c r="I19" s="407"/>
      <c r="J19" s="407"/>
      <c r="K19" s="407"/>
    </row>
    <row r="20" spans="1:14" x14ac:dyDescent="0.25">
      <c r="A20" s="264"/>
      <c r="B20" s="30"/>
      <c r="C20" s="103" t="str">
        <f>Trigger1</f>
        <v>Delayed Service Activation</v>
      </c>
      <c r="D20" s="114"/>
      <c r="E20" s="103" t="s">
        <v>31</v>
      </c>
      <c r="F20" s="103"/>
      <c r="G20" s="377">
        <v>0</v>
      </c>
      <c r="H20" s="407">
        <f t="shared" ref="H20:K23" si="0">PM_overhead*(H8+H14)</f>
        <v>72</v>
      </c>
      <c r="I20" s="407">
        <f t="shared" si="0"/>
        <v>150.25</v>
      </c>
      <c r="J20" s="407">
        <f t="shared" si="0"/>
        <v>140.25</v>
      </c>
      <c r="K20" s="407">
        <f t="shared" si="0"/>
        <v>63</v>
      </c>
      <c r="N20" s="5" t="s">
        <v>329</v>
      </c>
    </row>
    <row r="21" spans="1:14" x14ac:dyDescent="0.25">
      <c r="A21" s="264"/>
      <c r="B21" s="30"/>
      <c r="C21" s="103" t="str">
        <f>Trigger2</f>
        <v>Missed Appointment</v>
      </c>
      <c r="D21" s="114"/>
      <c r="E21" s="103" t="s">
        <v>31</v>
      </c>
      <c r="F21" s="103"/>
      <c r="G21" s="377">
        <v>0</v>
      </c>
      <c r="H21" s="407">
        <f t="shared" si="0"/>
        <v>69.75</v>
      </c>
      <c r="I21" s="407">
        <f t="shared" si="0"/>
        <v>145.75</v>
      </c>
      <c r="J21" s="407">
        <f t="shared" si="0"/>
        <v>135.75</v>
      </c>
      <c r="K21" s="407">
        <f t="shared" si="0"/>
        <v>60.75</v>
      </c>
      <c r="N21" s="5"/>
    </row>
    <row r="22" spans="1:14" x14ac:dyDescent="0.25">
      <c r="A22" s="264"/>
      <c r="B22" s="30"/>
      <c r="C22" s="103" t="str">
        <f>Trigger3</f>
        <v>Delayed Repair (Fixed)</v>
      </c>
      <c r="D22" s="114"/>
      <c r="E22" s="103" t="s">
        <v>31</v>
      </c>
      <c r="F22" s="103"/>
      <c r="G22" s="377">
        <v>0</v>
      </c>
      <c r="H22" s="407">
        <f t="shared" si="0"/>
        <v>69.75</v>
      </c>
      <c r="I22" s="407">
        <f t="shared" si="0"/>
        <v>141.75</v>
      </c>
      <c r="J22" s="407">
        <f t="shared" si="0"/>
        <v>141.75</v>
      </c>
      <c r="K22" s="407">
        <f t="shared" si="0"/>
        <v>60.75</v>
      </c>
      <c r="N22" s="5"/>
    </row>
    <row r="23" spans="1:14" x14ac:dyDescent="0.25">
      <c r="A23" s="264"/>
      <c r="B23" s="30"/>
      <c r="C23" s="103" t="s">
        <v>230</v>
      </c>
      <c r="D23" s="114"/>
      <c r="E23" s="103" t="s">
        <v>31</v>
      </c>
      <c r="F23" s="103"/>
      <c r="G23" s="377">
        <v>0</v>
      </c>
      <c r="H23" s="407">
        <f t="shared" si="0"/>
        <v>120.75</v>
      </c>
      <c r="I23" s="407">
        <f t="shared" si="0"/>
        <v>247.75</v>
      </c>
      <c r="J23" s="407">
        <f t="shared" si="0"/>
        <v>237.75</v>
      </c>
      <c r="K23" s="407">
        <f t="shared" si="0"/>
        <v>105.75</v>
      </c>
    </row>
    <row r="24" spans="1:14" x14ac:dyDescent="0.25">
      <c r="A24" s="264"/>
      <c r="B24" s="30"/>
      <c r="C24" s="114"/>
      <c r="D24" s="114"/>
      <c r="E24" s="114"/>
      <c r="F24" s="114"/>
      <c r="G24" s="406"/>
      <c r="H24" s="406"/>
      <c r="I24" s="406"/>
      <c r="J24" s="406"/>
      <c r="K24" s="406"/>
    </row>
    <row r="25" spans="1:14" x14ac:dyDescent="0.25">
      <c r="A25" s="264"/>
      <c r="B25" s="30" t="s">
        <v>213</v>
      </c>
      <c r="C25" s="114"/>
      <c r="D25" s="114"/>
      <c r="E25" s="114"/>
      <c r="F25" s="114"/>
      <c r="G25" s="406"/>
      <c r="H25" s="406"/>
      <c r="I25" s="406"/>
      <c r="J25" s="406"/>
      <c r="K25" s="406"/>
    </row>
    <row r="26" spans="1:14" x14ac:dyDescent="0.25">
      <c r="A26" s="264"/>
      <c r="B26" s="30"/>
      <c r="C26" s="103" t="str">
        <f>Trigger1</f>
        <v>Delayed Service Activation</v>
      </c>
      <c r="D26" s="114"/>
      <c r="E26" s="114" t="s">
        <v>28</v>
      </c>
      <c r="F26" s="103"/>
      <c r="G26" s="406">
        <f>(1+Sens_Development)*(DEV_day*G8+Tech_day*G14+PM_day*G20)</f>
        <v>10000</v>
      </c>
      <c r="H26" s="406">
        <f t="shared" ref="H26:K29" si="1">(1+Sens_Development)*(DEV_day*(H8+H14)+PM_day*H20)</f>
        <v>276000</v>
      </c>
      <c r="I26" s="406">
        <f t="shared" si="1"/>
        <v>575958.33333333326</v>
      </c>
      <c r="J26" s="406">
        <f t="shared" si="1"/>
        <v>537625</v>
      </c>
      <c r="K26" s="406">
        <f t="shared" si="1"/>
        <v>241500</v>
      </c>
    </row>
    <row r="27" spans="1:14" x14ac:dyDescent="0.25">
      <c r="A27" s="264"/>
      <c r="B27" s="30"/>
      <c r="C27" s="103" t="str">
        <f>Trigger2</f>
        <v>Missed Appointment</v>
      </c>
      <c r="D27" s="114"/>
      <c r="E27" s="114" t="s">
        <v>28</v>
      </c>
      <c r="F27" s="103"/>
      <c r="G27" s="406">
        <f>(1+Sens_Development)*(DEV_day*G9+Tech_day*G15+PM_day*G21)</f>
        <v>10000</v>
      </c>
      <c r="H27" s="406">
        <f t="shared" si="1"/>
        <v>267375</v>
      </c>
      <c r="I27" s="406">
        <f t="shared" si="1"/>
        <v>558708.33333333326</v>
      </c>
      <c r="J27" s="406">
        <f t="shared" si="1"/>
        <v>520375</v>
      </c>
      <c r="K27" s="406">
        <f t="shared" si="1"/>
        <v>232875</v>
      </c>
    </row>
    <row r="28" spans="1:14" x14ac:dyDescent="0.25">
      <c r="A28" s="264"/>
      <c r="B28" s="30"/>
      <c r="C28" s="103" t="str">
        <f>Trigger3</f>
        <v>Delayed Repair (Fixed)</v>
      </c>
      <c r="D28" s="114"/>
      <c r="E28" s="114" t="s">
        <v>28</v>
      </c>
      <c r="F28" s="103"/>
      <c r="G28" s="406">
        <f>(1+Sens_Development)*(DEV_day*G10+Tech_day*G16+PM_day*G22)</f>
        <v>10000</v>
      </c>
      <c r="H28" s="406">
        <f t="shared" si="1"/>
        <v>267375</v>
      </c>
      <c r="I28" s="406">
        <f t="shared" si="1"/>
        <v>543375</v>
      </c>
      <c r="J28" s="406">
        <f t="shared" si="1"/>
        <v>543375</v>
      </c>
      <c r="K28" s="406">
        <f t="shared" si="1"/>
        <v>232875</v>
      </c>
    </row>
    <row r="29" spans="1:14" x14ac:dyDescent="0.25">
      <c r="A29" s="264"/>
      <c r="B29" s="30"/>
      <c r="C29" s="103" t="s">
        <v>230</v>
      </c>
      <c r="D29" s="114"/>
      <c r="E29" s="114" t="s">
        <v>28</v>
      </c>
      <c r="F29" s="103"/>
      <c r="G29" s="406">
        <f>(1+Sens_Development)*(DEV_day*G11+Tech_day*G17+PM_day*G23)</f>
        <v>11666.666666666666</v>
      </c>
      <c r="H29" s="406">
        <f t="shared" si="1"/>
        <v>462875</v>
      </c>
      <c r="I29" s="406">
        <f t="shared" si="1"/>
        <v>949708.33333333337</v>
      </c>
      <c r="J29" s="406">
        <f t="shared" si="1"/>
        <v>911375</v>
      </c>
      <c r="K29" s="406">
        <f t="shared" si="1"/>
        <v>405375</v>
      </c>
    </row>
    <row r="30" spans="1:14" x14ac:dyDescent="0.25">
      <c r="A30" s="264"/>
      <c r="B30" s="30"/>
      <c r="C30" s="114"/>
      <c r="D30" s="114"/>
      <c r="E30" s="114"/>
      <c r="F30" s="114"/>
      <c r="G30" s="176"/>
      <c r="H30" s="176"/>
      <c r="I30" s="176"/>
      <c r="J30" s="176"/>
      <c r="K30" s="176"/>
    </row>
    <row r="31" spans="1:14" x14ac:dyDescent="0.25">
      <c r="A31" s="264"/>
      <c r="B31" s="30" t="s">
        <v>211</v>
      </c>
      <c r="C31" s="114"/>
      <c r="D31" s="114"/>
      <c r="E31" s="114"/>
      <c r="F31" s="114"/>
      <c r="G31" s="176"/>
      <c r="H31" s="176"/>
      <c r="I31" s="176"/>
      <c r="J31" s="176"/>
      <c r="K31" s="176"/>
    </row>
    <row r="32" spans="1:14" x14ac:dyDescent="0.25">
      <c r="A32" s="264"/>
      <c r="B32" s="30"/>
      <c r="C32" s="103" t="str">
        <f>Trigger1</f>
        <v>Delayed Service Activation</v>
      </c>
      <c r="D32" s="114"/>
      <c r="E32" s="103" t="s">
        <v>31</v>
      </c>
      <c r="F32" s="103"/>
      <c r="G32" s="225">
        <f>Input_Costs!E65</f>
        <v>0.25</v>
      </c>
      <c r="H32" s="225">
        <f>Input_Costs!F65</f>
        <v>0.5</v>
      </c>
      <c r="I32" s="225">
        <f>Input_Costs!G65</f>
        <v>0.5</v>
      </c>
      <c r="J32" s="225">
        <f>Input_Costs!H65</f>
        <v>0.5</v>
      </c>
      <c r="K32" s="225">
        <f>Input_Costs!I65</f>
        <v>0.5</v>
      </c>
    </row>
    <row r="33" spans="1:11" x14ac:dyDescent="0.25">
      <c r="A33" s="264"/>
      <c r="B33" s="30"/>
      <c r="C33" s="103" t="str">
        <f>Trigger2</f>
        <v>Missed Appointment</v>
      </c>
      <c r="D33" s="114"/>
      <c r="E33" s="103" t="s">
        <v>31</v>
      </c>
      <c r="F33" s="103"/>
      <c r="G33" s="225">
        <f>Input_Costs!E66</f>
        <v>0.25</v>
      </c>
      <c r="H33" s="225">
        <f>Input_Costs!F66</f>
        <v>0.5</v>
      </c>
      <c r="I33" s="225">
        <f>Input_Costs!G66</f>
        <v>0.5</v>
      </c>
      <c r="J33" s="225">
        <f>Input_Costs!H66</f>
        <v>0.5</v>
      </c>
      <c r="K33" s="225">
        <f>Input_Costs!I66</f>
        <v>0.5</v>
      </c>
    </row>
    <row r="34" spans="1:11" x14ac:dyDescent="0.25">
      <c r="A34" s="264"/>
      <c r="B34" s="30"/>
      <c r="C34" s="103" t="str">
        <f>Trigger3</f>
        <v>Delayed Repair (Fixed)</v>
      </c>
      <c r="D34" s="114"/>
      <c r="E34" s="103" t="s">
        <v>31</v>
      </c>
      <c r="F34" s="103"/>
      <c r="G34" s="225">
        <f>Input_Costs!E67</f>
        <v>0.25</v>
      </c>
      <c r="H34" s="225">
        <f>Input_Costs!F67</f>
        <v>0.5</v>
      </c>
      <c r="I34" s="225">
        <f>Input_Costs!G67</f>
        <v>0.5</v>
      </c>
      <c r="J34" s="225">
        <f>Input_Costs!H67</f>
        <v>0.5</v>
      </c>
      <c r="K34" s="225">
        <f>Input_Costs!I67</f>
        <v>0.5</v>
      </c>
    </row>
    <row r="35" spans="1:11" x14ac:dyDescent="0.25">
      <c r="A35" s="264"/>
      <c r="B35" s="30"/>
      <c r="C35" s="103" t="s">
        <v>230</v>
      </c>
      <c r="D35" s="114"/>
      <c r="E35" s="103" t="s">
        <v>31</v>
      </c>
      <c r="F35" s="103"/>
      <c r="G35" s="225">
        <f>Input_Costs!E68</f>
        <v>0.5</v>
      </c>
      <c r="H35" s="225">
        <f>Input_Costs!F68</f>
        <v>1</v>
      </c>
      <c r="I35" s="225">
        <f>Input_Costs!G68</f>
        <v>1</v>
      </c>
      <c r="J35" s="225">
        <f>Input_Costs!H68</f>
        <v>1</v>
      </c>
      <c r="K35" s="225">
        <f>Input_Costs!I68</f>
        <v>1</v>
      </c>
    </row>
    <row r="36" spans="1:11" x14ac:dyDescent="0.25">
      <c r="A36" s="264"/>
      <c r="B36" s="30"/>
      <c r="C36" s="114"/>
      <c r="D36" s="114"/>
      <c r="E36" s="114"/>
      <c r="F36" s="114"/>
      <c r="G36" s="176"/>
      <c r="H36" s="176"/>
      <c r="I36" s="176"/>
      <c r="J36" s="176"/>
      <c r="K36" s="176"/>
    </row>
    <row r="37" spans="1:11" x14ac:dyDescent="0.25">
      <c r="A37" s="264"/>
      <c r="B37" s="30" t="s">
        <v>216</v>
      </c>
      <c r="C37" s="114"/>
      <c r="D37" s="114"/>
      <c r="E37" s="114"/>
      <c r="F37" s="114"/>
      <c r="G37" s="176"/>
      <c r="H37" s="176"/>
      <c r="I37" s="176"/>
      <c r="J37" s="176"/>
      <c r="K37" s="176"/>
    </row>
    <row r="38" spans="1:11" x14ac:dyDescent="0.25">
      <c r="A38" s="264"/>
      <c r="B38" s="30"/>
      <c r="C38" s="114" t="s">
        <v>212</v>
      </c>
      <c r="D38" s="114"/>
      <c r="E38" s="114" t="s">
        <v>6</v>
      </c>
      <c r="F38" s="114"/>
      <c r="G38" s="381">
        <f>Input_CPs!E38</f>
        <v>20</v>
      </c>
      <c r="H38" s="381">
        <f>Input_CPs!F38</f>
        <v>100</v>
      </c>
      <c r="I38" s="381">
        <f>Input_CPs!G38</f>
        <v>2500</v>
      </c>
      <c r="J38" s="381">
        <f>Input_CPs!H38</f>
        <v>2500</v>
      </c>
      <c r="K38" s="381">
        <f>Input_CPs!I38</f>
        <v>0</v>
      </c>
    </row>
    <row r="39" spans="1:11" x14ac:dyDescent="0.25">
      <c r="A39" s="264"/>
      <c r="B39" s="30"/>
      <c r="C39" s="114"/>
      <c r="D39" s="114"/>
      <c r="E39" s="114"/>
      <c r="F39" s="114"/>
      <c r="H39" s="258"/>
      <c r="I39" s="258"/>
      <c r="J39" s="258"/>
      <c r="K39" s="258"/>
    </row>
    <row r="40" spans="1:11" x14ac:dyDescent="0.25">
      <c r="A40" s="264"/>
      <c r="B40" s="30"/>
      <c r="C40" s="103" t="str">
        <f>Trigger1</f>
        <v>Delayed Service Activation</v>
      </c>
      <c r="D40" s="114"/>
      <c r="E40" s="114" t="s">
        <v>28</v>
      </c>
      <c r="F40" s="103"/>
      <c r="G40" s="406">
        <f t="shared" ref="G40:K43" si="2">(1+Sens_Training)*Training_Day*G$38*G32</f>
        <v>714.8888888888888</v>
      </c>
      <c r="H40" s="406">
        <f t="shared" si="2"/>
        <v>7148.8888888888878</v>
      </c>
      <c r="I40" s="406">
        <f t="shared" si="2"/>
        <v>178722.22222222219</v>
      </c>
      <c r="J40" s="406">
        <f t="shared" si="2"/>
        <v>178722.22222222219</v>
      </c>
      <c r="K40" s="406">
        <f t="shared" si="2"/>
        <v>0</v>
      </c>
    </row>
    <row r="41" spans="1:11" x14ac:dyDescent="0.25">
      <c r="A41" s="264"/>
      <c r="B41" s="220"/>
      <c r="C41" s="103" t="str">
        <f>Trigger2</f>
        <v>Missed Appointment</v>
      </c>
      <c r="D41" s="114"/>
      <c r="E41" s="114" t="s">
        <v>28</v>
      </c>
      <c r="F41" s="103"/>
      <c r="G41" s="406">
        <f t="shared" si="2"/>
        <v>714.8888888888888</v>
      </c>
      <c r="H41" s="406">
        <f t="shared" si="2"/>
        <v>7148.8888888888878</v>
      </c>
      <c r="I41" s="406">
        <f t="shared" si="2"/>
        <v>178722.22222222219</v>
      </c>
      <c r="J41" s="406">
        <f t="shared" si="2"/>
        <v>178722.22222222219</v>
      </c>
      <c r="K41" s="406">
        <f t="shared" si="2"/>
        <v>0</v>
      </c>
    </row>
    <row r="42" spans="1:11" x14ac:dyDescent="0.25">
      <c r="A42" s="264"/>
      <c r="B42" s="30"/>
      <c r="C42" s="103" t="str">
        <f>Trigger3</f>
        <v>Delayed Repair (Fixed)</v>
      </c>
      <c r="D42" s="114"/>
      <c r="E42" s="114" t="s">
        <v>28</v>
      </c>
      <c r="F42" s="103"/>
      <c r="G42" s="406">
        <f t="shared" si="2"/>
        <v>714.8888888888888</v>
      </c>
      <c r="H42" s="406">
        <f t="shared" si="2"/>
        <v>7148.8888888888878</v>
      </c>
      <c r="I42" s="406">
        <f t="shared" si="2"/>
        <v>178722.22222222219</v>
      </c>
      <c r="J42" s="406">
        <f t="shared" si="2"/>
        <v>178722.22222222219</v>
      </c>
      <c r="K42" s="406">
        <f t="shared" si="2"/>
        <v>0</v>
      </c>
    </row>
    <row r="43" spans="1:11" x14ac:dyDescent="0.25">
      <c r="A43" s="264"/>
      <c r="B43" s="30"/>
      <c r="C43" s="103" t="s">
        <v>230</v>
      </c>
      <c r="D43" s="114"/>
      <c r="E43" s="114" t="s">
        <v>28</v>
      </c>
      <c r="F43" s="103"/>
      <c r="G43" s="406">
        <f t="shared" si="2"/>
        <v>1429.7777777777776</v>
      </c>
      <c r="H43" s="406">
        <f t="shared" si="2"/>
        <v>14297.777777777776</v>
      </c>
      <c r="I43" s="406">
        <f t="shared" si="2"/>
        <v>357444.44444444438</v>
      </c>
      <c r="J43" s="406">
        <f t="shared" si="2"/>
        <v>357444.44444444438</v>
      </c>
      <c r="K43" s="406">
        <f t="shared" si="2"/>
        <v>0</v>
      </c>
    </row>
    <row r="44" spans="1:11" x14ac:dyDescent="0.25">
      <c r="A44" s="264"/>
      <c r="B44" s="30"/>
      <c r="C44" s="114"/>
      <c r="D44" s="114"/>
      <c r="E44" s="114"/>
      <c r="F44" s="114"/>
      <c r="G44" s="101"/>
      <c r="H44" s="101"/>
      <c r="I44" s="101"/>
      <c r="J44" s="101"/>
      <c r="K44" s="101"/>
    </row>
    <row r="45" spans="1:11" x14ac:dyDescent="0.25">
      <c r="A45" s="264"/>
      <c r="B45" s="30" t="s">
        <v>217</v>
      </c>
      <c r="C45" s="114"/>
      <c r="D45" s="114"/>
      <c r="E45" s="114"/>
      <c r="F45" s="114"/>
      <c r="G45" s="101"/>
      <c r="H45" s="101"/>
      <c r="I45" s="101"/>
      <c r="J45" s="101"/>
      <c r="K45" s="101"/>
    </row>
    <row r="46" spans="1:11" x14ac:dyDescent="0.25">
      <c r="A46" s="264"/>
      <c r="B46" s="30"/>
      <c r="C46" s="103" t="str">
        <f>Trigger1</f>
        <v>Delayed Service Activation</v>
      </c>
      <c r="D46" s="114"/>
      <c r="E46" s="114" t="s">
        <v>28</v>
      </c>
      <c r="F46" s="103"/>
      <c r="G46" s="406">
        <f t="shared" ref="G46:K49" si="3">G26+G40</f>
        <v>10714.888888888889</v>
      </c>
      <c r="H46" s="406">
        <f>H26+H40</f>
        <v>283148.88888888888</v>
      </c>
      <c r="I46" s="406">
        <f t="shared" si="3"/>
        <v>754680.5555555555</v>
      </c>
      <c r="J46" s="406">
        <f t="shared" si="3"/>
        <v>716347.22222222225</v>
      </c>
      <c r="K46" s="406">
        <f t="shared" si="3"/>
        <v>241500</v>
      </c>
    </row>
    <row r="47" spans="1:11" x14ac:dyDescent="0.25">
      <c r="A47" s="264"/>
      <c r="B47" s="30"/>
      <c r="C47" s="103" t="str">
        <f>Trigger2</f>
        <v>Missed Appointment</v>
      </c>
      <c r="D47" s="114"/>
      <c r="E47" s="114" t="s">
        <v>28</v>
      </c>
      <c r="F47" s="103"/>
      <c r="G47" s="406">
        <f t="shared" si="3"/>
        <v>10714.888888888889</v>
      </c>
      <c r="H47" s="406">
        <f t="shared" si="3"/>
        <v>274523.88888888888</v>
      </c>
      <c r="I47" s="406">
        <f t="shared" si="3"/>
        <v>737430.5555555555</v>
      </c>
      <c r="J47" s="406">
        <f t="shared" si="3"/>
        <v>699097.22222222225</v>
      </c>
      <c r="K47" s="406">
        <f t="shared" si="3"/>
        <v>232875</v>
      </c>
    </row>
    <row r="48" spans="1:11" x14ac:dyDescent="0.25">
      <c r="A48" s="264"/>
      <c r="B48" s="30"/>
      <c r="C48" s="103" t="str">
        <f>Trigger3</f>
        <v>Delayed Repair (Fixed)</v>
      </c>
      <c r="D48" s="114"/>
      <c r="E48" s="114" t="s">
        <v>28</v>
      </c>
      <c r="F48" s="103"/>
      <c r="G48" s="406">
        <f t="shared" si="3"/>
        <v>10714.888888888889</v>
      </c>
      <c r="H48" s="406">
        <f t="shared" si="3"/>
        <v>274523.88888888888</v>
      </c>
      <c r="I48" s="406">
        <f t="shared" si="3"/>
        <v>722097.22222222225</v>
      </c>
      <c r="J48" s="406">
        <f t="shared" si="3"/>
        <v>722097.22222222225</v>
      </c>
      <c r="K48" s="406">
        <f t="shared" si="3"/>
        <v>232875</v>
      </c>
    </row>
    <row r="49" spans="1:11" x14ac:dyDescent="0.25">
      <c r="A49" s="264"/>
      <c r="B49" s="30"/>
      <c r="C49" s="103" t="s">
        <v>230</v>
      </c>
      <c r="D49" s="114"/>
      <c r="E49" s="114" t="s">
        <v>28</v>
      </c>
      <c r="F49" s="103"/>
      <c r="G49" s="406">
        <f t="shared" si="3"/>
        <v>13096.444444444443</v>
      </c>
      <c r="H49" s="406">
        <f t="shared" si="3"/>
        <v>477172.77777777775</v>
      </c>
      <c r="I49" s="406">
        <f t="shared" si="3"/>
        <v>1307152.7777777778</v>
      </c>
      <c r="J49" s="406">
        <f t="shared" si="3"/>
        <v>1268819.4444444445</v>
      </c>
      <c r="K49" s="406">
        <f t="shared" si="3"/>
        <v>405375</v>
      </c>
    </row>
    <row r="50" spans="1:11" x14ac:dyDescent="0.25">
      <c r="A50" s="264"/>
      <c r="B50" s="30"/>
      <c r="C50" s="114"/>
      <c r="D50" s="114"/>
      <c r="E50" s="114"/>
      <c r="F50" s="114"/>
      <c r="G50" s="101"/>
      <c r="H50" s="101"/>
      <c r="I50" s="101"/>
      <c r="J50" s="101"/>
      <c r="K50" s="101"/>
    </row>
    <row r="51" spans="1:11" x14ac:dyDescent="0.25">
      <c r="A51" s="264"/>
      <c r="B51" s="30" t="s">
        <v>218</v>
      </c>
      <c r="C51" s="114"/>
      <c r="D51" s="114"/>
      <c r="E51" s="114"/>
      <c r="F51" s="114"/>
      <c r="G51" s="101"/>
      <c r="H51" s="101"/>
      <c r="I51" s="101"/>
      <c r="J51" s="101"/>
      <c r="K51" s="101"/>
    </row>
    <row r="52" spans="1:11" x14ac:dyDescent="0.25">
      <c r="A52" s="264"/>
      <c r="B52" s="115"/>
      <c r="C52" s="103" t="str">
        <f>Trigger1</f>
        <v>Delayed Service Activation</v>
      </c>
      <c r="D52" s="114"/>
      <c r="E52" s="114" t="s">
        <v>28</v>
      </c>
      <c r="F52" s="103"/>
      <c r="G52" s="406">
        <f t="shared" ref="G52:K55" si="4">Fixed_Opex_Percent*G26</f>
        <v>2000</v>
      </c>
      <c r="H52" s="406">
        <f>Fixed_Opex_Percent*H26</f>
        <v>55200</v>
      </c>
      <c r="I52" s="406">
        <f t="shared" si="4"/>
        <v>115191.66666666666</v>
      </c>
      <c r="J52" s="406">
        <f t="shared" si="4"/>
        <v>107525</v>
      </c>
      <c r="K52" s="406">
        <f t="shared" si="4"/>
        <v>48300</v>
      </c>
    </row>
    <row r="53" spans="1:11" x14ac:dyDescent="0.25">
      <c r="A53" s="264"/>
      <c r="B53" s="115"/>
      <c r="C53" s="103" t="str">
        <f>Trigger2</f>
        <v>Missed Appointment</v>
      </c>
      <c r="D53" s="114"/>
      <c r="E53" s="114" t="s">
        <v>28</v>
      </c>
      <c r="F53" s="103"/>
      <c r="G53" s="406">
        <f t="shared" si="4"/>
        <v>2000</v>
      </c>
      <c r="H53" s="406">
        <f>Fixed_Opex_Percent*H27</f>
        <v>53475</v>
      </c>
      <c r="I53" s="406">
        <f t="shared" si="4"/>
        <v>111741.66666666666</v>
      </c>
      <c r="J53" s="406">
        <f t="shared" si="4"/>
        <v>104075</v>
      </c>
      <c r="K53" s="406">
        <f t="shared" si="4"/>
        <v>46575</v>
      </c>
    </row>
    <row r="54" spans="1:11" x14ac:dyDescent="0.25">
      <c r="A54" s="264"/>
      <c r="B54" s="115"/>
      <c r="C54" s="103" t="str">
        <f>Trigger3</f>
        <v>Delayed Repair (Fixed)</v>
      </c>
      <c r="D54" s="114"/>
      <c r="E54" s="114" t="s">
        <v>28</v>
      </c>
      <c r="F54" s="103"/>
      <c r="G54" s="406">
        <f t="shared" si="4"/>
        <v>2000</v>
      </c>
      <c r="H54" s="406">
        <f t="shared" si="4"/>
        <v>53475</v>
      </c>
      <c r="I54" s="406">
        <f t="shared" si="4"/>
        <v>108675</v>
      </c>
      <c r="J54" s="406">
        <f t="shared" si="4"/>
        <v>108675</v>
      </c>
      <c r="K54" s="406">
        <f t="shared" si="4"/>
        <v>46575</v>
      </c>
    </row>
    <row r="55" spans="1:11" x14ac:dyDescent="0.25">
      <c r="A55" s="264"/>
      <c r="B55" s="30"/>
      <c r="C55" s="103" t="s">
        <v>230</v>
      </c>
      <c r="D55" s="114"/>
      <c r="E55" s="114" t="s">
        <v>28</v>
      </c>
      <c r="F55" s="103"/>
      <c r="G55" s="406">
        <f t="shared" si="4"/>
        <v>2333.3333333333335</v>
      </c>
      <c r="H55" s="406">
        <f t="shared" si="4"/>
        <v>92575</v>
      </c>
      <c r="I55" s="406">
        <f t="shared" si="4"/>
        <v>189941.66666666669</v>
      </c>
      <c r="J55" s="406">
        <f t="shared" si="4"/>
        <v>182275</v>
      </c>
      <c r="K55" s="406">
        <f t="shared" si="4"/>
        <v>81075</v>
      </c>
    </row>
    <row r="56" spans="1:11" x14ac:dyDescent="0.25">
      <c r="G56" s="125"/>
      <c r="H56" s="125"/>
      <c r="I56" s="125"/>
      <c r="J56" s="125"/>
      <c r="K56" s="125"/>
    </row>
    <row r="57" spans="1:11" x14ac:dyDescent="0.25">
      <c r="B57" s="220"/>
      <c r="G57" s="125"/>
      <c r="H57" s="125"/>
      <c r="I57" s="125"/>
      <c r="J57" s="125"/>
      <c r="K57" s="125"/>
    </row>
    <row r="58" spans="1:11" x14ac:dyDescent="0.25">
      <c r="C58" s="103"/>
      <c r="D58" s="5"/>
      <c r="E58" s="114"/>
      <c r="G58" s="407"/>
      <c r="H58" s="407"/>
      <c r="I58" s="407"/>
      <c r="J58" s="407"/>
      <c r="K58" s="407"/>
    </row>
    <row r="59" spans="1:11" x14ac:dyDescent="0.25">
      <c r="C59" s="103"/>
      <c r="D59" s="5"/>
      <c r="E59" s="114"/>
      <c r="G59" s="407"/>
      <c r="H59" s="407"/>
      <c r="I59" s="407"/>
      <c r="J59" s="407"/>
      <c r="K59" s="407"/>
    </row>
    <row r="60" spans="1:11" x14ac:dyDescent="0.25">
      <c r="C60" s="103"/>
      <c r="D60" s="5"/>
      <c r="E60" s="114"/>
      <c r="G60" s="407"/>
      <c r="H60" s="407"/>
      <c r="I60" s="407"/>
      <c r="J60" s="407"/>
      <c r="K60" s="407"/>
    </row>
    <row r="61" spans="1:11" x14ac:dyDescent="0.25">
      <c r="C61" s="103"/>
      <c r="D61" s="5"/>
      <c r="E61" s="114"/>
      <c r="G61" s="407"/>
      <c r="H61" s="407"/>
      <c r="I61" s="407"/>
      <c r="J61" s="407"/>
      <c r="K61" s="407"/>
    </row>
    <row r="77" spans="1:11" s="113" customFormat="1" x14ac:dyDescent="0.25">
      <c r="A77" s="265"/>
      <c r="B77" s="112"/>
      <c r="C77" s="111"/>
      <c r="D77" s="111"/>
      <c r="E77" s="111"/>
      <c r="F77" s="111"/>
      <c r="G77" s="123"/>
      <c r="H77" s="123"/>
      <c r="I77" s="123"/>
      <c r="J77" s="123"/>
      <c r="K77" s="12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50"/>
  <sheetViews>
    <sheetView showGridLines="0" zoomScale="90" zoomScaleNormal="9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3.42578125" style="251" customWidth="1"/>
    <col min="2" max="2" width="14.42578125" style="219" bestFit="1" customWidth="1"/>
    <col min="3" max="3" width="38.42578125" customWidth="1"/>
    <col min="4" max="6" width="12.7109375" customWidth="1"/>
    <col min="7" max="9" width="12.7109375" style="164" customWidth="1"/>
    <col min="10" max="12" width="20.7109375" customWidth="1"/>
  </cols>
  <sheetData>
    <row r="1" spans="1:13" s="94" customFormat="1" x14ac:dyDescent="0.25">
      <c r="A1" s="262"/>
      <c r="B1" s="105"/>
      <c r="C1" s="103"/>
      <c r="D1" s="103"/>
      <c r="E1" s="103"/>
      <c r="F1" s="107"/>
      <c r="G1" s="163"/>
      <c r="H1" s="163"/>
      <c r="I1" s="163"/>
    </row>
    <row r="2" spans="1:13" s="94" customFormat="1" x14ac:dyDescent="0.25">
      <c r="A2" s="262"/>
      <c r="B2" s="105" t="s">
        <v>0</v>
      </c>
      <c r="C2" s="106" t="str">
        <f ca="1">MID(CELL("filename",A1),FIND("]",CELL("filename",A1))+1,256)</f>
        <v>Calc_OPEX</v>
      </c>
      <c r="D2" s="106"/>
      <c r="E2" s="103"/>
      <c r="F2" s="107"/>
      <c r="G2" s="163"/>
      <c r="H2" s="163"/>
      <c r="I2" s="163"/>
    </row>
    <row r="3" spans="1:13" s="94" customFormat="1" x14ac:dyDescent="0.25">
      <c r="A3" s="262"/>
      <c r="B3" s="105" t="s">
        <v>1</v>
      </c>
      <c r="C3" s="107" t="s">
        <v>362</v>
      </c>
      <c r="D3" s="107"/>
      <c r="E3" s="103"/>
      <c r="F3" s="107"/>
      <c r="G3" s="163"/>
      <c r="H3" s="163"/>
      <c r="I3" s="163"/>
    </row>
    <row r="4" spans="1:13" s="94" customFormat="1" x14ac:dyDescent="0.25">
      <c r="A4" s="262"/>
      <c r="B4" s="105"/>
      <c r="C4" s="103"/>
      <c r="D4" s="103"/>
      <c r="E4" s="103"/>
      <c r="F4" s="107"/>
      <c r="G4" s="95"/>
      <c r="H4" s="408"/>
      <c r="I4" s="408"/>
    </row>
    <row r="5" spans="1:13" s="219" customFormat="1" x14ac:dyDescent="0.25">
      <c r="A5" s="263"/>
      <c r="B5" s="108" t="s">
        <v>2</v>
      </c>
      <c r="C5" s="109" t="s">
        <v>3</v>
      </c>
      <c r="D5" s="109" t="s">
        <v>4</v>
      </c>
      <c r="E5" s="135" t="s">
        <v>237</v>
      </c>
      <c r="F5" s="135" t="s">
        <v>238</v>
      </c>
      <c r="G5" s="135" t="s">
        <v>239</v>
      </c>
      <c r="H5" s="135" t="s">
        <v>240</v>
      </c>
      <c r="I5" s="135" t="s">
        <v>73</v>
      </c>
      <c r="J5" s="135"/>
      <c r="K5" s="135"/>
      <c r="L5" s="135"/>
      <c r="M5" s="135"/>
    </row>
    <row r="6" spans="1:13" s="94" customFormat="1" x14ac:dyDescent="0.25">
      <c r="A6" s="262"/>
      <c r="B6" s="105"/>
      <c r="C6" s="103"/>
      <c r="D6" s="277"/>
      <c r="E6" s="277"/>
      <c r="F6" s="169"/>
      <c r="G6" s="278"/>
      <c r="H6" s="278"/>
      <c r="I6" s="278"/>
      <c r="J6" s="279"/>
    </row>
    <row r="7" spans="1:13" s="157" customFormat="1" ht="12.75" x14ac:dyDescent="0.2">
      <c r="A7" s="265"/>
      <c r="B7" s="157" t="s">
        <v>272</v>
      </c>
      <c r="D7" s="280"/>
      <c r="E7" s="281"/>
      <c r="F7" s="281"/>
      <c r="G7" s="281"/>
      <c r="H7" s="281"/>
      <c r="I7" s="286"/>
    </row>
    <row r="8" spans="1:13" s="94" customFormat="1" x14ac:dyDescent="0.25">
      <c r="A8" s="262"/>
      <c r="B8" s="157"/>
      <c r="C8" s="282" t="str">
        <f>Trigger1</f>
        <v>Delayed Service Activation</v>
      </c>
      <c r="D8" s="282" t="s">
        <v>28</v>
      </c>
      <c r="E8" s="312">
        <f>Input_OPEX!E8</f>
        <v>1.6535555555555554</v>
      </c>
      <c r="F8" s="312">
        <f>Input_OPEX!I8</f>
        <v>1.6535555555555554</v>
      </c>
      <c r="G8" s="312">
        <f>Input_OPEX!M8</f>
        <v>1.6535555555555554</v>
      </c>
      <c r="H8" s="312">
        <f>Input_OPEX!Q8</f>
        <v>1.5354999999999999</v>
      </c>
      <c r="I8" s="312"/>
    </row>
    <row r="9" spans="1:13" s="94" customFormat="1" x14ac:dyDescent="0.25">
      <c r="A9" s="262"/>
      <c r="B9" s="157"/>
      <c r="C9" s="282" t="str">
        <f>Trigger2</f>
        <v>Missed Appointment</v>
      </c>
      <c r="D9" s="282" t="s">
        <v>28</v>
      </c>
      <c r="E9" s="312">
        <f>Input_OPEX!E9</f>
        <v>1.6695555555555555</v>
      </c>
      <c r="F9" s="312">
        <f>Input_OPEX!I9</f>
        <v>1.6695555555555555</v>
      </c>
      <c r="G9" s="312">
        <f>Input_OPEX!M9</f>
        <v>1.6695555555555555</v>
      </c>
      <c r="H9" s="312">
        <f>Input_OPEX!Q9</f>
        <v>1.5514999999999999</v>
      </c>
      <c r="I9" s="312"/>
    </row>
    <row r="10" spans="1:13" s="94" customFormat="1" x14ac:dyDescent="0.25">
      <c r="A10" s="262"/>
      <c r="B10" s="157"/>
      <c r="C10" s="282" t="str">
        <f>Trigger3</f>
        <v>Delayed Repair (Fixed)</v>
      </c>
      <c r="D10" s="282" t="s">
        <v>28</v>
      </c>
      <c r="E10" s="312">
        <f>Input_OPEX!E10</f>
        <v>2.0234166666666664</v>
      </c>
      <c r="F10" s="312">
        <f>Input_OPEX!I10</f>
        <v>2.0234166666666664</v>
      </c>
      <c r="G10" s="312">
        <f>Input_OPEX!M10</f>
        <v>2.0234166666666664</v>
      </c>
      <c r="H10" s="312">
        <f>Input_OPEX!Q10</f>
        <v>1.9171666666666665</v>
      </c>
      <c r="I10" s="312"/>
      <c r="J10" s="279"/>
    </row>
    <row r="11" spans="1:13" x14ac:dyDescent="0.25">
      <c r="B11" s="157"/>
    </row>
    <row r="12" spans="1:13" x14ac:dyDescent="0.25">
      <c r="B12" s="157" t="s">
        <v>273</v>
      </c>
    </row>
    <row r="13" spans="1:13" s="157" customFormat="1" ht="12.75" x14ac:dyDescent="0.2">
      <c r="A13" s="265"/>
      <c r="C13" s="282" t="str">
        <f>Trigger1</f>
        <v>Delayed Service Activation</v>
      </c>
      <c r="D13" s="282" t="s">
        <v>6</v>
      </c>
      <c r="E13" s="313">
        <f>Input_Events!F82</f>
        <v>12532.253555283143</v>
      </c>
      <c r="F13" s="313">
        <f>Input_Events!G82</f>
        <v>12532.253555283143</v>
      </c>
      <c r="G13" s="313">
        <f>Input_Events!H82</f>
        <v>109046.88158493125</v>
      </c>
      <c r="H13" s="313">
        <f>Input_Events!I82</f>
        <v>32551.307935800371</v>
      </c>
      <c r="I13" s="313">
        <f>Input_Events!J82</f>
        <v>0</v>
      </c>
      <c r="J13" s="417"/>
    </row>
    <row r="14" spans="1:13" x14ac:dyDescent="0.25">
      <c r="A14" s="262"/>
      <c r="B14" s="157"/>
      <c r="C14" s="282" t="str">
        <f>Trigger2</f>
        <v>Missed Appointment</v>
      </c>
      <c r="D14" s="282" t="s">
        <v>6</v>
      </c>
      <c r="E14" s="313">
        <f>Input_Events!F83</f>
        <v>2567.9732724060395</v>
      </c>
      <c r="F14" s="313">
        <f>Input_Events!G83</f>
        <v>2567.9732724060395</v>
      </c>
      <c r="G14" s="313">
        <f>Input_Events!H83</f>
        <v>22344.702500156447</v>
      </c>
      <c r="H14" s="313">
        <f>Input_Events!I83</f>
        <v>6670.060447807894</v>
      </c>
      <c r="I14" s="313">
        <f>Input_Events!J83</f>
        <v>0</v>
      </c>
      <c r="J14" s="418"/>
      <c r="K14" s="98"/>
    </row>
    <row r="15" spans="1:13" x14ac:dyDescent="0.25">
      <c r="A15" s="264"/>
      <c r="B15" s="157"/>
      <c r="C15" s="282" t="str">
        <f>Trigger3</f>
        <v>Delayed Repair (Fixed)</v>
      </c>
      <c r="D15" s="282" t="s">
        <v>6</v>
      </c>
      <c r="E15" s="313">
        <f>Input_Events!F84</f>
        <v>45535.920443272029</v>
      </c>
      <c r="F15" s="313">
        <f>Input_Events!G84</f>
        <v>45535.920443272029</v>
      </c>
      <c r="G15" s="313">
        <f>Input_Events!H84</f>
        <v>396221.64541548392</v>
      </c>
      <c r="H15" s="313">
        <f>Input_Events!I84</f>
        <v>118275.11803447281</v>
      </c>
      <c r="I15" s="313">
        <f>Input_Events!J84</f>
        <v>0</v>
      </c>
      <c r="J15" s="418"/>
      <c r="K15" s="98"/>
    </row>
    <row r="16" spans="1:13" x14ac:dyDescent="0.25">
      <c r="A16" s="262"/>
      <c r="B16" s="157"/>
      <c r="D16" s="96"/>
      <c r="J16" s="96"/>
      <c r="K16" s="98"/>
    </row>
    <row r="17" spans="1:11" x14ac:dyDescent="0.25">
      <c r="B17" s="157" t="s">
        <v>274</v>
      </c>
    </row>
    <row r="18" spans="1:11" s="157" customFormat="1" ht="12.75" x14ac:dyDescent="0.2">
      <c r="A18" s="265"/>
      <c r="C18" s="282" t="str">
        <f>Trigger1</f>
        <v>Delayed Service Activation</v>
      </c>
      <c r="D18" s="282" t="s">
        <v>28</v>
      </c>
      <c r="E18" s="313">
        <f t="shared" ref="E18:I20" si="0">E8*E13</f>
        <v>20722.777489969303</v>
      </c>
      <c r="F18" s="313">
        <f t="shared" si="0"/>
        <v>20722.777489969303</v>
      </c>
      <c r="G18" s="313">
        <f t="shared" si="0"/>
        <v>180315.07686077186</v>
      </c>
      <c r="H18" s="313">
        <f t="shared" si="0"/>
        <v>49982.533335421467</v>
      </c>
      <c r="I18" s="313">
        <f t="shared" si="0"/>
        <v>0</v>
      </c>
      <c r="J18" s="280"/>
    </row>
    <row r="19" spans="1:11" x14ac:dyDescent="0.25">
      <c r="A19" s="262"/>
      <c r="B19" s="157"/>
      <c r="C19" s="282" t="str">
        <f>Trigger2</f>
        <v>Missed Appointment</v>
      </c>
      <c r="D19" s="282" t="s">
        <v>28</v>
      </c>
      <c r="E19" s="313">
        <f t="shared" si="0"/>
        <v>4287.3740434636829</v>
      </c>
      <c r="F19" s="313">
        <f t="shared" si="0"/>
        <v>4287.3740434636829</v>
      </c>
      <c r="G19" s="313">
        <f t="shared" si="0"/>
        <v>37305.722196372306</v>
      </c>
      <c r="H19" s="313">
        <f t="shared" si="0"/>
        <v>10348.598784773947</v>
      </c>
      <c r="I19" s="313">
        <f t="shared" si="0"/>
        <v>0</v>
      </c>
      <c r="J19" s="96"/>
      <c r="K19" s="98"/>
    </row>
    <row r="20" spans="1:11" x14ac:dyDescent="0.25">
      <c r="A20" s="264"/>
      <c r="B20" s="157"/>
      <c r="C20" s="282" t="str">
        <f>Trigger3</f>
        <v>Delayed Repair (Fixed)</v>
      </c>
      <c r="D20" s="282" t="s">
        <v>28</v>
      </c>
      <c r="E20" s="313">
        <f t="shared" si="0"/>
        <v>92138.140356924006</v>
      </c>
      <c r="F20" s="313">
        <f t="shared" si="0"/>
        <v>92138.140356924006</v>
      </c>
      <c r="G20" s="313">
        <f t="shared" si="0"/>
        <v>801721.48102778033</v>
      </c>
      <c r="H20" s="313">
        <f t="shared" si="0"/>
        <v>226753.11379175677</v>
      </c>
      <c r="I20" s="313">
        <f t="shared" si="0"/>
        <v>0</v>
      </c>
      <c r="J20" s="96"/>
      <c r="K20" s="98"/>
    </row>
    <row r="21" spans="1:11" x14ac:dyDescent="0.25">
      <c r="A21" s="262"/>
      <c r="B21" s="157"/>
      <c r="D21" s="96"/>
      <c r="J21" s="96"/>
      <c r="K21" s="98"/>
    </row>
    <row r="22" spans="1:11" s="157" customFormat="1" ht="12.75" x14ac:dyDescent="0.2">
      <c r="A22" s="265"/>
      <c r="B22" s="157" t="s">
        <v>289</v>
      </c>
      <c r="D22" s="280"/>
      <c r="E22" s="281"/>
      <c r="F22" s="281"/>
      <c r="G22" s="281"/>
      <c r="H22" s="281"/>
      <c r="I22" s="286"/>
    </row>
    <row r="23" spans="1:11" s="94" customFormat="1" x14ac:dyDescent="0.25">
      <c r="A23" s="262"/>
      <c r="B23" s="157"/>
      <c r="C23" s="282" t="str">
        <f>Trigger1</f>
        <v>Delayed Service Activation</v>
      </c>
      <c r="D23" s="282" t="s">
        <v>28</v>
      </c>
      <c r="E23" s="312">
        <f>Input_OPEX!F8</f>
        <v>1.1298888888888889</v>
      </c>
      <c r="F23" s="312">
        <f>Input_OPEX!J8</f>
        <v>1.1298888888888889</v>
      </c>
      <c r="G23" s="312">
        <f>Input_OPEX!N8</f>
        <v>1.1298888888888889</v>
      </c>
      <c r="H23" s="312">
        <f>Input_OPEX!R8</f>
        <v>1.0118333333333334</v>
      </c>
      <c r="I23" s="312"/>
    </row>
    <row r="24" spans="1:11" s="94" customFormat="1" x14ac:dyDescent="0.25">
      <c r="A24" s="262"/>
      <c r="B24" s="157"/>
      <c r="C24" s="282" t="str">
        <f>Trigger2</f>
        <v>Missed Appointment</v>
      </c>
      <c r="D24" s="282" t="s">
        <v>28</v>
      </c>
      <c r="E24" s="312">
        <f>Input_OPEX!F9</f>
        <v>1.1378888888888887</v>
      </c>
      <c r="F24" s="312">
        <f>Input_OPEX!J9</f>
        <v>1.1378888888888887</v>
      </c>
      <c r="G24" s="312">
        <f>Input_OPEX!N9</f>
        <v>1.1378888888888887</v>
      </c>
      <c r="H24" s="312">
        <f>Input_OPEX!R9</f>
        <v>1.0198333333333334</v>
      </c>
      <c r="I24" s="312"/>
    </row>
    <row r="25" spans="1:11" s="94" customFormat="1" x14ac:dyDescent="0.25">
      <c r="A25" s="262"/>
      <c r="B25" s="157"/>
      <c r="C25" s="282" t="str">
        <f>Trigger3</f>
        <v>Delayed Repair (Fixed)</v>
      </c>
      <c r="D25" s="282" t="s">
        <v>28</v>
      </c>
      <c r="E25" s="312">
        <f>Input_OPEX!F10</f>
        <v>1.1653055555555556</v>
      </c>
      <c r="F25" s="312">
        <f>Input_OPEX!J10</f>
        <v>1.1653055555555556</v>
      </c>
      <c r="G25" s="312">
        <f>Input_OPEX!N10</f>
        <v>1.1653055555555556</v>
      </c>
      <c r="H25" s="312">
        <f>Input_OPEX!R10</f>
        <v>1.0590555555555556</v>
      </c>
      <c r="I25" s="312"/>
      <c r="J25" s="279"/>
    </row>
    <row r="26" spans="1:11" x14ac:dyDescent="0.25">
      <c r="B26" s="157"/>
    </row>
    <row r="27" spans="1:11" x14ac:dyDescent="0.25">
      <c r="B27" s="157" t="s">
        <v>275</v>
      </c>
    </row>
    <row r="28" spans="1:11" s="157" customFormat="1" ht="12.75" x14ac:dyDescent="0.2">
      <c r="A28" s="265"/>
      <c r="C28" s="282" t="str">
        <f>Trigger1</f>
        <v>Delayed Service Activation</v>
      </c>
      <c r="D28" s="282" t="s">
        <v>6</v>
      </c>
      <c r="E28" s="313">
        <f>E13*(1+TR1_delta)</f>
        <v>12532.253555283143</v>
      </c>
      <c r="F28" s="313">
        <f>F13*(1+TR1_delta)</f>
        <v>12532.253555283143</v>
      </c>
      <c r="G28" s="313">
        <f>G13*(1+TR1_delta)</f>
        <v>109046.88158493125</v>
      </c>
      <c r="H28" s="313">
        <f>H13*(1+TR1_delta)</f>
        <v>32551.307935800371</v>
      </c>
      <c r="I28" s="313">
        <f>I13*(1+TR1_delta)</f>
        <v>0</v>
      </c>
      <c r="J28" s="417"/>
    </row>
    <row r="29" spans="1:11" x14ac:dyDescent="0.25">
      <c r="A29" s="262"/>
      <c r="B29" s="157"/>
      <c r="C29" s="282" t="str">
        <f>Trigger2</f>
        <v>Missed Appointment</v>
      </c>
      <c r="D29" s="282" t="s">
        <v>6</v>
      </c>
      <c r="E29" s="313">
        <f>E14*(1+TR2_delta)</f>
        <v>2567.9732724060395</v>
      </c>
      <c r="F29" s="313">
        <f>F14*(1+TR2_delta)</f>
        <v>2567.9732724060395</v>
      </c>
      <c r="G29" s="313">
        <f>G14*(1+TR2_delta)</f>
        <v>22344.702500156447</v>
      </c>
      <c r="H29" s="313">
        <f>H14*(1+TR2_delta)</f>
        <v>6670.060447807894</v>
      </c>
      <c r="I29" s="313">
        <f>I14*(1+TR2_delta)</f>
        <v>0</v>
      </c>
      <c r="J29" s="418"/>
      <c r="K29" s="98"/>
    </row>
    <row r="30" spans="1:11" x14ac:dyDescent="0.25">
      <c r="A30" s="264"/>
      <c r="B30" s="157"/>
      <c r="C30" s="282" t="str">
        <f>Trigger3</f>
        <v>Delayed Repair (Fixed)</v>
      </c>
      <c r="D30" s="282" t="s">
        <v>6</v>
      </c>
      <c r="E30" s="313">
        <f>E15*(1+TR3_delta)</f>
        <v>45535.920443272029</v>
      </c>
      <c r="F30" s="313">
        <f>F15*(1+TR3_delta)</f>
        <v>45535.920443272029</v>
      </c>
      <c r="G30" s="313">
        <f>G15*(1+TR3_delta)</f>
        <v>396221.64541548392</v>
      </c>
      <c r="H30" s="313">
        <f>H15*(1+TR3_delta)</f>
        <v>118275.11803447281</v>
      </c>
      <c r="I30" s="313">
        <f>I15*(1+TR3_delta)</f>
        <v>0</v>
      </c>
      <c r="J30" s="418"/>
      <c r="K30" s="98"/>
    </row>
    <row r="31" spans="1:11" x14ac:dyDescent="0.25">
      <c r="A31" s="262"/>
      <c r="B31" s="157"/>
      <c r="D31" s="96"/>
      <c r="J31" s="96"/>
      <c r="K31" s="98"/>
    </row>
    <row r="32" spans="1:11" x14ac:dyDescent="0.25">
      <c r="B32" s="157" t="s">
        <v>276</v>
      </c>
    </row>
    <row r="33" spans="1:11" s="157" customFormat="1" ht="12.75" x14ac:dyDescent="0.2">
      <c r="A33" s="265"/>
      <c r="C33" s="282" t="str">
        <f>Trigger1</f>
        <v>Delayed Service Activation</v>
      </c>
      <c r="D33" s="282" t="s">
        <v>28</v>
      </c>
      <c r="E33" s="313">
        <f t="shared" ref="E33:I35" si="1">E23*E28</f>
        <v>14160.054044852699</v>
      </c>
      <c r="F33" s="313">
        <f t="shared" si="1"/>
        <v>14160.054044852699</v>
      </c>
      <c r="G33" s="313">
        <f t="shared" si="1"/>
        <v>123210.85987079622</v>
      </c>
      <c r="H33" s="313">
        <f t="shared" si="1"/>
        <v>32936.498413040674</v>
      </c>
      <c r="I33" s="313">
        <f t="shared" si="1"/>
        <v>0</v>
      </c>
      <c r="J33" s="280"/>
    </row>
    <row r="34" spans="1:11" x14ac:dyDescent="0.25">
      <c r="A34" s="262"/>
      <c r="B34" s="157"/>
      <c r="C34" s="282" t="str">
        <f>Trigger2</f>
        <v>Missed Appointment</v>
      </c>
      <c r="D34" s="282" t="s">
        <v>28</v>
      </c>
      <c r="E34" s="313">
        <f t="shared" si="1"/>
        <v>2922.0682536344721</v>
      </c>
      <c r="F34" s="313">
        <f t="shared" si="1"/>
        <v>2922.0682536344721</v>
      </c>
      <c r="G34" s="313">
        <f t="shared" si="1"/>
        <v>25425.788700455792</v>
      </c>
      <c r="H34" s="313">
        <f t="shared" si="1"/>
        <v>6802.349980022751</v>
      </c>
      <c r="I34" s="313">
        <f t="shared" si="1"/>
        <v>0</v>
      </c>
      <c r="J34" s="96"/>
      <c r="K34" s="98"/>
    </row>
    <row r="35" spans="1:11" x14ac:dyDescent="0.25">
      <c r="A35" s="264"/>
      <c r="B35" s="157"/>
      <c r="C35" s="282" t="str">
        <f>Trigger3</f>
        <v>Delayed Repair (Fixed)</v>
      </c>
      <c r="D35" s="282" t="s">
        <v>28</v>
      </c>
      <c r="E35" s="313">
        <f t="shared" si="1"/>
        <v>53063.261069880697</v>
      </c>
      <c r="F35" s="313">
        <f t="shared" si="1"/>
        <v>53063.261069880697</v>
      </c>
      <c r="G35" s="313">
        <f t="shared" si="1"/>
        <v>461719.28463402682</v>
      </c>
      <c r="H35" s="313">
        <f t="shared" si="1"/>
        <v>125259.92083839752</v>
      </c>
      <c r="I35" s="313">
        <f t="shared" si="1"/>
        <v>0</v>
      </c>
      <c r="J35" s="96"/>
      <c r="K35" s="98"/>
    </row>
    <row r="36" spans="1:11" x14ac:dyDescent="0.25">
      <c r="A36" s="262"/>
      <c r="B36" s="157"/>
      <c r="D36" s="96"/>
      <c r="J36" s="96"/>
      <c r="K36" s="98"/>
    </row>
    <row r="37" spans="1:11" x14ac:dyDescent="0.25">
      <c r="A37" s="262"/>
      <c r="B37" s="157" t="s">
        <v>236</v>
      </c>
      <c r="C37" s="111"/>
      <c r="D37" s="283"/>
      <c r="E37" s="283"/>
      <c r="F37" s="282"/>
      <c r="G37" s="284"/>
      <c r="H37" s="284"/>
      <c r="I37" s="284"/>
      <c r="J37" s="96"/>
    </row>
    <row r="38" spans="1:11" x14ac:dyDescent="0.25">
      <c r="A38" s="262"/>
      <c r="B38" s="157"/>
      <c r="C38" s="282" t="str">
        <f>Trigger1</f>
        <v>Delayed Service Activation</v>
      </c>
      <c r="D38" s="283"/>
      <c r="E38" s="290" t="b">
        <f>T1_on</f>
        <v>1</v>
      </c>
      <c r="F38" s="282"/>
      <c r="G38" s="284"/>
      <c r="H38" s="284"/>
      <c r="I38" s="284"/>
      <c r="J38" s="96"/>
    </row>
    <row r="39" spans="1:11" x14ac:dyDescent="0.25">
      <c r="A39" s="262"/>
      <c r="B39" s="157"/>
      <c r="C39" s="282" t="str">
        <f>Trigger2</f>
        <v>Missed Appointment</v>
      </c>
      <c r="D39" s="283"/>
      <c r="E39" s="290" t="b">
        <f>T2_on</f>
        <v>1</v>
      </c>
      <c r="F39" s="282"/>
      <c r="G39" s="284"/>
      <c r="H39" s="284"/>
      <c r="I39" s="284"/>
      <c r="J39" s="96"/>
    </row>
    <row r="40" spans="1:11" x14ac:dyDescent="0.25">
      <c r="A40" s="262"/>
      <c r="B40" s="157"/>
      <c r="C40" s="282" t="str">
        <f>Trigger3</f>
        <v>Delayed Repair (Fixed)</v>
      </c>
      <c r="D40" s="283"/>
      <c r="E40" s="290" t="b">
        <f>T3_on</f>
        <v>1</v>
      </c>
      <c r="F40" s="282"/>
      <c r="G40" s="284"/>
      <c r="H40" s="284"/>
      <c r="I40" s="284"/>
      <c r="J40" s="96"/>
    </row>
    <row r="41" spans="1:11" x14ac:dyDescent="0.25">
      <c r="A41" s="262"/>
      <c r="B41" s="157"/>
      <c r="C41" s="282"/>
      <c r="D41" s="283"/>
      <c r="E41" s="283"/>
      <c r="F41" s="282"/>
      <c r="G41" s="284"/>
      <c r="H41" s="284"/>
      <c r="I41" s="284"/>
      <c r="J41" s="96"/>
    </row>
    <row r="42" spans="1:11" x14ac:dyDescent="0.25">
      <c r="A42" s="262"/>
      <c r="B42" s="157" t="s">
        <v>235</v>
      </c>
      <c r="C42" s="282"/>
      <c r="D42" s="283"/>
      <c r="E42" s="283"/>
      <c r="F42" s="282"/>
      <c r="G42" s="284"/>
      <c r="H42" s="284"/>
      <c r="I42" s="284"/>
      <c r="J42" s="96"/>
    </row>
    <row r="43" spans="1:11" x14ac:dyDescent="0.25">
      <c r="A43" s="262"/>
      <c r="B43" s="157"/>
      <c r="C43" s="282"/>
      <c r="D43" s="283"/>
      <c r="E43" s="354" t="s">
        <v>237</v>
      </c>
      <c r="F43" s="355" t="s">
        <v>238</v>
      </c>
      <c r="G43" s="356" t="s">
        <v>239</v>
      </c>
      <c r="H43" s="356" t="s">
        <v>240</v>
      </c>
      <c r="I43" s="356" t="s">
        <v>73</v>
      </c>
      <c r="J43" s="96"/>
    </row>
    <row r="44" spans="1:11" s="157" customFormat="1" ht="12.75" x14ac:dyDescent="0.2">
      <c r="A44" s="265"/>
      <c r="C44" s="282" t="str">
        <f>Trigger1</f>
        <v>Delayed Service Activation</v>
      </c>
      <c r="D44" s="282" t="s">
        <v>28</v>
      </c>
      <c r="E44" s="353">
        <f t="shared" ref="E44:I46" si="2">(1+Sens_VarOpex)*(E33-E18)</f>
        <v>-6562.7234451166041</v>
      </c>
      <c r="F44" s="353">
        <f t="shared" si="2"/>
        <v>-6562.7234451166041</v>
      </c>
      <c r="G44" s="353">
        <f t="shared" si="2"/>
        <v>-57104.216989975641</v>
      </c>
      <c r="H44" s="353">
        <f t="shared" si="2"/>
        <v>-17046.034922380793</v>
      </c>
      <c r="I44" s="353">
        <f t="shared" si="2"/>
        <v>0</v>
      </c>
      <c r="J44" s="280"/>
    </row>
    <row r="45" spans="1:11" x14ac:dyDescent="0.25">
      <c r="A45" s="262"/>
      <c r="B45" s="157"/>
      <c r="C45" s="282" t="str">
        <f>Trigger2</f>
        <v>Missed Appointment</v>
      </c>
      <c r="D45" s="282" t="s">
        <v>28</v>
      </c>
      <c r="E45" s="353">
        <f t="shared" si="2"/>
        <v>-1365.3057898292109</v>
      </c>
      <c r="F45" s="353">
        <f t="shared" si="2"/>
        <v>-1365.3057898292109</v>
      </c>
      <c r="G45" s="353">
        <f t="shared" si="2"/>
        <v>-11879.933495916513</v>
      </c>
      <c r="H45" s="353">
        <f t="shared" si="2"/>
        <v>-3546.2488047511961</v>
      </c>
      <c r="I45" s="353">
        <f t="shared" si="2"/>
        <v>0</v>
      </c>
      <c r="J45" s="96"/>
    </row>
    <row r="46" spans="1:11" x14ac:dyDescent="0.25">
      <c r="A46" s="264"/>
      <c r="B46" s="115"/>
      <c r="C46" s="282" t="str">
        <f>Trigger3</f>
        <v>Delayed Repair (Fixed)</v>
      </c>
      <c r="D46" s="282" t="s">
        <v>28</v>
      </c>
      <c r="E46" s="353">
        <f t="shared" si="2"/>
        <v>-39074.87928704331</v>
      </c>
      <c r="F46" s="353">
        <f t="shared" si="2"/>
        <v>-39074.87928704331</v>
      </c>
      <c r="G46" s="353">
        <f t="shared" si="2"/>
        <v>-340002.19639375352</v>
      </c>
      <c r="H46" s="353">
        <f t="shared" si="2"/>
        <v>-101493.19295335925</v>
      </c>
      <c r="I46" s="353">
        <f t="shared" si="2"/>
        <v>0</v>
      </c>
      <c r="J46" s="96"/>
    </row>
    <row r="47" spans="1:11" x14ac:dyDescent="0.25">
      <c r="A47" s="264"/>
      <c r="B47" s="115"/>
      <c r="C47" s="282" t="s">
        <v>230</v>
      </c>
      <c r="D47" s="282" t="s">
        <v>28</v>
      </c>
      <c r="E47" s="353">
        <f t="shared" ref="E47:I47" si="3">SUMIF($E$38:$E$40,TRUE,E$44:E$46)</f>
        <v>-47002.908521989128</v>
      </c>
      <c r="F47" s="353">
        <f t="shared" si="3"/>
        <v>-47002.908521989128</v>
      </c>
      <c r="G47" s="353">
        <f t="shared" si="3"/>
        <v>-408986.34687964566</v>
      </c>
      <c r="H47" s="353">
        <f t="shared" si="3"/>
        <v>-122085.47668049124</v>
      </c>
      <c r="I47" s="353">
        <f t="shared" si="3"/>
        <v>0</v>
      </c>
      <c r="J47" s="96"/>
    </row>
    <row r="48" spans="1:11" x14ac:dyDescent="0.25">
      <c r="A48" s="262"/>
      <c r="B48" s="115"/>
      <c r="C48" s="111"/>
      <c r="D48" s="283"/>
      <c r="J48" s="96"/>
    </row>
    <row r="49" spans="1:10" x14ac:dyDescent="0.25">
      <c r="A49" s="262"/>
      <c r="B49" s="115"/>
      <c r="C49" s="111"/>
      <c r="D49" s="283"/>
      <c r="E49" s="283"/>
      <c r="F49" s="282"/>
      <c r="G49" s="285"/>
      <c r="H49" s="285"/>
      <c r="I49" s="285"/>
      <c r="J49" s="96"/>
    </row>
    <row r="50" spans="1:10" x14ac:dyDescent="0.25">
      <c r="A50" s="262"/>
      <c r="B50" s="115"/>
      <c r="C50" s="111"/>
      <c r="D50" s="111"/>
      <c r="E50" s="111"/>
      <c r="F50" s="112"/>
      <c r="G50" s="167"/>
      <c r="H50" s="167"/>
      <c r="I50" s="167"/>
    </row>
    <row r="51" spans="1:10" x14ac:dyDescent="0.25">
      <c r="A51" s="262"/>
      <c r="B51" s="115"/>
      <c r="C51" s="111"/>
      <c r="D51" s="111"/>
      <c r="E51" s="111"/>
      <c r="F51" s="112"/>
      <c r="G51" s="166"/>
      <c r="H51" s="166"/>
      <c r="I51" s="166"/>
    </row>
    <row r="52" spans="1:10" s="113" customFormat="1" x14ac:dyDescent="0.25">
      <c r="A52" s="265"/>
      <c r="B52" s="112"/>
      <c r="C52" s="111"/>
      <c r="D52" s="111"/>
      <c r="E52" s="111"/>
      <c r="F52" s="112"/>
      <c r="G52" s="166"/>
      <c r="H52" s="166"/>
      <c r="I52" s="166"/>
    </row>
    <row r="53" spans="1:10" x14ac:dyDescent="0.25">
      <c r="C53" s="113"/>
      <c r="D53" s="113"/>
      <c r="E53" s="113"/>
      <c r="F53" s="113"/>
    </row>
    <row r="54" spans="1:10" x14ac:dyDescent="0.25">
      <c r="A54" s="352"/>
      <c r="B54" s="115"/>
      <c r="C54" s="111"/>
      <c r="D54" s="111"/>
      <c r="E54" s="111"/>
      <c r="F54" s="112"/>
      <c r="G54" s="165"/>
      <c r="H54" s="165"/>
      <c r="I54" s="165"/>
    </row>
    <row r="55" spans="1:10" x14ac:dyDescent="0.25">
      <c r="A55" s="262"/>
      <c r="B55" s="115"/>
      <c r="C55" s="111"/>
      <c r="D55" s="111"/>
      <c r="E55" s="111"/>
      <c r="F55" s="112"/>
      <c r="G55" s="166"/>
      <c r="H55" s="166"/>
      <c r="I55" s="166"/>
    </row>
    <row r="56" spans="1:10" x14ac:dyDescent="0.25">
      <c r="A56" s="262"/>
      <c r="B56" s="115"/>
      <c r="C56" s="111"/>
      <c r="D56" s="111"/>
      <c r="E56" s="111"/>
      <c r="F56" s="112"/>
      <c r="G56" s="167"/>
      <c r="H56" s="167"/>
      <c r="I56" s="167"/>
    </row>
    <row r="57" spans="1:10" x14ac:dyDescent="0.25">
      <c r="A57" s="262"/>
      <c r="B57" s="115"/>
      <c r="C57" s="111"/>
      <c r="D57" s="111"/>
      <c r="E57" s="111"/>
      <c r="F57" s="112"/>
      <c r="G57" s="167"/>
      <c r="H57" s="167"/>
      <c r="I57" s="167"/>
    </row>
    <row r="58" spans="1:10" x14ac:dyDescent="0.25">
      <c r="A58" s="262"/>
      <c r="B58" s="115"/>
      <c r="C58" s="111"/>
      <c r="D58" s="111"/>
      <c r="E58" s="111"/>
      <c r="F58" s="112"/>
      <c r="G58" s="166"/>
      <c r="H58" s="166"/>
      <c r="I58" s="166"/>
    </row>
    <row r="59" spans="1:10" s="113" customFormat="1" x14ac:dyDescent="0.25">
      <c r="A59" s="265"/>
      <c r="B59" s="112"/>
      <c r="C59" s="111"/>
      <c r="D59" s="111"/>
      <c r="E59" s="111"/>
      <c r="F59" s="112"/>
      <c r="G59" s="166"/>
      <c r="H59" s="166"/>
      <c r="I59" s="166"/>
    </row>
    <row r="60" spans="1:10" x14ac:dyDescent="0.25">
      <c r="A60" s="262"/>
      <c r="B60" s="115"/>
      <c r="C60" s="111"/>
      <c r="D60" s="111"/>
      <c r="E60" s="111"/>
      <c r="F60" s="112"/>
      <c r="G60" s="165"/>
      <c r="H60" s="165"/>
      <c r="I60" s="165"/>
    </row>
    <row r="61" spans="1:10" x14ac:dyDescent="0.25">
      <c r="A61" s="262"/>
      <c r="B61" s="115"/>
      <c r="C61" s="111"/>
      <c r="D61" s="111"/>
      <c r="E61" s="111"/>
      <c r="F61" s="112"/>
      <c r="G61" s="166"/>
      <c r="H61" s="166"/>
      <c r="I61" s="166"/>
    </row>
    <row r="62" spans="1:10" x14ac:dyDescent="0.25">
      <c r="A62" s="262"/>
      <c r="B62" s="115"/>
      <c r="C62" s="111"/>
      <c r="D62" s="111"/>
      <c r="E62" s="111"/>
      <c r="F62" s="112"/>
      <c r="G62" s="167"/>
      <c r="H62" s="167"/>
      <c r="I62" s="167"/>
    </row>
    <row r="63" spans="1:10" x14ac:dyDescent="0.25">
      <c r="A63" s="262"/>
      <c r="B63" s="115"/>
      <c r="C63" s="111"/>
      <c r="D63" s="111"/>
      <c r="E63" s="111"/>
      <c r="F63" s="112"/>
      <c r="G63" s="167"/>
      <c r="H63" s="167"/>
      <c r="I63" s="167"/>
    </row>
    <row r="64" spans="1:10" x14ac:dyDescent="0.25">
      <c r="A64" s="262"/>
      <c r="B64" s="115"/>
      <c r="C64" s="111"/>
      <c r="D64" s="111"/>
      <c r="E64" s="111"/>
      <c r="F64" s="112"/>
      <c r="G64" s="166"/>
      <c r="H64" s="166"/>
      <c r="I64" s="166"/>
    </row>
    <row r="65" spans="1:9" s="113" customFormat="1" x14ac:dyDescent="0.25">
      <c r="A65" s="265"/>
      <c r="B65" s="112"/>
      <c r="C65" s="111"/>
      <c r="D65" s="111"/>
      <c r="E65" s="111"/>
      <c r="F65" s="112"/>
      <c r="G65" s="166"/>
      <c r="H65" s="166"/>
      <c r="I65" s="166"/>
    </row>
    <row r="66" spans="1:9" x14ac:dyDescent="0.25">
      <c r="A66" s="262"/>
      <c r="B66" s="115"/>
      <c r="C66" s="111"/>
      <c r="D66" s="111"/>
      <c r="E66" s="111"/>
      <c r="F66" s="112"/>
      <c r="G66" s="165"/>
      <c r="H66" s="165"/>
      <c r="I66" s="165"/>
    </row>
    <row r="67" spans="1:9" x14ac:dyDescent="0.25">
      <c r="A67" s="262"/>
      <c r="B67" s="115"/>
      <c r="C67" s="111"/>
      <c r="D67" s="111"/>
      <c r="E67" s="111"/>
      <c r="F67" s="112"/>
      <c r="G67" s="166"/>
      <c r="H67" s="166"/>
      <c r="I67" s="166"/>
    </row>
    <row r="68" spans="1:9" x14ac:dyDescent="0.25">
      <c r="A68" s="262"/>
      <c r="B68" s="115"/>
      <c r="C68" s="111"/>
      <c r="D68" s="111"/>
      <c r="E68" s="111"/>
      <c r="F68" s="112"/>
      <c r="G68" s="167"/>
      <c r="H68" s="167"/>
      <c r="I68" s="167"/>
    </row>
    <row r="69" spans="1:9" x14ac:dyDescent="0.25">
      <c r="A69" s="262"/>
      <c r="B69" s="115"/>
      <c r="C69" s="111"/>
      <c r="D69" s="111"/>
      <c r="E69" s="111"/>
      <c r="F69" s="112"/>
      <c r="G69" s="167"/>
      <c r="H69" s="167"/>
      <c r="I69" s="167"/>
    </row>
    <row r="70" spans="1:9" x14ac:dyDescent="0.25">
      <c r="A70" s="262"/>
      <c r="B70" s="115"/>
      <c r="C70" s="111"/>
      <c r="D70" s="111"/>
      <c r="E70" s="111"/>
      <c r="F70" s="112"/>
      <c r="G70" s="166"/>
      <c r="H70" s="166"/>
      <c r="I70" s="166"/>
    </row>
    <row r="71" spans="1:9" s="113" customFormat="1" x14ac:dyDescent="0.25">
      <c r="A71" s="265"/>
      <c r="B71" s="112"/>
      <c r="C71" s="111"/>
      <c r="D71" s="111"/>
      <c r="E71" s="111"/>
      <c r="F71" s="112"/>
      <c r="G71" s="166"/>
      <c r="H71" s="166"/>
      <c r="I71" s="166"/>
    </row>
    <row r="72" spans="1:9" x14ac:dyDescent="0.25">
      <c r="A72" s="262"/>
      <c r="B72" s="115"/>
      <c r="C72" s="111"/>
      <c r="D72" s="111"/>
      <c r="E72" s="111"/>
      <c r="F72" s="112"/>
      <c r="G72" s="165"/>
      <c r="H72" s="165"/>
      <c r="I72" s="165"/>
    </row>
    <row r="73" spans="1:9" x14ac:dyDescent="0.25">
      <c r="A73" s="262"/>
      <c r="B73" s="115"/>
      <c r="C73" s="111"/>
      <c r="D73" s="111"/>
      <c r="E73" s="111"/>
      <c r="F73" s="112"/>
      <c r="G73" s="166"/>
      <c r="H73" s="166"/>
      <c r="I73" s="166"/>
    </row>
    <row r="74" spans="1:9" x14ac:dyDescent="0.25">
      <c r="A74" s="262"/>
      <c r="B74" s="115"/>
      <c r="C74" s="111"/>
      <c r="D74" s="111"/>
      <c r="E74" s="111"/>
      <c r="F74" s="112"/>
      <c r="G74" s="167"/>
      <c r="H74" s="167"/>
      <c r="I74" s="167"/>
    </row>
    <row r="75" spans="1:9" x14ac:dyDescent="0.25">
      <c r="A75" s="262"/>
      <c r="B75" s="115"/>
      <c r="C75" s="111"/>
      <c r="D75" s="111"/>
      <c r="E75" s="111"/>
      <c r="F75" s="112"/>
      <c r="G75" s="167"/>
      <c r="H75" s="167"/>
      <c r="I75" s="167"/>
    </row>
    <row r="76" spans="1:9" x14ac:dyDescent="0.25">
      <c r="A76" s="262"/>
      <c r="B76" s="115"/>
      <c r="C76" s="111"/>
      <c r="D76" s="111"/>
      <c r="E76" s="111"/>
      <c r="F76" s="112"/>
      <c r="G76" s="166"/>
      <c r="H76" s="166"/>
      <c r="I76" s="166"/>
    </row>
    <row r="77" spans="1:9" x14ac:dyDescent="0.25">
      <c r="C77" s="113"/>
      <c r="D77" s="113"/>
      <c r="E77" s="113"/>
      <c r="F77" s="113"/>
      <c r="G77" s="166"/>
      <c r="H77" s="166"/>
      <c r="I77" s="166"/>
    </row>
    <row r="78" spans="1:9" x14ac:dyDescent="0.25">
      <c r="C78" s="113"/>
      <c r="D78" s="113"/>
      <c r="E78" s="113"/>
      <c r="F78" s="113"/>
      <c r="G78" s="166"/>
      <c r="H78" s="166"/>
      <c r="I78" s="166"/>
    </row>
    <row r="79" spans="1:9" x14ac:dyDescent="0.25">
      <c r="A79" s="262"/>
      <c r="B79" s="115"/>
      <c r="C79" s="111"/>
      <c r="D79" s="111"/>
      <c r="E79" s="111"/>
      <c r="F79" s="112"/>
      <c r="G79" s="165"/>
      <c r="H79" s="165"/>
      <c r="I79" s="165"/>
    </row>
    <row r="80" spans="1:9" x14ac:dyDescent="0.25">
      <c r="A80" s="262"/>
      <c r="B80" s="115"/>
      <c r="C80" s="111"/>
      <c r="D80" s="111"/>
      <c r="E80" s="111"/>
      <c r="F80" s="112"/>
      <c r="G80" s="166"/>
      <c r="H80" s="166"/>
      <c r="I80" s="166"/>
    </row>
    <row r="81" spans="1:9" x14ac:dyDescent="0.25">
      <c r="A81" s="262"/>
      <c r="B81" s="115"/>
      <c r="C81" s="111"/>
      <c r="D81" s="111"/>
      <c r="E81" s="111"/>
      <c r="F81" s="112"/>
      <c r="G81" s="167"/>
      <c r="H81" s="167"/>
      <c r="I81" s="167"/>
    </row>
    <row r="82" spans="1:9" x14ac:dyDescent="0.25">
      <c r="A82" s="262"/>
      <c r="B82" s="115"/>
      <c r="C82" s="111"/>
      <c r="D82" s="111"/>
      <c r="E82" s="111"/>
      <c r="F82" s="112"/>
      <c r="G82" s="167"/>
      <c r="H82" s="167"/>
      <c r="I82" s="167"/>
    </row>
    <row r="83" spans="1:9" x14ac:dyDescent="0.25">
      <c r="A83" s="262"/>
      <c r="B83" s="115"/>
      <c r="C83" s="111"/>
      <c r="D83" s="111"/>
      <c r="E83" s="111"/>
      <c r="F83" s="112"/>
      <c r="G83" s="166"/>
      <c r="H83" s="166"/>
      <c r="I83" s="166"/>
    </row>
    <row r="84" spans="1:9" s="113" customFormat="1" x14ac:dyDescent="0.25">
      <c r="A84" s="265"/>
      <c r="B84" s="112"/>
      <c r="C84" s="111"/>
      <c r="D84" s="111"/>
      <c r="E84" s="111"/>
      <c r="F84" s="112"/>
      <c r="G84" s="166"/>
      <c r="H84" s="166"/>
      <c r="I84" s="166"/>
    </row>
    <row r="85" spans="1:9" x14ac:dyDescent="0.25">
      <c r="A85" s="262"/>
      <c r="B85" s="115"/>
      <c r="C85" s="111"/>
      <c r="D85" s="111"/>
      <c r="E85" s="111"/>
      <c r="F85" s="112"/>
      <c r="G85" s="165"/>
      <c r="H85" s="165"/>
      <c r="I85" s="165"/>
    </row>
    <row r="86" spans="1:9" x14ac:dyDescent="0.25">
      <c r="A86" s="262"/>
      <c r="B86" s="115"/>
      <c r="C86" s="111"/>
      <c r="D86" s="111"/>
      <c r="E86" s="111"/>
      <c r="F86" s="112"/>
      <c r="G86" s="166"/>
      <c r="H86" s="166"/>
      <c r="I86" s="166"/>
    </row>
    <row r="87" spans="1:9" x14ac:dyDescent="0.25">
      <c r="A87" s="262"/>
      <c r="B87" s="115"/>
      <c r="C87" s="111"/>
      <c r="D87" s="111"/>
      <c r="E87" s="111"/>
      <c r="F87" s="112"/>
      <c r="G87" s="167"/>
      <c r="H87" s="167"/>
      <c r="I87" s="167"/>
    </row>
    <row r="88" spans="1:9" x14ac:dyDescent="0.25">
      <c r="A88" s="262"/>
      <c r="B88" s="115"/>
      <c r="C88" s="111"/>
      <c r="D88" s="111"/>
      <c r="E88" s="111"/>
      <c r="F88" s="112"/>
      <c r="G88" s="167"/>
      <c r="H88" s="167"/>
      <c r="I88" s="167"/>
    </row>
    <row r="89" spans="1:9" x14ac:dyDescent="0.25">
      <c r="A89" s="262"/>
      <c r="B89" s="115"/>
      <c r="C89" s="111"/>
      <c r="D89" s="111"/>
      <c r="E89" s="111"/>
      <c r="F89" s="112"/>
      <c r="G89" s="166"/>
      <c r="H89" s="166"/>
      <c r="I89" s="166"/>
    </row>
    <row r="90" spans="1:9" s="113" customFormat="1" x14ac:dyDescent="0.25">
      <c r="A90" s="265"/>
      <c r="B90" s="112"/>
      <c r="C90" s="111"/>
      <c r="D90" s="111"/>
      <c r="E90" s="111"/>
      <c r="F90" s="112"/>
      <c r="G90" s="166"/>
      <c r="H90" s="166"/>
      <c r="I90" s="166"/>
    </row>
    <row r="91" spans="1:9" x14ac:dyDescent="0.25">
      <c r="A91" s="262"/>
      <c r="B91" s="115"/>
      <c r="C91" s="111"/>
      <c r="D91" s="111"/>
      <c r="E91" s="111"/>
      <c r="F91" s="112"/>
      <c r="G91" s="165"/>
      <c r="H91" s="165"/>
      <c r="I91" s="165"/>
    </row>
    <row r="92" spans="1:9" x14ac:dyDescent="0.25">
      <c r="A92" s="262"/>
      <c r="B92" s="115"/>
      <c r="C92" s="111"/>
      <c r="D92" s="111"/>
      <c r="E92" s="111"/>
      <c r="F92" s="112"/>
      <c r="G92" s="166"/>
      <c r="H92" s="166"/>
      <c r="I92" s="166"/>
    </row>
    <row r="93" spans="1:9" x14ac:dyDescent="0.25">
      <c r="A93" s="262"/>
      <c r="B93" s="115"/>
      <c r="C93" s="111"/>
      <c r="D93" s="111"/>
      <c r="E93" s="111"/>
      <c r="F93" s="112"/>
      <c r="G93" s="167"/>
      <c r="H93" s="167"/>
      <c r="I93" s="167"/>
    </row>
    <row r="94" spans="1:9" x14ac:dyDescent="0.25">
      <c r="A94" s="262"/>
      <c r="B94" s="115"/>
      <c r="C94" s="111"/>
      <c r="D94" s="111"/>
      <c r="E94" s="111"/>
      <c r="F94" s="112"/>
      <c r="G94" s="167"/>
      <c r="H94" s="167"/>
      <c r="I94" s="167"/>
    </row>
    <row r="95" spans="1:9" x14ac:dyDescent="0.25">
      <c r="A95" s="262"/>
      <c r="B95" s="115"/>
      <c r="C95" s="111"/>
      <c r="D95" s="111"/>
      <c r="E95" s="111"/>
      <c r="F95" s="112"/>
      <c r="G95" s="166"/>
      <c r="H95" s="166"/>
      <c r="I95" s="166"/>
    </row>
    <row r="96" spans="1:9" s="113" customFormat="1" x14ac:dyDescent="0.25">
      <c r="A96" s="265"/>
      <c r="B96" s="112"/>
      <c r="C96" s="111"/>
      <c r="D96" s="111"/>
      <c r="E96" s="111"/>
      <c r="F96" s="112"/>
      <c r="G96" s="166"/>
      <c r="H96" s="166"/>
      <c r="I96" s="166"/>
    </row>
    <row r="97" spans="1:9" x14ac:dyDescent="0.25">
      <c r="A97" s="262"/>
      <c r="B97" s="115"/>
      <c r="C97" s="111"/>
      <c r="D97" s="111"/>
      <c r="E97" s="111"/>
      <c r="F97" s="112"/>
      <c r="G97" s="165"/>
      <c r="H97" s="165"/>
      <c r="I97" s="165"/>
    </row>
    <row r="98" spans="1:9" x14ac:dyDescent="0.25">
      <c r="A98" s="262"/>
      <c r="B98" s="115"/>
      <c r="C98" s="111"/>
      <c r="D98" s="111"/>
      <c r="E98" s="111"/>
      <c r="F98" s="112"/>
      <c r="G98" s="166"/>
      <c r="H98" s="166"/>
      <c r="I98" s="166"/>
    </row>
    <row r="99" spans="1:9" x14ac:dyDescent="0.25">
      <c r="A99" s="262"/>
      <c r="B99" s="115"/>
      <c r="C99" s="111"/>
      <c r="D99" s="111"/>
      <c r="E99" s="111"/>
      <c r="F99" s="112"/>
      <c r="G99" s="167"/>
      <c r="H99" s="167"/>
      <c r="I99" s="167"/>
    </row>
    <row r="100" spans="1:9" x14ac:dyDescent="0.25">
      <c r="A100" s="262"/>
      <c r="B100" s="115"/>
      <c r="C100" s="111"/>
      <c r="D100" s="111"/>
      <c r="E100" s="111"/>
      <c r="F100" s="112"/>
      <c r="G100" s="167"/>
      <c r="H100" s="167"/>
      <c r="I100" s="167"/>
    </row>
    <row r="101" spans="1:9" x14ac:dyDescent="0.25">
      <c r="A101" s="262"/>
      <c r="B101" s="115"/>
      <c r="C101" s="111"/>
      <c r="D101" s="111"/>
      <c r="E101" s="111"/>
      <c r="F101" s="112"/>
      <c r="G101" s="166"/>
      <c r="H101" s="166"/>
      <c r="I101" s="166"/>
    </row>
    <row r="102" spans="1:9" x14ac:dyDescent="0.25">
      <c r="C102" s="113"/>
      <c r="D102" s="113"/>
      <c r="E102" s="113"/>
      <c r="F102" s="113"/>
      <c r="G102" s="166"/>
      <c r="H102" s="166"/>
      <c r="I102" s="166"/>
    </row>
    <row r="103" spans="1:9" x14ac:dyDescent="0.25">
      <c r="C103" s="113"/>
      <c r="D103" s="113"/>
      <c r="E103" s="113"/>
      <c r="F103" s="113"/>
    </row>
    <row r="104" spans="1:9" x14ac:dyDescent="0.25">
      <c r="A104" s="262"/>
      <c r="B104" s="115"/>
      <c r="C104" s="111"/>
      <c r="D104" s="111"/>
      <c r="E104" s="111"/>
      <c r="F104" s="112"/>
      <c r="G104" s="165"/>
      <c r="H104" s="165"/>
      <c r="I104" s="165"/>
    </row>
    <row r="105" spans="1:9" x14ac:dyDescent="0.25">
      <c r="A105" s="262"/>
      <c r="B105" s="115"/>
      <c r="C105" s="111"/>
      <c r="D105" s="111"/>
      <c r="E105" s="111"/>
      <c r="F105" s="112"/>
      <c r="G105" s="166"/>
      <c r="H105" s="166"/>
      <c r="I105" s="166"/>
    </row>
    <row r="106" spans="1:9" x14ac:dyDescent="0.25">
      <c r="A106" s="262"/>
      <c r="B106" s="115"/>
      <c r="C106" s="111"/>
      <c r="D106" s="111"/>
      <c r="E106" s="111"/>
      <c r="F106" s="112"/>
      <c r="G106" s="167"/>
      <c r="H106" s="167"/>
      <c r="I106" s="167"/>
    </row>
    <row r="107" spans="1:9" x14ac:dyDescent="0.25">
      <c r="A107" s="262"/>
      <c r="B107" s="115"/>
      <c r="C107" s="111"/>
      <c r="D107" s="111"/>
      <c r="E107" s="111"/>
      <c r="F107" s="112"/>
      <c r="G107" s="167"/>
      <c r="H107" s="167"/>
      <c r="I107" s="167"/>
    </row>
    <row r="108" spans="1:9" x14ac:dyDescent="0.25">
      <c r="A108" s="262"/>
      <c r="B108" s="115"/>
      <c r="C108" s="111"/>
      <c r="D108" s="111"/>
      <c r="E108" s="111"/>
      <c r="F108" s="112"/>
      <c r="G108" s="166"/>
      <c r="H108" s="166"/>
      <c r="I108" s="166"/>
    </row>
    <row r="109" spans="1:9" s="113" customFormat="1" x14ac:dyDescent="0.25">
      <c r="A109" s="265"/>
      <c r="B109" s="112"/>
      <c r="C109" s="111"/>
      <c r="D109" s="111"/>
      <c r="E109" s="111"/>
      <c r="F109" s="112"/>
      <c r="G109" s="166"/>
      <c r="H109" s="166"/>
      <c r="I109" s="166"/>
    </row>
    <row r="110" spans="1:9" x14ac:dyDescent="0.25">
      <c r="A110" s="262"/>
      <c r="B110" s="115"/>
      <c r="C110" s="111"/>
      <c r="D110" s="111"/>
      <c r="E110" s="111"/>
      <c r="F110" s="112"/>
      <c r="G110" s="165"/>
      <c r="H110" s="165"/>
      <c r="I110" s="165"/>
    </row>
    <row r="111" spans="1:9" x14ac:dyDescent="0.25">
      <c r="A111" s="262"/>
      <c r="B111" s="115"/>
      <c r="C111" s="111"/>
      <c r="D111" s="111"/>
      <c r="E111" s="111"/>
      <c r="F111" s="112"/>
      <c r="G111" s="166"/>
      <c r="H111" s="166"/>
      <c r="I111" s="166"/>
    </row>
    <row r="112" spans="1:9" x14ac:dyDescent="0.25">
      <c r="A112" s="262"/>
      <c r="B112" s="115"/>
      <c r="C112" s="111"/>
      <c r="D112" s="111"/>
      <c r="E112" s="111"/>
      <c r="F112" s="112"/>
      <c r="G112" s="167"/>
      <c r="H112" s="167"/>
      <c r="I112" s="167"/>
    </row>
    <row r="113" spans="1:9" x14ac:dyDescent="0.25">
      <c r="A113" s="262"/>
      <c r="B113" s="115"/>
      <c r="C113" s="111"/>
      <c r="D113" s="111"/>
      <c r="E113" s="111"/>
      <c r="F113" s="112"/>
      <c r="G113" s="167"/>
      <c r="H113" s="167"/>
      <c r="I113" s="167"/>
    </row>
    <row r="114" spans="1:9" x14ac:dyDescent="0.25">
      <c r="A114" s="262"/>
      <c r="B114" s="115"/>
      <c r="C114" s="111"/>
      <c r="D114" s="111"/>
      <c r="E114" s="111"/>
      <c r="F114" s="112"/>
      <c r="G114" s="166"/>
      <c r="H114" s="166"/>
      <c r="I114" s="166"/>
    </row>
    <row r="115" spans="1:9" s="113" customFormat="1" x14ac:dyDescent="0.25">
      <c r="A115" s="265"/>
      <c r="B115" s="112"/>
      <c r="C115" s="111"/>
      <c r="D115" s="111"/>
      <c r="E115" s="111"/>
      <c r="F115" s="112"/>
      <c r="G115" s="166"/>
      <c r="H115" s="166"/>
      <c r="I115" s="166"/>
    </row>
    <row r="116" spans="1:9" x14ac:dyDescent="0.25">
      <c r="A116" s="262"/>
      <c r="B116" s="115"/>
      <c r="C116" s="111"/>
      <c r="D116" s="111"/>
      <c r="E116" s="111"/>
      <c r="F116" s="112"/>
      <c r="G116" s="165"/>
      <c r="H116" s="165"/>
      <c r="I116" s="165"/>
    </row>
    <row r="117" spans="1:9" x14ac:dyDescent="0.25">
      <c r="A117" s="262"/>
      <c r="B117" s="115"/>
      <c r="C117" s="111"/>
      <c r="D117" s="111"/>
      <c r="E117" s="111"/>
      <c r="F117" s="112"/>
      <c r="G117" s="166"/>
      <c r="H117" s="166"/>
      <c r="I117" s="166"/>
    </row>
    <row r="118" spans="1:9" x14ac:dyDescent="0.25">
      <c r="A118" s="262"/>
      <c r="B118" s="115"/>
      <c r="C118" s="111"/>
      <c r="D118" s="111"/>
      <c r="E118" s="111"/>
      <c r="F118" s="112"/>
      <c r="G118" s="167"/>
      <c r="H118" s="167"/>
      <c r="I118" s="167"/>
    </row>
    <row r="119" spans="1:9" x14ac:dyDescent="0.25">
      <c r="A119" s="262"/>
      <c r="B119" s="115"/>
      <c r="C119" s="111"/>
      <c r="D119" s="111"/>
      <c r="E119" s="111"/>
      <c r="F119" s="112"/>
      <c r="G119" s="167"/>
      <c r="H119" s="167"/>
      <c r="I119" s="167"/>
    </row>
    <row r="120" spans="1:9" x14ac:dyDescent="0.25">
      <c r="A120" s="262"/>
      <c r="B120" s="115"/>
      <c r="C120" s="111"/>
      <c r="D120" s="111"/>
      <c r="E120" s="111"/>
      <c r="F120" s="112"/>
      <c r="G120" s="166"/>
      <c r="H120" s="166"/>
      <c r="I120" s="166"/>
    </row>
    <row r="121" spans="1:9" s="113" customFormat="1" x14ac:dyDescent="0.25">
      <c r="A121" s="265"/>
      <c r="B121" s="112"/>
      <c r="C121" s="111"/>
      <c r="D121" s="111"/>
      <c r="E121" s="111"/>
      <c r="F121" s="112"/>
      <c r="G121" s="166"/>
      <c r="H121" s="166"/>
      <c r="I121" s="166"/>
    </row>
    <row r="122" spans="1:9" x14ac:dyDescent="0.25">
      <c r="A122" s="262"/>
      <c r="B122" s="115"/>
      <c r="C122" s="111"/>
      <c r="D122" s="111"/>
      <c r="E122" s="111"/>
      <c r="F122" s="112"/>
      <c r="G122" s="165"/>
      <c r="H122" s="165"/>
      <c r="I122" s="165"/>
    </row>
    <row r="123" spans="1:9" x14ac:dyDescent="0.25">
      <c r="A123" s="262"/>
      <c r="B123" s="115"/>
      <c r="C123" s="111"/>
      <c r="D123" s="111"/>
      <c r="E123" s="111"/>
      <c r="F123" s="112"/>
      <c r="G123" s="166"/>
      <c r="H123" s="166"/>
      <c r="I123" s="166"/>
    </row>
    <row r="124" spans="1:9" x14ac:dyDescent="0.25">
      <c r="A124" s="262"/>
      <c r="B124" s="115"/>
      <c r="C124" s="111"/>
      <c r="D124" s="111"/>
      <c r="E124" s="111"/>
      <c r="F124" s="112"/>
      <c r="G124" s="167"/>
      <c r="H124" s="167"/>
      <c r="I124" s="167"/>
    </row>
    <row r="125" spans="1:9" x14ac:dyDescent="0.25">
      <c r="A125" s="262"/>
      <c r="B125" s="115"/>
      <c r="C125" s="111"/>
      <c r="D125" s="111"/>
      <c r="E125" s="111"/>
      <c r="F125" s="112"/>
      <c r="G125" s="167"/>
      <c r="H125" s="167"/>
      <c r="I125" s="167"/>
    </row>
    <row r="126" spans="1:9" x14ac:dyDescent="0.25">
      <c r="A126" s="262"/>
      <c r="B126" s="115"/>
      <c r="C126" s="111"/>
      <c r="D126" s="111"/>
      <c r="E126" s="111"/>
      <c r="F126" s="112"/>
      <c r="G126" s="166"/>
      <c r="H126" s="166"/>
      <c r="I126" s="166"/>
    </row>
    <row r="127" spans="1:9" x14ac:dyDescent="0.25">
      <c r="C127" s="113"/>
      <c r="D127" s="113"/>
      <c r="E127" s="113"/>
      <c r="F127" s="113"/>
      <c r="G127" s="166"/>
      <c r="H127" s="166"/>
      <c r="I127" s="166"/>
    </row>
    <row r="128" spans="1:9" x14ac:dyDescent="0.25">
      <c r="C128" s="111"/>
      <c r="D128" s="111"/>
      <c r="E128" s="111"/>
      <c r="F128" s="112"/>
      <c r="G128" s="165"/>
      <c r="H128" s="165"/>
      <c r="I128" s="165"/>
    </row>
    <row r="129" spans="1:9" x14ac:dyDescent="0.25">
      <c r="C129" s="111"/>
      <c r="D129" s="111"/>
      <c r="E129" s="111"/>
      <c r="F129" s="112"/>
      <c r="G129" s="166"/>
      <c r="H129" s="166"/>
      <c r="I129" s="166"/>
    </row>
    <row r="130" spans="1:9" x14ac:dyDescent="0.25">
      <c r="C130" s="111"/>
      <c r="D130" s="111"/>
      <c r="E130" s="111"/>
      <c r="F130" s="112"/>
      <c r="G130" s="167"/>
      <c r="H130" s="167"/>
      <c r="I130" s="167"/>
    </row>
    <row r="131" spans="1:9" x14ac:dyDescent="0.25">
      <c r="C131" s="111"/>
      <c r="D131" s="111"/>
      <c r="E131" s="111"/>
      <c r="F131" s="112"/>
      <c r="G131" s="167"/>
      <c r="H131" s="167"/>
      <c r="I131" s="167"/>
    </row>
    <row r="132" spans="1:9" x14ac:dyDescent="0.25">
      <c r="C132" s="111"/>
      <c r="D132" s="111"/>
      <c r="E132" s="111"/>
      <c r="F132" s="112"/>
      <c r="G132" s="166"/>
      <c r="H132" s="166"/>
      <c r="I132" s="166"/>
    </row>
    <row r="133" spans="1:9" x14ac:dyDescent="0.25">
      <c r="C133" s="111"/>
      <c r="D133" s="111"/>
      <c r="E133" s="111"/>
      <c r="F133" s="112"/>
    </row>
    <row r="134" spans="1:9" x14ac:dyDescent="0.25">
      <c r="C134" s="111"/>
      <c r="D134" s="111"/>
      <c r="E134" s="111"/>
      <c r="F134" s="112"/>
      <c r="G134" s="165"/>
      <c r="H134" s="165"/>
      <c r="I134" s="165"/>
    </row>
    <row r="135" spans="1:9" x14ac:dyDescent="0.25">
      <c r="C135" s="111"/>
      <c r="D135" s="111"/>
      <c r="E135" s="111"/>
      <c r="F135" s="112"/>
      <c r="G135" s="166"/>
      <c r="H135" s="166"/>
      <c r="I135" s="166"/>
    </row>
    <row r="136" spans="1:9" x14ac:dyDescent="0.25">
      <c r="C136" s="111"/>
      <c r="D136" s="111"/>
      <c r="E136" s="111"/>
      <c r="F136" s="112"/>
      <c r="G136" s="167"/>
      <c r="H136" s="167"/>
      <c r="I136" s="167"/>
    </row>
    <row r="137" spans="1:9" s="94" customFormat="1" x14ac:dyDescent="0.25">
      <c r="A137" s="251"/>
      <c r="B137" s="219"/>
      <c r="C137" s="111"/>
      <c r="D137" s="111"/>
      <c r="E137" s="111"/>
      <c r="F137" s="112"/>
      <c r="G137" s="167"/>
      <c r="H137" s="167"/>
      <c r="I137" s="167"/>
    </row>
    <row r="138" spans="1:9" s="94" customFormat="1" x14ac:dyDescent="0.25">
      <c r="A138" s="251"/>
      <c r="B138" s="219"/>
      <c r="C138" s="111"/>
      <c r="D138" s="111"/>
      <c r="E138" s="111"/>
      <c r="F138" s="112"/>
      <c r="G138" s="166"/>
      <c r="H138" s="166"/>
      <c r="I138" s="166"/>
    </row>
    <row r="139" spans="1:9" s="94" customFormat="1" x14ac:dyDescent="0.25">
      <c r="A139" s="251"/>
      <c r="B139" s="219"/>
      <c r="C139" s="111"/>
      <c r="D139" s="111"/>
      <c r="E139" s="111"/>
      <c r="F139" s="112"/>
      <c r="G139" s="164"/>
      <c r="H139" s="164"/>
      <c r="I139" s="164"/>
    </row>
    <row r="140" spans="1:9" s="94" customFormat="1" x14ac:dyDescent="0.25">
      <c r="A140" s="251"/>
      <c r="B140" s="219"/>
      <c r="C140" s="111"/>
      <c r="D140" s="111"/>
      <c r="E140" s="111"/>
      <c r="F140" s="112"/>
      <c r="G140" s="165"/>
      <c r="H140" s="165"/>
      <c r="I140" s="165"/>
    </row>
    <row r="141" spans="1:9" s="94" customFormat="1" x14ac:dyDescent="0.25">
      <c r="A141" s="251"/>
      <c r="B141" s="219"/>
      <c r="C141" s="111"/>
      <c r="D141" s="111"/>
      <c r="E141" s="111"/>
      <c r="F141" s="112"/>
      <c r="G141" s="166"/>
      <c r="H141" s="166"/>
      <c r="I141" s="166"/>
    </row>
    <row r="142" spans="1:9" s="94" customFormat="1" x14ac:dyDescent="0.25">
      <c r="A142" s="251"/>
      <c r="B142" s="219"/>
      <c r="C142" s="111"/>
      <c r="D142" s="111"/>
      <c r="E142" s="111"/>
      <c r="F142" s="112"/>
      <c r="G142" s="167"/>
      <c r="H142" s="167"/>
      <c r="I142" s="167"/>
    </row>
    <row r="143" spans="1:9" s="94" customFormat="1" x14ac:dyDescent="0.25">
      <c r="A143" s="251"/>
      <c r="B143" s="219"/>
      <c r="C143" s="111"/>
      <c r="D143" s="111"/>
      <c r="E143" s="111"/>
      <c r="F143" s="112"/>
      <c r="G143" s="167"/>
      <c r="H143" s="167"/>
      <c r="I143" s="167"/>
    </row>
    <row r="144" spans="1:9" s="94" customFormat="1" x14ac:dyDescent="0.25">
      <c r="A144" s="251"/>
      <c r="B144" s="219"/>
      <c r="C144" s="111"/>
      <c r="D144" s="111"/>
      <c r="E144" s="111"/>
      <c r="F144" s="112"/>
      <c r="G144" s="166"/>
      <c r="H144" s="166"/>
      <c r="I144" s="166"/>
    </row>
    <row r="145" spans="1:9" s="94" customFormat="1" x14ac:dyDescent="0.25">
      <c r="A145" s="251"/>
      <c r="B145" s="219"/>
      <c r="C145" s="111"/>
      <c r="D145" s="111"/>
      <c r="E145" s="111"/>
      <c r="F145" s="112"/>
      <c r="G145" s="164"/>
      <c r="H145" s="164"/>
      <c r="I145" s="164"/>
    </row>
    <row r="146" spans="1:9" s="94" customFormat="1" x14ac:dyDescent="0.25">
      <c r="A146" s="251"/>
      <c r="B146" s="219"/>
      <c r="C146" s="111"/>
      <c r="D146" s="111"/>
      <c r="E146" s="111"/>
      <c r="F146" s="112"/>
      <c r="G146" s="165"/>
      <c r="H146" s="165"/>
      <c r="I146" s="165"/>
    </row>
    <row r="147" spans="1:9" s="94" customFormat="1" x14ac:dyDescent="0.25">
      <c r="A147" s="251"/>
      <c r="B147" s="219"/>
      <c r="C147" s="111"/>
      <c r="D147" s="111"/>
      <c r="E147" s="111"/>
      <c r="F147" s="112"/>
      <c r="G147" s="166"/>
      <c r="H147" s="166"/>
      <c r="I147" s="166"/>
    </row>
    <row r="148" spans="1:9" s="94" customFormat="1" x14ac:dyDescent="0.25">
      <c r="A148" s="251"/>
      <c r="B148" s="219"/>
      <c r="C148" s="111"/>
      <c r="D148" s="111"/>
      <c r="E148" s="111"/>
      <c r="F148" s="112"/>
      <c r="G148" s="167"/>
      <c r="H148" s="167"/>
      <c r="I148" s="167"/>
    </row>
    <row r="149" spans="1:9" s="94" customFormat="1" x14ac:dyDescent="0.25">
      <c r="A149" s="251"/>
      <c r="B149" s="219"/>
      <c r="C149" s="111"/>
      <c r="D149" s="111"/>
      <c r="E149" s="111"/>
      <c r="F149" s="112"/>
      <c r="G149" s="167"/>
      <c r="H149" s="167"/>
      <c r="I149" s="167"/>
    </row>
    <row r="150" spans="1:9" s="94" customFormat="1" x14ac:dyDescent="0.25">
      <c r="A150" s="251"/>
      <c r="B150" s="219"/>
      <c r="C150" s="111"/>
      <c r="D150" s="111"/>
      <c r="E150" s="111"/>
      <c r="F150" s="112"/>
      <c r="G150" s="166"/>
      <c r="H150" s="166"/>
      <c r="I15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"/>
  <sheetViews>
    <sheetView workbookViewId="0"/>
  </sheetViews>
  <sheetFormatPr defaultColWidth="8.5703125" defaultRowHeight="15" x14ac:dyDescent="0.25"/>
  <cols>
    <col min="1" max="16384" width="8.5703125" style="113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50"/>
  <sheetViews>
    <sheetView zoomScale="90" zoomScaleNormal="90" workbookViewId="0">
      <pane xSplit="4" ySplit="11" topLeftCell="E12" activePane="bottomRight" state="frozen"/>
      <selection pane="topRight" activeCell="E1" sqref="E1"/>
      <selection pane="bottomLeft" activeCell="A15" sqref="A15"/>
      <selection pane="bottomRight" activeCell="A12" sqref="A12"/>
    </sheetView>
  </sheetViews>
  <sheetFormatPr defaultColWidth="8.5703125" defaultRowHeight="15" x14ac:dyDescent="0.25"/>
  <cols>
    <col min="1" max="1" width="2.85546875" style="113" customWidth="1"/>
    <col min="2" max="2" width="11.85546875" style="113" customWidth="1"/>
    <col min="3" max="3" width="19.42578125" style="113" customWidth="1"/>
    <col min="4" max="4" width="14" style="124" customWidth="1"/>
    <col min="5" max="5" width="7" style="113" customWidth="1"/>
    <col min="6" max="8" width="16.7109375" style="124" customWidth="1"/>
    <col min="9" max="9" width="5.85546875" style="124" customWidth="1"/>
    <col min="10" max="12" width="16.5703125" style="124" customWidth="1"/>
    <col min="13" max="13" width="7.5703125" style="124" customWidth="1"/>
    <col min="14" max="14" width="19.28515625" style="124" customWidth="1"/>
    <col min="15" max="15" width="8.5703125" style="113"/>
    <col min="16" max="16" width="9.85546875" style="113" bestFit="1" customWidth="1"/>
    <col min="17" max="16384" width="8.5703125" style="113"/>
  </cols>
  <sheetData>
    <row r="1" spans="1:23" s="15" customFormat="1" ht="12.75" x14ac:dyDescent="0.2">
      <c r="A1" s="15" t="s">
        <v>373</v>
      </c>
      <c r="D1" s="140"/>
      <c r="F1" s="126"/>
      <c r="G1" s="126"/>
      <c r="H1" s="126"/>
      <c r="I1" s="126"/>
      <c r="L1" s="126"/>
      <c r="M1" s="126"/>
      <c r="N1" s="126"/>
    </row>
    <row r="2" spans="1:23" s="15" customFormat="1" ht="12.75" x14ac:dyDescent="0.2">
      <c r="B2" s="15" t="s">
        <v>0</v>
      </c>
      <c r="C2" s="127" t="str">
        <f ca="1">MID(CELL("filename",A1),FIND("]",CELL("filename",A1))+1,256)</f>
        <v>Output_Costs</v>
      </c>
      <c r="D2" s="148"/>
      <c r="F2" s="126"/>
      <c r="G2" s="126"/>
      <c r="H2" s="126"/>
      <c r="I2" s="126"/>
      <c r="L2" s="126"/>
      <c r="M2" s="126"/>
      <c r="N2" s="126"/>
    </row>
    <row r="3" spans="1:23" s="15" customFormat="1" ht="12.75" x14ac:dyDescent="0.2">
      <c r="B3" s="15" t="s">
        <v>1</v>
      </c>
      <c r="C3" s="15" t="s">
        <v>363</v>
      </c>
      <c r="D3" s="140"/>
      <c r="F3" s="126"/>
      <c r="G3" s="126"/>
      <c r="H3" s="126"/>
      <c r="I3" s="126"/>
      <c r="J3" s="128"/>
      <c r="K3" s="128"/>
      <c r="L3" s="126"/>
      <c r="M3" s="126"/>
      <c r="N3" s="126"/>
    </row>
    <row r="4" spans="1:23" s="15" customFormat="1" ht="12.75" x14ac:dyDescent="0.2">
      <c r="D4" s="140"/>
      <c r="F4" s="126"/>
      <c r="G4" s="126"/>
      <c r="H4" s="126"/>
      <c r="I4" s="126"/>
      <c r="J4" s="128"/>
      <c r="L4" s="126"/>
      <c r="M4" s="126"/>
      <c r="N4" s="126"/>
    </row>
    <row r="5" spans="1:23" s="7" customFormat="1" ht="12.75" x14ac:dyDescent="0.2">
      <c r="A5" s="6"/>
      <c r="C5" s="7" t="s">
        <v>3</v>
      </c>
      <c r="J5" s="8"/>
    </row>
    <row r="6" spans="1:23" s="15" customFormat="1" ht="12.75" x14ac:dyDescent="0.2">
      <c r="B6" s="128"/>
      <c r="C6" s="128"/>
      <c r="D6" s="129"/>
      <c r="E6" s="128"/>
      <c r="F6" s="126"/>
      <c r="G6" s="126"/>
      <c r="H6" s="126"/>
      <c r="I6" s="126"/>
      <c r="J6" s="126"/>
      <c r="N6" s="126"/>
    </row>
    <row r="7" spans="1:23" s="15" customFormat="1" ht="12.75" x14ac:dyDescent="0.2">
      <c r="B7" s="128"/>
      <c r="C7" s="128" t="s">
        <v>21</v>
      </c>
      <c r="D7" s="194">
        <f>WACC</f>
        <v>7.647058823529429E-2</v>
      </c>
      <c r="E7" s="128"/>
      <c r="F7" s="126"/>
      <c r="G7" s="126"/>
      <c r="H7" s="126"/>
      <c r="I7" s="126"/>
      <c r="J7" s="126"/>
      <c r="N7" s="126"/>
    </row>
    <row r="8" spans="1:23" s="15" customFormat="1" ht="12.75" x14ac:dyDescent="0.2">
      <c r="B8" s="128"/>
      <c r="C8" s="128" t="s">
        <v>71</v>
      </c>
      <c r="D8" s="193">
        <f>Time_Period</f>
        <v>10</v>
      </c>
      <c r="E8" s="128"/>
      <c r="F8" s="131"/>
      <c r="G8" s="131"/>
      <c r="H8" s="131"/>
      <c r="I8" s="131"/>
      <c r="J8" s="132"/>
      <c r="N8" s="130"/>
    </row>
    <row r="9" spans="1:23" s="15" customFormat="1" ht="12.75" x14ac:dyDescent="0.2">
      <c r="B9" s="128"/>
      <c r="C9" s="128"/>
      <c r="D9" s="128"/>
      <c r="E9" s="128"/>
      <c r="F9" s="126"/>
      <c r="G9" s="126"/>
      <c r="H9" s="126"/>
      <c r="I9" s="126"/>
      <c r="L9" s="133"/>
      <c r="M9" s="133"/>
      <c r="N9" s="126"/>
    </row>
    <row r="10" spans="1:23" s="94" customFormat="1" ht="24.75" customHeight="1" x14ac:dyDescent="0.25">
      <c r="A10" s="108"/>
      <c r="B10" s="108"/>
      <c r="C10" s="109" t="s">
        <v>3</v>
      </c>
      <c r="D10" s="141" t="s">
        <v>72</v>
      </c>
      <c r="E10" s="109"/>
      <c r="F10" s="410" t="s">
        <v>333</v>
      </c>
      <c r="G10" s="410" t="s">
        <v>334</v>
      </c>
      <c r="H10" s="410" t="s">
        <v>335</v>
      </c>
      <c r="I10" s="410"/>
      <c r="J10" s="411" t="s">
        <v>336</v>
      </c>
      <c r="K10" s="411" t="s">
        <v>337</v>
      </c>
      <c r="L10" s="410" t="s">
        <v>338</v>
      </c>
      <c r="M10" s="412"/>
      <c r="N10" s="410" t="s">
        <v>339</v>
      </c>
      <c r="O10" s="124"/>
      <c r="P10" s="124"/>
      <c r="R10" s="124"/>
      <c r="S10" s="124"/>
      <c r="T10" s="124"/>
      <c r="U10" s="124"/>
      <c r="V10" s="124"/>
      <c r="W10" s="124"/>
    </row>
    <row r="11" spans="1:23" s="15" customFormat="1" ht="12.75" x14ac:dyDescent="0.2">
      <c r="D11" s="140" t="s">
        <v>6</v>
      </c>
      <c r="F11" s="142"/>
      <c r="G11" s="142"/>
      <c r="H11" s="142"/>
      <c r="I11" s="142"/>
      <c r="J11" s="129"/>
      <c r="K11" s="129"/>
      <c r="L11" s="129"/>
      <c r="M11" s="129"/>
      <c r="N11" s="139"/>
    </row>
    <row r="12" spans="1:23" s="143" customFormat="1" ht="12.75" x14ac:dyDescent="0.2">
      <c r="C12" s="143" t="str">
        <f>Trigger1</f>
        <v>Delayed Service Activation</v>
      </c>
      <c r="D12" s="144"/>
      <c r="F12" s="146"/>
      <c r="G12" s="146"/>
      <c r="H12" s="146"/>
      <c r="I12" s="146"/>
      <c r="J12" s="145"/>
      <c r="K12" s="145"/>
      <c r="L12" s="145"/>
      <c r="M12" s="145"/>
      <c r="N12" s="147"/>
    </row>
    <row r="14" spans="1:23" s="15" customFormat="1" ht="12.75" x14ac:dyDescent="0.2">
      <c r="C14" s="137" t="s">
        <v>237</v>
      </c>
      <c r="D14" s="158">
        <f>Input_CPs!E15</f>
        <v>50</v>
      </c>
      <c r="E14" s="159"/>
      <c r="F14" s="242">
        <f>INDEX(Calc_CAPEX!$G$46:$K$46,MATCH($C14,Calc_CAPEX!$G$5:$K$5,0))/1000</f>
        <v>10.714888888888888</v>
      </c>
      <c r="G14" s="242">
        <f>D14*F14</f>
        <v>535.74444444444441</v>
      </c>
      <c r="H14" s="242">
        <f>-PMT($D$7,$D$8,G14)</f>
        <v>78.575334959172906</v>
      </c>
      <c r="I14" s="242"/>
      <c r="J14" s="242">
        <f>INDEX(Calc_CAPEX!$G$52:$K$52,MATCH($C14,Calc_CAPEX!$G$5:$K$5,0))/1000</f>
        <v>2</v>
      </c>
      <c r="K14" s="243">
        <f>IFERROR(INDEX(Calc_OPEX!$C$43:$I$47,MATCH(C$12,Calc_OPEX!$C$43:$C$47,0),MATCH($C14,Calc_OPEX!$C$43:$I$43,0)),0)/1000</f>
        <v>-6.5627234451166041</v>
      </c>
      <c r="L14" s="242">
        <f>K14+(J14*D14)</f>
        <v>93.437276554883397</v>
      </c>
      <c r="M14" s="242"/>
      <c r="N14" s="242">
        <f>H14+L14</f>
        <v>172.01261151405629</v>
      </c>
      <c r="P14" s="413"/>
    </row>
    <row r="15" spans="1:23" x14ac:dyDescent="0.25">
      <c r="C15" s="137" t="s">
        <v>238</v>
      </c>
      <c r="D15" s="158">
        <f>Input_CPs!E16</f>
        <v>11</v>
      </c>
      <c r="E15" s="159"/>
      <c r="F15" s="242">
        <f>INDEX(Calc_CAPEX!$G$46:$K$46,MATCH($C15,Calc_CAPEX!$G$5:$K$5,0))/1000</f>
        <v>283.14888888888885</v>
      </c>
      <c r="G15" s="242">
        <f>D15*F15</f>
        <v>3114.6377777777775</v>
      </c>
      <c r="H15" s="242">
        <f t="shared" ref="H15:H18" si="0">-PMT($D$7,$D$8,G15)</f>
        <v>456.81053570077881</v>
      </c>
      <c r="I15" s="242"/>
      <c r="J15" s="242">
        <f>INDEX(Calc_CAPEX!$G$52:$K$52,MATCH($C15,Calc_CAPEX!$G$5:$K$5,0))/1000</f>
        <v>55.2</v>
      </c>
      <c r="K15" s="243">
        <f>IFERROR(INDEX(Calc_OPEX!$C$43:$I$47,MATCH(C$12,Calc_OPEX!$C$43:$C$47,0),MATCH($C15,Calc_OPEX!$C$43:$I$43,0)),0)/1000</f>
        <v>-6.5627234451166041</v>
      </c>
      <c r="L15" s="242">
        <f>K15+(J15*D15)</f>
        <v>600.63727655488344</v>
      </c>
      <c r="M15" s="242"/>
      <c r="N15" s="242">
        <f t="shared" ref="N15:N18" si="1">H15+L15</f>
        <v>1057.4478122556623</v>
      </c>
      <c r="P15" s="413"/>
    </row>
    <row r="16" spans="1:23" x14ac:dyDescent="0.25">
      <c r="C16" s="137" t="s">
        <v>239</v>
      </c>
      <c r="D16" s="158">
        <f>Input_CPs!E17</f>
        <v>3</v>
      </c>
      <c r="E16" s="159"/>
      <c r="F16" s="242">
        <f>INDEX(Calc_CAPEX!$G$46:$K$46,MATCH($C16,Calc_CAPEX!$G$5:$K$5,0))/1000</f>
        <v>754.68055555555554</v>
      </c>
      <c r="G16" s="242">
        <f>D16*F16</f>
        <v>2264.0416666666665</v>
      </c>
      <c r="H16" s="242">
        <f t="shared" si="0"/>
        <v>332.05726006983366</v>
      </c>
      <c r="I16" s="242"/>
      <c r="J16" s="242">
        <f>INDEX(Calc_CAPEX!$G$52:$K$52,MATCH($C16,Calc_CAPEX!$G$5:$K$5,0))/1000</f>
        <v>115.19166666666666</v>
      </c>
      <c r="K16" s="243">
        <f>IFERROR(INDEX(Calc_OPEX!$C$43:$I$47,MATCH(C$12,Calc_OPEX!$C$43:$C$47,0),MATCH($C16,Calc_OPEX!$C$43:$I$43,0)),0)/1000</f>
        <v>-57.10421698997564</v>
      </c>
      <c r="L16" s="242">
        <f>K16+(J16*D16)</f>
        <v>288.47078301002432</v>
      </c>
      <c r="M16" s="242"/>
      <c r="N16" s="242">
        <f t="shared" si="1"/>
        <v>620.52804307985798</v>
      </c>
      <c r="P16" s="413"/>
    </row>
    <row r="17" spans="1:22" x14ac:dyDescent="0.25">
      <c r="C17" s="137" t="s">
        <v>240</v>
      </c>
      <c r="D17" s="158">
        <f>Input_CPs!E18</f>
        <v>2</v>
      </c>
      <c r="E17" s="159"/>
      <c r="F17" s="242">
        <f>INDEX(Calc_CAPEX!$G$46:$K$46,MATCH($C17,Calc_CAPEX!$G$5:$K$5,0))/1000</f>
        <v>716.34722222222229</v>
      </c>
      <c r="G17" s="242">
        <f>D17*F17</f>
        <v>1432.6944444444446</v>
      </c>
      <c r="H17" s="242">
        <f t="shared" si="0"/>
        <v>210.12713623769943</v>
      </c>
      <c r="I17" s="242"/>
      <c r="J17" s="242">
        <f>INDEX(Calc_CAPEX!$G$52:$K$52,MATCH($C17,Calc_CAPEX!$G$5:$K$5,0))/1000</f>
        <v>107.52500000000001</v>
      </c>
      <c r="K17" s="243">
        <f>IFERROR(INDEX(Calc_OPEX!$C$43:$I$47,MATCH(C$12,Calc_OPEX!$C$43:$C$47,0),MATCH($C17,Calc_OPEX!$C$43:$I$43,0)),0)/1000</f>
        <v>-17.046034922380795</v>
      </c>
      <c r="L17" s="242">
        <f>K17+(J17*D17)</f>
        <v>198.00396507761923</v>
      </c>
      <c r="M17" s="242"/>
      <c r="N17" s="242">
        <f t="shared" si="1"/>
        <v>408.13110131531869</v>
      </c>
      <c r="P17" s="413"/>
    </row>
    <row r="18" spans="1:22" x14ac:dyDescent="0.25">
      <c r="C18" s="137" t="s">
        <v>73</v>
      </c>
      <c r="D18" s="158">
        <f>Input_CPs!E19</f>
        <v>5</v>
      </c>
      <c r="E18" s="159"/>
      <c r="F18" s="242">
        <f>INDEX(Calc_CAPEX!$G$46:$K$46,MATCH($C18,Calc_CAPEX!$G$5:$K$5,0))/1000</f>
        <v>241.5</v>
      </c>
      <c r="G18" s="242">
        <f>D18*F18</f>
        <v>1207.5</v>
      </c>
      <c r="H18" s="242">
        <f t="shared" si="0"/>
        <v>177.09883498948744</v>
      </c>
      <c r="I18" s="242"/>
      <c r="J18" s="242">
        <f>INDEX(Calc_CAPEX!$G$52:$K$52,MATCH($C18,Calc_CAPEX!$G$5:$K$5,0))/1000</f>
        <v>48.3</v>
      </c>
      <c r="K18" s="243">
        <f>IFERROR(INDEX(Calc_OPEX!$C$43:$I$47,MATCH(C$12,Calc_OPEX!$C$43:$C$47,0),MATCH($C18,Calc_OPEX!$C$43:$I$43,0)),0)/1000</f>
        <v>0</v>
      </c>
      <c r="L18" s="242">
        <f>K18+(J18*D18)</f>
        <v>241.5</v>
      </c>
      <c r="M18" s="242"/>
      <c r="N18" s="242">
        <f t="shared" si="1"/>
        <v>418.59883498948744</v>
      </c>
      <c r="P18" s="413"/>
    </row>
    <row r="19" spans="1:22" ht="15.75" thickBot="1" x14ac:dyDescent="0.3">
      <c r="A19" s="134"/>
      <c r="B19" s="134"/>
      <c r="C19" s="160"/>
      <c r="D19" s="160"/>
      <c r="E19" s="160"/>
      <c r="F19" s="245"/>
      <c r="G19" s="245"/>
      <c r="H19" s="245"/>
      <c r="I19" s="245"/>
      <c r="J19" s="245"/>
      <c r="K19" s="245"/>
      <c r="L19" s="245"/>
      <c r="M19" s="245"/>
      <c r="N19" s="245"/>
      <c r="O19" s="134"/>
      <c r="R19" s="161"/>
      <c r="S19" s="161"/>
      <c r="U19" s="161"/>
      <c r="V19" s="161"/>
    </row>
    <row r="20" spans="1:22" ht="15.75" thickTop="1" x14ac:dyDescent="0.25">
      <c r="C20" s="162" t="s">
        <v>61</v>
      </c>
      <c r="D20" s="136"/>
      <c r="E20" s="134"/>
      <c r="F20" s="244"/>
      <c r="G20" s="244">
        <f>SUM(G14:G18)</f>
        <v>8554.618333333332</v>
      </c>
      <c r="H20" s="244">
        <f>SUM(H14:H18)</f>
        <v>1254.6691019569721</v>
      </c>
      <c r="I20" s="244"/>
      <c r="J20" s="244"/>
      <c r="K20" s="244">
        <f>SUM(K14:K18)</f>
        <v>-87.275698802589645</v>
      </c>
      <c r="L20" s="244">
        <f>SUM(L14:L18)</f>
        <v>1422.0493011974104</v>
      </c>
      <c r="M20" s="244"/>
      <c r="N20" s="415">
        <f>SUM(N14:N18)</f>
        <v>2676.7184031543825</v>
      </c>
      <c r="P20" s="414"/>
    </row>
    <row r="21" spans="1:22" x14ac:dyDescent="0.25">
      <c r="M21" s="416"/>
    </row>
    <row r="22" spans="1:22" s="143" customFormat="1" ht="12.75" x14ac:dyDescent="0.2">
      <c r="C22" s="143" t="str">
        <f>Trigger2</f>
        <v>Missed Appointment</v>
      </c>
      <c r="D22" s="144"/>
      <c r="F22" s="146"/>
      <c r="G22" s="146"/>
      <c r="H22" s="146"/>
      <c r="I22" s="146"/>
      <c r="J22" s="145"/>
      <c r="K22" s="145"/>
      <c r="L22" s="145"/>
      <c r="M22" s="145"/>
      <c r="N22" s="147"/>
    </row>
    <row r="24" spans="1:22" s="15" customFormat="1" ht="12.75" x14ac:dyDescent="0.2">
      <c r="C24" s="137" t="s">
        <v>237</v>
      </c>
      <c r="D24" s="158">
        <f>Input_CPs!E15</f>
        <v>50</v>
      </c>
      <c r="E24" s="159"/>
      <c r="F24" s="242">
        <f>INDEX(Calc_CAPEX!$G$47:$K$47,MATCH($C24,Calc_CAPEX!$G$5:$K$5,0))/1000</f>
        <v>10.714888888888888</v>
      </c>
      <c r="G24" s="242">
        <f>D24*F24</f>
        <v>535.74444444444441</v>
      </c>
      <c r="H24" s="242">
        <f>-PMT($D$7,$D$8,G24)</f>
        <v>78.575334959172906</v>
      </c>
      <c r="I24" s="242"/>
      <c r="J24" s="242">
        <f>INDEX(Calc_CAPEX!$G$53:$K$53,MATCH($C24,Calc_CAPEX!$G$5:$K$5,0))/1000</f>
        <v>2</v>
      </c>
      <c r="K24" s="243">
        <f>IFERROR(INDEX(Calc_OPEX!$C$43:$I$47,MATCH(C$22,Calc_OPEX!$C$43:$C$47,0),MATCH($C24,Calc_OPEX!$C$43:$I$43,0)),0)/1000</f>
        <v>-1.3653057898292109</v>
      </c>
      <c r="L24" s="242">
        <f>K24+(J24*D24)</f>
        <v>98.634694210170792</v>
      </c>
      <c r="M24" s="242"/>
      <c r="N24" s="242">
        <f>H24+L24</f>
        <v>177.2100291693437</v>
      </c>
    </row>
    <row r="25" spans="1:22" x14ac:dyDescent="0.25">
      <c r="C25" s="137" t="s">
        <v>238</v>
      </c>
      <c r="D25" s="158">
        <f>Input_CPs!E16</f>
        <v>11</v>
      </c>
      <c r="E25" s="159"/>
      <c r="F25" s="242">
        <f>INDEX(Calc_CAPEX!$G$47:$K$47,MATCH($C25,Calc_CAPEX!$G$5:$K$5,0))/1000</f>
        <v>274.52388888888885</v>
      </c>
      <c r="G25" s="242">
        <f>D25*F25</f>
        <v>3019.7627777777775</v>
      </c>
      <c r="H25" s="242">
        <f t="shared" ref="H25:H28" si="2">-PMT($D$7,$D$8,G25)</f>
        <v>442.8956272373191</v>
      </c>
      <c r="I25" s="242"/>
      <c r="J25" s="242">
        <f>INDEX(Calc_CAPEX!$G$53:$K$53,MATCH($C25,Calc_CAPEX!$G$5:$K$5,0))/1000</f>
        <v>53.475000000000001</v>
      </c>
      <c r="K25" s="243">
        <f>IFERROR(INDEX(Calc_OPEX!$C$43:$I$47,MATCH(C$22,Calc_OPEX!$C$43:$C$47,0),MATCH($C25,Calc_OPEX!$C$43:$I$43,0)),0)/1000</f>
        <v>-1.3653057898292109</v>
      </c>
      <c r="L25" s="242">
        <f>K25+(J25*D25)</f>
        <v>586.8596942101708</v>
      </c>
      <c r="M25" s="242"/>
      <c r="N25" s="242">
        <f t="shared" ref="N25:N28" si="3">H25+L25</f>
        <v>1029.7553214474899</v>
      </c>
    </row>
    <row r="26" spans="1:22" x14ac:dyDescent="0.25">
      <c r="C26" s="137" t="s">
        <v>239</v>
      </c>
      <c r="D26" s="158">
        <f>Input_CPs!E17</f>
        <v>3</v>
      </c>
      <c r="E26" s="159"/>
      <c r="F26" s="242">
        <f>INDEX(Calc_CAPEX!$G$47:$K$47,MATCH($C26,Calc_CAPEX!$G$5:$K$5,0))/1000</f>
        <v>737.43055555555554</v>
      </c>
      <c r="G26" s="242">
        <f>D26*F26</f>
        <v>2212.2916666666665</v>
      </c>
      <c r="H26" s="242">
        <f t="shared" si="2"/>
        <v>324.46730999885557</v>
      </c>
      <c r="I26" s="242"/>
      <c r="J26" s="242">
        <f>INDEX(Calc_CAPEX!$G$53:$K$53,MATCH($C26,Calc_CAPEX!$G$5:$K$5,0))/1000</f>
        <v>111.74166666666666</v>
      </c>
      <c r="K26" s="243">
        <f>IFERROR(INDEX(Calc_OPEX!$C$43:$I$47,MATCH(C$22,Calc_OPEX!$C$43:$C$47,0),MATCH($C26,Calc_OPEX!$C$43:$I$43,0)),0)/1000</f>
        <v>-11.879933495916514</v>
      </c>
      <c r="L26" s="242">
        <f>K26+(J26*D26)</f>
        <v>323.34506650408343</v>
      </c>
      <c r="M26" s="242"/>
      <c r="N26" s="242">
        <f t="shared" si="3"/>
        <v>647.81237650293906</v>
      </c>
    </row>
    <row r="27" spans="1:22" x14ac:dyDescent="0.25">
      <c r="C27" s="137" t="s">
        <v>240</v>
      </c>
      <c r="D27" s="158">
        <f>Input_CPs!E18</f>
        <v>2</v>
      </c>
      <c r="E27" s="159"/>
      <c r="F27" s="242">
        <f>INDEX(Calc_CAPEX!$G$47:$K$47,MATCH($C27,Calc_CAPEX!$G$5:$K$5,0))/1000</f>
        <v>699.09722222222229</v>
      </c>
      <c r="G27" s="242">
        <f>D27*F27</f>
        <v>1398.1944444444446</v>
      </c>
      <c r="H27" s="242">
        <f t="shared" si="2"/>
        <v>205.06716952371406</v>
      </c>
      <c r="I27" s="242"/>
      <c r="J27" s="242">
        <f>INDEX(Calc_CAPEX!$G$53:$K$53,MATCH($C27,Calc_CAPEX!$G$5:$K$5,0))/1000</f>
        <v>104.075</v>
      </c>
      <c r="K27" s="243">
        <f>IFERROR(INDEX(Calc_OPEX!$C$43:$I$47,MATCH(C$22,Calc_OPEX!$C$43:$C$47,0),MATCH($C27,Calc_OPEX!$C$43:$I$43,0)),0)/1000</f>
        <v>-3.5462488047511962</v>
      </c>
      <c r="L27" s="242">
        <f>K27+(J27*D27)</f>
        <v>204.6037511952488</v>
      </c>
      <c r="M27" s="242"/>
      <c r="N27" s="242">
        <f t="shared" si="3"/>
        <v>409.67092071896286</v>
      </c>
    </row>
    <row r="28" spans="1:22" x14ac:dyDescent="0.25">
      <c r="C28" s="137" t="s">
        <v>73</v>
      </c>
      <c r="D28" s="158">
        <f>Input_CPs!E19</f>
        <v>5</v>
      </c>
      <c r="E28" s="134"/>
      <c r="F28" s="242">
        <f>INDEX(Calc_CAPEX!$G$47:$K$47,MATCH($C28,Calc_CAPEX!$G$5:$K$5,0))/1000</f>
        <v>232.875</v>
      </c>
      <c r="G28" s="242">
        <f>D28*F28</f>
        <v>1164.375</v>
      </c>
      <c r="H28" s="242">
        <f t="shared" si="2"/>
        <v>170.77387659700574</v>
      </c>
      <c r="I28" s="242"/>
      <c r="J28" s="242">
        <f>INDEX(Calc_CAPEX!$G$53:$K$53,MATCH($C28,Calc_CAPEX!$G$5:$K$5,0))/1000</f>
        <v>46.575000000000003</v>
      </c>
      <c r="K28" s="243">
        <f>IFERROR(INDEX(Calc_OPEX!$C$43:$I$47,MATCH(C$22,Calc_OPEX!$C$43:$C$47,0),MATCH($C28,Calc_OPEX!$C$43:$I$43,0)),0)/1000</f>
        <v>0</v>
      </c>
      <c r="L28" s="242">
        <f>K28+(J28*D28)</f>
        <v>232.875</v>
      </c>
      <c r="M28" s="242"/>
      <c r="N28" s="242">
        <f t="shared" si="3"/>
        <v>403.64887659700571</v>
      </c>
    </row>
    <row r="29" spans="1:22" ht="15.75" thickBot="1" x14ac:dyDescent="0.3">
      <c r="A29" s="134"/>
      <c r="B29" s="134"/>
      <c r="C29" s="160"/>
      <c r="D29" s="160"/>
      <c r="E29" s="160"/>
      <c r="F29" s="245"/>
      <c r="G29" s="245"/>
      <c r="H29" s="245"/>
      <c r="I29" s="245"/>
      <c r="J29" s="245"/>
      <c r="K29" s="245"/>
      <c r="L29" s="245"/>
      <c r="M29" s="245"/>
      <c r="N29" s="245"/>
      <c r="O29" s="134"/>
      <c r="R29" s="161"/>
      <c r="S29" s="161"/>
      <c r="U29" s="161"/>
      <c r="V29" s="161"/>
    </row>
    <row r="30" spans="1:22" ht="15.75" thickTop="1" x14ac:dyDescent="0.25">
      <c r="C30" s="162" t="s">
        <v>61</v>
      </c>
      <c r="D30" s="136"/>
      <c r="E30" s="134"/>
      <c r="F30" s="244"/>
      <c r="G30" s="244">
        <f>SUM(G24:G28)</f>
        <v>8330.368333333332</v>
      </c>
      <c r="H30" s="244">
        <f>SUM(H24:H28)</f>
        <v>1221.7793183160672</v>
      </c>
      <c r="I30" s="244"/>
      <c r="J30" s="244"/>
      <c r="K30" s="244">
        <f>SUM(K24:K28)</f>
        <v>-18.156793880326134</v>
      </c>
      <c r="L30" s="244">
        <f>SUM(L24:L28)</f>
        <v>1446.3182061196737</v>
      </c>
      <c r="M30" s="244"/>
      <c r="N30" s="415">
        <f>SUM(N24:N28)</f>
        <v>2668.097524435741</v>
      </c>
    </row>
    <row r="31" spans="1:22" x14ac:dyDescent="0.25">
      <c r="C31" s="137"/>
      <c r="D31" s="136"/>
      <c r="E31" s="134"/>
      <c r="F31" s="136"/>
      <c r="G31" s="136"/>
      <c r="H31" s="136"/>
      <c r="I31" s="136"/>
      <c r="J31" s="136"/>
      <c r="K31" s="149"/>
      <c r="L31" s="136"/>
      <c r="M31" s="136"/>
      <c r="N31" s="136"/>
    </row>
    <row r="32" spans="1:22" s="143" customFormat="1" ht="12.75" x14ac:dyDescent="0.2">
      <c r="C32" s="143" t="str">
        <f>Trigger3</f>
        <v>Delayed Repair (Fixed)</v>
      </c>
      <c r="D32" s="144"/>
      <c r="F32" s="146"/>
      <c r="G32" s="146"/>
      <c r="H32" s="146"/>
      <c r="I32" s="146"/>
      <c r="J32" s="145"/>
      <c r="K32" s="145"/>
      <c r="L32" s="145"/>
      <c r="M32" s="145"/>
      <c r="N32" s="147"/>
    </row>
    <row r="34" spans="1:22" s="15" customFormat="1" ht="12.75" x14ac:dyDescent="0.2">
      <c r="C34" s="137" t="s">
        <v>237</v>
      </c>
      <c r="D34" s="158">
        <f>Input_CPs!E15</f>
        <v>50</v>
      </c>
      <c r="E34" s="159"/>
      <c r="F34" s="242">
        <f>INDEX(Calc_CAPEX!$G$48:$K$48,MATCH($C34,Calc_CAPEX!$G$5:$K$5,0))/1000</f>
        <v>10.714888888888888</v>
      </c>
      <c r="G34" s="242">
        <f>D34*F34</f>
        <v>535.74444444444441</v>
      </c>
      <c r="H34" s="242">
        <f>-PMT($D$7,$D$8,G34)</f>
        <v>78.575334959172906</v>
      </c>
      <c r="I34" s="242"/>
      <c r="J34" s="242">
        <f>INDEX(Calc_CAPEX!$G$54:$K$54,MATCH($C34,Calc_CAPEX!$G$5:$K$5,0))/1000</f>
        <v>2</v>
      </c>
      <c r="K34" s="243">
        <f>IFERROR(INDEX(Calc_OPEX!$C$43:$I$47,MATCH(C$32,Calc_OPEX!$C$43:$C$47,0),MATCH($C34,Calc_OPEX!$C$43:$I$43,0)),0)/1000</f>
        <v>-39.074879287043309</v>
      </c>
      <c r="L34" s="242">
        <f>K34+(J34*D34)</f>
        <v>60.925120712956691</v>
      </c>
      <c r="M34" s="242"/>
      <c r="N34" s="242">
        <f>H34+L34</f>
        <v>139.50045567212959</v>
      </c>
    </row>
    <row r="35" spans="1:22" x14ac:dyDescent="0.25">
      <c r="C35" s="137" t="s">
        <v>238</v>
      </c>
      <c r="D35" s="158">
        <f>Input_CPs!E16</f>
        <v>11</v>
      </c>
      <c r="E35" s="159"/>
      <c r="F35" s="242">
        <f>INDEX(Calc_CAPEX!$G$48:$K$48,MATCH($C35,Calc_CAPEX!$G$5:$K$5,0))/1000</f>
        <v>274.52388888888885</v>
      </c>
      <c r="G35" s="242">
        <f>D35*F35</f>
        <v>3019.7627777777775</v>
      </c>
      <c r="H35" s="242">
        <f t="shared" ref="H35:H38" si="4">-PMT($D$7,$D$8,G35)</f>
        <v>442.8956272373191</v>
      </c>
      <c r="I35" s="242"/>
      <c r="J35" s="242">
        <f>INDEX(Calc_CAPEX!$G$54:$K$54,MATCH($C35,Calc_CAPEX!$G$5:$K$5,0))/1000</f>
        <v>53.475000000000001</v>
      </c>
      <c r="K35" s="243">
        <f>IFERROR(INDEX(Calc_OPEX!$C$43:$I$47,MATCH(C$32,Calc_OPEX!$C$43:$C$47,0),MATCH($C35,Calc_OPEX!$C$43:$I$43,0)),0)/1000</f>
        <v>-39.074879287043309</v>
      </c>
      <c r="L35" s="242">
        <f>K35+(J35*D35)</f>
        <v>549.15012071295666</v>
      </c>
      <c r="M35" s="242"/>
      <c r="N35" s="242">
        <f t="shared" ref="N35:N38" si="5">H35+L35</f>
        <v>992.04574795027577</v>
      </c>
    </row>
    <row r="36" spans="1:22" x14ac:dyDescent="0.25">
      <c r="C36" s="137" t="s">
        <v>239</v>
      </c>
      <c r="D36" s="158">
        <f>Input_CPs!E17</f>
        <v>3</v>
      </c>
      <c r="E36" s="159"/>
      <c r="F36" s="242">
        <f>INDEX(Calc_CAPEX!$G$48:$K$48,MATCH($C36,Calc_CAPEX!$G$5:$K$5,0))/1000</f>
        <v>722.09722222222229</v>
      </c>
      <c r="G36" s="242">
        <f>D36*F36</f>
        <v>2166.291666666667</v>
      </c>
      <c r="H36" s="242">
        <f t="shared" si="4"/>
        <v>317.72068771354185</v>
      </c>
      <c r="I36" s="242"/>
      <c r="J36" s="242">
        <f>INDEX(Calc_CAPEX!$G$54:$K$54,MATCH($C36,Calc_CAPEX!$G$5:$K$5,0))/1000</f>
        <v>108.675</v>
      </c>
      <c r="K36" s="243">
        <f>IFERROR(INDEX(Calc_OPEX!$C$43:$I$47,MATCH(C$32,Calc_OPEX!$C$43:$C$47,0),MATCH($C36,Calc_OPEX!$C$43:$I$43,0)),0)/1000</f>
        <v>-340.00219639375354</v>
      </c>
      <c r="L36" s="242">
        <f>K36+(J36*D36)</f>
        <v>-13.977196393753559</v>
      </c>
      <c r="M36" s="242"/>
      <c r="N36" s="242">
        <f t="shared" si="5"/>
        <v>303.74349131978829</v>
      </c>
    </row>
    <row r="37" spans="1:22" x14ac:dyDescent="0.25">
      <c r="C37" s="137" t="s">
        <v>240</v>
      </c>
      <c r="D37" s="158">
        <f>Input_CPs!E18</f>
        <v>2</v>
      </c>
      <c r="E37" s="159"/>
      <c r="F37" s="242">
        <f>INDEX(Calc_CAPEX!$G$48:$K$48,MATCH($C37,Calc_CAPEX!$G$5:$K$5,0))/1000</f>
        <v>722.09722222222229</v>
      </c>
      <c r="G37" s="242">
        <f>D37*F37</f>
        <v>1444.1944444444446</v>
      </c>
      <c r="H37" s="242">
        <f t="shared" si="4"/>
        <v>211.81379180902789</v>
      </c>
      <c r="I37" s="242"/>
      <c r="J37" s="242">
        <f>INDEX(Calc_CAPEX!$G$54:$K$54,MATCH($C37,Calc_CAPEX!$G$5:$K$5,0))/1000</f>
        <v>108.675</v>
      </c>
      <c r="K37" s="243">
        <f>IFERROR(INDEX(Calc_OPEX!$C$43:$I$47,MATCH(C$32,Calc_OPEX!$C$43:$C$47,0),MATCH($C37,Calc_OPEX!$C$43:$I$43,0)),0)/1000</f>
        <v>-101.49319295335926</v>
      </c>
      <c r="L37" s="242">
        <f>K37+(J37*D37)</f>
        <v>115.85680704664074</v>
      </c>
      <c r="M37" s="242"/>
      <c r="N37" s="242">
        <f t="shared" si="5"/>
        <v>327.67059885566863</v>
      </c>
    </row>
    <row r="38" spans="1:22" x14ac:dyDescent="0.25">
      <c r="C38" s="137" t="s">
        <v>73</v>
      </c>
      <c r="D38" s="158">
        <f>Input_CPs!E19</f>
        <v>5</v>
      </c>
      <c r="E38" s="159"/>
      <c r="F38" s="242">
        <f>INDEX(Calc_CAPEX!$G$48:$K$48,MATCH($C38,Calc_CAPEX!$G$5:$K$5,0))/1000</f>
        <v>232.875</v>
      </c>
      <c r="G38" s="242">
        <f>D38*F38</f>
        <v>1164.375</v>
      </c>
      <c r="H38" s="242">
        <f t="shared" si="4"/>
        <v>170.77387659700574</v>
      </c>
      <c r="I38" s="242"/>
      <c r="J38" s="242">
        <f>INDEX(Calc_CAPEX!$G$54:$K$54,MATCH($C38,Calc_CAPEX!$G$5:$K$5,0))/1000</f>
        <v>46.575000000000003</v>
      </c>
      <c r="K38" s="243">
        <f>IFERROR(INDEX(Calc_OPEX!$C$43:$I$47,MATCH(C$32,Calc_OPEX!$C$43:$C$47,0),MATCH($C38,Calc_OPEX!$C$43:$I$43,0)),0)/1000</f>
        <v>0</v>
      </c>
      <c r="L38" s="242">
        <f>K38+(J38*D38)</f>
        <v>232.875</v>
      </c>
      <c r="M38" s="242"/>
      <c r="N38" s="242">
        <f t="shared" si="5"/>
        <v>403.64887659700571</v>
      </c>
    </row>
    <row r="39" spans="1:22" ht="15.75" thickBot="1" x14ac:dyDescent="0.3">
      <c r="A39" s="134"/>
      <c r="B39" s="134"/>
      <c r="C39" s="160"/>
      <c r="D39" s="160"/>
      <c r="E39" s="160"/>
      <c r="F39" s="245"/>
      <c r="G39" s="245"/>
      <c r="H39" s="245"/>
      <c r="I39" s="245"/>
      <c r="J39" s="245"/>
      <c r="K39" s="245"/>
      <c r="L39" s="245"/>
      <c r="M39" s="245"/>
      <c r="N39" s="245"/>
      <c r="O39" s="134"/>
      <c r="R39" s="161"/>
      <c r="S39" s="161"/>
      <c r="U39" s="161"/>
      <c r="V39" s="161"/>
    </row>
    <row r="40" spans="1:22" ht="15.75" thickTop="1" x14ac:dyDescent="0.25">
      <c r="C40" s="162" t="s">
        <v>61</v>
      </c>
      <c r="D40" s="136"/>
      <c r="E40" s="134"/>
      <c r="F40" s="244"/>
      <c r="G40" s="244">
        <f>SUM(G34:G38)</f>
        <v>8330.368333333332</v>
      </c>
      <c r="H40" s="244">
        <f>SUM(H34:H38)</f>
        <v>1221.7793183160675</v>
      </c>
      <c r="I40" s="244"/>
      <c r="J40" s="244"/>
      <c r="K40" s="244">
        <f>SUM(K34:K38)</f>
        <v>-519.6451479211994</v>
      </c>
      <c r="L40" s="244">
        <f>SUM(L34:L38)</f>
        <v>944.8298520788004</v>
      </c>
      <c r="M40" s="244"/>
      <c r="N40" s="415">
        <f>SUM(N34:N38)</f>
        <v>2166.6091703948678</v>
      </c>
    </row>
    <row r="42" spans="1:22" s="143" customFormat="1" ht="12.75" x14ac:dyDescent="0.2">
      <c r="C42" s="143" t="s">
        <v>230</v>
      </c>
      <c r="D42" s="144"/>
      <c r="F42" s="143" t="s">
        <v>304</v>
      </c>
      <c r="G42" s="146"/>
      <c r="J42" s="382">
        <f>Input_CAPEX!D60</f>
        <v>3</v>
      </c>
      <c r="K42" s="145"/>
      <c r="L42" s="145"/>
      <c r="M42" s="145"/>
      <c r="N42" s="147"/>
    </row>
    <row r="43" spans="1:22" s="15" customFormat="1" ht="12.75" x14ac:dyDescent="0.2">
      <c r="D43" s="140"/>
      <c r="E43" s="140"/>
      <c r="F43" s="140"/>
      <c r="G43" s="142"/>
      <c r="H43" s="140"/>
      <c r="I43" s="140"/>
      <c r="J43" s="140"/>
      <c r="K43" s="129"/>
      <c r="L43" s="129"/>
      <c r="M43" s="129"/>
      <c r="N43" s="139"/>
    </row>
    <row r="44" spans="1:22" s="15" customFormat="1" ht="12.75" x14ac:dyDescent="0.2">
      <c r="C44" s="137" t="s">
        <v>237</v>
      </c>
      <c r="D44" s="158">
        <f>Input_CPs!E15</f>
        <v>50</v>
      </c>
      <c r="F44" s="242">
        <f>IF($J$42&gt;=2,INDEX(Calc_CAPEX!$G$49:$K$49,MATCH($C44,Calc_CAPEX!$G$5:$K$5,0))/1000,0)</f>
        <v>13.096444444444444</v>
      </c>
      <c r="G44" s="242">
        <f>D44*F44</f>
        <v>654.82222222222219</v>
      </c>
      <c r="H44" s="242">
        <f>-PMT($D$7,$D$8,G44)</f>
        <v>96.039960812242484</v>
      </c>
      <c r="I44" s="242"/>
      <c r="J44" s="242">
        <f>IF($J$42&gt;=2,INDEX(Calc_CAPEX!$G$55:$K$55,MATCH($C44,Calc_CAPEX!$G$5:$K$5,0))/1000,0)</f>
        <v>2.3333333333333335</v>
      </c>
      <c r="K44" s="243">
        <f>IF($J$42&gt;=2,IFERROR(INDEX(Calc_OPEX!$C$43:$I$47,MATCH(C$42,Calc_OPEX!$C$43:$C$47,0),MATCH($C44,Calc_OPEX!$C$43:$I$43,0)),0)/1000,0)</f>
        <v>-47.002908521989127</v>
      </c>
      <c r="L44" s="242">
        <f>K44+(J44*D44)</f>
        <v>69.663758144677544</v>
      </c>
      <c r="M44" s="242"/>
      <c r="N44" s="242">
        <f>H44+L44</f>
        <v>165.70371895692003</v>
      </c>
    </row>
    <row r="45" spans="1:22" x14ac:dyDescent="0.25">
      <c r="C45" s="137" t="s">
        <v>238</v>
      </c>
      <c r="D45" s="158">
        <f>Input_CPs!E16</f>
        <v>11</v>
      </c>
      <c r="E45" s="134"/>
      <c r="F45" s="242">
        <f>IF($J$42&gt;=2,INDEX(Calc_CAPEX!$G$49:$K$49,MATCH($C45,Calc_CAPEX!$G$5:$K$5,0))/1000,0)</f>
        <v>477.17277777777775</v>
      </c>
      <c r="G45" s="242">
        <f>D45*F45</f>
        <v>5248.900555555555</v>
      </c>
      <c r="H45" s="242">
        <f t="shared" ref="H45:H48" si="6">-PMT($D$7,$D$8,G45)</f>
        <v>769.83368394580725</v>
      </c>
      <c r="I45" s="242"/>
      <c r="J45" s="242">
        <f>IF($J$42&gt;=2,INDEX(Calc_CAPEX!$G$55:$K$55,MATCH($C45,Calc_CAPEX!$G$5:$K$5,0))/1000,0)</f>
        <v>92.575000000000003</v>
      </c>
      <c r="K45" s="243">
        <f>IF($J$42&gt;=2,IFERROR(INDEX(Calc_OPEX!$C$43:$I$47,MATCH(C$42,Calc_OPEX!$C$43:$C$47,0),MATCH($C45,Calc_OPEX!$C$43:$I$43,0)),0)/1000,0)</f>
        <v>-47.002908521989127</v>
      </c>
      <c r="L45" s="242">
        <f>K45+(J45*D45)</f>
        <v>971.32209147801086</v>
      </c>
      <c r="M45" s="242"/>
      <c r="N45" s="242">
        <f t="shared" ref="N45:N48" si="7">H45+L45</f>
        <v>1741.1557754238181</v>
      </c>
    </row>
    <row r="46" spans="1:22" x14ac:dyDescent="0.25">
      <c r="C46" s="137" t="s">
        <v>239</v>
      </c>
      <c r="D46" s="158">
        <f>Input_CPs!E17</f>
        <v>3</v>
      </c>
      <c r="E46" s="134"/>
      <c r="F46" s="242">
        <f>IF($J$42&gt;=2,INDEX(Calc_CAPEX!$G$49:$K$49,MATCH($C46,Calc_CAPEX!$G$5:$K$5,0))/1000,0)</f>
        <v>1307.1527777777778</v>
      </c>
      <c r="G46" s="242">
        <f>D46*F46</f>
        <v>3921.4583333333335</v>
      </c>
      <c r="H46" s="242">
        <f t="shared" si="6"/>
        <v>575.14343875209147</v>
      </c>
      <c r="I46" s="242"/>
      <c r="J46" s="242">
        <f>IF($J$42&gt;=2,INDEX(Calc_CAPEX!$G$55:$K$55,MATCH($C46,Calc_CAPEX!$G$5:$K$5,0))/1000,0)</f>
        <v>189.94166666666669</v>
      </c>
      <c r="K46" s="243">
        <f>IF($J$42&gt;=2,IFERROR(INDEX(Calc_OPEX!$C$43:$I$47,MATCH(C$42,Calc_OPEX!$C$43:$C$47,0),MATCH($C46,Calc_OPEX!$C$43:$I$43,0)),0)/1000,0)</f>
        <v>-408.98634687964568</v>
      </c>
      <c r="L46" s="242">
        <f>K46+(J46*D46)</f>
        <v>160.83865312035437</v>
      </c>
      <c r="M46" s="242"/>
      <c r="N46" s="242">
        <f t="shared" si="7"/>
        <v>735.98209187244584</v>
      </c>
    </row>
    <row r="47" spans="1:22" x14ac:dyDescent="0.25">
      <c r="C47" s="137" t="s">
        <v>240</v>
      </c>
      <c r="D47" s="158">
        <f>Input_CPs!E18</f>
        <v>2</v>
      </c>
      <c r="E47" s="134"/>
      <c r="F47" s="242">
        <f>IF($J$42&gt;=2,INDEX(Calc_CAPEX!$G$49:$K$49,MATCH($C47,Calc_CAPEX!$G$5:$K$5,0))/1000,0)</f>
        <v>1268.8194444444446</v>
      </c>
      <c r="G47" s="242">
        <f>D47*F47</f>
        <v>2537.6388888888891</v>
      </c>
      <c r="H47" s="242">
        <f t="shared" si="6"/>
        <v>372.184588692538</v>
      </c>
      <c r="I47" s="242"/>
      <c r="J47" s="242">
        <f>IF($J$42&gt;=2,INDEX(Calc_CAPEX!$G$55:$K$55,MATCH($C47,Calc_CAPEX!$G$5:$K$5,0))/1000,0)</f>
        <v>182.27500000000001</v>
      </c>
      <c r="K47" s="243">
        <f>IF($J$42&gt;=2,IFERROR(INDEX(Calc_OPEX!$C$43:$I$47,MATCH(C$42,Calc_OPEX!$C$43:$C$47,0),MATCH($C47,Calc_OPEX!$C$43:$I$43,0)),0)/1000,0)</f>
        <v>-122.08547668049124</v>
      </c>
      <c r="L47" s="242">
        <f>K47+(J47*D47)</f>
        <v>242.46452331950877</v>
      </c>
      <c r="M47" s="242"/>
      <c r="N47" s="242">
        <f t="shared" si="7"/>
        <v>614.64911201204677</v>
      </c>
    </row>
    <row r="48" spans="1:22" x14ac:dyDescent="0.25">
      <c r="C48" s="137" t="s">
        <v>73</v>
      </c>
      <c r="D48" s="158">
        <f>Input_CPs!E19</f>
        <v>5</v>
      </c>
      <c r="E48" s="134"/>
      <c r="F48" s="242">
        <f>IF($J$42&gt;=2,INDEX(Calc_CAPEX!$G$49:$K$49,MATCH($C48,Calc_CAPEX!$G$5:$K$5,0))/1000,0)</f>
        <v>405.375</v>
      </c>
      <c r="G48" s="242">
        <f>D48*F48</f>
        <v>2026.875</v>
      </c>
      <c r="H48" s="242">
        <f t="shared" si="6"/>
        <v>297.27304444663963</v>
      </c>
      <c r="I48" s="242"/>
      <c r="J48" s="242">
        <f>IF($J$42&gt;=2,INDEX(Calc_CAPEX!$G$55:$K$55,MATCH($C48,Calc_CAPEX!$G$5:$K$5,0))/1000,0)</f>
        <v>81.075000000000003</v>
      </c>
      <c r="K48" s="243">
        <f>IF($J$42&gt;=2,IFERROR(INDEX(Calc_OPEX!$C$43:$I$47,MATCH(C$42,Calc_OPEX!$C$43:$C$47,0),MATCH($C48,Calc_OPEX!$C$43:$I$43,0)),0)/1000,0)</f>
        <v>0</v>
      </c>
      <c r="L48" s="242">
        <f>K48+(J48*D48)</f>
        <v>405.375</v>
      </c>
      <c r="M48" s="242"/>
      <c r="N48" s="242">
        <f t="shared" si="7"/>
        <v>702.64804444663969</v>
      </c>
    </row>
    <row r="49" spans="1:22" ht="15.75" thickBot="1" x14ac:dyDescent="0.3">
      <c r="A49" s="134"/>
      <c r="B49" s="134"/>
      <c r="C49" s="160"/>
      <c r="D49" s="160"/>
      <c r="E49" s="160"/>
      <c r="F49" s="245"/>
      <c r="G49" s="245"/>
      <c r="H49" s="245"/>
      <c r="I49" s="245"/>
      <c r="J49" s="245"/>
      <c r="K49" s="245"/>
      <c r="L49" s="245"/>
      <c r="M49" s="245"/>
      <c r="N49" s="245"/>
      <c r="O49" s="134"/>
      <c r="R49" s="161"/>
      <c r="S49" s="161"/>
      <c r="U49" s="161"/>
      <c r="V49" s="161"/>
    </row>
    <row r="50" spans="1:22" ht="15.75" thickTop="1" x14ac:dyDescent="0.25">
      <c r="C50" s="162" t="s">
        <v>61</v>
      </c>
      <c r="D50" s="136"/>
      <c r="E50" s="134"/>
      <c r="F50" s="244"/>
      <c r="G50" s="244">
        <f>SUM(G44:G48)</f>
        <v>14389.695</v>
      </c>
      <c r="H50" s="244">
        <f>SUM(H44:H48)</f>
        <v>2110.4747166493189</v>
      </c>
      <c r="I50" s="244"/>
      <c r="J50" s="244"/>
      <c r="K50" s="244">
        <f>SUM(K44:K48)</f>
        <v>-625.07764060411523</v>
      </c>
      <c r="L50" s="244">
        <f>SUM(L44:L48)</f>
        <v>1849.6640260625516</v>
      </c>
      <c r="M50" s="244"/>
      <c r="N50" s="415">
        <f>SUM(N44:N48)</f>
        <v>3960.1387427118702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f5fdd486-9037-4cd7-9dfc-a67a084e1a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sultation" ma:contentTypeID="0x010100BE04CA01094ABB41A98FD1178566950D00A29DE5CB2C9BED4FB89C82E4189AE2BF" ma:contentTypeVersion="3" ma:contentTypeDescription="document issued for internal and external comment" ma:contentTypeScope="" ma:versionID="41f4176e5f58258313d735dee4007c6a">
  <xsd:schema xmlns:xsd="http://www.w3.org/2001/XMLSchema" xmlns:xs="http://www.w3.org/2001/XMLSchema" xmlns:p="http://schemas.microsoft.com/office/2006/metadata/properties" xmlns:ns2="f5fdd486-9037-4cd7-9dfc-a67a084e1a40" targetNamespace="http://schemas.microsoft.com/office/2006/metadata/properties" ma:root="true" ma:fieldsID="8ddae5ca4b942b0d2c6d68762c286c35" ns2:_="">
    <xsd:import namespace="f5fdd486-9037-4cd7-9dfc-a67a084e1a40"/>
    <xsd:element name="properties">
      <xsd:complexType>
        <xsd:sequence>
          <xsd:element name="documentManagement">
            <xsd:complexType>
              <xsd:all>
                <xsd:element ref="ns2:Information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dd486-9037-4cd7-9dfc-a67a084e1a40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1" nillable="true" ma:displayName="Information classification" ma:format="Dropdown" ma:internalName="Information_x0020_classification">
      <xsd:simpleType>
        <xsd:restriction base="dms:Choice">
          <xsd:enumeration value="Highly sensitive"/>
          <xsd:enumeration value="Confidential"/>
          <xsd:enumeration value="Prote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2ADFF9-DDDF-4B8B-9EB7-CC0B7A886B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81F0F1-BBE0-4E1D-97D6-C2DA90761D3B}">
  <ds:schemaRefs>
    <ds:schemaRef ds:uri="http://schemas.microsoft.com/office/2006/metadata/properties"/>
    <ds:schemaRef ds:uri="http://schemas.microsoft.com/office/infopath/2007/PartnerControls"/>
    <ds:schemaRef ds:uri="f5fdd486-9037-4cd7-9dfc-a67a084e1a40"/>
  </ds:schemaRefs>
</ds:datastoreItem>
</file>

<file path=customXml/itemProps3.xml><?xml version="1.0" encoding="utf-8"?>
<ds:datastoreItem xmlns:ds="http://schemas.openxmlformats.org/officeDocument/2006/customXml" ds:itemID="{034C3C6D-F1F1-4E93-9A7C-40B7B7FCF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fdd486-9037-4cd7-9dfc-a67a084e1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Admin</vt:lpstr>
      <vt:lpstr>Model_Overview</vt:lpstr>
      <vt:lpstr>Control_Panel</vt:lpstr>
      <vt:lpstr>Inputs---&gt;</vt:lpstr>
      <vt:lpstr>Input_CPs</vt:lpstr>
      <vt:lpstr>Input_Events</vt:lpstr>
      <vt:lpstr>Input_Costs</vt:lpstr>
      <vt:lpstr>Input_CAPEX</vt:lpstr>
      <vt:lpstr>Input_OPEX</vt:lpstr>
      <vt:lpstr>Engine--&gt;</vt:lpstr>
      <vt:lpstr>Calc_CAPEX</vt:lpstr>
      <vt:lpstr>Calc_OPEX</vt:lpstr>
      <vt:lpstr>Outputs--&gt;</vt:lpstr>
      <vt:lpstr>Output_Costs</vt:lpstr>
      <vt:lpstr>CSA_day</vt:lpstr>
      <vt:lpstr>CSA_min</vt:lpstr>
      <vt:lpstr>CSAM_min</vt:lpstr>
      <vt:lpstr>DEV_day</vt:lpstr>
      <vt:lpstr>Fixed_Opex_Percent</vt:lpstr>
      <vt:lpstr>PM_day</vt:lpstr>
      <vt:lpstr>PM_overhead</vt:lpstr>
      <vt:lpstr>Sens_Development</vt:lpstr>
      <vt:lpstr>Sens_Training</vt:lpstr>
      <vt:lpstr>Sens_VarOpex</vt:lpstr>
      <vt:lpstr>SPM_min</vt:lpstr>
      <vt:lpstr>T1_on</vt:lpstr>
      <vt:lpstr>T2_on</vt:lpstr>
      <vt:lpstr>T3_on</vt:lpstr>
      <vt:lpstr>Tech_day</vt:lpstr>
      <vt:lpstr>Time_Period</vt:lpstr>
      <vt:lpstr>TR1_delta</vt:lpstr>
      <vt:lpstr>TR2_delta</vt:lpstr>
      <vt:lpstr>TR3_delta</vt:lpstr>
      <vt:lpstr>Training_Day</vt:lpstr>
      <vt:lpstr>Trigger1</vt:lpstr>
      <vt:lpstr>Trigger2</vt:lpstr>
      <vt:lpstr>Trigger3</vt:lpstr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Rogers, Ben</dc:creator>
  <cp:lastModifiedBy>Swéta Rana</cp:lastModifiedBy>
  <cp:lastPrinted>2016-10-26T14:24:04Z</cp:lastPrinted>
  <dcterms:created xsi:type="dcterms:W3CDTF">2016-08-12T10:27:11Z</dcterms:created>
  <dcterms:modified xsi:type="dcterms:W3CDTF">2017-03-23T16:22:19Z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0x010100BE04CA01094ABB41A98FD1178566950D00A29DE5CB2C9BED4FB89C82E4189AE2BF</vt:lpwstr>
  </property>
</Properties>
</file>