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1.xml" ContentType="application/vnd.openxmlformats-officedocument.drawing+xml"/>
  <Override PartName="/xl/tables/table10.xml" ContentType="application/vnd.openxmlformats-officedocument.spreadsheetml.table+xml"/>
  <Override PartName="/xl/ink/ink1.xml" ContentType="application/inkml+xml"/>
  <Override PartName="/xl/tables/table1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xr:revisionPtr revIDLastSave="0" documentId="8_{AB6A792B-9228-42A0-AEFF-EC77C2AD8B98}" xr6:coauthVersionLast="45" xr6:coauthVersionMax="45" xr10:uidLastSave="{00000000-0000-0000-0000-000000000000}"/>
  <bookViews>
    <workbookView xWindow="48480" yWindow="-120" windowWidth="29040" windowHeight="15840" tabRatio="783" xr2:uid="{00000000-000D-0000-FFFF-FFFF00000000}"/>
  </bookViews>
  <sheets>
    <sheet name="Pricing chart" sheetId="71" r:id="rId1"/>
    <sheet name="USONon-USO" sheetId="68" r:id="rId2"/>
    <sheet name="Volume-Revenue -Product Group" sheetId="65" r:id="rId3"/>
    <sheet name="Volume-Revenue - Format" sheetId="64" r:id="rId4"/>
    <sheet name="Costs" sheetId="69" r:id="rId5"/>
    <sheet name="Letter Prices" sheetId="58" r:id="rId6"/>
    <sheet name="Parcel Prices" sheetId="59" r:id="rId7"/>
    <sheet name="Business prices" sheetId="60" r:id="rId8"/>
    <sheet name="Access Prices" sheetId="61" r:id="rId9"/>
    <sheet name="Parcels Vol and Rev" sheetId="70" r:id="rId10"/>
    <sheet name="Volume-Revenue - Letter typ" sheetId="67" r:id="rId11"/>
    <sheet name="RM 1C PCA" sheetId="62" r:id="rId12"/>
    <sheet name="Complaints" sheetId="63" r:id="rId13"/>
    <sheet name="QoS" sheetId="66" r:id="rId14"/>
  </sheets>
  <externalReferences>
    <externalReference r:id="rId15"/>
    <externalReference r:id="rId16"/>
    <externalReference r:id="rId17"/>
    <externalReference r:id="rId18"/>
  </externalReferences>
  <definedNames>
    <definedName name="_xlnm._FilterDatabase" localSheetId="6" hidden="1">'Parcel Prices'!$K$1:$K$1</definedName>
    <definedName name="_xlnm._FilterDatabase" localSheetId="9" hidden="1">'Parcels Vol and Rev'!$C$1:$C$25</definedName>
    <definedName name="_xlnm._FilterDatabase" localSheetId="11" hidden="1">'RM 1C PCA'!$A$1:$F$728</definedName>
    <definedName name="CIQWBGuid" localSheetId="8" hidden="1">"2019-20 PowerBI interactive data.xlsx"</definedName>
    <definedName name="CIQWBGuid" localSheetId="7" hidden="1">"2019-20 PowerBI interactive data.xlsx"</definedName>
    <definedName name="CIQWBGuid" localSheetId="12" hidden="1">"2019-20 PowerBI interactive data.xlsx"</definedName>
    <definedName name="CIQWBGuid" localSheetId="4" hidden="1">"2019-20 PowerBI interactive data.xlsx"</definedName>
    <definedName name="CIQWBGuid" localSheetId="5" hidden="1">"2019-20 PowerBI interactive data.xlsx"</definedName>
    <definedName name="CIQWBGuid" localSheetId="6" hidden="1">"2019-20 PowerBI interactive data.xlsx"</definedName>
    <definedName name="CIQWBGuid" localSheetId="13" hidden="1">"2019-20 PowerBI interactive data.xlsx"</definedName>
    <definedName name="CIQWBGuid" localSheetId="11" hidden="1">"2019-20 PowerBI interactive data.xlsx"</definedName>
    <definedName name="CIQWBGuid" localSheetId="1" hidden="1">"2019-20 PowerBI interactive data.xlsx"</definedName>
    <definedName name="CIQWBGuid" localSheetId="3" hidden="1">"2019-20 PowerBI interactive data.xlsx"</definedName>
    <definedName name="CIQWBGuid" localSheetId="10" hidden="1">"2019-20 PowerBI interactive data.xlsx"</definedName>
    <definedName name="CIQWBGuid" localSheetId="2" hidden="1">"2019-20 PowerBI interactive data.xlsx"</definedName>
    <definedName name="CIQWBGuid" hidden="1">"1ee1b50f-0b00-48e3-b041-9bcd0f4c6be5"</definedName>
    <definedName name="_xlnm.Criteria" localSheetId="11">'RM 1C PCA'!$B:$B</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localSheetId="8" hidden="1">"05/18/2020 11:05:40"</definedName>
    <definedName name="IQ_NAMES_REVISION_DATE_" localSheetId="7" hidden="1">"05/18/2020 11:05:40"</definedName>
    <definedName name="IQ_NAMES_REVISION_DATE_" localSheetId="12" hidden="1">"05/18/2020 11:05:40"</definedName>
    <definedName name="IQ_NAMES_REVISION_DATE_" localSheetId="4" hidden="1">"05/18/2020 11:05:40"</definedName>
    <definedName name="IQ_NAMES_REVISION_DATE_" localSheetId="5" hidden="1">"05/18/2020 11:05:40"</definedName>
    <definedName name="IQ_NAMES_REVISION_DATE_" localSheetId="6" hidden="1">"05/18/2020 11:05:40"</definedName>
    <definedName name="IQ_NAMES_REVISION_DATE_" localSheetId="13" hidden="1">"05/18/2020 11:05:40"</definedName>
    <definedName name="IQ_NAMES_REVISION_DATE_" localSheetId="11" hidden="1">"05/18/2020 11:05:40"</definedName>
    <definedName name="IQ_NAMES_REVISION_DATE_" localSheetId="1" hidden="1">"05/18/2020 11:05:40"</definedName>
    <definedName name="IQ_NAMES_REVISION_DATE_" localSheetId="3" hidden="1">"05/18/2020 11:05:40"</definedName>
    <definedName name="IQ_NAMES_REVISION_DATE_" localSheetId="10" hidden="1">"05/18/2020 11:05:40"</definedName>
    <definedName name="IQ_NAMES_REVISION_DATE_" localSheetId="2" hidden="1">"05/18/2020 11:05:40"</definedName>
    <definedName name="IQ_NAMES_REVISION_DATE_" hidden="1">44022.3260069444</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 i="64" l="1"/>
  <c r="D31" i="68" l="1"/>
  <c r="D970" i="62" l="1"/>
  <c r="D969" i="62"/>
  <c r="D968" i="62"/>
  <c r="D967" i="62"/>
  <c r="D966" i="62"/>
  <c r="D965" i="62"/>
  <c r="D964" i="62"/>
  <c r="D963" i="62"/>
  <c r="D962" i="62"/>
  <c r="D961" i="62"/>
  <c r="D960" i="62"/>
  <c r="D959" i="62"/>
  <c r="D958" i="62"/>
  <c r="D957" i="62"/>
  <c r="D956" i="62"/>
  <c r="D955" i="62"/>
  <c r="D954" i="62"/>
  <c r="D953" i="62"/>
  <c r="D952" i="62"/>
  <c r="D951" i="62"/>
  <c r="D950" i="62"/>
  <c r="D949" i="62"/>
  <c r="D948" i="62"/>
  <c r="D947" i="62"/>
  <c r="D946" i="62"/>
  <c r="D945" i="62"/>
  <c r="D944" i="62"/>
  <c r="D943" i="62"/>
  <c r="D942" i="62"/>
  <c r="D941" i="62"/>
  <c r="D940" i="62"/>
  <c r="D939" i="62"/>
  <c r="D938" i="62"/>
  <c r="D937" i="62"/>
  <c r="D936" i="62"/>
  <c r="D935" i="62"/>
  <c r="D934" i="62"/>
  <c r="D933" i="62"/>
  <c r="D932" i="62"/>
  <c r="D931" i="62"/>
  <c r="D930" i="62"/>
  <c r="D929" i="62"/>
  <c r="D928" i="62"/>
  <c r="D927" i="62"/>
  <c r="D926" i="62"/>
  <c r="D925" i="62"/>
  <c r="D924" i="62"/>
  <c r="D923" i="62"/>
  <c r="D922" i="62"/>
  <c r="D921" i="62"/>
  <c r="D920" i="62"/>
  <c r="D919" i="62"/>
  <c r="D918" i="62"/>
  <c r="D917" i="62"/>
  <c r="D916" i="62"/>
  <c r="D915" i="62"/>
  <c r="D914" i="62"/>
  <c r="D913" i="62"/>
  <c r="D912" i="62"/>
  <c r="D911" i="62"/>
  <c r="D910" i="62"/>
  <c r="D909" i="62"/>
  <c r="D908" i="62"/>
  <c r="D907" i="62"/>
  <c r="D906" i="62"/>
  <c r="D905" i="62"/>
  <c r="D904" i="62"/>
  <c r="D903" i="62"/>
  <c r="D902" i="62"/>
  <c r="D901" i="62"/>
  <c r="D900" i="62"/>
  <c r="D899" i="62"/>
  <c r="D898" i="62"/>
  <c r="D897" i="62"/>
  <c r="D896" i="62"/>
  <c r="D895" i="62"/>
  <c r="D894" i="62"/>
  <c r="D893" i="62"/>
  <c r="D892" i="62"/>
  <c r="D891" i="62"/>
  <c r="D890" i="62"/>
  <c r="D889" i="62"/>
  <c r="D888" i="62"/>
  <c r="D887" i="62"/>
  <c r="D886" i="62"/>
  <c r="D885" i="62"/>
  <c r="D884" i="62"/>
  <c r="D883" i="62"/>
  <c r="D882" i="62"/>
  <c r="D881" i="62"/>
  <c r="D880" i="62"/>
  <c r="D879" i="62"/>
  <c r="D878" i="62"/>
  <c r="D877" i="62"/>
  <c r="D876" i="62"/>
  <c r="D875" i="62"/>
  <c r="D874" i="62"/>
  <c r="D873" i="62"/>
  <c r="D872" i="62"/>
  <c r="D871" i="62"/>
  <c r="D870" i="62"/>
  <c r="D869" i="62"/>
  <c r="D868" i="62"/>
  <c r="D867" i="62"/>
  <c r="D866" i="62"/>
  <c r="D865" i="62"/>
  <c r="D864" i="62"/>
  <c r="D863" i="62"/>
  <c r="D862" i="62"/>
  <c r="D861" i="62"/>
  <c r="D860" i="62"/>
  <c r="D859" i="62"/>
  <c r="D858" i="62"/>
  <c r="D857" i="62"/>
  <c r="D856" i="62"/>
  <c r="D855" i="62"/>
  <c r="D854" i="62"/>
  <c r="D853" i="62"/>
  <c r="D852" i="62"/>
  <c r="D851" i="62"/>
  <c r="D850" i="62"/>
  <c r="I14" i="71"/>
  <c r="H14" i="71"/>
  <c r="E14" i="71"/>
  <c r="D14" i="71"/>
  <c r="G14" i="71"/>
  <c r="F14" i="71"/>
  <c r="C14" i="71"/>
  <c r="B14" i="71"/>
  <c r="C69" i="61" l="1"/>
  <c r="C70" i="61"/>
  <c r="C71" i="61"/>
  <c r="C72" i="61"/>
  <c r="C73" i="61"/>
  <c r="C74" i="61"/>
  <c r="D74" i="61" s="1"/>
  <c r="C75" i="61"/>
  <c r="D75" i="61" s="1"/>
  <c r="C68" i="61"/>
  <c r="D31" i="60"/>
  <c r="D46" i="60"/>
  <c r="D122" i="60"/>
  <c r="D137" i="60"/>
  <c r="D92" i="60"/>
  <c r="D107" i="60"/>
  <c r="D138" i="60"/>
  <c r="D139" i="60"/>
  <c r="D47" i="60"/>
  <c r="D62" i="60"/>
  <c r="D77" i="60"/>
  <c r="D16" i="60"/>
  <c r="C47" i="60"/>
  <c r="C138" i="60"/>
  <c r="C139" i="60"/>
  <c r="C16" i="60"/>
  <c r="C31" i="60"/>
  <c r="D117" i="63"/>
  <c r="D116" i="63"/>
  <c r="D115" i="63"/>
  <c r="D114" i="63"/>
  <c r="D113" i="63"/>
  <c r="D112" i="63"/>
  <c r="D111" i="63"/>
  <c r="D110" i="63"/>
  <c r="D109" i="63"/>
  <c r="D108" i="63"/>
  <c r="D107" i="63"/>
  <c r="D106" i="63"/>
  <c r="D105" i="63"/>
  <c r="D104" i="63"/>
  <c r="D103" i="63"/>
  <c r="C119" i="63" s="1"/>
  <c r="G123" i="59"/>
  <c r="G122" i="59"/>
  <c r="G111" i="59"/>
  <c r="G110" i="59"/>
  <c r="G99" i="59"/>
  <c r="G98" i="59"/>
  <c r="G55" i="59"/>
  <c r="G83" i="59"/>
  <c r="G82" i="59"/>
  <c r="G67" i="59"/>
  <c r="G54" i="59"/>
  <c r="G17" i="59"/>
  <c r="G43" i="59"/>
  <c r="G42" i="59"/>
  <c r="G16" i="59"/>
  <c r="G66" i="59"/>
  <c r="F17" i="59"/>
  <c r="F54" i="59"/>
  <c r="F55" i="59"/>
  <c r="F82" i="59"/>
  <c r="F83" i="59"/>
  <c r="F110" i="59"/>
  <c r="F111" i="59"/>
  <c r="F124" i="59"/>
  <c r="F125" i="59"/>
  <c r="F20" i="59"/>
  <c r="F21" i="59"/>
  <c r="F24" i="59"/>
  <c r="F25" i="59"/>
  <c r="F42" i="59"/>
  <c r="H42" i="59" s="1"/>
  <c r="I42" i="59" s="1"/>
  <c r="F43" i="59"/>
  <c r="F66" i="59"/>
  <c r="H66" i="59" s="1"/>
  <c r="I66" i="59" s="1"/>
  <c r="F67" i="59"/>
  <c r="F98" i="59"/>
  <c r="F99" i="59"/>
  <c r="F122" i="59"/>
  <c r="H122" i="59" s="1"/>
  <c r="I122" i="59" s="1"/>
  <c r="F123" i="59"/>
  <c r="F18" i="59"/>
  <c r="F19" i="59"/>
  <c r="F22" i="59"/>
  <c r="F23" i="59"/>
  <c r="F26" i="59"/>
  <c r="F27" i="59"/>
  <c r="F16" i="59"/>
  <c r="H105" i="58"/>
  <c r="H92" i="58"/>
  <c r="H79" i="58"/>
  <c r="H66" i="58"/>
  <c r="H53" i="58"/>
  <c r="H40" i="58"/>
  <c r="H27" i="58"/>
  <c r="H14" i="58"/>
  <c r="E155" i="66"/>
  <c r="E154" i="66"/>
  <c r="E153" i="66"/>
  <c r="E152" i="66"/>
  <c r="E151" i="66"/>
  <c r="E148" i="66"/>
  <c r="E150" i="66"/>
  <c r="E149" i="66"/>
  <c r="E147" i="66"/>
  <c r="E146" i="66"/>
  <c r="E145" i="66"/>
  <c r="E144" i="66"/>
  <c r="E143" i="66"/>
  <c r="E142" i="66"/>
  <c r="H82" i="59" l="1"/>
  <c r="I82" i="59" s="1"/>
  <c r="H123" i="59"/>
  <c r="I123" i="59" s="1"/>
  <c r="H16" i="59"/>
  <c r="I16" i="59" s="1"/>
  <c r="H19" i="59"/>
  <c r="H17" i="59"/>
  <c r="I17" i="59" s="1"/>
  <c r="H111" i="59"/>
  <c r="I111" i="59" s="1"/>
  <c r="H98" i="59"/>
  <c r="I98" i="59" s="1"/>
  <c r="H110" i="59"/>
  <c r="I110" i="59" s="1"/>
  <c r="H43" i="59"/>
  <c r="I43" i="59" s="1"/>
  <c r="H24" i="59"/>
  <c r="H54" i="59"/>
  <c r="I54" i="59" s="1"/>
  <c r="H67" i="59"/>
  <c r="I67" i="59" s="1"/>
  <c r="H124" i="59"/>
  <c r="H18" i="59"/>
  <c r="H27" i="59"/>
  <c r="H26" i="59"/>
  <c r="H55" i="59"/>
  <c r="I55" i="59" s="1"/>
  <c r="H21" i="59"/>
  <c r="H22" i="59"/>
  <c r="H99" i="59"/>
  <c r="I99" i="59" s="1"/>
  <c r="H20" i="59"/>
  <c r="H125" i="59"/>
  <c r="H23" i="59"/>
  <c r="H83" i="59"/>
  <c r="I83" i="59" s="1"/>
  <c r="H25" i="59"/>
  <c r="D2" i="67" l="1"/>
  <c r="D6" i="67"/>
  <c r="D10" i="67"/>
  <c r="D14" i="67"/>
  <c r="D18" i="67"/>
  <c r="D3" i="67"/>
  <c r="D7" i="67"/>
  <c r="D11" i="67"/>
  <c r="D15" i="67"/>
  <c r="D19" i="67"/>
  <c r="D5" i="67"/>
  <c r="D9" i="67"/>
  <c r="D13" i="67"/>
  <c r="D17" i="67"/>
  <c r="D20" i="67"/>
  <c r="D21" i="67"/>
  <c r="C21" i="67"/>
  <c r="C20" i="67"/>
  <c r="C19" i="67"/>
  <c r="C18" i="67"/>
  <c r="D71" i="61" l="1"/>
  <c r="D72" i="61"/>
  <c r="D73" i="61"/>
  <c r="D70" i="61"/>
  <c r="D69" i="61"/>
  <c r="D68" i="61"/>
  <c r="C77" i="60"/>
  <c r="C62" i="60"/>
  <c r="C137" i="60"/>
  <c r="C92" i="60"/>
  <c r="C107" i="60"/>
  <c r="C122" i="60"/>
  <c r="G105" i="58"/>
  <c r="I105" i="58" s="1"/>
  <c r="J105" i="58" s="1"/>
  <c r="G92" i="58"/>
  <c r="I92" i="58" s="1"/>
  <c r="J92" i="58" s="1"/>
  <c r="G79" i="58"/>
  <c r="I79" i="58" s="1"/>
  <c r="J79" i="58" s="1"/>
  <c r="G66" i="58"/>
  <c r="I66" i="58" s="1"/>
  <c r="J66" i="58" s="1"/>
  <c r="G53" i="58"/>
  <c r="I53" i="58" s="1"/>
  <c r="J53" i="58" s="1"/>
  <c r="G40" i="58"/>
  <c r="I40" i="58" s="1"/>
  <c r="J40" i="58" s="1"/>
  <c r="G27" i="58"/>
  <c r="I27" i="58" s="1"/>
  <c r="J27" i="58" s="1"/>
  <c r="G14" i="58"/>
  <c r="I14" i="58" s="1"/>
  <c r="J14" i="58" s="1"/>
  <c r="D31" i="64" l="1"/>
  <c r="D30" i="64"/>
  <c r="D29" i="64"/>
  <c r="C31" i="64"/>
  <c r="C30" i="64"/>
  <c r="C29" i="64"/>
  <c r="D41" i="65"/>
  <c r="D40" i="65"/>
  <c r="D39" i="65"/>
  <c r="D38" i="65"/>
  <c r="C41" i="65"/>
  <c r="C40" i="65"/>
  <c r="C39" i="65"/>
  <c r="C38" i="65"/>
  <c r="E25" i="70" l="1"/>
  <c r="E24" i="70"/>
  <c r="E23" i="70"/>
  <c r="E22" i="70"/>
  <c r="E21" i="70"/>
  <c r="E20" i="70"/>
  <c r="E19" i="70"/>
  <c r="E18" i="70"/>
  <c r="E17" i="70"/>
  <c r="E16" i="70"/>
  <c r="E15" i="70"/>
  <c r="E14" i="70"/>
  <c r="E13" i="70"/>
  <c r="E12" i="70"/>
  <c r="E11" i="70"/>
  <c r="E10" i="70"/>
  <c r="E9" i="70"/>
  <c r="E8" i="70"/>
  <c r="E7" i="70"/>
  <c r="E6" i="70"/>
  <c r="E5" i="70"/>
  <c r="E4" i="70"/>
  <c r="E3" i="70"/>
  <c r="E2" i="70"/>
  <c r="E37" i="70"/>
  <c r="E36" i="70"/>
  <c r="E35" i="70"/>
  <c r="E34" i="70"/>
  <c r="E33" i="70"/>
  <c r="E32" i="70"/>
  <c r="E31" i="70"/>
  <c r="E30" i="70"/>
  <c r="E29" i="70"/>
  <c r="E28" i="70"/>
  <c r="E27" i="70"/>
  <c r="E26" i="70"/>
  <c r="D37" i="70"/>
  <c r="D36" i="70"/>
  <c r="D35" i="70"/>
  <c r="D34" i="70"/>
  <c r="D33" i="70"/>
  <c r="D32" i="70"/>
  <c r="D31" i="70"/>
  <c r="D30" i="70"/>
  <c r="D29" i="70"/>
  <c r="D28" i="70"/>
  <c r="D27" i="70"/>
  <c r="D26" i="70"/>
  <c r="C46" i="60"/>
  <c r="C41" i="69"/>
  <c r="C40" i="69"/>
  <c r="C39" i="69"/>
  <c r="C38" i="69"/>
  <c r="C31" i="68"/>
  <c r="D30" i="68"/>
  <c r="C30" i="68"/>
  <c r="D29" i="68"/>
  <c r="C29" i="68"/>
  <c r="D28" i="64" l="1"/>
  <c r="D27" i="64"/>
  <c r="D26" i="64"/>
  <c r="D25" i="64"/>
  <c r="D24" i="64"/>
  <c r="D23" i="64"/>
  <c r="C28" i="64"/>
  <c r="C27" i="64"/>
  <c r="C26" i="64"/>
  <c r="C25" i="64"/>
  <c r="C24" i="64"/>
  <c r="C23" i="64"/>
  <c r="D37" i="65"/>
  <c r="D36" i="65"/>
  <c r="D35" i="65"/>
  <c r="D34" i="65"/>
  <c r="D33" i="65"/>
  <c r="D32" i="65"/>
  <c r="D31" i="65"/>
  <c r="D30" i="65"/>
  <c r="D29" i="65"/>
  <c r="D28" i="65"/>
  <c r="D27" i="65"/>
  <c r="D26" i="65"/>
  <c r="C37" i="65"/>
  <c r="C36" i="65"/>
  <c r="C35" i="65"/>
  <c r="C34" i="65"/>
  <c r="C28" i="65"/>
  <c r="C29" i="65"/>
  <c r="C27" i="65"/>
  <c r="C26" i="65"/>
  <c r="C33" i="65"/>
  <c r="C32" i="65"/>
  <c r="C31" i="65"/>
  <c r="C30" i="65"/>
  <c r="C2" i="67" l="1"/>
  <c r="C3" i="67"/>
  <c r="C4" i="67"/>
  <c r="D4" i="67"/>
  <c r="C5" i="67"/>
  <c r="C6" i="67"/>
  <c r="C7" i="67"/>
  <c r="C8" i="67"/>
  <c r="D8" i="67"/>
  <c r="C9" i="67"/>
  <c r="C10" i="67"/>
  <c r="C11" i="67"/>
  <c r="C12" i="67"/>
  <c r="D12" i="67"/>
  <c r="C13" i="67"/>
  <c r="C14" i="67"/>
  <c r="C15" i="67"/>
  <c r="C16" i="67"/>
  <c r="D16" i="67"/>
  <c r="C17" i="67"/>
  <c r="C2" i="64"/>
  <c r="D2" i="64"/>
  <c r="C3" i="64"/>
  <c r="D3" i="64"/>
  <c r="C4" i="64"/>
  <c r="D4" i="64"/>
  <c r="C5" i="64"/>
  <c r="D5" i="64"/>
  <c r="C6" i="64"/>
  <c r="D6" i="64"/>
  <c r="C7" i="64"/>
  <c r="D7" i="64"/>
  <c r="C8" i="64"/>
  <c r="D8" i="64"/>
  <c r="C9" i="64"/>
  <c r="D9" i="64"/>
  <c r="C10" i="64"/>
  <c r="D10" i="64"/>
  <c r="D11" i="64"/>
  <c r="C12" i="64"/>
  <c r="D12" i="64"/>
  <c r="C13" i="64"/>
  <c r="D13" i="64"/>
  <c r="C14" i="64"/>
  <c r="D14" i="64"/>
  <c r="C15" i="64"/>
  <c r="D15" i="64"/>
  <c r="C16" i="64"/>
  <c r="D16" i="64"/>
  <c r="C17" i="64"/>
  <c r="D17" i="64"/>
  <c r="C18" i="64"/>
  <c r="D18" i="64"/>
  <c r="C19" i="64"/>
  <c r="D19" i="64"/>
  <c r="C20" i="64"/>
  <c r="D20" i="64"/>
  <c r="C21" i="64"/>
  <c r="D21" i="64"/>
  <c r="C22" i="64"/>
  <c r="D22" i="64"/>
  <c r="C2" i="65"/>
  <c r="D2" i="65"/>
  <c r="C3" i="65"/>
  <c r="D3" i="65"/>
  <c r="C4" i="65"/>
  <c r="D4" i="65"/>
  <c r="C5" i="65"/>
  <c r="D5" i="65"/>
  <c r="C6" i="65"/>
  <c r="D6" i="65"/>
  <c r="C7" i="65"/>
  <c r="D7" i="65"/>
  <c r="C8" i="65"/>
  <c r="D8" i="65"/>
  <c r="C9" i="65"/>
  <c r="D9" i="65"/>
  <c r="C10" i="65"/>
  <c r="D10" i="65"/>
  <c r="C11" i="65"/>
  <c r="D11" i="65"/>
  <c r="C12" i="65"/>
  <c r="D12" i="65"/>
  <c r="C13" i="65"/>
  <c r="D13" i="65"/>
  <c r="C14" i="65"/>
  <c r="D14" i="65"/>
  <c r="C15" i="65"/>
  <c r="D15" i="65"/>
  <c r="C16" i="65"/>
  <c r="D16" i="65"/>
  <c r="C17" i="65"/>
  <c r="D17" i="65"/>
  <c r="C18" i="65"/>
  <c r="D18" i="65"/>
  <c r="C19" i="65"/>
  <c r="D19" i="65"/>
  <c r="C20" i="65"/>
  <c r="D20" i="65"/>
  <c r="C21" i="65"/>
  <c r="D21" i="65"/>
  <c r="C22" i="65"/>
  <c r="D22" i="65"/>
  <c r="C23" i="65"/>
  <c r="D23" i="65"/>
  <c r="C24" i="65"/>
  <c r="D24" i="65"/>
  <c r="C25" i="65"/>
  <c r="D25" i="65"/>
  <c r="D119" i="63"/>
  <c r="E119" i="63"/>
  <c r="D2" i="70"/>
  <c r="D3" i="70"/>
  <c r="D4" i="70"/>
  <c r="D5" i="70"/>
  <c r="D6" i="70"/>
  <c r="D7" i="70"/>
  <c r="D8" i="70"/>
  <c r="D9" i="70"/>
  <c r="D10" i="70"/>
  <c r="D11" i="70"/>
  <c r="D12" i="70"/>
  <c r="D13" i="70"/>
  <c r="D14" i="70"/>
  <c r="D15" i="70"/>
  <c r="D16" i="70"/>
  <c r="D17" i="70"/>
  <c r="D18" i="70"/>
  <c r="D19" i="70"/>
  <c r="D20" i="70"/>
  <c r="D21" i="70"/>
  <c r="D22" i="70"/>
  <c r="D23" i="70"/>
  <c r="D24" i="70"/>
  <c r="D25" i="70"/>
  <c r="D2" i="61"/>
  <c r="D3" i="61"/>
  <c r="D4" i="61"/>
  <c r="E72" i="61" s="1"/>
  <c r="D5" i="61"/>
  <c r="D6" i="61"/>
  <c r="D7" i="61"/>
  <c r="D8" i="61"/>
  <c r="D9" i="61"/>
  <c r="D10" i="61"/>
  <c r="D11" i="61"/>
  <c r="D12" i="61"/>
  <c r="D13" i="61"/>
  <c r="D14" i="61"/>
  <c r="D15" i="61"/>
  <c r="D16" i="61"/>
  <c r="D17" i="61"/>
  <c r="D18" i="61"/>
  <c r="E74" i="61" s="1"/>
  <c r="D19" i="61"/>
  <c r="E75" i="61" s="1"/>
  <c r="D20" i="61"/>
  <c r="D21" i="61"/>
  <c r="D22" i="61"/>
  <c r="D23" i="61"/>
  <c r="D24" i="61"/>
  <c r="D25" i="61"/>
  <c r="D26" i="61"/>
  <c r="D27" i="61"/>
  <c r="D28" i="61"/>
  <c r="D29" i="61"/>
  <c r="D30" i="61"/>
  <c r="D31" i="61"/>
  <c r="D32" i="61"/>
  <c r="D33" i="61"/>
  <c r="D34" i="61"/>
  <c r="D35" i="61"/>
  <c r="D36" i="61"/>
  <c r="D37" i="61"/>
  <c r="D38" i="61"/>
  <c r="D39" i="61"/>
  <c r="D40" i="61"/>
  <c r="D41" i="61"/>
  <c r="D42" i="61"/>
  <c r="D43" i="61"/>
  <c r="D44" i="61"/>
  <c r="D45" i="61"/>
  <c r="D46" i="61"/>
  <c r="D47" i="61"/>
  <c r="D48" i="61"/>
  <c r="D49" i="61"/>
  <c r="D50" i="61"/>
  <c r="D51" i="61"/>
  <c r="D52" i="61"/>
  <c r="D53" i="61"/>
  <c r="D54" i="61"/>
  <c r="D55" i="61"/>
  <c r="D56" i="61"/>
  <c r="D57" i="61"/>
  <c r="D58" i="61"/>
  <c r="D59" i="61"/>
  <c r="D60" i="61"/>
  <c r="D61" i="61"/>
  <c r="D62" i="61"/>
  <c r="D63" i="61"/>
  <c r="D64" i="61"/>
  <c r="D65" i="61"/>
  <c r="D66" i="61"/>
  <c r="D67" i="61"/>
  <c r="C17" i="60"/>
  <c r="E17" i="60"/>
  <c r="F17" i="60" s="1"/>
  <c r="G17" i="60" s="1"/>
  <c r="C18" i="60"/>
  <c r="E18" i="60"/>
  <c r="F18" i="60" s="1"/>
  <c r="G18" i="60" s="1"/>
  <c r="C19" i="60"/>
  <c r="E19" i="60"/>
  <c r="F19" i="60" s="1"/>
  <c r="G19" i="60" s="1"/>
  <c r="C20" i="60"/>
  <c r="E20" i="60"/>
  <c r="F20" i="60" s="1"/>
  <c r="G20" i="60" s="1"/>
  <c r="C21" i="60"/>
  <c r="E21" i="60"/>
  <c r="F21" i="60" s="1"/>
  <c r="G21" i="60" s="1"/>
  <c r="C22" i="60"/>
  <c r="E22" i="60"/>
  <c r="F22" i="60" s="1"/>
  <c r="G22" i="60" s="1"/>
  <c r="C23" i="60"/>
  <c r="E23" i="60"/>
  <c r="F23" i="60" s="1"/>
  <c r="G23" i="60" s="1"/>
  <c r="C24" i="60"/>
  <c r="E24" i="60"/>
  <c r="F24" i="60" s="1"/>
  <c r="G24" i="60" s="1"/>
  <c r="C25" i="60"/>
  <c r="E25" i="60"/>
  <c r="F25" i="60" s="1"/>
  <c r="G25" i="60" s="1"/>
  <c r="C26" i="60"/>
  <c r="E26" i="60"/>
  <c r="F26" i="60" s="1"/>
  <c r="G26" i="60" s="1"/>
  <c r="C27" i="60"/>
  <c r="E27" i="60"/>
  <c r="F27" i="60" s="1"/>
  <c r="G27" i="60" s="1"/>
  <c r="C28" i="60"/>
  <c r="E28" i="60"/>
  <c r="F28" i="60" s="1"/>
  <c r="G28" i="60" s="1"/>
  <c r="C29" i="60"/>
  <c r="E29" i="60"/>
  <c r="F29" i="60" s="1"/>
  <c r="G29" i="60" s="1"/>
  <c r="C30" i="60"/>
  <c r="E30" i="60"/>
  <c r="F30" i="60" s="1"/>
  <c r="G30" i="60" s="1"/>
  <c r="C2" i="60"/>
  <c r="E2" i="60"/>
  <c r="F2" i="60" s="1"/>
  <c r="G2" i="60" s="1"/>
  <c r="C3" i="60"/>
  <c r="E3" i="60"/>
  <c r="F3" i="60" s="1"/>
  <c r="G3" i="60" s="1"/>
  <c r="C4" i="60"/>
  <c r="E4" i="60"/>
  <c r="F4" i="60" s="1"/>
  <c r="G4" i="60" s="1"/>
  <c r="C5" i="60"/>
  <c r="E5" i="60"/>
  <c r="F5" i="60" s="1"/>
  <c r="G5" i="60" s="1"/>
  <c r="C6" i="60"/>
  <c r="E6" i="60"/>
  <c r="F6" i="60" s="1"/>
  <c r="G6" i="60" s="1"/>
  <c r="C7" i="60"/>
  <c r="E7" i="60"/>
  <c r="F7" i="60" s="1"/>
  <c r="G7" i="60" s="1"/>
  <c r="C8" i="60"/>
  <c r="E8" i="60"/>
  <c r="F8" i="60" s="1"/>
  <c r="G8" i="60" s="1"/>
  <c r="C9" i="60"/>
  <c r="E9" i="60"/>
  <c r="F9" i="60" s="1"/>
  <c r="G9" i="60" s="1"/>
  <c r="C10" i="60"/>
  <c r="E10" i="60"/>
  <c r="F10" i="60" s="1"/>
  <c r="G10" i="60" s="1"/>
  <c r="C11" i="60"/>
  <c r="E11" i="60"/>
  <c r="F11" i="60" s="1"/>
  <c r="G11" i="60" s="1"/>
  <c r="C12" i="60"/>
  <c r="E12" i="60"/>
  <c r="F12" i="60" s="1"/>
  <c r="G12" i="60" s="1"/>
  <c r="C13" i="60"/>
  <c r="E13" i="60"/>
  <c r="F13" i="60" s="1"/>
  <c r="G13" i="60" s="1"/>
  <c r="C14" i="60"/>
  <c r="E14" i="60"/>
  <c r="F14" i="60" s="1"/>
  <c r="G14" i="60" s="1"/>
  <c r="C15" i="60"/>
  <c r="E15" i="60"/>
  <c r="F15" i="60" s="1"/>
  <c r="G15" i="60" s="1"/>
  <c r="C32" i="60"/>
  <c r="E32" i="60"/>
  <c r="F32" i="60" s="1"/>
  <c r="G32" i="60" s="1"/>
  <c r="C33" i="60"/>
  <c r="E33" i="60"/>
  <c r="F33" i="60" s="1"/>
  <c r="G33" i="60" s="1"/>
  <c r="C34" i="60"/>
  <c r="E34" i="60"/>
  <c r="F34" i="60" s="1"/>
  <c r="G34" i="60" s="1"/>
  <c r="C35" i="60"/>
  <c r="E35" i="60"/>
  <c r="F35" i="60" s="1"/>
  <c r="G35" i="60" s="1"/>
  <c r="C36" i="60"/>
  <c r="E36" i="60"/>
  <c r="F36" i="60" s="1"/>
  <c r="G36" i="60" s="1"/>
  <c r="C37" i="60"/>
  <c r="E37" i="60"/>
  <c r="F37" i="60" s="1"/>
  <c r="G37" i="60" s="1"/>
  <c r="C38" i="60"/>
  <c r="E38" i="60"/>
  <c r="F38" i="60" s="1"/>
  <c r="G38" i="60" s="1"/>
  <c r="C39" i="60"/>
  <c r="E39" i="60"/>
  <c r="F39" i="60" s="1"/>
  <c r="G39" i="60" s="1"/>
  <c r="C40" i="60"/>
  <c r="E40" i="60"/>
  <c r="F40" i="60" s="1"/>
  <c r="G40" i="60" s="1"/>
  <c r="C41" i="60"/>
  <c r="E41" i="60"/>
  <c r="F41" i="60" s="1"/>
  <c r="G41" i="60" s="1"/>
  <c r="C42" i="60"/>
  <c r="E42" i="60"/>
  <c r="F42" i="60" s="1"/>
  <c r="G42" i="60" s="1"/>
  <c r="C43" i="60"/>
  <c r="E43" i="60"/>
  <c r="F43" i="60" s="1"/>
  <c r="G43" i="60" s="1"/>
  <c r="C44" i="60"/>
  <c r="E44" i="60"/>
  <c r="F44" i="60" s="1"/>
  <c r="G44" i="60" s="1"/>
  <c r="C45" i="60"/>
  <c r="E45" i="60"/>
  <c r="F45" i="60" s="1"/>
  <c r="G45" i="60" s="1"/>
  <c r="C108" i="60"/>
  <c r="C109" i="60"/>
  <c r="C110" i="60"/>
  <c r="C111" i="60"/>
  <c r="C112" i="60"/>
  <c r="C113" i="60"/>
  <c r="C114" i="60"/>
  <c r="E114" i="60"/>
  <c r="F114" i="60" s="1"/>
  <c r="G114" i="60" s="1"/>
  <c r="C115" i="60"/>
  <c r="E115" i="60"/>
  <c r="F115" i="60" s="1"/>
  <c r="G115" i="60" s="1"/>
  <c r="C116" i="60"/>
  <c r="E116" i="60"/>
  <c r="F116" i="60" s="1"/>
  <c r="G116" i="60" s="1"/>
  <c r="C117" i="60"/>
  <c r="E117" i="60"/>
  <c r="F117" i="60" s="1"/>
  <c r="G117" i="60" s="1"/>
  <c r="C118" i="60"/>
  <c r="E118" i="60"/>
  <c r="F118" i="60" s="1"/>
  <c r="G118" i="60" s="1"/>
  <c r="C119" i="60"/>
  <c r="E119" i="60"/>
  <c r="F119" i="60" s="1"/>
  <c r="G119" i="60" s="1"/>
  <c r="C120" i="60"/>
  <c r="E120" i="60"/>
  <c r="F120" i="60" s="1"/>
  <c r="G120" i="60" s="1"/>
  <c r="C121" i="60"/>
  <c r="E121" i="60"/>
  <c r="F121" i="60" s="1"/>
  <c r="G121" i="60" s="1"/>
  <c r="C123" i="60"/>
  <c r="C124" i="60"/>
  <c r="C125" i="60"/>
  <c r="C126" i="60"/>
  <c r="C127" i="60"/>
  <c r="C128" i="60"/>
  <c r="C129" i="60"/>
  <c r="E129" i="60"/>
  <c r="F129" i="60" s="1"/>
  <c r="G129" i="60" s="1"/>
  <c r="C130" i="60"/>
  <c r="E130" i="60"/>
  <c r="F130" i="60" s="1"/>
  <c r="G130" i="60" s="1"/>
  <c r="C131" i="60"/>
  <c r="E131" i="60"/>
  <c r="F131" i="60" s="1"/>
  <c r="G131" i="60" s="1"/>
  <c r="C132" i="60"/>
  <c r="E132" i="60"/>
  <c r="F132" i="60" s="1"/>
  <c r="G132" i="60" s="1"/>
  <c r="C133" i="60"/>
  <c r="E133" i="60"/>
  <c r="F133" i="60" s="1"/>
  <c r="G133" i="60" s="1"/>
  <c r="C134" i="60"/>
  <c r="E134" i="60"/>
  <c r="F134" i="60" s="1"/>
  <c r="G134" i="60" s="1"/>
  <c r="C135" i="60"/>
  <c r="E135" i="60"/>
  <c r="F135" i="60" s="1"/>
  <c r="G135" i="60" s="1"/>
  <c r="C136" i="60"/>
  <c r="E136" i="60"/>
  <c r="F136" i="60" s="1"/>
  <c r="G136" i="60" s="1"/>
  <c r="C78" i="60"/>
  <c r="E78" i="60"/>
  <c r="F78" i="60" s="1"/>
  <c r="G78" i="60" s="1"/>
  <c r="C79" i="60"/>
  <c r="E79" i="60"/>
  <c r="F79" i="60" s="1"/>
  <c r="G79" i="60" s="1"/>
  <c r="C80" i="60"/>
  <c r="E80" i="60"/>
  <c r="F80" i="60" s="1"/>
  <c r="G80" i="60" s="1"/>
  <c r="C81" i="60"/>
  <c r="E81" i="60"/>
  <c r="F81" i="60" s="1"/>
  <c r="G81" i="60" s="1"/>
  <c r="C82" i="60"/>
  <c r="E82" i="60"/>
  <c r="F82" i="60" s="1"/>
  <c r="G82" i="60" s="1"/>
  <c r="C83" i="60"/>
  <c r="E83" i="60"/>
  <c r="F83" i="60" s="1"/>
  <c r="G83" i="60" s="1"/>
  <c r="C84" i="60"/>
  <c r="E84" i="60"/>
  <c r="F84" i="60" s="1"/>
  <c r="G84" i="60" s="1"/>
  <c r="C85" i="60"/>
  <c r="E85" i="60"/>
  <c r="F85" i="60" s="1"/>
  <c r="G85" i="60" s="1"/>
  <c r="C86" i="60"/>
  <c r="E86" i="60"/>
  <c r="F86" i="60" s="1"/>
  <c r="G86" i="60" s="1"/>
  <c r="C87" i="60"/>
  <c r="E87" i="60"/>
  <c r="F87" i="60" s="1"/>
  <c r="G87" i="60" s="1"/>
  <c r="C88" i="60"/>
  <c r="E88" i="60"/>
  <c r="F88" i="60" s="1"/>
  <c r="G88" i="60" s="1"/>
  <c r="C89" i="60"/>
  <c r="E89" i="60"/>
  <c r="F89" i="60" s="1"/>
  <c r="G89" i="60" s="1"/>
  <c r="C90" i="60"/>
  <c r="E90" i="60"/>
  <c r="F90" i="60" s="1"/>
  <c r="G90" i="60" s="1"/>
  <c r="C91" i="60"/>
  <c r="E91" i="60"/>
  <c r="F91" i="60" s="1"/>
  <c r="G91" i="60" s="1"/>
  <c r="C93" i="60"/>
  <c r="E93" i="60"/>
  <c r="F93" i="60" s="1"/>
  <c r="G93" i="60" s="1"/>
  <c r="C94" i="60"/>
  <c r="E94" i="60"/>
  <c r="F94" i="60" s="1"/>
  <c r="G94" i="60" s="1"/>
  <c r="C95" i="60"/>
  <c r="E95" i="60"/>
  <c r="F95" i="60" s="1"/>
  <c r="G95" i="60" s="1"/>
  <c r="C96" i="60"/>
  <c r="E96" i="60"/>
  <c r="F96" i="60" s="1"/>
  <c r="G96" i="60" s="1"/>
  <c r="C97" i="60"/>
  <c r="E97" i="60"/>
  <c r="F97" i="60" s="1"/>
  <c r="G97" i="60" s="1"/>
  <c r="C98" i="60"/>
  <c r="E98" i="60"/>
  <c r="F98" i="60" s="1"/>
  <c r="G98" i="60" s="1"/>
  <c r="C99" i="60"/>
  <c r="E99" i="60"/>
  <c r="F99" i="60" s="1"/>
  <c r="G99" i="60" s="1"/>
  <c r="C100" i="60"/>
  <c r="E100" i="60"/>
  <c r="F100" i="60" s="1"/>
  <c r="G100" i="60" s="1"/>
  <c r="C101" i="60"/>
  <c r="E101" i="60"/>
  <c r="F101" i="60" s="1"/>
  <c r="G101" i="60" s="1"/>
  <c r="C102" i="60"/>
  <c r="E102" i="60"/>
  <c r="F102" i="60" s="1"/>
  <c r="G102" i="60" s="1"/>
  <c r="C103" i="60"/>
  <c r="E103" i="60"/>
  <c r="F103" i="60" s="1"/>
  <c r="G103" i="60" s="1"/>
  <c r="C104" i="60"/>
  <c r="E104" i="60"/>
  <c r="F104" i="60" s="1"/>
  <c r="G104" i="60" s="1"/>
  <c r="C105" i="60"/>
  <c r="E105" i="60"/>
  <c r="F105" i="60" s="1"/>
  <c r="G105" i="60" s="1"/>
  <c r="C106" i="60"/>
  <c r="E106" i="60"/>
  <c r="F106" i="60" s="1"/>
  <c r="G106" i="60" s="1"/>
  <c r="C48" i="60"/>
  <c r="E48" i="60"/>
  <c r="F48" i="60" s="1"/>
  <c r="G48" i="60" s="1"/>
  <c r="C49" i="60"/>
  <c r="E49" i="60"/>
  <c r="F49" i="60" s="1"/>
  <c r="G49" i="60" s="1"/>
  <c r="C50" i="60"/>
  <c r="E50" i="60"/>
  <c r="F50" i="60" s="1"/>
  <c r="G50" i="60" s="1"/>
  <c r="C51" i="60"/>
  <c r="E51" i="60"/>
  <c r="F51" i="60" s="1"/>
  <c r="G51" i="60" s="1"/>
  <c r="C52" i="60"/>
  <c r="E52" i="60"/>
  <c r="F52" i="60" s="1"/>
  <c r="G52" i="60" s="1"/>
  <c r="C53" i="60"/>
  <c r="E53" i="60"/>
  <c r="F53" i="60" s="1"/>
  <c r="G53" i="60" s="1"/>
  <c r="C54" i="60"/>
  <c r="E54" i="60"/>
  <c r="F54" i="60" s="1"/>
  <c r="G54" i="60" s="1"/>
  <c r="C55" i="60"/>
  <c r="E55" i="60"/>
  <c r="F55" i="60" s="1"/>
  <c r="G55" i="60" s="1"/>
  <c r="C56" i="60"/>
  <c r="E56" i="60"/>
  <c r="F56" i="60" s="1"/>
  <c r="G56" i="60" s="1"/>
  <c r="C57" i="60"/>
  <c r="E57" i="60"/>
  <c r="F57" i="60" s="1"/>
  <c r="G57" i="60" s="1"/>
  <c r="C58" i="60"/>
  <c r="E58" i="60"/>
  <c r="F58" i="60" s="1"/>
  <c r="G58" i="60" s="1"/>
  <c r="C59" i="60"/>
  <c r="E59" i="60"/>
  <c r="F59" i="60" s="1"/>
  <c r="G59" i="60" s="1"/>
  <c r="C60" i="60"/>
  <c r="E60" i="60"/>
  <c r="F60" i="60" s="1"/>
  <c r="G60" i="60" s="1"/>
  <c r="C61" i="60"/>
  <c r="E61" i="60"/>
  <c r="F61" i="60" s="1"/>
  <c r="G61" i="60" s="1"/>
  <c r="C63" i="60"/>
  <c r="E63" i="60"/>
  <c r="F63" i="60" s="1"/>
  <c r="G63" i="60" s="1"/>
  <c r="C64" i="60"/>
  <c r="E64" i="60"/>
  <c r="F64" i="60" s="1"/>
  <c r="G64" i="60" s="1"/>
  <c r="C65" i="60"/>
  <c r="E65" i="60"/>
  <c r="F65" i="60" s="1"/>
  <c r="G65" i="60" s="1"/>
  <c r="C66" i="60"/>
  <c r="E66" i="60"/>
  <c r="F66" i="60" s="1"/>
  <c r="G66" i="60" s="1"/>
  <c r="C67" i="60"/>
  <c r="E67" i="60"/>
  <c r="F67" i="60" s="1"/>
  <c r="G67" i="60" s="1"/>
  <c r="C68" i="60"/>
  <c r="E68" i="60"/>
  <c r="F68" i="60" s="1"/>
  <c r="G68" i="60" s="1"/>
  <c r="C69" i="60"/>
  <c r="E69" i="60"/>
  <c r="F69" i="60" s="1"/>
  <c r="G69" i="60" s="1"/>
  <c r="C70" i="60"/>
  <c r="E70" i="60"/>
  <c r="F70" i="60" s="1"/>
  <c r="G70" i="60" s="1"/>
  <c r="C71" i="60"/>
  <c r="E71" i="60"/>
  <c r="F71" i="60" s="1"/>
  <c r="G71" i="60" s="1"/>
  <c r="C72" i="60"/>
  <c r="E72" i="60"/>
  <c r="F72" i="60" s="1"/>
  <c r="G72" i="60" s="1"/>
  <c r="C73" i="60"/>
  <c r="E73" i="60"/>
  <c r="F73" i="60" s="1"/>
  <c r="G73" i="60" s="1"/>
  <c r="C74" i="60"/>
  <c r="E74" i="60"/>
  <c r="F74" i="60" s="1"/>
  <c r="G74" i="60" s="1"/>
  <c r="C75" i="60"/>
  <c r="E75" i="60"/>
  <c r="F75" i="60" s="1"/>
  <c r="G75" i="60" s="1"/>
  <c r="C76" i="60"/>
  <c r="E76" i="60"/>
  <c r="F76" i="60" s="1"/>
  <c r="G76" i="60" s="1"/>
  <c r="G2" i="59"/>
  <c r="H2" i="59" s="1"/>
  <c r="I2" i="59" s="1"/>
  <c r="G3" i="59"/>
  <c r="H3" i="59" s="1"/>
  <c r="I3" i="59" s="1"/>
  <c r="G4" i="59"/>
  <c r="H4" i="59" s="1"/>
  <c r="I4" i="59" s="1"/>
  <c r="G5" i="59"/>
  <c r="H5" i="59" s="1"/>
  <c r="I5" i="59" s="1"/>
  <c r="G6" i="59"/>
  <c r="H6" i="59" s="1"/>
  <c r="I6" i="59" s="1"/>
  <c r="G7" i="59"/>
  <c r="H7" i="59" s="1"/>
  <c r="I7" i="59" s="1"/>
  <c r="G8" i="59"/>
  <c r="H8" i="59" s="1"/>
  <c r="I8" i="59" s="1"/>
  <c r="G9" i="59"/>
  <c r="H9" i="59" s="1"/>
  <c r="I9" i="59" s="1"/>
  <c r="G10" i="59"/>
  <c r="H10" i="59" s="1"/>
  <c r="I10" i="59" s="1"/>
  <c r="G11" i="59"/>
  <c r="H11" i="59" s="1"/>
  <c r="I11" i="59" s="1"/>
  <c r="G12" i="59"/>
  <c r="H12" i="59" s="1"/>
  <c r="I12" i="59" s="1"/>
  <c r="G13" i="59"/>
  <c r="H13" i="59" s="1"/>
  <c r="I13" i="59" s="1"/>
  <c r="G14" i="59"/>
  <c r="H14" i="59" s="1"/>
  <c r="I14" i="59" s="1"/>
  <c r="G15" i="59"/>
  <c r="H15" i="59" s="1"/>
  <c r="I15" i="59" s="1"/>
  <c r="G44" i="59"/>
  <c r="H44" i="59" s="1"/>
  <c r="I44" i="59" s="1"/>
  <c r="G45" i="59"/>
  <c r="H45" i="59" s="1"/>
  <c r="I45" i="59" s="1"/>
  <c r="G46" i="59"/>
  <c r="H46" i="59" s="1"/>
  <c r="I46" i="59" s="1"/>
  <c r="G47" i="59"/>
  <c r="H47" i="59" s="1"/>
  <c r="I47" i="59" s="1"/>
  <c r="G48" i="59"/>
  <c r="H48" i="59" s="1"/>
  <c r="I48" i="59" s="1"/>
  <c r="G49" i="59"/>
  <c r="H49" i="59" s="1"/>
  <c r="I49" i="59" s="1"/>
  <c r="G50" i="59"/>
  <c r="H50" i="59" s="1"/>
  <c r="I50" i="59" s="1"/>
  <c r="G51" i="59"/>
  <c r="H51" i="59" s="1"/>
  <c r="I51" i="59" s="1"/>
  <c r="G52" i="59"/>
  <c r="H52" i="59" s="1"/>
  <c r="I52" i="59" s="1"/>
  <c r="G53" i="59"/>
  <c r="H53" i="59" s="1"/>
  <c r="I53" i="59" s="1"/>
  <c r="G68" i="59"/>
  <c r="H68" i="59" s="1"/>
  <c r="I68" i="59" s="1"/>
  <c r="G69" i="59"/>
  <c r="H69" i="59" s="1"/>
  <c r="I69" i="59" s="1"/>
  <c r="G70" i="59"/>
  <c r="H70" i="59" s="1"/>
  <c r="I70" i="59" s="1"/>
  <c r="G71" i="59"/>
  <c r="H71" i="59" s="1"/>
  <c r="I71" i="59" s="1"/>
  <c r="G72" i="59"/>
  <c r="H72" i="59" s="1"/>
  <c r="I72" i="59" s="1"/>
  <c r="G73" i="59"/>
  <c r="H73" i="59" s="1"/>
  <c r="I73" i="59" s="1"/>
  <c r="G74" i="59"/>
  <c r="H74" i="59" s="1"/>
  <c r="I74" i="59" s="1"/>
  <c r="G75" i="59"/>
  <c r="H75" i="59" s="1"/>
  <c r="I75" i="59" s="1"/>
  <c r="G76" i="59"/>
  <c r="H76" i="59" s="1"/>
  <c r="I76" i="59" s="1"/>
  <c r="G77" i="59"/>
  <c r="H77" i="59" s="1"/>
  <c r="I77" i="59" s="1"/>
  <c r="G78" i="59"/>
  <c r="H78" i="59" s="1"/>
  <c r="I78" i="59" s="1"/>
  <c r="G79" i="59"/>
  <c r="H79" i="59" s="1"/>
  <c r="I79" i="59" s="1"/>
  <c r="G80" i="59"/>
  <c r="H80" i="59" s="1"/>
  <c r="I80" i="59" s="1"/>
  <c r="G81" i="59"/>
  <c r="H81" i="59" s="1"/>
  <c r="I81" i="59" s="1"/>
  <c r="G100" i="59"/>
  <c r="H100" i="59" s="1"/>
  <c r="I100" i="59" s="1"/>
  <c r="G101" i="59"/>
  <c r="H101" i="59" s="1"/>
  <c r="I101" i="59" s="1"/>
  <c r="G102" i="59"/>
  <c r="H102" i="59" s="1"/>
  <c r="I102" i="59" s="1"/>
  <c r="G103" i="59"/>
  <c r="H103" i="59" s="1"/>
  <c r="I103" i="59" s="1"/>
  <c r="G104" i="59"/>
  <c r="H104" i="59" s="1"/>
  <c r="I104" i="59" s="1"/>
  <c r="G105" i="59"/>
  <c r="H105" i="59" s="1"/>
  <c r="I105" i="59" s="1"/>
  <c r="G106" i="59"/>
  <c r="H106" i="59" s="1"/>
  <c r="I106" i="59" s="1"/>
  <c r="G107" i="59"/>
  <c r="H107" i="59" s="1"/>
  <c r="I107" i="59" s="1"/>
  <c r="G108" i="59"/>
  <c r="H108" i="59" s="1"/>
  <c r="I108" i="59" s="1"/>
  <c r="G109" i="59"/>
  <c r="H109" i="59" s="1"/>
  <c r="I109" i="59" s="1"/>
  <c r="G28" i="59"/>
  <c r="H28" i="59" s="1"/>
  <c r="I28" i="59" s="1"/>
  <c r="G29" i="59"/>
  <c r="H29" i="59" s="1"/>
  <c r="I29" i="59" s="1"/>
  <c r="G30" i="59"/>
  <c r="H30" i="59" s="1"/>
  <c r="I30" i="59" s="1"/>
  <c r="G31" i="59"/>
  <c r="H31" i="59" s="1"/>
  <c r="I31" i="59" s="1"/>
  <c r="G32" i="59"/>
  <c r="H32" i="59" s="1"/>
  <c r="I32" i="59" s="1"/>
  <c r="G33" i="59"/>
  <c r="H33" i="59" s="1"/>
  <c r="I33" i="59" s="1"/>
  <c r="G34" i="59"/>
  <c r="H34" i="59" s="1"/>
  <c r="I34" i="59" s="1"/>
  <c r="G35" i="59"/>
  <c r="H35" i="59" s="1"/>
  <c r="I35" i="59" s="1"/>
  <c r="G36" i="59"/>
  <c r="H36" i="59" s="1"/>
  <c r="I36" i="59" s="1"/>
  <c r="G37" i="59"/>
  <c r="H37" i="59" s="1"/>
  <c r="I37" i="59" s="1"/>
  <c r="G38" i="59"/>
  <c r="H38" i="59" s="1"/>
  <c r="I38" i="59" s="1"/>
  <c r="G39" i="59"/>
  <c r="H39" i="59" s="1"/>
  <c r="I39" i="59" s="1"/>
  <c r="G40" i="59"/>
  <c r="H40" i="59" s="1"/>
  <c r="I40" i="59" s="1"/>
  <c r="G41" i="59"/>
  <c r="H41" i="59" s="1"/>
  <c r="I41" i="59" s="1"/>
  <c r="G56" i="59"/>
  <c r="H56" i="59" s="1"/>
  <c r="I56" i="59" s="1"/>
  <c r="G57" i="59"/>
  <c r="H57" i="59" s="1"/>
  <c r="I57" i="59" s="1"/>
  <c r="G58" i="59"/>
  <c r="H58" i="59" s="1"/>
  <c r="I58" i="59" s="1"/>
  <c r="G59" i="59"/>
  <c r="H59" i="59" s="1"/>
  <c r="I59" i="59" s="1"/>
  <c r="G60" i="59"/>
  <c r="H60" i="59" s="1"/>
  <c r="I60" i="59" s="1"/>
  <c r="G61" i="59"/>
  <c r="H61" i="59" s="1"/>
  <c r="I61" i="59" s="1"/>
  <c r="G62" i="59"/>
  <c r="H62" i="59" s="1"/>
  <c r="I62" i="59" s="1"/>
  <c r="G63" i="59"/>
  <c r="H63" i="59" s="1"/>
  <c r="I63" i="59" s="1"/>
  <c r="G64" i="59"/>
  <c r="H64" i="59" s="1"/>
  <c r="I64" i="59" s="1"/>
  <c r="G65" i="59"/>
  <c r="H65" i="59" s="1"/>
  <c r="I65" i="59" s="1"/>
  <c r="G84" i="59"/>
  <c r="H84" i="59" s="1"/>
  <c r="I84" i="59" s="1"/>
  <c r="G85" i="59"/>
  <c r="H85" i="59" s="1"/>
  <c r="I85" i="59" s="1"/>
  <c r="G86" i="59"/>
  <c r="H86" i="59" s="1"/>
  <c r="I86" i="59" s="1"/>
  <c r="G87" i="59"/>
  <c r="H87" i="59" s="1"/>
  <c r="I87" i="59" s="1"/>
  <c r="G88" i="59"/>
  <c r="H88" i="59" s="1"/>
  <c r="I88" i="59" s="1"/>
  <c r="G89" i="59"/>
  <c r="H89" i="59" s="1"/>
  <c r="I89" i="59" s="1"/>
  <c r="G90" i="59"/>
  <c r="H90" i="59" s="1"/>
  <c r="I90" i="59" s="1"/>
  <c r="G91" i="59"/>
  <c r="H91" i="59" s="1"/>
  <c r="I91" i="59" s="1"/>
  <c r="G92" i="59"/>
  <c r="H92" i="59" s="1"/>
  <c r="I92" i="59" s="1"/>
  <c r="G93" i="59"/>
  <c r="H93" i="59" s="1"/>
  <c r="I93" i="59" s="1"/>
  <c r="G94" i="59"/>
  <c r="H94" i="59" s="1"/>
  <c r="I94" i="59" s="1"/>
  <c r="G95" i="59"/>
  <c r="H95" i="59" s="1"/>
  <c r="I95" i="59" s="1"/>
  <c r="G96" i="59"/>
  <c r="H96" i="59" s="1"/>
  <c r="I96" i="59" s="1"/>
  <c r="G97" i="59"/>
  <c r="H97" i="59" s="1"/>
  <c r="I97" i="59" s="1"/>
  <c r="G112" i="59"/>
  <c r="H112" i="59" s="1"/>
  <c r="I112" i="59" s="1"/>
  <c r="G113" i="59"/>
  <c r="H113" i="59" s="1"/>
  <c r="I113" i="59" s="1"/>
  <c r="G114" i="59"/>
  <c r="H114" i="59" s="1"/>
  <c r="I114" i="59" s="1"/>
  <c r="G115" i="59"/>
  <c r="H115" i="59" s="1"/>
  <c r="I115" i="59" s="1"/>
  <c r="G116" i="59"/>
  <c r="H116" i="59" s="1"/>
  <c r="I116" i="59" s="1"/>
  <c r="G117" i="59"/>
  <c r="H117" i="59" s="1"/>
  <c r="I117" i="59" s="1"/>
  <c r="G118" i="59"/>
  <c r="H118" i="59" s="1"/>
  <c r="I118" i="59" s="1"/>
  <c r="G119" i="59"/>
  <c r="H119" i="59" s="1"/>
  <c r="I119" i="59" s="1"/>
  <c r="G120" i="59"/>
  <c r="H120" i="59" s="1"/>
  <c r="I120" i="59" s="1"/>
  <c r="G121" i="59"/>
  <c r="H121" i="59" s="1"/>
  <c r="I121" i="59" s="1"/>
  <c r="A2" i="58"/>
  <c r="H2" i="58"/>
  <c r="I2" i="58" s="1"/>
  <c r="J2" i="58" s="1"/>
  <c r="A3" i="58"/>
  <c r="H3" i="58"/>
  <c r="I3" i="58" s="1"/>
  <c r="J3" i="58" s="1"/>
  <c r="A4" i="58"/>
  <c r="H4" i="58"/>
  <c r="I4" i="58" s="1"/>
  <c r="J4" i="58" s="1"/>
  <c r="A5" i="58"/>
  <c r="H5" i="58"/>
  <c r="I5" i="58" s="1"/>
  <c r="J5" i="58" s="1"/>
  <c r="A6" i="58"/>
  <c r="H6" i="58"/>
  <c r="I6" i="58" s="1"/>
  <c r="J6" i="58" s="1"/>
  <c r="A7" i="58"/>
  <c r="H7" i="58"/>
  <c r="I7" i="58" s="1"/>
  <c r="J7" i="58" s="1"/>
  <c r="A8" i="58"/>
  <c r="H8" i="58"/>
  <c r="I8" i="58" s="1"/>
  <c r="J8" i="58" s="1"/>
  <c r="A9" i="58"/>
  <c r="H9" i="58"/>
  <c r="I9" i="58" s="1"/>
  <c r="J9" i="58" s="1"/>
  <c r="A10" i="58"/>
  <c r="H10" i="58"/>
  <c r="I10" i="58" s="1"/>
  <c r="J10" i="58" s="1"/>
  <c r="A11" i="58"/>
  <c r="H11" i="58"/>
  <c r="I11" i="58" s="1"/>
  <c r="J11" i="58" s="1"/>
  <c r="A12" i="58"/>
  <c r="H12" i="58"/>
  <c r="I12" i="58" s="1"/>
  <c r="J12" i="58" s="1"/>
  <c r="A13" i="58"/>
  <c r="H13" i="58"/>
  <c r="I13" i="58" s="1"/>
  <c r="J13" i="58" s="1"/>
  <c r="A15" i="58"/>
  <c r="H15" i="58"/>
  <c r="I15" i="58" s="1"/>
  <c r="J15" i="58" s="1"/>
  <c r="A16" i="58"/>
  <c r="H16" i="58"/>
  <c r="I16" i="58" s="1"/>
  <c r="J16" i="58" s="1"/>
  <c r="A17" i="58"/>
  <c r="H17" i="58"/>
  <c r="I17" i="58" s="1"/>
  <c r="J17" i="58" s="1"/>
  <c r="A18" i="58"/>
  <c r="H18" i="58"/>
  <c r="I18" i="58" s="1"/>
  <c r="J18" i="58" s="1"/>
  <c r="A19" i="58"/>
  <c r="H19" i="58"/>
  <c r="I19" i="58" s="1"/>
  <c r="J19" i="58" s="1"/>
  <c r="A20" i="58"/>
  <c r="H20" i="58"/>
  <c r="I20" i="58" s="1"/>
  <c r="J20" i="58" s="1"/>
  <c r="A21" i="58"/>
  <c r="H21" i="58"/>
  <c r="I21" i="58" s="1"/>
  <c r="J21" i="58" s="1"/>
  <c r="A22" i="58"/>
  <c r="H22" i="58"/>
  <c r="I22" i="58" s="1"/>
  <c r="J22" i="58" s="1"/>
  <c r="A23" i="58"/>
  <c r="H23" i="58"/>
  <c r="I23" i="58" s="1"/>
  <c r="J23" i="58" s="1"/>
  <c r="A24" i="58"/>
  <c r="H24" i="58"/>
  <c r="I24" i="58" s="1"/>
  <c r="J24" i="58" s="1"/>
  <c r="A25" i="58"/>
  <c r="H25" i="58"/>
  <c r="I25" i="58" s="1"/>
  <c r="J25" i="58" s="1"/>
  <c r="A26" i="58"/>
  <c r="H26" i="58"/>
  <c r="I26" i="58" s="1"/>
  <c r="J26" i="58" s="1"/>
  <c r="A28" i="58"/>
  <c r="H28" i="58"/>
  <c r="I28" i="58" s="1"/>
  <c r="J28" i="58" s="1"/>
  <c r="A29" i="58"/>
  <c r="H29" i="58"/>
  <c r="I29" i="58" s="1"/>
  <c r="J29" i="58" s="1"/>
  <c r="A30" i="58"/>
  <c r="H30" i="58"/>
  <c r="I30" i="58" s="1"/>
  <c r="J30" i="58" s="1"/>
  <c r="A31" i="58"/>
  <c r="H31" i="58"/>
  <c r="I31" i="58" s="1"/>
  <c r="J31" i="58" s="1"/>
  <c r="A32" i="58"/>
  <c r="H32" i="58"/>
  <c r="I32" i="58" s="1"/>
  <c r="J32" i="58" s="1"/>
  <c r="A33" i="58"/>
  <c r="H33" i="58"/>
  <c r="I33" i="58" s="1"/>
  <c r="J33" i="58" s="1"/>
  <c r="A34" i="58"/>
  <c r="H34" i="58"/>
  <c r="I34" i="58" s="1"/>
  <c r="J34" i="58" s="1"/>
  <c r="A35" i="58"/>
  <c r="H35" i="58"/>
  <c r="I35" i="58" s="1"/>
  <c r="J35" i="58" s="1"/>
  <c r="A36" i="58"/>
  <c r="H36" i="58"/>
  <c r="I36" i="58" s="1"/>
  <c r="J36" i="58" s="1"/>
  <c r="A37" i="58"/>
  <c r="H37" i="58"/>
  <c r="I37" i="58" s="1"/>
  <c r="J37" i="58" s="1"/>
  <c r="A38" i="58"/>
  <c r="H38" i="58"/>
  <c r="I38" i="58" s="1"/>
  <c r="J38" i="58" s="1"/>
  <c r="A39" i="58"/>
  <c r="H39" i="58"/>
  <c r="I39" i="58" s="1"/>
  <c r="J39" i="58" s="1"/>
  <c r="A41" i="58"/>
  <c r="H41" i="58"/>
  <c r="I41" i="58" s="1"/>
  <c r="J41" i="58" s="1"/>
  <c r="A42" i="58"/>
  <c r="H42" i="58"/>
  <c r="I42" i="58" s="1"/>
  <c r="J42" i="58" s="1"/>
  <c r="A43" i="58"/>
  <c r="H43" i="58"/>
  <c r="I43" i="58" s="1"/>
  <c r="J43" i="58" s="1"/>
  <c r="A44" i="58"/>
  <c r="H44" i="58"/>
  <c r="I44" i="58" s="1"/>
  <c r="J44" i="58" s="1"/>
  <c r="A45" i="58"/>
  <c r="H45" i="58"/>
  <c r="I45" i="58" s="1"/>
  <c r="J45" i="58" s="1"/>
  <c r="A46" i="58"/>
  <c r="H46" i="58"/>
  <c r="I46" i="58" s="1"/>
  <c r="J46" i="58" s="1"/>
  <c r="A47" i="58"/>
  <c r="H47" i="58"/>
  <c r="I47" i="58" s="1"/>
  <c r="J47" i="58" s="1"/>
  <c r="A48" i="58"/>
  <c r="H48" i="58"/>
  <c r="I48" i="58" s="1"/>
  <c r="J48" i="58" s="1"/>
  <c r="A49" i="58"/>
  <c r="H49" i="58"/>
  <c r="I49" i="58" s="1"/>
  <c r="J49" i="58" s="1"/>
  <c r="A50" i="58"/>
  <c r="H50" i="58"/>
  <c r="I50" i="58" s="1"/>
  <c r="J50" i="58" s="1"/>
  <c r="A51" i="58"/>
  <c r="H51" i="58"/>
  <c r="I51" i="58" s="1"/>
  <c r="J51" i="58" s="1"/>
  <c r="A52" i="58"/>
  <c r="H52" i="58"/>
  <c r="I52" i="58" s="1"/>
  <c r="J52" i="58" s="1"/>
  <c r="A54" i="58"/>
  <c r="H54" i="58"/>
  <c r="I54" i="58" s="1"/>
  <c r="J54" i="58" s="1"/>
  <c r="A55" i="58"/>
  <c r="H55" i="58"/>
  <c r="I55" i="58" s="1"/>
  <c r="J55" i="58" s="1"/>
  <c r="A56" i="58"/>
  <c r="H56" i="58"/>
  <c r="I56" i="58" s="1"/>
  <c r="J56" i="58" s="1"/>
  <c r="A57" i="58"/>
  <c r="H57" i="58"/>
  <c r="I57" i="58" s="1"/>
  <c r="J57" i="58" s="1"/>
  <c r="A58" i="58"/>
  <c r="H58" i="58"/>
  <c r="I58" i="58" s="1"/>
  <c r="J58" i="58" s="1"/>
  <c r="A59" i="58"/>
  <c r="H59" i="58"/>
  <c r="I59" i="58" s="1"/>
  <c r="J59" i="58" s="1"/>
  <c r="A60" i="58"/>
  <c r="H60" i="58"/>
  <c r="I60" i="58" s="1"/>
  <c r="J60" i="58" s="1"/>
  <c r="A61" i="58"/>
  <c r="H61" i="58"/>
  <c r="I61" i="58" s="1"/>
  <c r="J61" i="58" s="1"/>
  <c r="A62" i="58"/>
  <c r="H62" i="58"/>
  <c r="I62" i="58" s="1"/>
  <c r="J62" i="58" s="1"/>
  <c r="A63" i="58"/>
  <c r="H63" i="58"/>
  <c r="I63" i="58" s="1"/>
  <c r="J63" i="58" s="1"/>
  <c r="A64" i="58"/>
  <c r="H64" i="58"/>
  <c r="I64" i="58" s="1"/>
  <c r="J64" i="58" s="1"/>
  <c r="A65" i="58"/>
  <c r="H65" i="58"/>
  <c r="I65" i="58" s="1"/>
  <c r="J65" i="58" s="1"/>
  <c r="A67" i="58"/>
  <c r="H67" i="58"/>
  <c r="I67" i="58" s="1"/>
  <c r="J67" i="58" s="1"/>
  <c r="A68" i="58"/>
  <c r="H68" i="58"/>
  <c r="I68" i="58" s="1"/>
  <c r="J68" i="58" s="1"/>
  <c r="A69" i="58"/>
  <c r="H69" i="58"/>
  <c r="I69" i="58" s="1"/>
  <c r="J69" i="58" s="1"/>
  <c r="A70" i="58"/>
  <c r="H70" i="58"/>
  <c r="I70" i="58" s="1"/>
  <c r="J70" i="58" s="1"/>
  <c r="A71" i="58"/>
  <c r="H71" i="58"/>
  <c r="I71" i="58" s="1"/>
  <c r="J71" i="58" s="1"/>
  <c r="A72" i="58"/>
  <c r="H72" i="58"/>
  <c r="I72" i="58" s="1"/>
  <c r="J72" i="58" s="1"/>
  <c r="A73" i="58"/>
  <c r="H73" i="58"/>
  <c r="I73" i="58" s="1"/>
  <c r="J73" i="58" s="1"/>
  <c r="A74" i="58"/>
  <c r="H74" i="58"/>
  <c r="I74" i="58" s="1"/>
  <c r="J74" i="58" s="1"/>
  <c r="A75" i="58"/>
  <c r="H75" i="58"/>
  <c r="I75" i="58" s="1"/>
  <c r="J75" i="58" s="1"/>
  <c r="A76" i="58"/>
  <c r="H76" i="58"/>
  <c r="I76" i="58" s="1"/>
  <c r="J76" i="58" s="1"/>
  <c r="A77" i="58"/>
  <c r="H77" i="58"/>
  <c r="I77" i="58" s="1"/>
  <c r="J77" i="58" s="1"/>
  <c r="A78" i="58"/>
  <c r="H78" i="58"/>
  <c r="I78" i="58" s="1"/>
  <c r="J78" i="58" s="1"/>
  <c r="A80" i="58"/>
  <c r="H80" i="58"/>
  <c r="I80" i="58" s="1"/>
  <c r="J80" i="58" s="1"/>
  <c r="A81" i="58"/>
  <c r="H81" i="58"/>
  <c r="I81" i="58" s="1"/>
  <c r="J81" i="58" s="1"/>
  <c r="A82" i="58"/>
  <c r="H82" i="58"/>
  <c r="I82" i="58" s="1"/>
  <c r="J82" i="58" s="1"/>
  <c r="A83" i="58"/>
  <c r="H83" i="58"/>
  <c r="I83" i="58" s="1"/>
  <c r="J83" i="58" s="1"/>
  <c r="A84" i="58"/>
  <c r="H84" i="58"/>
  <c r="I84" i="58" s="1"/>
  <c r="J84" i="58" s="1"/>
  <c r="A85" i="58"/>
  <c r="H85" i="58"/>
  <c r="I85" i="58" s="1"/>
  <c r="J85" i="58" s="1"/>
  <c r="A86" i="58"/>
  <c r="H86" i="58"/>
  <c r="I86" i="58" s="1"/>
  <c r="J86" i="58" s="1"/>
  <c r="A87" i="58"/>
  <c r="H87" i="58"/>
  <c r="I87" i="58" s="1"/>
  <c r="J87" i="58" s="1"/>
  <c r="A88" i="58"/>
  <c r="H88" i="58"/>
  <c r="I88" i="58" s="1"/>
  <c r="J88" i="58" s="1"/>
  <c r="A89" i="58"/>
  <c r="H89" i="58"/>
  <c r="I89" i="58" s="1"/>
  <c r="J89" i="58" s="1"/>
  <c r="A90" i="58"/>
  <c r="H90" i="58"/>
  <c r="I90" i="58" s="1"/>
  <c r="J90" i="58" s="1"/>
  <c r="A91" i="58"/>
  <c r="H91" i="58"/>
  <c r="I91" i="58" s="1"/>
  <c r="J91" i="58" s="1"/>
  <c r="A93" i="58"/>
  <c r="H93" i="58"/>
  <c r="I93" i="58" s="1"/>
  <c r="J93" i="58" s="1"/>
  <c r="A94" i="58"/>
  <c r="H94" i="58"/>
  <c r="I94" i="58" s="1"/>
  <c r="J94" i="58" s="1"/>
  <c r="A95" i="58"/>
  <c r="H95" i="58"/>
  <c r="I95" i="58" s="1"/>
  <c r="J95" i="58" s="1"/>
  <c r="A96" i="58"/>
  <c r="H96" i="58"/>
  <c r="I96" i="58" s="1"/>
  <c r="J96" i="58" s="1"/>
  <c r="A97" i="58"/>
  <c r="H97" i="58"/>
  <c r="I97" i="58" s="1"/>
  <c r="J97" i="58" s="1"/>
  <c r="A98" i="58"/>
  <c r="H98" i="58"/>
  <c r="I98" i="58" s="1"/>
  <c r="J98" i="58" s="1"/>
  <c r="A99" i="58"/>
  <c r="H99" i="58"/>
  <c r="I99" i="58" s="1"/>
  <c r="J99" i="58" s="1"/>
  <c r="A100" i="58"/>
  <c r="H100" i="58"/>
  <c r="I100" i="58" s="1"/>
  <c r="J100" i="58" s="1"/>
  <c r="A101" i="58"/>
  <c r="H101" i="58"/>
  <c r="I101" i="58" s="1"/>
  <c r="J101" i="58" s="1"/>
  <c r="A102" i="58"/>
  <c r="H102" i="58"/>
  <c r="I102" i="58" s="1"/>
  <c r="J102" i="58" s="1"/>
  <c r="A103" i="58"/>
  <c r="H103" i="58"/>
  <c r="I103" i="58" s="1"/>
  <c r="J103" i="58" s="1"/>
  <c r="A104" i="58"/>
  <c r="H104" i="58"/>
  <c r="I104" i="58" s="1"/>
  <c r="J104" i="58" s="1"/>
  <c r="C2" i="69"/>
  <c r="C3" i="69"/>
  <c r="C4" i="69"/>
  <c r="C5" i="69"/>
  <c r="C6" i="69"/>
  <c r="C7" i="69"/>
  <c r="C8" i="69"/>
  <c r="C9" i="69"/>
  <c r="C10" i="69"/>
  <c r="C11" i="69"/>
  <c r="C12" i="69"/>
  <c r="C13" i="69"/>
  <c r="C14" i="69"/>
  <c r="C15" i="69"/>
  <c r="C16" i="69"/>
  <c r="C17" i="69"/>
  <c r="C18" i="69"/>
  <c r="C19" i="69"/>
  <c r="C20" i="69"/>
  <c r="C21" i="69"/>
  <c r="C22" i="69"/>
  <c r="C23" i="69"/>
  <c r="C24" i="69"/>
  <c r="C25" i="69"/>
  <c r="C26" i="69"/>
  <c r="C27" i="69"/>
  <c r="C28" i="69"/>
  <c r="C29" i="69"/>
  <c r="C30" i="69"/>
  <c r="C31" i="69"/>
  <c r="C32" i="69"/>
  <c r="C33" i="69"/>
  <c r="C34" i="69"/>
  <c r="C35" i="69"/>
  <c r="C36" i="69"/>
  <c r="C37" i="69"/>
  <c r="C2" i="68"/>
  <c r="D2" i="68"/>
  <c r="C3" i="68"/>
  <c r="D3" i="68"/>
  <c r="C4" i="68"/>
  <c r="D4" i="68"/>
  <c r="C5" i="68"/>
  <c r="D5" i="68"/>
  <c r="C6" i="68"/>
  <c r="D6" i="68"/>
  <c r="C7" i="68"/>
  <c r="D7" i="68"/>
  <c r="C8" i="68"/>
  <c r="D8" i="68"/>
  <c r="C9" i="68"/>
  <c r="D9" i="68"/>
  <c r="C10" i="68"/>
  <c r="D10" i="68"/>
  <c r="C11" i="68"/>
  <c r="D11" i="68"/>
  <c r="C12" i="68"/>
  <c r="D12" i="68"/>
  <c r="C13" i="68"/>
  <c r="D13" i="68"/>
  <c r="C14" i="68"/>
  <c r="D14" i="68"/>
  <c r="C15" i="68"/>
  <c r="D15" i="68"/>
  <c r="C16" i="68"/>
  <c r="D16" i="68"/>
  <c r="C17" i="68"/>
  <c r="D17" i="68"/>
  <c r="C18" i="68"/>
  <c r="D18" i="68"/>
  <c r="C19" i="68"/>
  <c r="D19" i="68"/>
  <c r="C20" i="68"/>
  <c r="D20" i="68"/>
  <c r="C21" i="68"/>
  <c r="D21" i="68"/>
  <c r="C22" i="68"/>
  <c r="D22" i="68"/>
  <c r="C24" i="68"/>
  <c r="D24" i="68"/>
  <c r="C25" i="68"/>
  <c r="D25" i="68"/>
  <c r="D26" i="68"/>
  <c r="C27" i="68"/>
  <c r="D27" i="68"/>
  <c r="C28" i="68"/>
  <c r="D28" i="68"/>
  <c r="E30" i="61" l="1"/>
  <c r="F30" i="61" s="1"/>
  <c r="G30" i="61" s="1"/>
  <c r="E71" i="61"/>
  <c r="F71" i="61" s="1"/>
  <c r="G71" i="61" s="1"/>
  <c r="E31" i="61"/>
  <c r="F31" i="61" s="1"/>
  <c r="G31" i="61" s="1"/>
  <c r="E70" i="61"/>
  <c r="F70" i="61" s="1"/>
  <c r="G70" i="61" s="1"/>
  <c r="E5" i="61"/>
  <c r="F5" i="61" s="1"/>
  <c r="G5" i="61" s="1"/>
  <c r="E73" i="61"/>
  <c r="F73" i="61" s="1"/>
  <c r="G73" i="61" s="1"/>
  <c r="E4" i="61"/>
  <c r="F4" i="61" s="1"/>
  <c r="G4" i="61" s="1"/>
  <c r="F72" i="61"/>
  <c r="G72" i="61" s="1"/>
  <c r="E19" i="61"/>
  <c r="F19" i="61" s="1"/>
  <c r="G19" i="61" s="1"/>
  <c r="F75" i="61"/>
  <c r="G75" i="61" s="1"/>
  <c r="E3" i="61"/>
  <c r="F3" i="61" s="1"/>
  <c r="G3" i="61" s="1"/>
  <c r="E69" i="61"/>
  <c r="F69" i="61" s="1"/>
  <c r="G69" i="61" s="1"/>
  <c r="E18" i="61"/>
  <c r="F18" i="61" s="1"/>
  <c r="G18" i="61" s="1"/>
  <c r="F74" i="61"/>
  <c r="G74" i="61" s="1"/>
  <c r="E2" i="61"/>
  <c r="F2" i="61" s="1"/>
  <c r="G2" i="61" s="1"/>
  <c r="E68" i="61"/>
  <c r="F68" i="61" s="1"/>
  <c r="G68" i="61" s="1"/>
  <c r="E138" i="60"/>
  <c r="F138" i="60" s="1"/>
  <c r="G138" i="60" s="1"/>
  <c r="E47" i="60"/>
  <c r="F47" i="60" s="1"/>
  <c r="G47" i="60" s="1"/>
  <c r="E139" i="60"/>
  <c r="F139" i="60" s="1"/>
  <c r="G139" i="60" s="1"/>
  <c r="E16" i="60"/>
  <c r="F16" i="60" s="1"/>
  <c r="G16" i="60" s="1"/>
  <c r="E31" i="60"/>
  <c r="F31" i="60" s="1"/>
  <c r="G31" i="60" s="1"/>
  <c r="E34" i="61"/>
  <c r="F34" i="61" s="1"/>
  <c r="G34" i="61" s="1"/>
  <c r="E77" i="60"/>
  <c r="F77" i="60" s="1"/>
  <c r="G77" i="60" s="1"/>
  <c r="E62" i="60"/>
  <c r="F62" i="60" s="1"/>
  <c r="G62" i="60" s="1"/>
  <c r="E107" i="60"/>
  <c r="F107" i="60" s="1"/>
  <c r="G107" i="60" s="1"/>
  <c r="E92" i="60"/>
  <c r="F92" i="60" s="1"/>
  <c r="G92" i="60" s="1"/>
  <c r="E137" i="60"/>
  <c r="F137" i="60" s="1"/>
  <c r="G137" i="60" s="1"/>
  <c r="E122" i="60"/>
  <c r="F122" i="60" s="1"/>
  <c r="G122" i="60" s="1"/>
  <c r="E46" i="60"/>
  <c r="F46" i="60" s="1"/>
  <c r="G46" i="60" s="1"/>
  <c r="E44" i="61"/>
  <c r="F44" i="61" s="1"/>
  <c r="G44" i="61" s="1"/>
  <c r="E37" i="61"/>
  <c r="F37" i="61" s="1"/>
  <c r="G37" i="61" s="1"/>
  <c r="E45" i="61"/>
  <c r="F45" i="61" s="1"/>
  <c r="G45" i="61" s="1"/>
  <c r="E42" i="61"/>
  <c r="F42" i="61" s="1"/>
  <c r="G42" i="61" s="1"/>
  <c r="E26" i="61"/>
  <c r="F26" i="61" s="1"/>
  <c r="G26" i="61" s="1"/>
  <c r="E36" i="61"/>
  <c r="F36" i="61" s="1"/>
  <c r="G36" i="61" s="1"/>
  <c r="E60" i="61"/>
  <c r="F60" i="61" s="1"/>
  <c r="G60" i="61" s="1"/>
  <c r="E66" i="61"/>
  <c r="F66" i="61" s="1"/>
  <c r="G66" i="61" s="1"/>
  <c r="E62" i="61"/>
  <c r="F62" i="61" s="1"/>
  <c r="G62" i="61" s="1"/>
  <c r="E56" i="61"/>
  <c r="F56" i="61" s="1"/>
  <c r="G56" i="61" s="1"/>
  <c r="E54" i="61"/>
  <c r="F54" i="61" s="1"/>
  <c r="G54" i="61" s="1"/>
  <c r="E50" i="61"/>
  <c r="F50" i="61" s="1"/>
  <c r="G50" i="61" s="1"/>
  <c r="E61" i="61"/>
  <c r="F61" i="61" s="1"/>
  <c r="G61" i="61" s="1"/>
  <c r="E67" i="61"/>
  <c r="F67" i="61" s="1"/>
  <c r="G67" i="61" s="1"/>
  <c r="E57" i="61"/>
  <c r="F57" i="61" s="1"/>
  <c r="G57" i="61" s="1"/>
  <c r="E55" i="61"/>
  <c r="F55" i="61" s="1"/>
  <c r="G55" i="61" s="1"/>
  <c r="E27" i="61"/>
  <c r="F27" i="61" s="1"/>
  <c r="G27" i="61" s="1"/>
  <c r="E63" i="61"/>
  <c r="F63" i="61" s="1"/>
  <c r="G63" i="61" s="1"/>
  <c r="E51" i="61"/>
  <c r="F51" i="61" s="1"/>
  <c r="G51" i="61" s="1"/>
  <c r="E43" i="61"/>
  <c r="F43" i="61" s="1"/>
  <c r="G43" i="61" s="1"/>
  <c r="E35" i="61"/>
  <c r="F35" i="61" s="1"/>
  <c r="G35" i="61" s="1"/>
  <c r="D23" i="68"/>
  <c r="C26" i="68"/>
  <c r="E65" i="61"/>
  <c r="F65" i="61" s="1"/>
  <c r="G65" i="61" s="1"/>
  <c r="E64" i="61"/>
  <c r="F64" i="61" s="1"/>
  <c r="G64" i="61" s="1"/>
  <c r="E59" i="61"/>
  <c r="F59" i="61" s="1"/>
  <c r="G59" i="61" s="1"/>
  <c r="E58" i="61"/>
  <c r="F58" i="61" s="1"/>
  <c r="G58" i="61" s="1"/>
  <c r="E53" i="61"/>
  <c r="F53" i="61" s="1"/>
  <c r="G53" i="61" s="1"/>
  <c r="E52" i="61"/>
  <c r="F52" i="61" s="1"/>
  <c r="G52" i="61" s="1"/>
  <c r="E49" i="61"/>
  <c r="F49" i="61" s="1"/>
  <c r="G49" i="61" s="1"/>
  <c r="E48" i="61"/>
  <c r="F48" i="61" s="1"/>
  <c r="G48" i="61" s="1"/>
  <c r="E47" i="61"/>
  <c r="F47" i="61" s="1"/>
  <c r="G47" i="61" s="1"/>
  <c r="E46" i="61"/>
  <c r="F46" i="61" s="1"/>
  <c r="G46" i="61" s="1"/>
  <c r="E41" i="61"/>
  <c r="F41" i="61" s="1"/>
  <c r="G41" i="61" s="1"/>
  <c r="E40" i="61"/>
  <c r="F40" i="61" s="1"/>
  <c r="G40" i="61" s="1"/>
  <c r="E39" i="61"/>
  <c r="F39" i="61" s="1"/>
  <c r="G39" i="61" s="1"/>
  <c r="E38" i="61"/>
  <c r="F38" i="61" s="1"/>
  <c r="G38" i="61" s="1"/>
  <c r="E33" i="61"/>
  <c r="F33" i="61" s="1"/>
  <c r="G33" i="61" s="1"/>
  <c r="E32" i="61"/>
  <c r="F32" i="61" s="1"/>
  <c r="G32" i="61" s="1"/>
  <c r="E29" i="61"/>
  <c r="F29" i="61" s="1"/>
  <c r="G29" i="61" s="1"/>
  <c r="E28" i="61"/>
  <c r="F28" i="61" s="1"/>
  <c r="G28" i="61" s="1"/>
  <c r="E25" i="61"/>
  <c r="F25" i="61" s="1"/>
  <c r="G25" i="61" s="1"/>
  <c r="E24" i="61"/>
  <c r="F24" i="61" s="1"/>
  <c r="G24" i="61" s="1"/>
  <c r="E23" i="61"/>
  <c r="F23" i="61" s="1"/>
  <c r="G23" i="61" s="1"/>
  <c r="E22" i="61"/>
  <c r="F22" i="61" s="1"/>
  <c r="G22" i="61" s="1"/>
  <c r="E21" i="61"/>
  <c r="F21" i="61" s="1"/>
  <c r="G21" i="61" s="1"/>
  <c r="E20" i="61"/>
  <c r="F20" i="61" s="1"/>
  <c r="G20" i="61" s="1"/>
  <c r="E17" i="61"/>
  <c r="F17" i="61" s="1"/>
  <c r="G17" i="61" s="1"/>
  <c r="E16" i="61"/>
  <c r="F16" i="61" s="1"/>
  <c r="G16" i="61" s="1"/>
  <c r="E15" i="61"/>
  <c r="F15" i="61" s="1"/>
  <c r="G15" i="61" s="1"/>
  <c r="E14" i="61"/>
  <c r="F14" i="61" s="1"/>
  <c r="G14" i="61" s="1"/>
  <c r="E13" i="61"/>
  <c r="F13" i="61" s="1"/>
  <c r="G13" i="61" s="1"/>
  <c r="E12" i="61"/>
  <c r="F12" i="61" s="1"/>
  <c r="G12" i="61" s="1"/>
  <c r="E11" i="61"/>
  <c r="F11" i="61" s="1"/>
  <c r="G11" i="61" s="1"/>
  <c r="E10" i="61"/>
  <c r="F10" i="61" s="1"/>
  <c r="G10" i="61" s="1"/>
  <c r="E9" i="61"/>
  <c r="F9" i="61" s="1"/>
  <c r="G9" i="61" s="1"/>
  <c r="E8" i="61"/>
  <c r="F8" i="61" s="1"/>
  <c r="G8" i="61" s="1"/>
  <c r="E7" i="61"/>
  <c r="F7" i="61" s="1"/>
  <c r="G7" i="61" s="1"/>
  <c r="E6" i="61"/>
  <c r="F6" i="61" s="1"/>
  <c r="G6" i="61" s="1"/>
  <c r="C23" i="68" l="1"/>
</calcChain>
</file>

<file path=xl/sharedStrings.xml><?xml version="1.0" encoding="utf-8"?>
<sst xmlns="http://schemas.openxmlformats.org/spreadsheetml/2006/main" count="6601" uniqueCount="484">
  <si>
    <t>Financial year</t>
  </si>
  <si>
    <t>Letter First Class Stamp</t>
  </si>
  <si>
    <t>Letter Second Class Stamp</t>
  </si>
  <si>
    <t>Large Letter First Class Stamp</t>
  </si>
  <si>
    <t>Large Letter Second Class Stamp</t>
  </si>
  <si>
    <t>Letter First Class Meter</t>
  </si>
  <si>
    <t>Letter Second Class Meter</t>
  </si>
  <si>
    <t>Large Letter First Class Meter</t>
  </si>
  <si>
    <t>Large Letter Second Class Meter</t>
  </si>
  <si>
    <t>Source: Standard Letter Prices via Pricing workbook prototype</t>
  </si>
  <si>
    <t>Financial Year</t>
  </si>
  <si>
    <t>Product Group</t>
  </si>
  <si>
    <t>Volume (m)</t>
  </si>
  <si>
    <t>Revenue (£m)</t>
  </si>
  <si>
    <t>Order</t>
  </si>
  <si>
    <t>Order (Year)</t>
  </si>
  <si>
    <t>2011-12</t>
  </si>
  <si>
    <t xml:space="preserve">Total </t>
  </si>
  <si>
    <t>Source: FE</t>
  </si>
  <si>
    <t>USO</t>
  </si>
  <si>
    <t>Non USO</t>
  </si>
  <si>
    <t>2012-13</t>
  </si>
  <si>
    <t>2013-14</t>
  </si>
  <si>
    <t>2014-15</t>
  </si>
  <si>
    <t>2015-16</t>
  </si>
  <si>
    <t>2016-17</t>
  </si>
  <si>
    <t>2017-18</t>
  </si>
  <si>
    <t>2018-19</t>
  </si>
  <si>
    <t>*2018-19 53 week year - adjusted to 52 weeks</t>
  </si>
  <si>
    <t>2019-20</t>
  </si>
  <si>
    <t>2020-21</t>
  </si>
  <si>
    <t>Year</t>
  </si>
  <si>
    <t xml:space="preserve">Extra </t>
  </si>
  <si>
    <t>Single Piece</t>
  </si>
  <si>
    <t>Source FE</t>
  </si>
  <si>
    <t>Other</t>
  </si>
  <si>
    <t>Bulk Mail / Business Parcels *</t>
  </si>
  <si>
    <t>Access</t>
  </si>
  <si>
    <t>Format</t>
  </si>
  <si>
    <t>Letters/Large letters</t>
  </si>
  <si>
    <t>Parcels</t>
  </si>
  <si>
    <t>Other*</t>
  </si>
  <si>
    <t xml:space="preserve">Parcels </t>
  </si>
  <si>
    <t xml:space="preserve">2018/19 adjusted to 52 wks from 53 wk year </t>
  </si>
  <si>
    <t>Type</t>
  </si>
  <si>
    <t>Costs (£m)</t>
  </si>
  <si>
    <t>Total Costs</t>
  </si>
  <si>
    <t>Source: FE financial info chart workbook</t>
  </si>
  <si>
    <t>People Costs</t>
  </si>
  <si>
    <t>Non-People Costs</t>
  </si>
  <si>
    <t xml:space="preserve">Transformation Costs </t>
  </si>
  <si>
    <t>*53 week year - adjusted to 52 weeks for 2018-19</t>
  </si>
  <si>
    <t>Calendar Year</t>
  </si>
  <si>
    <t>Calendar Year v.2</t>
  </si>
  <si>
    <t>Letter/Large letter</t>
  </si>
  <si>
    <t>Class</t>
  </si>
  <si>
    <t>Stamp/Meter</t>
  </si>
  <si>
    <t>Price (£)</t>
  </si>
  <si>
    <t>2007 value</t>
  </si>
  <si>
    <t>Workings</t>
  </si>
  <si>
    <t>% change</t>
  </si>
  <si>
    <t>LP Order</t>
  </si>
  <si>
    <t>Letter</t>
  </si>
  <si>
    <t>First Class</t>
  </si>
  <si>
    <t>Stamp</t>
  </si>
  <si>
    <t>Source: Pricing charts workbook</t>
  </si>
  <si>
    <t>Letter First Class Meter*</t>
  </si>
  <si>
    <t>Meter</t>
  </si>
  <si>
    <t>Second Class</t>
  </si>
  <si>
    <t>Letter Second Class Meter*</t>
  </si>
  <si>
    <t>Large letter</t>
  </si>
  <si>
    <t>Large Letter First Class Meter*</t>
  </si>
  <si>
    <t>Large Letter Second Class Meter*</t>
  </si>
  <si>
    <t>Size</t>
  </si>
  <si>
    <t>Weight</t>
  </si>
  <si>
    <t>2009 value</t>
  </si>
  <si>
    <t>Extra</t>
  </si>
  <si>
    <t>1st Class 0-1kg small</t>
  </si>
  <si>
    <t>Small</t>
  </si>
  <si>
    <t>0-1kg</t>
  </si>
  <si>
    <t>1</t>
  </si>
  <si>
    <t xml:space="preserve">In April 2013, Royal Mail changed its parcel formats so that pricing was no longer based solely on weight but on size/dimensions as well. This is because Royal Mail had determined that the cost of delivery is driven more by the size of a parcel than its weight. From 2 April 2013, Royal Mail offered two new parcel formats for its universal service parcel products, ‘Small Parcel’ and ‘Medium Parcel’ (as shown in the graph above).  This introduction led to significant price increases in medium sized parcels with prices more than doubling in some cases. </t>
  </si>
  <si>
    <t>2nd Class 0-1kg small (online)</t>
  </si>
  <si>
    <t xml:space="preserve">Based on consumer feedback Royal Mail changed the dimensions of its cube format with a larger ‘shoebox’ sized format in October 2013 resulting in a greater number of parcels qualifying as small parcels.  Royal Mail also reduced prices for its First and Second Class small 1-2kg parcels. </t>
  </si>
  <si>
    <t>2nd Class 2-5kg medium</t>
  </si>
  <si>
    <t>Medium</t>
  </si>
  <si>
    <t>2-5kg</t>
  </si>
  <si>
    <t>N/A</t>
  </si>
  <si>
    <t>10</t>
  </si>
  <si>
    <t xml:space="preserve">In response to further customer feedback, Royal Mail made additional amendments to its small parcels dimensions on 20 October 2014.The two dimensions that previously met the small parcel under 2kg criteria were replaced by a single format size – 45cm length x 35cm width x 16cm depth. Prices for small parcels remained unchanged, as did the maximum size for medium parcels.Royal Mail also introduced a pricing promotion whereby the price of Small Parcels weighing 1‑2kg would be the same as Small Parcels weighing 0‑1kg. This promotional period lasted through the Christmas and New Year period (until 18 January 2015). </t>
  </si>
  <si>
    <t>2nd Class 2-5kg medium (online)</t>
  </si>
  <si>
    <t>1st Class 5-10kg medium</t>
  </si>
  <si>
    <t>5-10kg</t>
  </si>
  <si>
    <t>11</t>
  </si>
  <si>
    <t>1st Class 5-10kg medium (online)</t>
  </si>
  <si>
    <t>2nd Class 5-10kg medium</t>
  </si>
  <si>
    <t>12</t>
  </si>
  <si>
    <t>2nd Class 5-10kg medium (online)</t>
  </si>
  <si>
    <t>1st Class 10-20kg medium</t>
  </si>
  <si>
    <t>10-20kg</t>
  </si>
  <si>
    <t>13</t>
  </si>
  <si>
    <t>1st Class 10-20kg medium (online)</t>
  </si>
  <si>
    <t>2nd Class 10-20kg medium</t>
  </si>
  <si>
    <t>14</t>
  </si>
  <si>
    <t>2nd Class 10-20kg medium (online)</t>
  </si>
  <si>
    <t>2nd Class 0-1kg small</t>
  </si>
  <si>
    <t>2</t>
  </si>
  <si>
    <t>1st Class 0-1kg medium</t>
  </si>
  <si>
    <t>3</t>
  </si>
  <si>
    <t>1st Class 0-1kg medium (online)</t>
  </si>
  <si>
    <t>2nd Class 0-1kg medium</t>
  </si>
  <si>
    <t>4</t>
  </si>
  <si>
    <t>2nd Class 0-1kg medium (online)</t>
  </si>
  <si>
    <t>1st Class 1-2kg small</t>
  </si>
  <si>
    <t>1-2kg</t>
  </si>
  <si>
    <t>5</t>
  </si>
  <si>
    <t>1st Class 1-2kg small (online)</t>
  </si>
  <si>
    <t>2nd Class 1-2kg small</t>
  </si>
  <si>
    <t>6</t>
  </si>
  <si>
    <t>2nd Class 1-2kg small (online)</t>
  </si>
  <si>
    <t>1st Class 1-2kg medium</t>
  </si>
  <si>
    <t>7</t>
  </si>
  <si>
    <t>1st Class 1-2kg medium (online)</t>
  </si>
  <si>
    <t>2nd Class 1-2kg medium</t>
  </si>
  <si>
    <t>8</t>
  </si>
  <si>
    <t>2nd Class 1-2kg medium (online)</t>
  </si>
  <si>
    <t>1st Class 2-5kg medium</t>
  </si>
  <si>
    <t>9</t>
  </si>
  <si>
    <t>1st Class 2-5kg medium (online)</t>
  </si>
  <si>
    <t>Product</t>
  </si>
  <si>
    <t>Column3</t>
  </si>
  <si>
    <t>Price (pounds)</t>
  </si>
  <si>
    <t>Column1</t>
  </si>
  <si>
    <t>Advertising low sort: 1C OCR</t>
  </si>
  <si>
    <t>Advertising low sort: 2C OCR</t>
  </si>
  <si>
    <t>Advertising low sort: Econ OCR</t>
  </si>
  <si>
    <t>Business low sort: 1C OCR</t>
  </si>
  <si>
    <t>Business low sort: 2C OCR</t>
  </si>
  <si>
    <t>Business low sort: Econ OCR</t>
  </si>
  <si>
    <t>Unsorted Advanced: 1C</t>
  </si>
  <si>
    <t>Unsorted Advanced: 2C</t>
  </si>
  <si>
    <t>Unsorted Mailmark: 1C</t>
  </si>
  <si>
    <t>Unsorted Mailmark: 2C</t>
  </si>
  <si>
    <t>Unsorted OCR: 1C</t>
  </si>
  <si>
    <t>Unsorted OCR: 2C</t>
  </si>
  <si>
    <t>Price</t>
  </si>
  <si>
    <t>Access 70</t>
  </si>
  <si>
    <t>Access 70 - advertising mail</t>
  </si>
  <si>
    <t>Access 1400</t>
  </si>
  <si>
    <t>Access 1400 - advertising mail</t>
  </si>
  <si>
    <t>Access 70 OCR</t>
  </si>
  <si>
    <t>Access 70 OCR - advertising mail</t>
  </si>
  <si>
    <t xml:space="preserve">Access 70 Mailmark - advertising mail </t>
  </si>
  <si>
    <t xml:space="preserve">Access 70 Mailmark </t>
  </si>
  <si>
    <t>Access 70 Mailmark</t>
  </si>
  <si>
    <t>Access 70 CBC</t>
  </si>
  <si>
    <t>Access 70 CBC - advertising mail</t>
  </si>
  <si>
    <t>Quarter</t>
  </si>
  <si>
    <t>Volumes (m)</t>
  </si>
  <si>
    <t>Order (Y)</t>
  </si>
  <si>
    <t>Source: MI</t>
  </si>
  <si>
    <t>2018/19</t>
  </si>
  <si>
    <t>Q1</t>
  </si>
  <si>
    <t>Domestic</t>
  </si>
  <si>
    <t>Q2</t>
  </si>
  <si>
    <t>Q3</t>
  </si>
  <si>
    <t>Q4</t>
  </si>
  <si>
    <t>International Inbound</t>
  </si>
  <si>
    <t>International Outbound</t>
  </si>
  <si>
    <t>2019/20</t>
  </si>
  <si>
    <t>2020/21</t>
  </si>
  <si>
    <t>Royal Mail end-to-end</t>
  </si>
  <si>
    <t>Royal Mail access</t>
  </si>
  <si>
    <t>Other end-to-end</t>
  </si>
  <si>
    <t>Access operators</t>
  </si>
  <si>
    <t>*2018/19 adjusted from 53 wks to 52 wk basis</t>
  </si>
  <si>
    <t>PCA name</t>
  </si>
  <si>
    <t>Postcode area</t>
  </si>
  <si>
    <t>Performance</t>
  </si>
  <si>
    <t>Nation</t>
  </si>
  <si>
    <t xml:space="preserve">AB </t>
  </si>
  <si>
    <t>Aberdeen</t>
  </si>
  <si>
    <t>Scotland</t>
  </si>
  <si>
    <t xml:space="preserve">AL </t>
  </si>
  <si>
    <t>St Albans</t>
  </si>
  <si>
    <t>England</t>
  </si>
  <si>
    <t xml:space="preserve">B </t>
  </si>
  <si>
    <t>Birmingham</t>
  </si>
  <si>
    <t xml:space="preserve">BA </t>
  </si>
  <si>
    <t>Bath</t>
  </si>
  <si>
    <t xml:space="preserve">BB </t>
  </si>
  <si>
    <t>Blackburn &amp; Burnley</t>
  </si>
  <si>
    <t xml:space="preserve">BD </t>
  </si>
  <si>
    <t>Bradford</t>
  </si>
  <si>
    <t xml:space="preserve">BH </t>
  </si>
  <si>
    <t>Bournemouth</t>
  </si>
  <si>
    <t xml:space="preserve">BL </t>
  </si>
  <si>
    <t>Bolton</t>
  </si>
  <si>
    <t xml:space="preserve">BN </t>
  </si>
  <si>
    <t>Brighton</t>
  </si>
  <si>
    <t xml:space="preserve">BR </t>
  </si>
  <si>
    <t>Bromley</t>
  </si>
  <si>
    <t xml:space="preserve">BS </t>
  </si>
  <si>
    <t>Bristol</t>
  </si>
  <si>
    <t xml:space="preserve">BT </t>
  </si>
  <si>
    <t>Northern Ireland</t>
  </si>
  <si>
    <t xml:space="preserve">CA </t>
  </si>
  <si>
    <t>Carlisle</t>
  </si>
  <si>
    <t xml:space="preserve">CB </t>
  </si>
  <si>
    <t>Cambridge</t>
  </si>
  <si>
    <t xml:space="preserve">CF </t>
  </si>
  <si>
    <t>Cardiff</t>
  </si>
  <si>
    <t>Wales</t>
  </si>
  <si>
    <t xml:space="preserve">CH </t>
  </si>
  <si>
    <t>Chester &amp; Deeside</t>
  </si>
  <si>
    <t xml:space="preserve">CM </t>
  </si>
  <si>
    <t>Chelmsford</t>
  </si>
  <si>
    <t xml:space="preserve">CO </t>
  </si>
  <si>
    <t>Colchester</t>
  </si>
  <si>
    <t xml:space="preserve">CR </t>
  </si>
  <si>
    <t>Croydon</t>
  </si>
  <si>
    <t xml:space="preserve">CT </t>
  </si>
  <si>
    <t>Canterbury</t>
  </si>
  <si>
    <t xml:space="preserve">CV </t>
  </si>
  <si>
    <t>Coventry &amp; Warwickshire</t>
  </si>
  <si>
    <t xml:space="preserve">CW </t>
  </si>
  <si>
    <t>Crewe</t>
  </si>
  <si>
    <t xml:space="preserve">DA </t>
  </si>
  <si>
    <t>Dartford</t>
  </si>
  <si>
    <t xml:space="preserve">DD </t>
  </si>
  <si>
    <t>Dundee</t>
  </si>
  <si>
    <t xml:space="preserve">DE </t>
  </si>
  <si>
    <t>Derby</t>
  </si>
  <si>
    <t xml:space="preserve">DG </t>
  </si>
  <si>
    <t>Dumfries</t>
  </si>
  <si>
    <t xml:space="preserve">DH </t>
  </si>
  <si>
    <t>Durham</t>
  </si>
  <si>
    <t xml:space="preserve">DL </t>
  </si>
  <si>
    <t>Darlington</t>
  </si>
  <si>
    <t xml:space="preserve">DN </t>
  </si>
  <si>
    <t>Doncaster</t>
  </si>
  <si>
    <t xml:space="preserve">DT </t>
  </si>
  <si>
    <t>Dorchester</t>
  </si>
  <si>
    <t xml:space="preserve">DY </t>
  </si>
  <si>
    <t>Dudley</t>
  </si>
  <si>
    <t xml:space="preserve">E </t>
  </si>
  <si>
    <t>London East</t>
  </si>
  <si>
    <t xml:space="preserve">EC </t>
  </si>
  <si>
    <t>City of London</t>
  </si>
  <si>
    <t xml:space="preserve">EH </t>
  </si>
  <si>
    <t>Edinburgh</t>
  </si>
  <si>
    <t xml:space="preserve">EN </t>
  </si>
  <si>
    <t>Enfield</t>
  </si>
  <si>
    <t xml:space="preserve">EX </t>
  </si>
  <si>
    <t>Exeter</t>
  </si>
  <si>
    <t xml:space="preserve">FK </t>
  </si>
  <si>
    <t>Falkirk</t>
  </si>
  <si>
    <t xml:space="preserve">FY </t>
  </si>
  <si>
    <t>Fylde</t>
  </si>
  <si>
    <t xml:space="preserve">G </t>
  </si>
  <si>
    <t>Glasgow</t>
  </si>
  <si>
    <t xml:space="preserve">GL </t>
  </si>
  <si>
    <t>Gloucester</t>
  </si>
  <si>
    <t xml:space="preserve">GU </t>
  </si>
  <si>
    <t>Guildford</t>
  </si>
  <si>
    <t xml:space="preserve">HA </t>
  </si>
  <si>
    <t>Harrow</t>
  </si>
  <si>
    <t xml:space="preserve">HD </t>
  </si>
  <si>
    <t>Huddersfield</t>
  </si>
  <si>
    <t xml:space="preserve">HG </t>
  </si>
  <si>
    <t>Harrogate</t>
  </si>
  <si>
    <t xml:space="preserve">HP </t>
  </si>
  <si>
    <t>Hemel Hempstead</t>
  </si>
  <si>
    <t xml:space="preserve">HR </t>
  </si>
  <si>
    <t>Hereford</t>
  </si>
  <si>
    <t xml:space="preserve">HS </t>
  </si>
  <si>
    <t>Hebrides</t>
  </si>
  <si>
    <t xml:space="preserve">HU </t>
  </si>
  <si>
    <t>Hull</t>
  </si>
  <si>
    <t xml:space="preserve">HX </t>
  </si>
  <si>
    <t>Halifax</t>
  </si>
  <si>
    <t xml:space="preserve">IG </t>
  </si>
  <si>
    <t>Ilford</t>
  </si>
  <si>
    <t xml:space="preserve">IP </t>
  </si>
  <si>
    <t>Ipswich</t>
  </si>
  <si>
    <t xml:space="preserve">IV </t>
  </si>
  <si>
    <t>Inverness</t>
  </si>
  <si>
    <t xml:space="preserve">KA </t>
  </si>
  <si>
    <t>Kilmarnock</t>
  </si>
  <si>
    <t xml:space="preserve">KT </t>
  </si>
  <si>
    <t>Kingston upon Thames</t>
  </si>
  <si>
    <t xml:space="preserve">KW </t>
  </si>
  <si>
    <t>Kirkwall</t>
  </si>
  <si>
    <t xml:space="preserve">KY </t>
  </si>
  <si>
    <t>Kirkcaldy</t>
  </si>
  <si>
    <t xml:space="preserve">L </t>
  </si>
  <si>
    <t>Liverpool</t>
  </si>
  <si>
    <t xml:space="preserve">LA </t>
  </si>
  <si>
    <t>Lancaster</t>
  </si>
  <si>
    <t xml:space="preserve">LD </t>
  </si>
  <si>
    <t>Llandrindod Wells</t>
  </si>
  <si>
    <t xml:space="preserve">LE </t>
  </si>
  <si>
    <t>Leicester</t>
  </si>
  <si>
    <t xml:space="preserve">LL </t>
  </si>
  <si>
    <t>North Wales</t>
  </si>
  <si>
    <t xml:space="preserve">LN </t>
  </si>
  <si>
    <t>Lincoln</t>
  </si>
  <si>
    <t xml:space="preserve">LS </t>
  </si>
  <si>
    <t>Leeds</t>
  </si>
  <si>
    <t xml:space="preserve">LU </t>
  </si>
  <si>
    <t>Luton</t>
  </si>
  <si>
    <t xml:space="preserve">M </t>
  </si>
  <si>
    <t>Manchester</t>
  </si>
  <si>
    <t xml:space="preserve">ME </t>
  </si>
  <si>
    <t>Maidstone</t>
  </si>
  <si>
    <t xml:space="preserve">MK </t>
  </si>
  <si>
    <t>Milton Keynes</t>
  </si>
  <si>
    <t xml:space="preserve">ML </t>
  </si>
  <si>
    <t>Motherwell</t>
  </si>
  <si>
    <t xml:space="preserve">N </t>
  </si>
  <si>
    <t>London N</t>
  </si>
  <si>
    <t xml:space="preserve">NE </t>
  </si>
  <si>
    <t>Newcastle</t>
  </si>
  <si>
    <t xml:space="preserve">NG </t>
  </si>
  <si>
    <t>Nottingham</t>
  </si>
  <si>
    <t xml:space="preserve">NN </t>
  </si>
  <si>
    <t>Northamptonshire</t>
  </si>
  <si>
    <t xml:space="preserve">NP </t>
  </si>
  <si>
    <t>Newport</t>
  </si>
  <si>
    <t xml:space="preserve">NR </t>
  </si>
  <si>
    <t>Norwich</t>
  </si>
  <si>
    <t xml:space="preserve">NW </t>
  </si>
  <si>
    <t>London NW</t>
  </si>
  <si>
    <t xml:space="preserve">OL </t>
  </si>
  <si>
    <t>Oldham</t>
  </si>
  <si>
    <t xml:space="preserve">OX </t>
  </si>
  <si>
    <t>Oxford</t>
  </si>
  <si>
    <t xml:space="preserve">PA </t>
  </si>
  <si>
    <t>Paisley</t>
  </si>
  <si>
    <t xml:space="preserve">PE </t>
  </si>
  <si>
    <t>Peterborough</t>
  </si>
  <si>
    <t xml:space="preserve">PH </t>
  </si>
  <si>
    <t>Perth</t>
  </si>
  <si>
    <t xml:space="preserve">PL </t>
  </si>
  <si>
    <t>Plymouth</t>
  </si>
  <si>
    <t xml:space="preserve">PO </t>
  </si>
  <si>
    <t>Portsmouth</t>
  </si>
  <si>
    <t xml:space="preserve">PR </t>
  </si>
  <si>
    <t>Preston</t>
  </si>
  <si>
    <t xml:space="preserve">RG </t>
  </si>
  <si>
    <t>Reading</t>
  </si>
  <si>
    <t xml:space="preserve">RH </t>
  </si>
  <si>
    <t>Redhill</t>
  </si>
  <si>
    <t xml:space="preserve">RM </t>
  </si>
  <si>
    <t>Romford</t>
  </si>
  <si>
    <t xml:space="preserve">S </t>
  </si>
  <si>
    <t>Sheffield</t>
  </si>
  <si>
    <t xml:space="preserve">SA </t>
  </si>
  <si>
    <t>Swansea</t>
  </si>
  <si>
    <t xml:space="preserve">SE </t>
  </si>
  <si>
    <t>London SE</t>
  </si>
  <si>
    <t xml:space="preserve">SG </t>
  </si>
  <si>
    <t>Stevenage</t>
  </si>
  <si>
    <t xml:space="preserve">SK </t>
  </si>
  <si>
    <t>Stockport</t>
  </si>
  <si>
    <t xml:space="preserve">SL </t>
  </si>
  <si>
    <t>Slough</t>
  </si>
  <si>
    <t xml:space="preserve">SM </t>
  </si>
  <si>
    <t>Sutton</t>
  </si>
  <si>
    <t xml:space="preserve">SN </t>
  </si>
  <si>
    <t>Swindon</t>
  </si>
  <si>
    <t xml:space="preserve">SO </t>
  </si>
  <si>
    <t>Southampton</t>
  </si>
  <si>
    <t xml:space="preserve">SP </t>
  </si>
  <si>
    <t>Salisbury</t>
  </si>
  <si>
    <t xml:space="preserve">SR </t>
  </si>
  <si>
    <t>Sunderland</t>
  </si>
  <si>
    <t xml:space="preserve">SS </t>
  </si>
  <si>
    <t>Southend-on-Sea</t>
  </si>
  <si>
    <t xml:space="preserve">ST </t>
  </si>
  <si>
    <t>Stoke-on-Trent</t>
  </si>
  <si>
    <t xml:space="preserve">SW </t>
  </si>
  <si>
    <t>London SW</t>
  </si>
  <si>
    <t xml:space="preserve">SY </t>
  </si>
  <si>
    <t>Shrewsbury</t>
  </si>
  <si>
    <t xml:space="preserve">TA </t>
  </si>
  <si>
    <t>Taunton</t>
  </si>
  <si>
    <t xml:space="preserve">TD </t>
  </si>
  <si>
    <t>Borders</t>
  </si>
  <si>
    <t xml:space="preserve">TF </t>
  </si>
  <si>
    <t>Telford</t>
  </si>
  <si>
    <t xml:space="preserve">TN </t>
  </si>
  <si>
    <t>Tonbridge</t>
  </si>
  <si>
    <t xml:space="preserve">TQ </t>
  </si>
  <si>
    <t>Torquay</t>
  </si>
  <si>
    <t xml:space="preserve">TR </t>
  </si>
  <si>
    <t>Truro</t>
  </si>
  <si>
    <t xml:space="preserve">TS </t>
  </si>
  <si>
    <t>Teesside</t>
  </si>
  <si>
    <t xml:space="preserve">TW </t>
  </si>
  <si>
    <t>Twickenham</t>
  </si>
  <si>
    <t xml:space="preserve">UB </t>
  </si>
  <si>
    <t>Uxbridge</t>
  </si>
  <si>
    <t xml:space="preserve">W </t>
  </si>
  <si>
    <t>London West</t>
  </si>
  <si>
    <t xml:space="preserve">WA </t>
  </si>
  <si>
    <t>Warrington</t>
  </si>
  <si>
    <t xml:space="preserve">WC </t>
  </si>
  <si>
    <t>London West Central</t>
  </si>
  <si>
    <t xml:space="preserve">WD </t>
  </si>
  <si>
    <t>Watford</t>
  </si>
  <si>
    <t xml:space="preserve">WF </t>
  </si>
  <si>
    <t>Wakefield</t>
  </si>
  <si>
    <t xml:space="preserve">WN </t>
  </si>
  <si>
    <t>Wigan</t>
  </si>
  <si>
    <t xml:space="preserve">WR </t>
  </si>
  <si>
    <t>Worcester</t>
  </si>
  <si>
    <t xml:space="preserve">WS </t>
  </si>
  <si>
    <t>Walsall</t>
  </si>
  <si>
    <t xml:space="preserve">WV </t>
  </si>
  <si>
    <t>Wolverhampton</t>
  </si>
  <si>
    <t xml:space="preserve">YO </t>
  </si>
  <si>
    <t>York</t>
  </si>
  <si>
    <t xml:space="preserve">ZE </t>
  </si>
  <si>
    <t>Lerwick</t>
  </si>
  <si>
    <t>PR</t>
  </si>
  <si>
    <t>Complaint category</t>
  </si>
  <si>
    <t>Volume</t>
  </si>
  <si>
    <r>
      <rPr>
        <sz val="11"/>
        <color theme="1"/>
        <rFont val="Calibri"/>
        <family val="2"/>
        <scheme val="minor"/>
      </rPr>
      <t>Loss</t>
    </r>
  </si>
  <si>
    <t>Denial of receipt</t>
  </si>
  <si>
    <r>
      <rPr>
        <sz val="11"/>
        <color theme="1"/>
        <rFont val="Calibri"/>
        <family val="2"/>
        <scheme val="minor"/>
      </rPr>
      <t>Delay</t>
    </r>
  </si>
  <si>
    <r>
      <rPr>
        <sz val="11"/>
        <color theme="1"/>
        <rFont val="Calibri"/>
        <family val="2"/>
        <scheme val="minor"/>
      </rPr>
      <t>P739 Failure</t>
    </r>
  </si>
  <si>
    <r>
      <rPr>
        <sz val="11"/>
        <color theme="1"/>
        <rFont val="Calibri"/>
        <family val="2"/>
        <scheme val="minor"/>
      </rPr>
      <t>Redirection</t>
    </r>
  </si>
  <si>
    <r>
      <rPr>
        <sz val="11"/>
        <color theme="1"/>
        <rFont val="Calibri"/>
        <family val="2"/>
        <scheme val="minor"/>
      </rPr>
      <t>Mis-delivery</t>
    </r>
  </si>
  <si>
    <r>
      <rPr>
        <sz val="11"/>
        <color theme="1"/>
        <rFont val="Calibri"/>
        <family val="2"/>
        <scheme val="minor"/>
      </rPr>
      <t>Delivery Procedure Errors</t>
    </r>
  </si>
  <si>
    <r>
      <rPr>
        <sz val="11"/>
        <color theme="1"/>
        <rFont val="Calibri"/>
        <family val="2"/>
        <scheme val="minor"/>
      </rPr>
      <t>Redelivery Failure</t>
    </r>
  </si>
  <si>
    <r>
      <rPr>
        <sz val="11"/>
        <color theme="1"/>
        <rFont val="Calibri"/>
        <family val="2"/>
        <scheme val="minor"/>
      </rPr>
      <t>Damage</t>
    </r>
  </si>
  <si>
    <r>
      <rPr>
        <sz val="11"/>
        <color theme="1"/>
        <rFont val="Calibri"/>
        <family val="2"/>
        <scheme val="minor"/>
      </rPr>
      <t>Proof of Delivery Failure</t>
    </r>
  </si>
  <si>
    <r>
      <rPr>
        <sz val="11"/>
        <color theme="1"/>
        <rFont val="Calibri"/>
        <family val="2"/>
        <scheme val="minor"/>
      </rPr>
      <t>General Complaint</t>
    </r>
  </si>
  <si>
    <r>
      <rPr>
        <sz val="11"/>
        <color theme="1"/>
        <rFont val="Calibri"/>
        <family val="2"/>
        <scheme val="minor"/>
      </rPr>
      <t>Part Loss</t>
    </r>
  </si>
  <si>
    <t>International Loss</t>
  </si>
  <si>
    <r>
      <rPr>
        <sz val="11"/>
        <color theme="1"/>
        <rFont val="Calibri"/>
        <family val="2"/>
        <scheme val="minor"/>
      </rPr>
      <t>Other</t>
    </r>
  </si>
  <si>
    <t>Loss</t>
  </si>
  <si>
    <t>Delay</t>
  </si>
  <si>
    <t>P739 Failure</t>
  </si>
  <si>
    <t>Redirection</t>
  </si>
  <si>
    <t>Mis-delivery</t>
  </si>
  <si>
    <t>Delivery Procedure Errors</t>
  </si>
  <si>
    <t>Redelivery Failure</t>
  </si>
  <si>
    <t>Damage</t>
  </si>
  <si>
    <t>Proof of Delivery Failure</t>
  </si>
  <si>
    <t>General Complaint</t>
  </si>
  <si>
    <t>Part Loss</t>
  </si>
  <si>
    <t>Unconfirmed loss/delay</t>
  </si>
  <si>
    <t>Total current year</t>
  </si>
  <si>
    <t>Target/actual</t>
  </si>
  <si>
    <t>Category</t>
  </si>
  <si>
    <t>Label</t>
  </si>
  <si>
    <t>Percentage</t>
  </si>
  <si>
    <t>Target Met</t>
  </si>
  <si>
    <t>2010-11</t>
  </si>
  <si>
    <t>Target</t>
  </si>
  <si>
    <t xml:space="preserve">European International Delivery </t>
  </si>
  <si>
    <t>EID target</t>
  </si>
  <si>
    <t>Actual</t>
  </si>
  <si>
    <t>EID achieved</t>
  </si>
  <si>
    <t>Special Delivery</t>
  </si>
  <si>
    <t>Special Delivery target</t>
  </si>
  <si>
    <t>Special Delivery achieved</t>
  </si>
  <si>
    <t>Not met</t>
  </si>
  <si>
    <t>Collection points served each day</t>
  </si>
  <si>
    <t>Collection points target</t>
  </si>
  <si>
    <t>Collection points achieved</t>
  </si>
  <si>
    <t>Delivery routes completed each day</t>
  </si>
  <si>
    <t>Delivery routes target</t>
  </si>
  <si>
    <t>Delivery routes achieved</t>
  </si>
  <si>
    <t>Correctly delivered items each day</t>
  </si>
  <si>
    <t>Correctly delivered items target</t>
  </si>
  <si>
    <t>Correctly delivered items achieved</t>
  </si>
  <si>
    <t>Met</t>
  </si>
  <si>
    <t>First Class achieved</t>
  </si>
  <si>
    <t>First Class target</t>
  </si>
  <si>
    <t>Second Class achieved</t>
  </si>
  <si>
    <t>Second Class target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</si>
</sst>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_-* #,##0_-;\-* #,##0_-;_-* &quot;-&quot;??_-;_-@_-"/>
    <numFmt numFmtId="166" formatCode="0.000"/>
    <numFmt numFmtId="167" formatCode="dd/mm/yyyy;@"/>
    <numFmt numFmtId="168" formatCode="0.0000"/>
  </numFmts>
  <fonts count="35">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name val="Arial"/>
      <family val="2"/>
    </font>
    <font>
      <sz val="10"/>
      <name val="Arial"/>
      <family val="2"/>
    </font>
    <font>
      <sz val="10"/>
      <name val="Calibri"/>
      <family val="2"/>
      <scheme val="minor"/>
    </font>
    <font>
      <sz val="11"/>
      <name val="Calibri"/>
      <family val="2"/>
      <scheme val="minor"/>
    </font>
    <font>
      <sz val="11"/>
      <color indexed="8"/>
      <name val="Calibri"/>
      <family val="2"/>
    </font>
    <font>
      <sz val="10"/>
      <name val="ChevinLight"/>
    </font>
    <font>
      <sz val="10"/>
      <color rgb="FF000000"/>
      <name val="Arial"/>
      <family val="2"/>
    </font>
    <font>
      <sz val="11"/>
      <color rgb="FF000000"/>
      <name val="Calibri,sans-serif"/>
    </font>
    <font>
      <sz val="10"/>
      <color rgb="FF000000"/>
      <name val="Times New Roman"/>
      <family val="1"/>
    </font>
    <font>
      <b/>
      <sz val="10"/>
      <name val="Arial"/>
      <family val="2"/>
    </font>
    <font>
      <sz val="11"/>
      <color indexed="8"/>
      <name val="Calibri"/>
      <family val="2"/>
      <scheme val="minor"/>
    </font>
    <font>
      <sz val="8"/>
      <name val="Calibri"/>
      <family val="2"/>
      <scheme val="minor"/>
    </font>
    <font>
      <b/>
      <sz val="10"/>
      <name val="Calibri"/>
      <family val="2"/>
      <scheme val="minor"/>
    </font>
    <font>
      <b/>
      <sz val="11"/>
      <name val="Calibri"/>
      <family val="2"/>
      <scheme val="minor"/>
    </font>
    <font>
      <sz val="11"/>
      <color theme="5" tint="-0.249977111117893"/>
      <name val="Calibri"/>
      <family val="2"/>
      <scheme val="minor"/>
    </font>
    <font>
      <b/>
      <sz val="12"/>
      <name val="Calibri"/>
      <family val="2"/>
      <scheme val="minor"/>
    </font>
    <font>
      <b/>
      <sz val="11"/>
      <name val="Calibri"/>
      <family val="2"/>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0"/>
        <bgColor indexed="64"/>
      </patternFill>
    </fill>
    <fill>
      <patternFill patternType="solid">
        <fgColor theme="4"/>
        <bgColor theme="4"/>
      </patternFill>
    </fill>
    <fill>
      <patternFill patternType="solid">
        <fgColor theme="4" tint="0.7999816888943144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4"/>
        <bgColor indexed="64"/>
      </patternFill>
    </fill>
    <fill>
      <patternFill patternType="solid">
        <fgColor rgb="FFFFFF00"/>
        <bgColor indexed="64"/>
      </patternFill>
    </fill>
    <fill>
      <patternFill patternType="solid">
        <fgColor theme="5" tint="0.59999389629810485"/>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style="thin">
        <color rgb="FF000000"/>
      </left>
      <right style="thin">
        <color rgb="FF000000"/>
      </right>
      <top style="thin">
        <color rgb="FF000000"/>
      </top>
      <bottom style="thin">
        <color rgb="FF000000"/>
      </bottom>
      <diagonal/>
    </border>
  </borders>
  <cellStyleXfs count="5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lignment vertical="center"/>
    </xf>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26" fillId="0" borderId="0"/>
  </cellStyleXfs>
  <cellXfs count="83">
    <xf numFmtId="0" fontId="0" fillId="0" borderId="0" xfId="0"/>
    <xf numFmtId="0" fontId="16" fillId="0" borderId="0" xfId="0" applyFont="1"/>
    <xf numFmtId="2" fontId="0" fillId="0" borderId="0" xfId="0" applyNumberFormat="1"/>
    <xf numFmtId="165" fontId="0" fillId="0" borderId="0" xfId="0" applyNumberFormat="1"/>
    <xf numFmtId="1" fontId="0" fillId="0" borderId="0" xfId="0" applyNumberFormat="1"/>
    <xf numFmtId="0" fontId="25" fillId="0" borderId="0" xfId="0" applyFont="1"/>
    <xf numFmtId="0" fontId="24" fillId="0" borderId="0" xfId="0" applyFont="1"/>
    <xf numFmtId="14" fontId="0" fillId="0" borderId="0" xfId="0" applyNumberFormat="1"/>
    <xf numFmtId="0" fontId="0" fillId="0" borderId="0" xfId="0" applyAlignment="1">
      <alignment horizontal="left"/>
    </xf>
    <xf numFmtId="164" fontId="0" fillId="0" borderId="0" xfId="0" applyNumberFormat="1"/>
    <xf numFmtId="168" fontId="0" fillId="0" borderId="0" xfId="0" applyNumberFormat="1"/>
    <xf numFmtId="49" fontId="0" fillId="0" borderId="0" xfId="0" applyNumberFormat="1"/>
    <xf numFmtId="3" fontId="0" fillId="33" borderId="14" xfId="49" applyNumberFormat="1" applyFont="1" applyFill="1" applyBorder="1" applyAlignment="1">
      <alignment horizontal="right" vertical="top" wrapText="1"/>
    </xf>
    <xf numFmtId="3" fontId="0" fillId="33" borderId="14" xfId="49" applyNumberFormat="1" applyFont="1" applyFill="1" applyBorder="1" applyAlignment="1">
      <alignment horizontal="left" vertical="top" wrapText="1"/>
    </xf>
    <xf numFmtId="0" fontId="0" fillId="34" borderId="0" xfId="0" applyFill="1"/>
    <xf numFmtId="0" fontId="0" fillId="0" borderId="0" xfId="0" applyAlignment="1">
      <alignment vertical="center" wrapText="1"/>
    </xf>
    <xf numFmtId="2" fontId="0" fillId="34" borderId="0" xfId="0" applyNumberFormat="1" applyFill="1"/>
    <xf numFmtId="164" fontId="0" fillId="34" borderId="0" xfId="0" applyNumberFormat="1" applyFill="1"/>
    <xf numFmtId="164" fontId="16" fillId="0" borderId="0" xfId="0" applyNumberFormat="1" applyFont="1"/>
    <xf numFmtId="2" fontId="16" fillId="0" borderId="0" xfId="0" applyNumberFormat="1" applyFont="1"/>
    <xf numFmtId="0" fontId="13" fillId="35" borderId="12" xfId="0" applyFont="1" applyFill="1" applyBorder="1"/>
    <xf numFmtId="14" fontId="0" fillId="0" borderId="12" xfId="0" applyNumberFormat="1" applyBorder="1"/>
    <xf numFmtId="167" fontId="0" fillId="0" borderId="12" xfId="0" applyNumberFormat="1" applyBorder="1"/>
    <xf numFmtId="14" fontId="0" fillId="33" borderId="12" xfId="0" applyNumberFormat="1" applyFill="1" applyBorder="1"/>
    <xf numFmtId="49" fontId="19" fillId="0" borderId="0" xfId="42" applyNumberFormat="1" applyFont="1">
      <alignment vertical="center"/>
    </xf>
    <xf numFmtId="164" fontId="19" fillId="0" borderId="0" xfId="42" applyNumberFormat="1" applyFont="1">
      <alignment vertical="center"/>
    </xf>
    <xf numFmtId="2" fontId="19" fillId="0" borderId="0" xfId="42" applyNumberFormat="1" applyFont="1">
      <alignment vertical="center"/>
    </xf>
    <xf numFmtId="17" fontId="0" fillId="0" borderId="0" xfId="0" applyNumberFormat="1"/>
    <xf numFmtId="49" fontId="16" fillId="0" borderId="0" xfId="0" applyNumberFormat="1" applyFont="1"/>
    <xf numFmtId="164" fontId="16" fillId="0" borderId="11" xfId="0" applyNumberFormat="1" applyFont="1" applyBorder="1"/>
    <xf numFmtId="0" fontId="16" fillId="0" borderId="10" xfId="0" applyFont="1" applyBorder="1"/>
    <xf numFmtId="166" fontId="0" fillId="34" borderId="0" xfId="0" applyNumberFormat="1" applyFill="1"/>
    <xf numFmtId="166" fontId="0" fillId="0" borderId="0" xfId="0" applyNumberFormat="1"/>
    <xf numFmtId="0" fontId="21" fillId="0" borderId="0" xfId="0" applyFont="1"/>
    <xf numFmtId="17" fontId="0" fillId="0" borderId="13" xfId="0" applyNumberFormat="1" applyBorder="1"/>
    <xf numFmtId="164" fontId="0" fillId="36" borderId="0" xfId="0" applyNumberFormat="1" applyFill="1"/>
    <xf numFmtId="0" fontId="0" fillId="36" borderId="0" xfId="0" applyFill="1"/>
    <xf numFmtId="166" fontId="0" fillId="36" borderId="0" xfId="0" applyNumberFormat="1" applyFill="1"/>
    <xf numFmtId="164" fontId="16" fillId="37" borderId="0" xfId="0" applyNumberFormat="1" applyFont="1" applyFill="1"/>
    <xf numFmtId="0" fontId="16" fillId="37" borderId="0" xfId="0" applyFont="1" applyFill="1"/>
    <xf numFmtId="0" fontId="21" fillId="0" borderId="0" xfId="0" applyFont="1" applyAlignment="1">
      <alignment horizontal="left"/>
    </xf>
    <xf numFmtId="17" fontId="21" fillId="0" borderId="0" xfId="0" applyNumberFormat="1" applyFont="1"/>
    <xf numFmtId="17" fontId="21" fillId="0" borderId="12" xfId="0" applyNumberFormat="1" applyFont="1" applyBorder="1"/>
    <xf numFmtId="1" fontId="22" fillId="0" borderId="0" xfId="0" applyNumberFormat="1" applyFont="1"/>
    <xf numFmtId="17" fontId="20" fillId="0" borderId="0" xfId="0" applyNumberFormat="1" applyFont="1"/>
    <xf numFmtId="1" fontId="28" fillId="0" borderId="0" xfId="0" applyNumberFormat="1" applyFont="1"/>
    <xf numFmtId="164" fontId="21" fillId="0" borderId="0" xfId="0" applyNumberFormat="1" applyFont="1" applyAlignment="1">
      <alignment horizontal="right"/>
    </xf>
    <xf numFmtId="14" fontId="21" fillId="0" borderId="0" xfId="0" applyNumberFormat="1" applyFont="1"/>
    <xf numFmtId="164" fontId="20" fillId="0" borderId="0" xfId="0" applyNumberFormat="1" applyFont="1" applyAlignment="1">
      <alignment horizontal="left"/>
    </xf>
    <xf numFmtId="164" fontId="20" fillId="0" borderId="0" xfId="0" applyNumberFormat="1" applyFont="1" applyAlignment="1">
      <alignment horizontal="right"/>
    </xf>
    <xf numFmtId="0" fontId="22" fillId="0" borderId="0" xfId="0" applyFont="1"/>
    <xf numFmtId="2" fontId="22" fillId="0" borderId="0" xfId="0" applyNumberFormat="1" applyFont="1"/>
    <xf numFmtId="17" fontId="27" fillId="0" borderId="0" xfId="0" applyNumberFormat="1" applyFont="1"/>
    <xf numFmtId="17" fontId="19" fillId="0" borderId="0" xfId="0" applyNumberFormat="1" applyFont="1"/>
    <xf numFmtId="0" fontId="23" fillId="0" borderId="0" xfId="0" applyFont="1"/>
    <xf numFmtId="0" fontId="20" fillId="0" borderId="0" xfId="0" applyFont="1"/>
    <xf numFmtId="0" fontId="0" fillId="38" borderId="0" xfId="0" applyFill="1"/>
    <xf numFmtId="0" fontId="0" fillId="39" borderId="0" xfId="0" applyFill="1"/>
    <xf numFmtId="0" fontId="0" fillId="40" borderId="0" xfId="0" applyFill="1"/>
    <xf numFmtId="0" fontId="31" fillId="0" borderId="0" xfId="0" applyFont="1"/>
    <xf numFmtId="0" fontId="27" fillId="0" borderId="0" xfId="0" applyFont="1" applyAlignment="1">
      <alignment horizontal="left"/>
    </xf>
    <xf numFmtId="17" fontId="31" fillId="0" borderId="0" xfId="0" applyNumberFormat="1" applyFont="1"/>
    <xf numFmtId="1" fontId="16" fillId="0" borderId="0" xfId="0" applyNumberFormat="1" applyFont="1"/>
    <xf numFmtId="17" fontId="30" fillId="0" borderId="0" xfId="0" applyNumberFormat="1" applyFont="1"/>
    <xf numFmtId="1" fontId="21" fillId="0" borderId="0" xfId="0" applyNumberFormat="1" applyFont="1" applyAlignment="1">
      <alignment horizontal="right"/>
    </xf>
    <xf numFmtId="0" fontId="0" fillId="41" borderId="0" xfId="0" applyFill="1"/>
    <xf numFmtId="2" fontId="32" fillId="0" borderId="0" xfId="0" applyNumberFormat="1" applyFont="1"/>
    <xf numFmtId="167" fontId="19" fillId="0" borderId="12" xfId="42" applyNumberFormat="1" applyFont="1" applyBorder="1">
      <alignment vertical="center"/>
    </xf>
    <xf numFmtId="167" fontId="0" fillId="0" borderId="0" xfId="0" applyNumberFormat="1"/>
    <xf numFmtId="167" fontId="19" fillId="0" borderId="0" xfId="42" applyNumberFormat="1" applyFont="1">
      <alignment vertical="center"/>
    </xf>
    <xf numFmtId="0" fontId="33" fillId="33" borderId="14" xfId="49" applyFont="1" applyFill="1" applyBorder="1" applyAlignment="1">
      <alignment horizontal="left" vertical="top" wrapText="1"/>
    </xf>
    <xf numFmtId="0" fontId="0" fillId="33" borderId="10" xfId="0" applyFill="1" applyBorder="1"/>
    <xf numFmtId="0" fontId="0" fillId="0" borderId="10" xfId="0" applyBorder="1"/>
    <xf numFmtId="2" fontId="0" fillId="33" borderId="10" xfId="0" applyNumberFormat="1" applyFill="1" applyBorder="1"/>
    <xf numFmtId="164" fontId="0" fillId="33" borderId="10" xfId="0" applyNumberFormat="1" applyFill="1" applyBorder="1"/>
    <xf numFmtId="2" fontId="0" fillId="0" borderId="10" xfId="0" applyNumberFormat="1" applyBorder="1"/>
    <xf numFmtId="164" fontId="0" fillId="0" borderId="10" xfId="0" applyNumberFormat="1" applyBorder="1"/>
    <xf numFmtId="0" fontId="0" fillId="0" borderId="12" xfId="0" applyBorder="1"/>
    <xf numFmtId="0" fontId="0" fillId="33" borderId="12" xfId="0" applyFill="1" applyBorder="1"/>
    <xf numFmtId="0" fontId="31" fillId="35" borderId="12" xfId="0" applyFont="1" applyFill="1" applyBorder="1"/>
    <xf numFmtId="0" fontId="31" fillId="35" borderId="10" xfId="0" applyFont="1" applyFill="1" applyBorder="1"/>
    <xf numFmtId="1" fontId="34" fillId="35" borderId="10" xfId="0" applyNumberFormat="1" applyFont="1" applyFill="1" applyBorder="1"/>
    <xf numFmtId="0" fontId="31" fillId="35" borderId="11" xfId="0" applyFont="1" applyFill="1" applyBorder="1"/>
  </cellXfs>
  <cellStyles count="50">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5" xfId="44" xr:uid="{00000000-0005-0000-0000-00001C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13" xfId="43" xr:uid="{00000000-0005-0000-0000-000027000000}"/>
    <cellStyle name="Normal 2" xfId="47" xr:uid="{00000000-0005-0000-0000-000028000000}"/>
    <cellStyle name="Normal 2 2 6" xfId="48" xr:uid="{00000000-0005-0000-0000-000029000000}"/>
    <cellStyle name="Normal 3" xfId="42" xr:uid="{00000000-0005-0000-0000-00002A000000}"/>
    <cellStyle name="Normal 4" xfId="49" xr:uid="{00000000-0005-0000-0000-00002B000000}"/>
    <cellStyle name="Normal 80" xfId="45" xr:uid="{00000000-0005-0000-0000-00002C000000}"/>
    <cellStyle name="Note" xfId="15" builtinId="10" customBuiltin="1"/>
    <cellStyle name="Output" xfId="10" builtinId="21" customBuiltin="1"/>
    <cellStyle name="Percent 21" xfId="46" xr:uid="{00000000-0005-0000-0000-00002F000000}"/>
    <cellStyle name="Title" xfId="1" builtinId="15" customBuiltin="1"/>
    <cellStyle name="Total" xfId="17" builtinId="25" customBuiltin="1"/>
    <cellStyle name="Warning Text" xfId="14" builtinId="11" customBuiltin="1"/>
  </cellStyles>
  <dxfs count="75">
    <dxf>
      <fill>
        <patternFill patternType="none">
          <fgColor indexed="64"/>
          <bgColor indexed="65"/>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numFmt numFmtId="22" formatCode="mmm\-yy"/>
      <fill>
        <patternFill patternType="none">
          <fgColor indexed="64"/>
          <bgColor indexed="65"/>
        </patternFill>
      </fill>
    </dxf>
    <dxf>
      <numFmt numFmtId="22" formatCode="mmm\-yy"/>
      <fill>
        <patternFill patternType="none">
          <fgColor indexed="64"/>
          <bgColor auto="1"/>
        </patternFill>
      </fill>
    </dxf>
    <dxf>
      <numFmt numFmtId="19" formatCode="dd/mm/yyyy"/>
      <fill>
        <patternFill patternType="none">
          <fgColor indexed="64"/>
          <bgColor auto="1"/>
        </patternFill>
      </fill>
    </dxf>
    <dxf>
      <fill>
        <patternFill patternType="none">
          <fgColor indexed="64"/>
          <bgColor indexed="65"/>
        </patternFill>
      </fill>
    </dxf>
    <dxf>
      <font>
        <b/>
        <i val="0"/>
        <strike val="0"/>
        <condense val="0"/>
        <extend val="0"/>
        <outline val="0"/>
        <shadow val="0"/>
        <u val="none"/>
        <vertAlign val="baseline"/>
        <sz val="11"/>
        <color theme="1"/>
        <name val="Calibri"/>
        <family val="2"/>
        <scheme val="minor"/>
      </font>
    </dxf>
    <dxf>
      <border outline="0">
        <bottom style="thin">
          <color rgb="FF000000"/>
        </bottom>
      </border>
    </dxf>
    <dxf>
      <font>
        <b val="0"/>
        <i val="0"/>
        <strike val="0"/>
        <condense val="0"/>
        <extend val="0"/>
        <outline val="0"/>
        <shadow val="0"/>
        <u val="none"/>
        <vertAlign val="baseline"/>
        <sz val="11"/>
        <color indexed="8"/>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numFmt numFmtId="22" formatCode="mmm\-yy"/>
      <fill>
        <patternFill patternType="none">
          <fgColor indexed="64"/>
          <bgColor auto="1"/>
        </patternFill>
      </fill>
    </dxf>
    <dxf>
      <numFmt numFmtId="164" formatCode="0.0"/>
      <fill>
        <patternFill patternType="solid">
          <fgColor indexed="64"/>
          <bgColor rgb="FFFFFF00"/>
        </patternFill>
      </fill>
    </dxf>
    <dxf>
      <numFmt numFmtId="0" formatCode="General"/>
      <fill>
        <patternFill patternType="solid">
          <fgColor indexed="64"/>
          <bgColor rgb="FFFFFF00"/>
        </patternFill>
      </fill>
    </dxf>
    <dxf>
      <numFmt numFmtId="166" formatCode="0.000"/>
      <fill>
        <patternFill patternType="solid">
          <fgColor indexed="64"/>
          <bgColor rgb="FFFFFF00"/>
        </patternFill>
      </fill>
    </dxf>
    <dxf>
      <numFmt numFmtId="166" formatCode="0.000"/>
      <fill>
        <patternFill patternType="none">
          <fgColor indexed="64"/>
          <bgColor indexed="65"/>
        </patternFill>
      </fill>
    </dxf>
    <dxf>
      <numFmt numFmtId="2" formatCode="0.00"/>
      <fill>
        <patternFill patternType="none">
          <fgColor indexed="64"/>
          <bgColor indexed="65"/>
        </patternFill>
      </fill>
    </dxf>
    <dxf>
      <font>
        <b val="0"/>
        <i val="0"/>
        <strike val="0"/>
        <condense val="0"/>
        <extend val="0"/>
        <outline val="0"/>
        <shadow val="0"/>
        <u val="none"/>
        <vertAlign val="baseline"/>
        <sz val="10"/>
        <color auto="1"/>
        <name val="Calibri"/>
        <family val="2"/>
        <scheme val="minor"/>
      </font>
      <fill>
        <patternFill patternType="none">
          <fgColor indexed="64"/>
          <bgColor indexed="65"/>
        </patternFill>
      </fill>
    </dxf>
    <dxf>
      <numFmt numFmtId="22" formatCode="mmm\-yy"/>
      <fill>
        <patternFill patternType="none">
          <fgColor indexed="64"/>
          <bgColor auto="1"/>
        </patternFill>
      </fill>
    </dxf>
    <dxf>
      <font>
        <b/>
        <i val="0"/>
        <strike val="0"/>
        <condense val="0"/>
        <extend val="0"/>
        <outline val="0"/>
        <shadow val="0"/>
        <u val="none"/>
        <vertAlign val="baseline"/>
        <sz val="11"/>
        <color theme="1"/>
        <name val="Calibri"/>
        <family val="2"/>
        <scheme val="minor"/>
      </font>
      <fill>
        <patternFill patternType="none">
          <fgColor indexed="64"/>
          <bgColor indexed="65"/>
        </patternFill>
      </fill>
    </dxf>
    <dxf>
      <numFmt numFmtId="0" formatCode="General"/>
    </dxf>
    <dxf>
      <numFmt numFmtId="164" formatCode="0.0"/>
    </dxf>
    <dxf>
      <numFmt numFmtId="168" formatCode="0.0000"/>
    </dxf>
    <dxf>
      <numFmt numFmtId="168" formatCode="0.0000"/>
    </dxf>
    <dxf>
      <numFmt numFmtId="168" formatCode="0.0000"/>
    </dxf>
    <dxf>
      <numFmt numFmtId="0" formatCode="General"/>
    </dxf>
    <dxf>
      <numFmt numFmtId="19" formatCode="dd/mm/yyyy"/>
      <fill>
        <patternFill patternType="none">
          <fgColor indexed="64"/>
          <bgColor auto="1"/>
        </patternFill>
      </fill>
    </dxf>
    <dxf>
      <numFmt numFmtId="30" formatCode="@"/>
    </dxf>
    <dxf>
      <numFmt numFmtId="164" formatCode="0.0"/>
    </dxf>
    <dxf>
      <numFmt numFmtId="2" formatCode="0.00"/>
    </dxf>
    <dxf>
      <numFmt numFmtId="2" formatCode="0.00"/>
    </dxf>
    <dxf>
      <numFmt numFmtId="2" formatCode="0.00"/>
    </dxf>
    <dxf>
      <numFmt numFmtId="22" formatCode="mmm\-yy"/>
      <fill>
        <patternFill patternType="none">
          <fgColor indexed="64"/>
          <bgColor auto="1"/>
        </patternFill>
      </fill>
    </dxf>
    <dxf>
      <font>
        <b/>
        <i val="0"/>
        <strike val="0"/>
        <condense val="0"/>
        <extend val="0"/>
        <outline val="0"/>
        <shadow val="0"/>
        <u val="none"/>
        <vertAlign val="baseline"/>
        <sz val="11"/>
        <color theme="1"/>
        <name val="Calibri"/>
        <family val="2"/>
        <scheme val="minor"/>
      </font>
      <fill>
        <patternFill patternType="none">
          <fgColor indexed="64"/>
          <bgColor indexed="65"/>
        </patternFill>
      </fill>
    </dxf>
    <dxf>
      <font>
        <strike val="0"/>
        <outline val="0"/>
        <shadow val="0"/>
        <u val="none"/>
        <vertAlign val="baseline"/>
        <sz val="11"/>
        <color theme="1"/>
        <name val="Calibri"/>
        <family val="2"/>
        <scheme val="minor"/>
      </font>
      <fill>
        <patternFill patternType="none">
          <fgColor rgb="FF000000"/>
          <bgColor rgb="FFFFFFFF"/>
        </patternFill>
      </fill>
    </dxf>
    <dxf>
      <font>
        <strike val="0"/>
        <outline val="0"/>
        <shadow val="0"/>
        <u val="none"/>
        <vertAlign val="baseline"/>
        <sz val="11"/>
        <color theme="1"/>
        <name val="Calibri"/>
        <family val="2"/>
        <scheme val="minor"/>
      </font>
      <numFmt numFmtId="164" formatCode="0.0"/>
      <fill>
        <patternFill patternType="none">
          <fgColor rgb="FF000000"/>
          <bgColor rgb="FFFFFFFF"/>
        </patternFill>
      </fill>
    </dxf>
    <dxf>
      <font>
        <strike val="0"/>
        <outline val="0"/>
        <shadow val="0"/>
        <u val="none"/>
        <vertAlign val="baseline"/>
        <sz val="11"/>
        <color theme="1"/>
        <name val="Calibri"/>
        <family val="2"/>
        <scheme val="minor"/>
      </font>
      <numFmt numFmtId="0" formatCode="General"/>
      <fill>
        <patternFill patternType="none">
          <fgColor rgb="FF000000"/>
          <bgColor rgb="FFFFFFFF"/>
        </patternFill>
      </fill>
    </dxf>
    <dxf>
      <font>
        <strike val="0"/>
        <outline val="0"/>
        <shadow val="0"/>
        <u val="none"/>
        <vertAlign val="baseline"/>
        <sz val="11"/>
        <color theme="1"/>
        <name val="Calibri"/>
        <family val="2"/>
        <scheme val="minor"/>
      </font>
      <numFmt numFmtId="2" formatCode="0.00"/>
      <fill>
        <patternFill patternType="none">
          <fgColor rgb="FF000000"/>
          <bgColor rgb="FFFFFFFF"/>
        </patternFill>
      </fill>
    </dxf>
    <dxf>
      <font>
        <strike val="0"/>
        <outline val="0"/>
        <shadow val="0"/>
        <u val="none"/>
        <vertAlign val="baseline"/>
        <sz val="11"/>
        <color theme="1"/>
        <name val="Calibri"/>
        <family val="2"/>
        <scheme val="minor"/>
      </font>
      <numFmt numFmtId="2" formatCode="0.00"/>
      <fill>
        <patternFill patternType="none">
          <fgColor indexed="64"/>
          <bgColor auto="1"/>
        </patternFill>
      </fill>
    </dxf>
    <dxf>
      <font>
        <strike val="0"/>
        <outline val="0"/>
        <shadow val="0"/>
        <u val="none"/>
        <vertAlign val="baseline"/>
        <sz val="11"/>
        <color theme="1"/>
        <name val="Calibri"/>
        <family val="2"/>
        <scheme val="minor"/>
      </font>
      <fill>
        <patternFill patternType="none">
          <fgColor indexed="64"/>
          <bgColor indexed="65"/>
        </patternFill>
      </fill>
    </dxf>
    <dxf>
      <font>
        <strike val="0"/>
        <outline val="0"/>
        <shadow val="0"/>
        <u val="none"/>
        <vertAlign val="baseline"/>
        <sz val="11"/>
        <color theme="1"/>
        <name val="Calibri"/>
        <family val="2"/>
        <scheme val="minor"/>
      </font>
      <fill>
        <patternFill patternType="none">
          <fgColor indexed="64"/>
          <bgColor indexed="65"/>
        </patternFill>
      </fill>
    </dxf>
    <dxf>
      <font>
        <strike val="0"/>
        <outline val="0"/>
        <shadow val="0"/>
        <u val="none"/>
        <vertAlign val="baseline"/>
        <sz val="11"/>
        <color theme="1"/>
        <name val="Calibri"/>
        <family val="2"/>
        <scheme val="minor"/>
      </font>
      <fill>
        <patternFill patternType="none">
          <fgColor indexed="64"/>
          <bgColor indexed="65"/>
        </patternFill>
      </fill>
    </dxf>
    <dxf>
      <font>
        <strike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19" formatCode="dd/mm/yyyy"/>
      <fill>
        <patternFill patternType="none">
          <fgColor indexed="64"/>
          <bgColor auto="1"/>
        </patternFill>
      </fill>
    </dxf>
    <dxf>
      <font>
        <strike val="0"/>
        <outline val="0"/>
        <shadow val="0"/>
        <u val="none"/>
        <vertAlign val="baseline"/>
        <sz val="11"/>
        <color theme="1"/>
        <name val="Calibri"/>
        <family val="2"/>
        <scheme val="minor"/>
      </font>
      <fill>
        <patternFill patternType="none">
          <fgColor rgb="FF000000"/>
          <bgColor rgb="FFFFFFFF"/>
        </patternFill>
      </fill>
    </dxf>
    <dxf>
      <font>
        <b/>
        <i val="0"/>
        <strike val="0"/>
        <condense val="0"/>
        <extend val="0"/>
        <outline val="0"/>
        <shadow val="0"/>
        <u val="none"/>
        <vertAlign val="baseline"/>
        <sz val="11"/>
        <color theme="1"/>
        <name val="Calibri"/>
        <family val="2"/>
        <scheme val="minor"/>
      </font>
      <fill>
        <patternFill patternType="none">
          <fgColor indexed="64"/>
          <bgColor indexed="65"/>
        </patternFill>
      </fill>
    </dxf>
    <dxf>
      <fill>
        <patternFill patternType="none">
          <fgColor indexed="64"/>
          <bgColor indexed="65"/>
        </patternFill>
      </fill>
    </dxf>
    <dxf>
      <font>
        <b val="0"/>
      </font>
      <fill>
        <patternFill patternType="none">
          <fgColor indexed="64"/>
          <bgColor indexed="65"/>
        </patternFill>
      </fill>
    </dxf>
    <dxf>
      <numFmt numFmtId="1" formatCode="0"/>
      <fill>
        <patternFill patternType="none">
          <fgColor indexed="64"/>
          <bgColor indexed="65"/>
        </patternFill>
      </fill>
    </dxf>
    <dxf>
      <font>
        <strike val="0"/>
        <outline val="0"/>
        <shadow val="0"/>
        <u val="none"/>
        <vertAlign val="baseline"/>
        <name val="Calibri"/>
        <family val="2"/>
        <scheme val="minor"/>
      </font>
      <fill>
        <patternFill patternType="none">
          <fgColor indexed="64"/>
          <bgColor indexed="65"/>
        </patternFill>
      </fill>
    </dxf>
    <dxf>
      <font>
        <b/>
        <i val="0"/>
        <strike val="0"/>
        <condense val="0"/>
        <extend val="0"/>
        <outline val="0"/>
        <shadow val="0"/>
        <u val="none"/>
        <vertAlign val="baseline"/>
        <sz val="10"/>
        <color auto="1"/>
        <name val="Calibri"/>
        <family val="2"/>
        <scheme val="minor"/>
      </font>
      <numFmt numFmtId="22" formatCode="mmm\-yy"/>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dxf>
    <dxf>
      <numFmt numFmtId="0" formatCode="General"/>
    </dxf>
    <dxf>
      <numFmt numFmtId="0" formatCode="General"/>
    </dxf>
    <dxf>
      <font>
        <b val="0"/>
        <i val="0"/>
        <strike val="0"/>
        <condense val="0"/>
        <extend val="0"/>
        <outline val="0"/>
        <shadow val="0"/>
        <u val="none"/>
        <vertAlign val="baseline"/>
        <sz val="11"/>
        <color auto="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22" formatCode="mmm\-yy"/>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dxf>
    <dxf>
      <font>
        <strike val="0"/>
        <outline val="0"/>
        <shadow val="0"/>
        <u val="none"/>
        <vertAlign val="baseline"/>
        <sz val="11"/>
        <name val="Calibri"/>
        <family val="2"/>
        <scheme val="minor"/>
      </font>
      <numFmt numFmtId="1" formatCode="0"/>
      <fill>
        <patternFill patternType="none">
          <fgColor indexed="64"/>
          <bgColor indexed="65"/>
        </patternFill>
      </fill>
    </dxf>
    <dxf>
      <font>
        <strike val="0"/>
        <outline val="0"/>
        <shadow val="0"/>
        <u val="none"/>
        <vertAlign val="baseline"/>
        <sz val="11"/>
        <name val="Calibri"/>
        <family val="2"/>
        <scheme val="minor"/>
      </font>
      <numFmt numFmtId="1" formatCode="0"/>
      <fill>
        <patternFill patternType="none">
          <fgColor indexed="64"/>
          <bgColor indexed="65"/>
        </patternFill>
      </fill>
    </dxf>
    <dxf>
      <font>
        <strike val="0"/>
        <outline val="0"/>
        <shadow val="0"/>
        <u val="none"/>
        <vertAlign val="baseline"/>
        <sz val="11"/>
        <name val="Calibri"/>
        <family val="2"/>
        <scheme val="minor"/>
      </font>
      <fill>
        <patternFill patternType="none">
          <fgColor indexed="64"/>
          <bgColor indexed="65"/>
        </patternFill>
      </fill>
    </dxf>
    <dxf>
      <font>
        <b/>
        <i val="0"/>
        <strike val="0"/>
        <condense val="0"/>
        <extend val="0"/>
        <outline val="0"/>
        <shadow val="0"/>
        <u val="none"/>
        <vertAlign val="baseline"/>
        <sz val="10"/>
        <color auto="1"/>
        <name val="Calibri"/>
        <family val="2"/>
        <scheme val="minor"/>
      </font>
      <numFmt numFmtId="22" formatCode="mmm\-yy"/>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ont>
        <strike val="0"/>
        <outline val="0"/>
        <shadow val="0"/>
        <u val="none"/>
        <vertAlign val="baseline"/>
        <sz val="11"/>
        <name val="Calibri"/>
        <family val="2"/>
        <scheme val="minor"/>
      </font>
      <numFmt numFmtId="1" formatCode="0"/>
      <fill>
        <patternFill patternType="none">
          <fgColor indexed="64"/>
          <bgColor indexed="65"/>
        </patternFill>
      </fill>
    </dxf>
    <dxf>
      <font>
        <strike val="0"/>
        <outline val="0"/>
        <shadow val="0"/>
        <u val="none"/>
        <vertAlign val="baseline"/>
        <sz val="11"/>
        <name val="Calibri"/>
        <family val="2"/>
        <scheme val="minor"/>
      </font>
      <numFmt numFmtId="1" formatCode="0"/>
      <fill>
        <patternFill patternType="none">
          <fgColor indexed="64"/>
          <bgColor indexed="65"/>
        </patternFill>
      </fill>
    </dxf>
    <dxf>
      <fill>
        <patternFill patternType="none">
          <fgColor indexed="64"/>
          <bgColor indexed="65"/>
        </patternFill>
      </fill>
    </dxf>
    <dxf>
      <font>
        <b/>
        <i val="0"/>
        <strike val="0"/>
        <condense val="0"/>
        <extend val="0"/>
        <outline val="0"/>
        <shadow val="0"/>
        <u val="none"/>
        <vertAlign val="baseline"/>
        <sz val="10"/>
        <color auto="1"/>
        <name val="Arial"/>
        <family val="2"/>
        <scheme val="none"/>
      </font>
      <numFmt numFmtId="22" formatCode="mmm\-yy"/>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ustomXml" Target="../ink/ink1.xml"/></Relationships>
</file>

<file path=xl/drawings/drawing1.xml><?xml version="1.0" encoding="utf-8"?>
<xdr:wsDr xmlns:xdr="http://schemas.openxmlformats.org/drawingml/2006/spreadsheetDrawing" xmlns:a="http://schemas.openxmlformats.org/drawingml/2006/main">
  <xdr:twoCellAnchor>
    <xdr:from>
      <xdr:col>9</xdr:col>
      <xdr:colOff>414442</xdr:colOff>
      <xdr:row>16</xdr:row>
      <xdr:rowOff>90420</xdr:rowOff>
    </xdr:from>
    <xdr:to>
      <xdr:col>9</xdr:col>
      <xdr:colOff>448282</xdr:colOff>
      <xdr:row>16</xdr:row>
      <xdr:rowOff>143340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8CD93B6F-D2FD-4E6F-9B12-A3104FD1AC4A}"/>
                </a:ext>
              </a:extLst>
            </xdr14:cNvPr>
            <xdr14:cNvContentPartPr/>
          </xdr14:nvContentPartPr>
          <xdr14:nvPr macro=""/>
          <xdr14:xfrm>
            <a:off x="10125180" y="1614420"/>
            <a:ext cx="33840" cy="52920"/>
          </xdr14:xfrm>
        </xdr:contentPart>
      </mc:Choice>
      <mc:Fallback xmlns="">
        <xdr:pic>
          <xdr:nvPicPr>
            <xdr:cNvPr id="8" name="Ink 7">
              <a:extLst>
                <a:ext uri="{FF2B5EF4-FFF2-40B4-BE49-F238E27FC236}">
                  <a16:creationId xmlns:a16="http://schemas.microsoft.com/office/drawing/2014/main" id="{C90BD87F-FC04-44DD-9570-DD3565EAA686}"/>
                </a:ext>
              </a:extLst>
            </xdr:cNvPr>
            <xdr:cNvPicPr/>
          </xdr:nvPicPr>
          <xdr:blipFill>
            <a:blip xmlns:r="http://schemas.openxmlformats.org/officeDocument/2006/relationships" r:embed="rId2"/>
            <a:stretch>
              <a:fillRect/>
            </a:stretch>
          </xdr:blipFill>
          <xdr:spPr>
            <a:xfrm>
              <a:off x="10120860" y="1610100"/>
              <a:ext cx="42480" cy="61560"/>
            </a:xfrm>
            <a:prstGeom prst="rect">
              <a:avLst/>
            </a:prstGeom>
          </xdr:spPr>
        </xdr:pic>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fcomuk.sharepoint.com/sites/rmmon/del/Pricing%20Workbook%20Resources/Pricing%20Workbook%20Prototyp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fcomuk.sharepoint.com/sites/rmmon/del/Annual%20Report%2020-21/Databooks/19_20%20Financial%20info%20chart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fcomuk.sharepoint.com/sites/rmmon/del/Annual%20Report%2020-21/Databooks/20_21%20Financial%20info%20charts%20LIV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ofcomuk.sharepoint.com/sites/rmmon/del/Annual%20Report%2020-21/Databooks/20_21%20RM%20QoS%201C%20PCA%20and%20Complaints%20LIV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 calculations"/>
      <sheetName val="ONS CPI"/>
      <sheetName val="Standard Letter Prices"/>
      <sheetName val="Average L Letter Prices"/>
      <sheetName val="Parcel prices"/>
      <sheetName val="Business Mail Pricing"/>
      <sheetName val="National Access Prices"/>
      <sheetName val="SUMMARY - LL vols"/>
      <sheetName val="Buss Mail Weighted Av"/>
      <sheetName val="Access Weighted Av"/>
      <sheetName val="Safeguard Cap calcs"/>
      <sheetName val="Complaints Data"/>
    </sheetNames>
    <sheetDataSet>
      <sheetData sheetId="0"/>
      <sheetData sheetId="1"/>
      <sheetData sheetId="2">
        <row r="19">
          <cell r="R19">
            <v>85</v>
          </cell>
        </row>
        <row r="20">
          <cell r="R20">
            <v>77</v>
          </cell>
        </row>
        <row r="21">
          <cell r="R21">
            <v>66</v>
          </cell>
        </row>
        <row r="22">
          <cell r="R22">
            <v>55</v>
          </cell>
        </row>
      </sheetData>
      <sheetData sheetId="3">
        <row r="11">
          <cell r="AN11">
            <v>1.5053951074677407</v>
          </cell>
        </row>
        <row r="20">
          <cell r="AN20">
            <v>1.1822180709355763</v>
          </cell>
        </row>
        <row r="50">
          <cell r="AN50">
            <v>1.4733754488820923</v>
          </cell>
        </row>
        <row r="59">
          <cell r="AN59">
            <v>1.1500087477782364</v>
          </cell>
        </row>
        <row r="64">
          <cell r="M64">
            <v>1.346790487947872</v>
          </cell>
        </row>
        <row r="65">
          <cell r="M65">
            <v>1.0820568712604732</v>
          </cell>
        </row>
        <row r="66">
          <cell r="M66">
            <v>1.3311853471499</v>
          </cell>
        </row>
        <row r="67">
          <cell r="M67">
            <v>1.0208419169310559</v>
          </cell>
        </row>
      </sheetData>
      <sheetData sheetId="4">
        <row r="74">
          <cell r="P74">
            <v>3.85</v>
          </cell>
        </row>
        <row r="75">
          <cell r="P75">
            <v>3.68</v>
          </cell>
        </row>
        <row r="76">
          <cell r="P76">
            <v>6</v>
          </cell>
        </row>
        <row r="77">
          <cell r="P77">
            <v>5.83</v>
          </cell>
        </row>
        <row r="78">
          <cell r="P78">
            <v>5.57</v>
          </cell>
        </row>
        <row r="79">
          <cell r="P79">
            <v>5.47</v>
          </cell>
        </row>
        <row r="80">
          <cell r="P80">
            <v>9.02</v>
          </cell>
        </row>
        <row r="81">
          <cell r="P81">
            <v>8.92</v>
          </cell>
        </row>
        <row r="82">
          <cell r="P82">
            <v>15.85</v>
          </cell>
        </row>
        <row r="83">
          <cell r="P83">
            <v>15.85</v>
          </cell>
        </row>
        <row r="84">
          <cell r="P84">
            <v>21.9</v>
          </cell>
        </row>
        <row r="85">
          <cell r="P85">
            <v>21.9</v>
          </cell>
        </row>
        <row r="86">
          <cell r="P86">
            <v>33.4</v>
          </cell>
        </row>
        <row r="87">
          <cell r="P87">
            <v>33.4</v>
          </cell>
        </row>
        <row r="88">
          <cell r="P88">
            <v>3.2</v>
          </cell>
        </row>
        <row r="89">
          <cell r="P89">
            <v>3</v>
          </cell>
        </row>
        <row r="90">
          <cell r="P90">
            <v>5.3</v>
          </cell>
        </row>
        <row r="91">
          <cell r="P91">
            <v>5.0999999999999996</v>
          </cell>
        </row>
        <row r="92">
          <cell r="P92">
            <v>3.2</v>
          </cell>
        </row>
        <row r="93">
          <cell r="P93">
            <v>3</v>
          </cell>
        </row>
        <row r="94">
          <cell r="P94">
            <v>5.3</v>
          </cell>
        </row>
        <row r="95">
          <cell r="P95">
            <v>5.0999999999999996</v>
          </cell>
        </row>
        <row r="96">
          <cell r="P96">
            <v>8.99</v>
          </cell>
        </row>
        <row r="97">
          <cell r="P97">
            <v>8.7899999999999991</v>
          </cell>
        </row>
        <row r="98">
          <cell r="P98">
            <v>20.25</v>
          </cell>
        </row>
        <row r="99">
          <cell r="P99">
            <v>20.25</v>
          </cell>
        </row>
        <row r="100">
          <cell r="P100">
            <v>28.55</v>
          </cell>
        </row>
        <row r="101">
          <cell r="P101">
            <v>28.55</v>
          </cell>
        </row>
      </sheetData>
      <sheetData sheetId="5">
        <row r="31">
          <cell r="P31">
            <v>0.54931020000000008</v>
          </cell>
        </row>
        <row r="32">
          <cell r="P32">
            <v>0.238818</v>
          </cell>
        </row>
        <row r="33">
          <cell r="P33">
            <v>0.2142636</v>
          </cell>
        </row>
        <row r="34">
          <cell r="P34">
            <v>0.46400000000000002</v>
          </cell>
        </row>
        <row r="35">
          <cell r="P35">
            <v>0.27700000000000002</v>
          </cell>
        </row>
        <row r="36">
          <cell r="P36">
            <v>0.47399999999999998</v>
          </cell>
        </row>
        <row r="37">
          <cell r="P37">
            <v>0.28100000000000003</v>
          </cell>
        </row>
        <row r="38">
          <cell r="P38">
            <v>0.51800000000000002</v>
          </cell>
        </row>
        <row r="39">
          <cell r="P39">
            <v>0.30099999999999999</v>
          </cell>
        </row>
        <row r="40">
          <cell r="P40">
            <v>0.69415099999999996</v>
          </cell>
        </row>
        <row r="41">
          <cell r="P41">
            <v>0.3817681</v>
          </cell>
        </row>
        <row r="42">
          <cell r="P42">
            <v>0.34487410000000002</v>
          </cell>
        </row>
      </sheetData>
      <sheetData sheetId="6">
        <row r="20">
          <cell r="S20">
            <v>35.567999999999998</v>
          </cell>
        </row>
        <row r="21">
          <cell r="S21">
            <v>22.748999999999995</v>
          </cell>
        </row>
        <row r="22">
          <cell r="S22">
            <v>29.748000000000001</v>
          </cell>
        </row>
        <row r="23">
          <cell r="S23">
            <v>18.372</v>
          </cell>
        </row>
        <row r="24">
          <cell r="S24">
            <v>35.003999999999998</v>
          </cell>
        </row>
        <row r="25">
          <cell r="S25">
            <v>22.187999999999995</v>
          </cell>
        </row>
        <row r="26">
          <cell r="S26">
            <v>32.677999999999997</v>
          </cell>
        </row>
        <row r="27">
          <cell r="S27">
            <v>20.229999999999997</v>
          </cell>
        </row>
      </sheetData>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gt;&gt;&gt;"/>
      <sheetName val="Charts"/>
      <sheetName val="References"/>
      <sheetName val="Workings&gt;&gt;&gt;"/>
      <sheetName val="1 EBIT margin"/>
      <sheetName val="2 Cashflow"/>
      <sheetName val="3 Financial Health Metrics"/>
      <sheetName val="4 Revenue and Volume Summary"/>
      <sheetName val="Vol (USO v Non)"/>
      <sheetName val="Rev (USO v Non)"/>
      <sheetName val="Vol by product grp"/>
      <sheetName val="Rev by product grp"/>
      <sheetName val="Vol by format"/>
      <sheetName val="Rev by format"/>
      <sheetName val="6.5 Revenue Bridge"/>
      <sheetName val="5 Rev Bridge Consol"/>
      <sheetName val="6 RB costs"/>
      <sheetName val="7 EBIT breakdown"/>
      <sheetName val="Input data&gt;&gt;&gt;"/>
      <sheetName val="Vol &amp; Rev RM Submission 19-20"/>
      <sheetName val="Old_Other&gt;&gt;&gt;"/>
      <sheetName val="Letters Rec"/>
      <sheetName val="For teach in"/>
      <sheetName val="5 Revenue Bridge OLD "/>
    </sheetNames>
    <sheetDataSet>
      <sheetData sheetId="0"/>
      <sheetData sheetId="1"/>
      <sheetData sheetId="2"/>
      <sheetData sheetId="3"/>
      <sheetData sheetId="4"/>
      <sheetData sheetId="5"/>
      <sheetData sheetId="6"/>
      <sheetData sheetId="7">
        <row r="18">
          <cell r="H18">
            <v>2184.4739844229998</v>
          </cell>
          <cell r="I18">
            <v>2155.7469954985595</v>
          </cell>
          <cell r="J18">
            <v>1945.1743256860002</v>
          </cell>
        </row>
        <row r="19">
          <cell r="H19">
            <v>2421.0427409969998</v>
          </cell>
          <cell r="I19">
            <v>2285.2648930593805</v>
          </cell>
          <cell r="J19">
            <v>2012.6638540009994</v>
          </cell>
        </row>
        <row r="20">
          <cell r="H20">
            <v>6992.4928150000005</v>
          </cell>
          <cell r="I20">
            <v>6582.8116925537306</v>
          </cell>
          <cell r="J20">
            <v>6362.0993580000004</v>
          </cell>
        </row>
        <row r="21">
          <cell r="H21">
            <v>4066.9904595799999</v>
          </cell>
          <cell r="I21">
            <v>3680.1764188883317</v>
          </cell>
          <cell r="J21">
            <v>3670.0624623129988</v>
          </cell>
        </row>
        <row r="25">
          <cell r="H25">
            <v>2157.2592801799997</v>
          </cell>
          <cell r="I25">
            <v>2094.7792339124912</v>
          </cell>
          <cell r="J25">
            <v>2037.1985019700001</v>
          </cell>
        </row>
        <row r="26">
          <cell r="H26">
            <v>1868.7031533300001</v>
          </cell>
          <cell r="I26">
            <v>1922.5111507139845</v>
          </cell>
          <cell r="J26">
            <v>1997.7942970899999</v>
          </cell>
        </row>
        <row r="27">
          <cell r="H27">
            <v>1546.2313406699998</v>
          </cell>
          <cell r="I27">
            <v>1517.1105395199918</v>
          </cell>
          <cell r="J27">
            <v>1550.9072542800002</v>
          </cell>
        </row>
        <row r="28">
          <cell r="H28">
            <v>1548.8062258200007</v>
          </cell>
          <cell r="I28">
            <v>1570.5990758535327</v>
          </cell>
          <cell r="J28">
            <v>1645.0999466599997</v>
          </cell>
        </row>
        <row r="34">
          <cell r="I34">
            <v>10123.981716166429</v>
          </cell>
          <cell r="J34">
            <v>9720.1418271000002</v>
          </cell>
        </row>
        <row r="35">
          <cell r="I35">
            <v>918.35794287291219</v>
          </cell>
          <cell r="J35">
            <v>953.1440892170001</v>
          </cell>
        </row>
        <row r="36">
          <cell r="I36">
            <v>3661.6603409606614</v>
          </cell>
          <cell r="J36">
            <v>3316.7140836830004</v>
          </cell>
        </row>
        <row r="40">
          <cell r="I40">
            <v>3624.4501057608181</v>
          </cell>
          <cell r="J40">
            <v>3608.8387671500004</v>
          </cell>
        </row>
        <row r="41">
          <cell r="I41">
            <v>2243.0140807592147</v>
          </cell>
          <cell r="J41">
            <v>2379.00031261</v>
          </cell>
        </row>
        <row r="42">
          <cell r="I42">
            <v>1237.5358134799671</v>
          </cell>
          <cell r="J42">
            <v>1243.1609202399995</v>
          </cell>
        </row>
      </sheetData>
      <sheetData sheetId="8">
        <row r="6">
          <cell r="I6">
            <v>2666.6793434747797</v>
          </cell>
          <cell r="J6">
            <v>2384</v>
          </cell>
        </row>
        <row r="7">
          <cell r="I7">
            <v>9164.2307178879782</v>
          </cell>
          <cell r="J7">
            <v>9003.1843420000005</v>
          </cell>
        </row>
        <row r="9">
          <cell r="I9">
            <v>2873.089938637243</v>
          </cell>
          <cell r="J9">
            <v>2602.8156580000004</v>
          </cell>
        </row>
        <row r="10">
          <cell r="I10">
            <v>14704</v>
          </cell>
          <cell r="J10">
            <v>13990</v>
          </cell>
        </row>
      </sheetData>
      <sheetData sheetId="9">
        <row r="6">
          <cell r="I6">
            <v>2776.9715194248583</v>
          </cell>
          <cell r="J6">
            <v>2668</v>
          </cell>
        </row>
        <row r="7">
          <cell r="I7">
            <v>4066.7357942762337</v>
          </cell>
          <cell r="J7">
            <v>4287</v>
          </cell>
        </row>
        <row r="8">
          <cell r="I8">
            <v>261.29268629890777</v>
          </cell>
          <cell r="J8">
            <v>276</v>
          </cell>
        </row>
        <row r="9">
          <cell r="I9">
            <v>7105</v>
          </cell>
          <cell r="J9">
            <v>7231</v>
          </cell>
        </row>
      </sheetData>
      <sheetData sheetId="10"/>
      <sheetData sheetId="11"/>
      <sheetData sheetId="12"/>
      <sheetData sheetId="13"/>
      <sheetData sheetId="14"/>
      <sheetData sheetId="15"/>
      <sheetData sheetId="16">
        <row r="5">
          <cell r="I5">
            <v>4628</v>
          </cell>
          <cell r="J5">
            <v>4812</v>
          </cell>
        </row>
        <row r="6">
          <cell r="I6">
            <v>2234</v>
          </cell>
          <cell r="J6">
            <v>2268</v>
          </cell>
        </row>
        <row r="7">
          <cell r="I7">
            <v>126</v>
          </cell>
          <cell r="J7">
            <v>124</v>
          </cell>
        </row>
        <row r="8">
          <cell r="I8">
            <v>6988</v>
          </cell>
          <cell r="J8">
            <v>7204</v>
          </cell>
        </row>
      </sheetData>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gt;&gt;&gt;"/>
      <sheetName val="Charts"/>
      <sheetName val="References"/>
      <sheetName val="Workings&gt;&gt;&gt;"/>
      <sheetName val="1 EBIT margin"/>
      <sheetName val="2 Cashflow"/>
      <sheetName val="3 Financial Health Metrics"/>
      <sheetName val="4 Revenue and Volume Summary"/>
      <sheetName val="Vol (USO v Non)"/>
      <sheetName val="Rev (USO v Non)"/>
      <sheetName val="Vol by product grp"/>
      <sheetName val="Rev by product grp"/>
      <sheetName val="Vol by format"/>
      <sheetName val="Rev by format"/>
      <sheetName val="6.5 Revenue Bridge"/>
      <sheetName val="5 Rev Bridge Consol"/>
      <sheetName val="6 RB costs"/>
      <sheetName val="7 EBIT breakdown"/>
      <sheetName val="Vol &amp; Rev RM Submission 20-21"/>
      <sheetName val="Input data&gt;&gt;&gt;"/>
      <sheetName val="Old_Other&gt;&gt;&gt;"/>
      <sheetName val="Letters Rec"/>
      <sheetName val="For teach in"/>
      <sheetName val="5 Revenue Bridge OLD "/>
    </sheetNames>
    <sheetDataSet>
      <sheetData sheetId="0"/>
      <sheetData sheetId="1"/>
      <sheetData sheetId="2"/>
      <sheetData sheetId="3"/>
      <sheetData sheetId="4"/>
      <sheetData sheetId="5"/>
      <sheetData sheetId="6"/>
      <sheetData sheetId="7">
        <row r="18">
          <cell r="K18">
            <v>1730.6824764189994</v>
          </cell>
        </row>
        <row r="19">
          <cell r="K19">
            <v>2065.4415081119996</v>
          </cell>
        </row>
        <row r="20">
          <cell r="K20">
            <v>5012.6062259999999</v>
          </cell>
        </row>
        <row r="21">
          <cell r="K21">
            <v>2447.9455474690021</v>
          </cell>
        </row>
        <row r="25">
          <cell r="K25">
            <v>2258.7208200199998</v>
          </cell>
        </row>
        <row r="26">
          <cell r="K26">
            <v>2683.7115381200001</v>
          </cell>
        </row>
        <row r="27">
          <cell r="K27">
            <v>1320.7840151300002</v>
          </cell>
        </row>
        <row r="28">
          <cell r="K28">
            <v>1749.0310655927369</v>
          </cell>
        </row>
        <row r="34">
          <cell r="K34">
            <v>7442.9882768549996</v>
          </cell>
        </row>
        <row r="35">
          <cell r="K35">
            <v>1378.9244624449998</v>
          </cell>
        </row>
        <row r="36">
          <cell r="K36">
            <v>2434.7630187000013</v>
          </cell>
        </row>
        <row r="40">
          <cell r="K40">
            <v>3155.16587359</v>
          </cell>
        </row>
        <row r="41">
          <cell r="K41">
            <v>3529.0971399399996</v>
          </cell>
        </row>
        <row r="42">
          <cell r="K42">
            <v>1327.9844253327383</v>
          </cell>
        </row>
      </sheetData>
      <sheetData sheetId="8">
        <row r="6">
          <cell r="K6">
            <v>2093.5639270000001</v>
          </cell>
        </row>
        <row r="7">
          <cell r="K7">
            <v>7378.6614710000003</v>
          </cell>
        </row>
        <row r="9">
          <cell r="K9">
            <v>1784.4503599999998</v>
          </cell>
        </row>
        <row r="10">
          <cell r="K10">
            <v>11256.675758000001</v>
          </cell>
        </row>
      </sheetData>
      <sheetData sheetId="9">
        <row r="6">
          <cell r="K6">
            <v>2900.9673672988788</v>
          </cell>
        </row>
        <row r="7">
          <cell r="K7">
            <v>4810.6477556638583</v>
          </cell>
        </row>
        <row r="8">
          <cell r="K8">
            <v>300.63231590000004</v>
          </cell>
        </row>
        <row r="9">
          <cell r="K9">
            <v>8012.2474388627379</v>
          </cell>
        </row>
      </sheetData>
      <sheetData sheetId="10"/>
      <sheetData sheetId="11"/>
      <sheetData sheetId="12"/>
      <sheetData sheetId="13"/>
      <sheetData sheetId="14"/>
      <sheetData sheetId="15"/>
      <sheetData sheetId="16">
        <row r="5">
          <cell r="K5">
            <v>5084.2516482427436</v>
          </cell>
        </row>
        <row r="6">
          <cell r="K6">
            <v>2532.4272456073413</v>
          </cell>
        </row>
        <row r="7">
          <cell r="K7">
            <v>179.27233617367293</v>
          </cell>
        </row>
        <row r="8">
          <cell r="K8">
            <v>7794.9512300237575</v>
          </cell>
        </row>
      </sheetData>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M National QoS"/>
      <sheetName val="RM 1C PCA"/>
      <sheetName val="RM Complaints"/>
    </sheetNames>
    <sheetDataSet>
      <sheetData sheetId="0">
        <row r="142">
          <cell r="E142">
            <v>85</v>
          </cell>
        </row>
        <row r="143">
          <cell r="E143">
            <v>71</v>
          </cell>
        </row>
        <row r="144">
          <cell r="E144">
            <v>99</v>
          </cell>
        </row>
        <row r="145">
          <cell r="E145">
            <v>87.7</v>
          </cell>
        </row>
        <row r="146">
          <cell r="E146">
            <v>99.9</v>
          </cell>
        </row>
        <row r="147">
          <cell r="E147">
            <v>99.73</v>
          </cell>
        </row>
        <row r="148">
          <cell r="E148">
            <v>99.9</v>
          </cell>
        </row>
        <row r="149">
          <cell r="E149">
            <v>91.57</v>
          </cell>
        </row>
        <row r="150">
          <cell r="E150">
            <v>99.5</v>
          </cell>
        </row>
        <row r="151">
          <cell r="E151">
            <v>99.7</v>
          </cell>
        </row>
        <row r="152">
          <cell r="E152">
            <v>93</v>
          </cell>
        </row>
        <row r="153">
          <cell r="E153">
            <v>74.7</v>
          </cell>
        </row>
        <row r="154">
          <cell r="E154">
            <v>98.5</v>
          </cell>
        </row>
        <row r="155">
          <cell r="E155">
            <v>93.7</v>
          </cell>
        </row>
      </sheetData>
      <sheetData sheetId="1">
        <row r="850">
          <cell r="D850">
            <v>77.8</v>
          </cell>
        </row>
        <row r="851">
          <cell r="D851">
            <v>78.900000000000006</v>
          </cell>
        </row>
        <row r="852">
          <cell r="D852">
            <v>66.099999999999994</v>
          </cell>
        </row>
        <row r="853">
          <cell r="D853">
            <v>78.8</v>
          </cell>
        </row>
        <row r="854">
          <cell r="D854">
            <v>78.2</v>
          </cell>
        </row>
        <row r="855">
          <cell r="D855">
            <v>79.3</v>
          </cell>
        </row>
        <row r="856">
          <cell r="D856">
            <v>84.8</v>
          </cell>
        </row>
        <row r="857">
          <cell r="D857">
            <v>85.2</v>
          </cell>
        </row>
        <row r="858">
          <cell r="D858">
            <v>82</v>
          </cell>
        </row>
        <row r="859">
          <cell r="D859">
            <v>76.5</v>
          </cell>
        </row>
        <row r="860">
          <cell r="D860">
            <v>71.099999999999994</v>
          </cell>
        </row>
        <row r="861">
          <cell r="D861">
            <v>71.599999999999994</v>
          </cell>
        </row>
        <row r="862">
          <cell r="D862">
            <v>82.7</v>
          </cell>
        </row>
        <row r="863">
          <cell r="D863">
            <v>89</v>
          </cell>
        </row>
        <row r="864">
          <cell r="D864">
            <v>71.3</v>
          </cell>
        </row>
        <row r="865">
          <cell r="D865">
            <v>80.8</v>
          </cell>
        </row>
        <row r="866">
          <cell r="D866">
            <v>74.5</v>
          </cell>
        </row>
        <row r="867">
          <cell r="D867">
            <v>67.7</v>
          </cell>
        </row>
        <row r="868">
          <cell r="D868">
            <v>60.1</v>
          </cell>
        </row>
        <row r="869">
          <cell r="D869">
            <v>61</v>
          </cell>
        </row>
        <row r="870">
          <cell r="D870">
            <v>78.8</v>
          </cell>
        </row>
        <row r="871">
          <cell r="D871">
            <v>73.5</v>
          </cell>
        </row>
        <row r="872">
          <cell r="D872">
            <v>62.8</v>
          </cell>
        </row>
        <row r="873">
          <cell r="D873">
            <v>63.8</v>
          </cell>
        </row>
        <row r="874">
          <cell r="D874">
            <v>79.099999999999994</v>
          </cell>
        </row>
        <row r="875">
          <cell r="D875">
            <v>85.7</v>
          </cell>
        </row>
        <row r="876">
          <cell r="D876">
            <v>62.2</v>
          </cell>
        </row>
        <row r="877">
          <cell r="D877">
            <v>76.900000000000006</v>
          </cell>
        </row>
        <row r="878">
          <cell r="D878">
            <v>83.7</v>
          </cell>
        </row>
        <row r="879">
          <cell r="D879">
            <v>88.7</v>
          </cell>
        </row>
        <row r="880">
          <cell r="D880">
            <v>79.400000000000006</v>
          </cell>
        </row>
        <row r="881">
          <cell r="D881">
            <v>69.599999999999994</v>
          </cell>
        </row>
        <row r="882">
          <cell r="D882">
            <v>87.4</v>
          </cell>
        </row>
        <row r="883">
          <cell r="D883">
            <v>72.2</v>
          </cell>
        </row>
        <row r="884">
          <cell r="D884">
            <v>66.7</v>
          </cell>
        </row>
        <row r="885">
          <cell r="D885">
            <v>79.2</v>
          </cell>
        </row>
        <row r="886">
          <cell r="D886">
            <v>69.5</v>
          </cell>
        </row>
        <row r="887">
          <cell r="D887">
            <v>76.7</v>
          </cell>
        </row>
        <row r="888">
          <cell r="D888">
            <v>72.5</v>
          </cell>
        </row>
        <row r="889">
          <cell r="D889">
            <v>81</v>
          </cell>
        </row>
        <row r="890">
          <cell r="D890">
            <v>74.5</v>
          </cell>
        </row>
        <row r="891">
          <cell r="D891">
            <v>81.900000000000006</v>
          </cell>
        </row>
        <row r="892">
          <cell r="D892">
            <v>81.8</v>
          </cell>
        </row>
        <row r="893">
          <cell r="D893">
            <v>83.4</v>
          </cell>
        </row>
        <row r="894">
          <cell r="D894">
            <v>72.599999999999994</v>
          </cell>
        </row>
        <row r="895">
          <cell r="D895">
            <v>69.7</v>
          </cell>
        </row>
        <row r="896">
          <cell r="D896">
            <v>24.5</v>
          </cell>
        </row>
        <row r="897">
          <cell r="D897">
            <v>78.7</v>
          </cell>
        </row>
        <row r="898">
          <cell r="D898">
            <v>64.099999999999994</v>
          </cell>
        </row>
        <row r="899">
          <cell r="D899">
            <v>65.5</v>
          </cell>
        </row>
        <row r="900">
          <cell r="D900">
            <v>79</v>
          </cell>
        </row>
        <row r="901">
          <cell r="D901">
            <v>83.4</v>
          </cell>
        </row>
        <row r="902">
          <cell r="D902">
            <v>71.5</v>
          </cell>
        </row>
        <row r="903">
          <cell r="D903">
            <v>78.099999999999994</v>
          </cell>
        </row>
        <row r="904">
          <cell r="D904">
            <v>51.5</v>
          </cell>
        </row>
        <row r="905">
          <cell r="D905">
            <v>63.8</v>
          </cell>
        </row>
        <row r="906">
          <cell r="D906">
            <v>59.4</v>
          </cell>
        </row>
        <row r="907">
          <cell r="D907">
            <v>78.7</v>
          </cell>
        </row>
        <row r="908">
          <cell r="D908">
            <v>85.4</v>
          </cell>
        </row>
        <row r="909">
          <cell r="D909">
            <v>77.099999999999994</v>
          </cell>
        </row>
        <row r="910">
          <cell r="D910">
            <v>83.1</v>
          </cell>
        </row>
        <row r="911">
          <cell r="D911">
            <v>79.5</v>
          </cell>
        </row>
        <row r="912">
          <cell r="D912">
            <v>74.2</v>
          </cell>
        </row>
        <row r="913">
          <cell r="D913">
            <v>71.2</v>
          </cell>
        </row>
        <row r="914">
          <cell r="D914">
            <v>74.900000000000006</v>
          </cell>
        </row>
        <row r="915">
          <cell r="D915">
            <v>63</v>
          </cell>
        </row>
        <row r="916">
          <cell r="D916">
            <v>76.099999999999994</v>
          </cell>
        </row>
        <row r="917">
          <cell r="D917">
            <v>64.599999999999994</v>
          </cell>
        </row>
        <row r="918">
          <cell r="D918">
            <v>80.7</v>
          </cell>
        </row>
        <row r="919">
          <cell r="D919">
            <v>73.400000000000006</v>
          </cell>
        </row>
        <row r="920">
          <cell r="D920">
            <v>81.400000000000006</v>
          </cell>
        </row>
        <row r="921">
          <cell r="D921">
            <v>77.2</v>
          </cell>
        </row>
        <row r="922">
          <cell r="D922">
            <v>74.8</v>
          </cell>
        </row>
        <row r="923">
          <cell r="D923">
            <v>85</v>
          </cell>
        </row>
        <row r="924">
          <cell r="D924">
            <v>76.099999999999994</v>
          </cell>
        </row>
        <row r="925">
          <cell r="D925">
            <v>74.900000000000006</v>
          </cell>
        </row>
        <row r="926">
          <cell r="D926">
            <v>66.099999999999994</v>
          </cell>
        </row>
        <row r="927">
          <cell r="D927">
            <v>53.3</v>
          </cell>
        </row>
        <row r="928">
          <cell r="D928">
            <v>88.7</v>
          </cell>
        </row>
        <row r="929">
          <cell r="D929">
            <v>64.7</v>
          </cell>
        </row>
        <row r="930">
          <cell r="D930">
            <v>89.4</v>
          </cell>
        </row>
        <row r="931">
          <cell r="D931">
            <v>69.400000000000006</v>
          </cell>
        </row>
        <row r="932">
          <cell r="D932">
            <v>83.2</v>
          </cell>
        </row>
        <row r="933">
          <cell r="D933">
            <v>76.7</v>
          </cell>
        </row>
        <row r="934">
          <cell r="D934">
            <v>82.9</v>
          </cell>
        </row>
        <row r="935">
          <cell r="D935">
            <v>67.2</v>
          </cell>
        </row>
        <row r="936">
          <cell r="D936">
            <v>76.099999999999994</v>
          </cell>
        </row>
        <row r="937">
          <cell r="D937">
            <v>80.900000000000006</v>
          </cell>
        </row>
        <row r="938">
          <cell r="D938">
            <v>71.7</v>
          </cell>
        </row>
        <row r="939">
          <cell r="D939">
            <v>75.5</v>
          </cell>
        </row>
        <row r="940">
          <cell r="D940">
            <v>77</v>
          </cell>
        </row>
        <row r="941">
          <cell r="D941">
            <v>74.099999999999994</v>
          </cell>
        </row>
        <row r="942">
          <cell r="D942">
            <v>76.599999999999994</v>
          </cell>
        </row>
        <row r="943">
          <cell r="D943">
            <v>69.3</v>
          </cell>
        </row>
        <row r="944">
          <cell r="D944">
            <v>71</v>
          </cell>
        </row>
        <row r="945">
          <cell r="D945">
            <v>78.7</v>
          </cell>
        </row>
        <row r="946">
          <cell r="D946">
            <v>71.7</v>
          </cell>
        </row>
        <row r="947">
          <cell r="D947">
            <v>69.599999999999994</v>
          </cell>
        </row>
        <row r="948">
          <cell r="D948">
            <v>74.2</v>
          </cell>
        </row>
        <row r="949">
          <cell r="D949">
            <v>70.599999999999994</v>
          </cell>
        </row>
        <row r="950">
          <cell r="D950">
            <v>78.3</v>
          </cell>
        </row>
        <row r="951">
          <cell r="D951">
            <v>76.900000000000006</v>
          </cell>
        </row>
        <row r="952">
          <cell r="D952">
            <v>70.400000000000006</v>
          </cell>
        </row>
        <row r="953">
          <cell r="D953">
            <v>80.8</v>
          </cell>
        </row>
        <row r="954">
          <cell r="D954">
            <v>69.3</v>
          </cell>
        </row>
        <row r="955">
          <cell r="D955">
            <v>81.400000000000006</v>
          </cell>
        </row>
        <row r="956">
          <cell r="D956">
            <v>84</v>
          </cell>
        </row>
        <row r="957">
          <cell r="D957">
            <v>68.8</v>
          </cell>
        </row>
        <row r="958">
          <cell r="D958">
            <v>76.400000000000006</v>
          </cell>
        </row>
        <row r="959">
          <cell r="D959">
            <v>82.4</v>
          </cell>
        </row>
        <row r="960">
          <cell r="D960">
            <v>72.2</v>
          </cell>
        </row>
        <row r="961">
          <cell r="D961">
            <v>71.900000000000006</v>
          </cell>
        </row>
        <row r="962">
          <cell r="D962">
            <v>85.8</v>
          </cell>
        </row>
        <row r="963">
          <cell r="D963">
            <v>64.8</v>
          </cell>
        </row>
        <row r="964">
          <cell r="D964">
            <v>63.8</v>
          </cell>
        </row>
        <row r="965">
          <cell r="D965">
            <v>75.099999999999994</v>
          </cell>
        </row>
        <row r="966">
          <cell r="D966">
            <v>72.5</v>
          </cell>
        </row>
        <row r="967">
          <cell r="D967">
            <v>77.900000000000006</v>
          </cell>
        </row>
        <row r="968">
          <cell r="D968">
            <v>79.7</v>
          </cell>
        </row>
        <row r="969">
          <cell r="D969">
            <v>76.900000000000006</v>
          </cell>
        </row>
        <row r="970">
          <cell r="D970">
            <v>40.299999999999997</v>
          </cell>
        </row>
      </sheetData>
      <sheetData sheetId="2">
        <row r="103">
          <cell r="D103">
            <v>665669</v>
          </cell>
        </row>
        <row r="104">
          <cell r="D104">
            <v>161305</v>
          </cell>
        </row>
        <row r="105">
          <cell r="D105">
            <v>102060</v>
          </cell>
        </row>
        <row r="106">
          <cell r="D106">
            <v>45776</v>
          </cell>
        </row>
        <row r="107">
          <cell r="D107">
            <v>75058</v>
          </cell>
        </row>
        <row r="108">
          <cell r="D108">
            <v>38537</v>
          </cell>
        </row>
        <row r="109">
          <cell r="D109">
            <v>55288</v>
          </cell>
        </row>
        <row r="110">
          <cell r="D110">
            <v>0</v>
          </cell>
        </row>
        <row r="111">
          <cell r="D111">
            <v>85856</v>
          </cell>
        </row>
        <row r="112">
          <cell r="D112">
            <v>0</v>
          </cell>
        </row>
        <row r="113">
          <cell r="D113">
            <v>0</v>
          </cell>
        </row>
        <row r="114">
          <cell r="D114">
            <v>39767</v>
          </cell>
        </row>
        <row r="115">
          <cell r="D115">
            <v>99773</v>
          </cell>
        </row>
        <row r="116">
          <cell r="D116">
            <v>0</v>
          </cell>
        </row>
        <row r="117">
          <cell r="D117">
            <v>230504</v>
          </cell>
        </row>
      </sheetData>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11-18T15:54:44.510"/>
    </inkml:context>
    <inkml:brush xml:id="br0">
      <inkml:brushProperty name="width" value="0.025" units="cm"/>
      <inkml:brushProperty name="height" value="0.025" units="cm"/>
    </inkml:brush>
  </inkml:definitions>
  <inkml:trace contextRef="#ctx0" brushRef="#br0">28179 4631 5120,'0'-13'1920,"0"0"-1024,0 13-768,0-14 480,13 14-160,0 0 64,-13 0 64,0-13 32,14 13-320,-14 0-96,0 0 0,0 0-96,0 0-352,0 0-64,0 0-768,0 0-256</inkml:trace>
  <inkml:trace contextRef="#ctx0" brushRef="#br0" timeOffset="1">28179 4511 7168,'-39'-13'2720,"39"13"-1472,0 0-960,0 0 704,0 0-128,0 0 64,0 0-32,0 0 64,0 0 543,-14 0-831,14 0-64,0 0 64,0-13-288,0 13-224,0 0-128,0 0-96,0 0-64,0 0-480,0 0-160,0 0-736,0 13-319,0 0-1793,0 1-1792</inkml:trace>
  <inkml:trace contextRef="#ctx0" brushRef="#br0" timeOffset="2">28165 4525 7136,'0'0'448,"0"0"-224,0 0-128,0 0 0,0 0-288,0 26-2048</inkml:trace>
  <inkml:trace contextRef="#ctx0" brushRef="#br0" timeOffset="3">28152 4525 3840,'-13'0'1472,"26"0"-768,1 0-608,-14 0 384</inkml:trace>
</inkm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E260DCE6-A32C-493A-B297-7B10D15AD027}" name="volrevsproductgroup1222" displayName="volrevsproductgroup1222" ref="A1:F31" totalsRowShown="0" headerRowDxfId="74" dataDxfId="73">
  <autoFilter ref="A1:F31" xr:uid="{6106A1D2-D9E6-4CAB-9AB2-FDEADC2E7B6F}"/>
  <sortState xmlns:xlrd2="http://schemas.microsoft.com/office/spreadsheetml/2017/richdata2" ref="A2:F28">
    <sortCondition ref="A1:A28"/>
  </sortState>
  <tableColumns count="6">
    <tableColumn id="1" xr3:uid="{EF43BBC9-58CE-4C33-9405-7CBE0A17D3BB}" name="Financial Year" dataDxfId="72"/>
    <tableColumn id="2" xr3:uid="{D549B02C-0BB1-4964-8385-641E1F8E627C}" name="Product Group" dataDxfId="71"/>
    <tableColumn id="3" xr3:uid="{D04036DC-925B-427D-8055-D1C690C32B0C}" name="Volume (m)" dataDxfId="70"/>
    <tableColumn id="4" xr3:uid="{5DEFAD5E-1E2B-46A7-AE87-279A2A6EBA33}" name="Revenue (£m)" dataDxfId="69"/>
    <tableColumn id="5" xr3:uid="{57757D0C-BCE2-4AF7-BF88-5C524D2C37E5}" name="Order" dataDxfId="68"/>
    <tableColumn id="6" xr3:uid="{7CBC352D-F6F4-4DA6-8CC4-2B1E95DAF726}" name="Order (Year)" dataDxfId="67"/>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E7205E42-7C53-473F-97EE-C0B049813D1D}" name="Table1217" displayName="Table1217" ref="B4:E117" totalsRowShown="0" tableBorderDxfId="9" dataCellStyle="Normal">
  <autoFilter ref="B4:E117" xr:uid="{00000000-0009-0000-0100-00000C000000}"/>
  <sortState xmlns:xlrd2="http://schemas.microsoft.com/office/spreadsheetml/2017/richdata2" ref="B5:E88">
    <sortCondition ref="C4:C88"/>
  </sortState>
  <tableColumns count="4">
    <tableColumn id="1" xr3:uid="{00000000-0010-0000-0400-000001000000}" name="Complaint category" dataCellStyle="Normal"/>
    <tableColumn id="2" xr3:uid="{00000000-0010-0000-0400-000002000000}" name="Financial Year" dataCellStyle="Normal"/>
    <tableColumn id="3" xr3:uid="{00000000-0010-0000-0400-000003000000}" name="Volume" dataCellStyle="Normal"/>
    <tableColumn id="4" xr3:uid="{23BDCEAA-ACE9-4AB9-B864-5C84FDFFBE07}" name="Order (Year)" dataCellStyle="Normal"/>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8E859EE-7F10-424A-A039-4687C72B7270}" name="AllQoSresults20" displayName="AllQoSresults20" ref="A1:G155" totalsRowShown="0" headerRowDxfId="8" dataDxfId="7">
  <autoFilter ref="A1:G155" xr:uid="{00000000-0009-0000-0100-00000A000000}"/>
  <sortState xmlns:xlrd2="http://schemas.microsoft.com/office/spreadsheetml/2017/richdata2" ref="A2:F127">
    <sortCondition ref="A1:A127"/>
  </sortState>
  <tableColumns count="7">
    <tableColumn id="1" xr3:uid="{00000000-0010-0000-0800-000001000000}" name="Year" dataDxfId="6"/>
    <tableColumn id="2" xr3:uid="{00000000-0010-0000-0800-000002000000}" name="Target/actual" dataDxfId="5"/>
    <tableColumn id="3" xr3:uid="{00000000-0010-0000-0800-000003000000}" name="Category" dataDxfId="4"/>
    <tableColumn id="4" xr3:uid="{00000000-0010-0000-0800-000004000000}" name="Label" dataDxfId="3"/>
    <tableColumn id="5" xr3:uid="{00000000-0010-0000-0800-000005000000}" name="Percentage" dataDxfId="2"/>
    <tableColumn id="6" xr3:uid="{BABFD768-6040-4821-B3A2-CA03354DB564}" name="Target Met" dataDxfId="1"/>
    <tableColumn id="7" xr3:uid="{CDCAF6B8-B9FB-4CB4-B395-C02323B79397}" name="Order (Yea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4C8E05AE-18F8-4CFA-9D19-D1DCDC7F8E3D}" name="volrevsproductgroup19" displayName="volrevsproductgroup19" ref="A1:F41" totalsRowShown="0" headerRowDxfId="66" dataDxfId="65">
  <autoFilter ref="A1:F41" xr:uid="{00000000-0009-0000-0100-000007000000}"/>
  <sortState xmlns:xlrd2="http://schemas.microsoft.com/office/spreadsheetml/2017/richdata2" ref="A2:F37">
    <sortCondition ref="A1:A37"/>
  </sortState>
  <tableColumns count="6">
    <tableColumn id="1" xr3:uid="{00000000-0010-0000-0500-000001000000}" name="Year" dataDxfId="64"/>
    <tableColumn id="2" xr3:uid="{00000000-0010-0000-0500-000002000000}" name="Product Group" dataDxfId="63"/>
    <tableColumn id="3" xr3:uid="{00000000-0010-0000-0500-000003000000}" name="Volume (m)" dataDxfId="62"/>
    <tableColumn id="4" xr3:uid="{00000000-0010-0000-0500-000004000000}" name="Revenue (£m)" dataDxfId="61"/>
    <tableColumn id="5" xr3:uid="{B5689DDA-6852-4C53-99D8-8B87FE13751C}" name="Order" dataDxfId="60"/>
    <tableColumn id="6" xr3:uid="{64640B99-138A-42E6-9ECE-FCA1F77A3190}" name="Order (Year)" dataDxfId="5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208933F0-A75A-483E-AB7B-66BCE742A33C}" name="volrevformat18" displayName="volrevformat18" ref="A1:F31" totalsRowShown="0">
  <autoFilter ref="A1:F31" xr:uid="{00000000-0009-0000-0100-000008000000}"/>
  <sortState xmlns:xlrd2="http://schemas.microsoft.com/office/spreadsheetml/2017/richdata2" ref="A2:E25">
    <sortCondition ref="A1:A25"/>
  </sortState>
  <tableColumns count="6">
    <tableColumn id="1" xr3:uid="{00000000-0010-0000-0600-000001000000}" name="Year" dataDxfId="58"/>
    <tableColumn id="2" xr3:uid="{00000000-0010-0000-0600-000002000000}" name="Format" dataDxfId="57"/>
    <tableColumn id="3" xr3:uid="{00000000-0010-0000-0600-000003000000}" name="Volume (m)" dataDxfId="56"/>
    <tableColumn id="4" xr3:uid="{00000000-0010-0000-0600-000004000000}" name="Revenue (£m)" dataDxfId="55"/>
    <tableColumn id="5" xr3:uid="{4413F1AF-D103-44B9-B8E7-BD4934DD35A7}" name="Order" dataDxfId="54"/>
    <tableColumn id="6" xr3:uid="{2B256D5F-2635-4BE1-8FC6-BD7EB821F19F}" name="Order (Year)" dataDxfId="5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24597712-099A-4EE2-AD99-EDAAE8FA4BCC}" name="volrevsproductgroup121423" displayName="volrevsproductgroup121423" ref="A1:E41" totalsRowShown="0" headerRowDxfId="52" dataDxfId="51">
  <autoFilter ref="A1:E41" xr:uid="{F019658C-DD85-4B8F-8530-921EC2B48DEB}"/>
  <sortState xmlns:xlrd2="http://schemas.microsoft.com/office/spreadsheetml/2017/richdata2" ref="A2:E33">
    <sortCondition ref="A1:A33"/>
  </sortState>
  <tableColumns count="5">
    <tableColumn id="1" xr3:uid="{70B8367D-82E6-4413-8788-C27FB602958E}" name="Financial Year" dataDxfId="50"/>
    <tableColumn id="2" xr3:uid="{4693D37B-270B-4C6F-9D15-7725337BC21E}" name="Type" dataDxfId="49"/>
    <tableColumn id="3" xr3:uid="{2A786BC6-5E91-4D9A-A47D-9E9ADD06003E}" name="Costs (£m)" dataDxfId="48"/>
    <tableColumn id="5" xr3:uid="{C73B1CBC-6DBB-4F8A-81D9-0D16ABC7D02B}" name="Order" dataDxfId="47"/>
    <tableColumn id="4" xr3:uid="{0EF5F9DB-FD69-4508-BDD8-AFB7515A7063}" name="Order (Year)" dataDxfId="4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F690AF9-771D-4F54-9FE9-B4C9B5B119DE}" name="letterprices23" displayName="letterprices23" ref="B1:K105" totalsRowShown="0" headerRowDxfId="45" dataDxfId="44">
  <autoFilter ref="B1:K105" xr:uid="{00000000-0009-0000-0100-000001000000}"/>
  <tableColumns count="10">
    <tableColumn id="1" xr3:uid="{00000000-0010-0000-0000-000001000000}" name="Calendar Year v.2" dataDxfId="43"/>
    <tableColumn id="2" xr3:uid="{00000000-0010-0000-0000-000002000000}" name="Type" dataDxfId="42"/>
    <tableColumn id="3" xr3:uid="{00000000-0010-0000-0000-000003000000}" name="Letter/Large letter" dataDxfId="41"/>
    <tableColumn id="4" xr3:uid="{00000000-0010-0000-0000-000004000000}" name="Class" dataDxfId="40"/>
    <tableColumn id="5" xr3:uid="{00000000-0010-0000-0000-000005000000}" name="Stamp/Meter" dataDxfId="39"/>
    <tableColumn id="6" xr3:uid="{00000000-0010-0000-0000-000006000000}" name="Price (£)" dataDxfId="38"/>
    <tableColumn id="7" xr3:uid="{00000000-0010-0000-0000-000007000000}" name="2007 value" dataDxfId="37">
      <calculatedColumnFormula>G1</calculatedColumnFormula>
    </tableColumn>
    <tableColumn id="8" xr3:uid="{00000000-0010-0000-0000-000008000000}" name="Workings" dataDxfId="36">
      <calculatedColumnFormula>letterprices23[[#This Row],[Price (£)]]-letterprices23[[#This Row],[2007 value]]</calculatedColumnFormula>
    </tableColumn>
    <tableColumn id="9" xr3:uid="{00000000-0010-0000-0000-000009000000}" name="% change" dataDxfId="35">
      <calculatedColumnFormula>(letterprices23[[#This Row],[Workings]]/letterprices23[[#This Row],[2007 value]])*100</calculatedColumnFormula>
    </tableColumn>
    <tableColumn id="10" xr3:uid="{7157E1D2-91BF-4EAA-A9B9-DCE2876371E8}" name="LP Order" dataDxfId="34"/>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36A2B7B-ED06-4D16-897B-41DA3FC954C9}" name="Table47" displayName="Table47" ref="A1:J125" totalsRowShown="0" headerRowDxfId="33">
  <autoFilter ref="A1:J125" xr:uid="{00000000-0009-0000-0100-000004000000}"/>
  <sortState xmlns:xlrd2="http://schemas.microsoft.com/office/spreadsheetml/2017/richdata2" ref="A2:J125">
    <sortCondition ref="J1:J125"/>
  </sortState>
  <tableColumns count="10">
    <tableColumn id="1" xr3:uid="{00000000-0010-0000-0100-000001000000}" name="Calendar Year" dataDxfId="32"/>
    <tableColumn id="2" xr3:uid="{00000000-0010-0000-0100-000002000000}" name="Type"/>
    <tableColumn id="3" xr3:uid="{00000000-0010-0000-0100-000003000000}" name="Class"/>
    <tableColumn id="4" xr3:uid="{00000000-0010-0000-0100-000004000000}" name="Size"/>
    <tableColumn id="5" xr3:uid="{00000000-0010-0000-0100-000005000000}" name="Weight"/>
    <tableColumn id="6" xr3:uid="{00000000-0010-0000-0100-000006000000}" name="Price (£)" dataDxfId="31"/>
    <tableColumn id="7" xr3:uid="{00000000-0010-0000-0100-000007000000}" name="2009 value" dataDxfId="30">
      <calculatedColumnFormula>F1</calculatedColumnFormula>
    </tableColumn>
    <tableColumn id="8" xr3:uid="{00000000-0010-0000-0100-000008000000}" name="Workings" dataDxfId="29">
      <calculatedColumnFormula>Table47[[#This Row],[Price (£)]]-Table47[[#This Row],[2009 value]]</calculatedColumnFormula>
    </tableColumn>
    <tableColumn id="10" xr3:uid="{00000000-0010-0000-0100-00000A000000}" name="% change" dataDxfId="28">
      <calculatedColumnFormula>(Table47[[#This Row],[Workings]]/Table47[[#This Row],[2009 value]])*100</calculatedColumnFormula>
    </tableColumn>
    <tableColumn id="9" xr3:uid="{97A9E7EE-C637-4FD8-B4EA-34C6D9F61173}" name="Order" dataDxfId="27"/>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F685B40-76C8-40DD-8A32-7FBC9FE80D27}" name="BUSpriceschange15" displayName="BUSpriceschange15" ref="A1:H139" totalsRowShown="0">
  <autoFilter ref="A1:H139" xr:uid="{00000000-0009-0000-0100-000005000000}"/>
  <sortState xmlns:xlrd2="http://schemas.microsoft.com/office/spreadsheetml/2017/richdata2" ref="A2:H139">
    <sortCondition ref="B1:B139"/>
  </sortState>
  <tableColumns count="8">
    <tableColumn id="1" xr3:uid="{00000000-0010-0000-0200-000001000000}" name="Year" dataDxfId="26"/>
    <tableColumn id="2" xr3:uid="{00000000-0010-0000-0200-000002000000}" name="Product"/>
    <tableColumn id="6" xr3:uid="{00000000-0010-0000-0200-000006000000}" name="Column3" dataDxfId="25">
      <calculatedColumnFormula>BUSpriceschange15[[#This Row],[Year]]&amp;"_"&amp;BUSpriceschange15[[#This Row],[Product]]</calculatedColumnFormula>
    </tableColumn>
    <tableColumn id="3" xr3:uid="{00000000-0010-0000-0200-000003000000}" name="Price (pounds)" dataDxfId="24"/>
    <tableColumn id="5" xr3:uid="{00000000-0010-0000-0200-000005000000}" name="2007 value" dataDxfId="23">
      <calculatedColumnFormula>VLOOKUP(42005&amp;"_"&amp;BUSpriceschange15[[#This Row],[Product]],BUSpriceschange15[[Column3]:[Price (pounds)]],2,FALSE)</calculatedColumnFormula>
    </tableColumn>
    <tableColumn id="4" xr3:uid="{00000000-0010-0000-0200-000004000000}" name="Workings" dataDxfId="22">
      <calculatedColumnFormula>IFERROR(BUSpriceschange15[[#This Row],[Price (pounds)]]/BUSpriceschange15[[#This Row],[2007 value]],0)</calculatedColumnFormula>
    </tableColumn>
    <tableColumn id="7" xr3:uid="{00000000-0010-0000-0200-000007000000}" name="% change" dataDxfId="21">
      <calculatedColumnFormula>BUSpriceschange15[[#This Row],[Workings]]-1</calculatedColumnFormula>
    </tableColumn>
    <tableColumn id="8" xr3:uid="{FE7CBD9F-4D53-4185-B36E-5B6D76EFAA33}" name="Column1" dataDxfId="20"/>
  </tableColumns>
  <tableStyleInfo name="TableStyleMedium1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9E065DE-F0A0-43F3-BD26-F1E10AFF4FF8}" name="accessprices16" displayName="accessprices16" ref="A1:G75" totalsRowShown="0" headerRowDxfId="19">
  <autoFilter ref="A1:G75" xr:uid="{00000000-0009-0000-0100-000003000000}"/>
  <sortState xmlns:xlrd2="http://schemas.microsoft.com/office/spreadsheetml/2017/richdata2" ref="A2:G61">
    <sortCondition ref="A1:A61"/>
  </sortState>
  <tableColumns count="7">
    <tableColumn id="1" xr3:uid="{00000000-0010-0000-0300-000001000000}" name="Calendar Year" dataDxfId="18"/>
    <tableColumn id="2" xr3:uid="{00000000-0010-0000-0300-000002000000}" name="Product" dataDxfId="17"/>
    <tableColumn id="3" xr3:uid="{00000000-0010-0000-0300-000003000000}" name="Price" dataDxfId="16"/>
    <tableColumn id="4" xr3:uid="{00000000-0010-0000-0300-000004000000}" name="Price (£)" dataDxfId="15">
      <calculatedColumnFormula>accessprices16[[#This Row],[Price]]/100</calculatedColumnFormula>
    </tableColumn>
    <tableColumn id="5" xr3:uid="{00000000-0010-0000-0300-000005000000}" name="2007 value" dataDxfId="14"/>
    <tableColumn id="6" xr3:uid="{00000000-0010-0000-0300-000006000000}" name="Workings" dataDxfId="13">
      <calculatedColumnFormula>accessprices16[[#This Row],[Price (£)]]-accessprices16[[#This Row],[2007 value]]</calculatedColumnFormula>
    </tableColumn>
    <tableColumn id="7" xr3:uid="{00000000-0010-0000-0300-000007000000}" name="% change" dataDxfId="12">
      <calculatedColumnFormula>(accessprices16[[#This Row],[Workings]]/accessprices16[[#This Row],[2007 value]])*100</calculatedColumnFormula>
    </tableColumn>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F652EED6-6059-4C74-A850-2099F6F2E358}" name="lettervols21" displayName="lettervols21" ref="A1:F21" totalsRowShown="0">
  <autoFilter ref="A1:F21" xr:uid="{00000000-0009-0000-0100-000009000000}"/>
  <sortState xmlns:xlrd2="http://schemas.microsoft.com/office/spreadsheetml/2017/richdata2" ref="A2:E13">
    <sortCondition ref="A1:A13"/>
  </sortState>
  <tableColumns count="6">
    <tableColumn id="1" xr3:uid="{00000000-0010-0000-0700-000001000000}" name="Year" dataDxfId="11"/>
    <tableColumn id="2" xr3:uid="{00000000-0010-0000-0700-000002000000}" name="Type" dataDxfId="10"/>
    <tableColumn id="3" xr3:uid="{00000000-0010-0000-0700-000003000000}" name="Volume (m)"/>
    <tableColumn id="4" xr3:uid="{00000000-0010-0000-0700-000004000000}" name="Revenue (£m)"/>
    <tableColumn id="5" xr3:uid="{A5515B7C-3B30-4AD4-83DF-316CBD4295E2}" name="Order"/>
    <tableColumn id="6" xr3:uid="{2ED02096-C746-4D86-8401-A5A72C0E1B28}" name="Order (Yea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E8336-D95A-4CF0-B34A-0516E1B1498A}">
  <sheetPr>
    <tabColor theme="9" tint="0.59999389629810485"/>
  </sheetPr>
  <dimension ref="A1:K14"/>
  <sheetViews>
    <sheetView tabSelected="1" workbookViewId="0">
      <selection activeCell="B2" sqref="B2"/>
    </sheetView>
  </sheetViews>
  <sheetFormatPr defaultRowHeight="14.25"/>
  <cols>
    <col min="1" max="1" width="12.265625" bestFit="1" customWidth="1"/>
    <col min="2" max="2" width="20.265625" bestFit="1" customWidth="1"/>
    <col min="3" max="3" width="22.73046875" bestFit="1" customWidth="1"/>
    <col min="4" max="4" width="25.265625" bestFit="1" customWidth="1"/>
    <col min="5" max="5" width="27.86328125" bestFit="1" customWidth="1"/>
    <col min="6" max="6" width="20.1328125" bestFit="1" customWidth="1"/>
    <col min="7" max="7" width="22.59765625" bestFit="1" customWidth="1"/>
    <col min="8" max="8" width="25.1328125" bestFit="1" customWidth="1"/>
    <col min="9" max="9" width="27.73046875" bestFit="1" customWidth="1"/>
  </cols>
  <sheetData>
    <row r="1" spans="1:11">
      <c r="A1" s="79" t="s">
        <v>0</v>
      </c>
      <c r="B1" s="80" t="s">
        <v>1</v>
      </c>
      <c r="C1" s="81" t="s">
        <v>2</v>
      </c>
      <c r="D1" s="81" t="s">
        <v>3</v>
      </c>
      <c r="E1" s="80" t="s">
        <v>4</v>
      </c>
      <c r="F1" s="82" t="s">
        <v>5</v>
      </c>
      <c r="G1" s="82" t="s">
        <v>6</v>
      </c>
      <c r="H1" s="82" t="s">
        <v>7</v>
      </c>
      <c r="I1" s="82" t="s">
        <v>8</v>
      </c>
      <c r="K1" t="s">
        <v>9</v>
      </c>
    </row>
    <row r="2" spans="1:11">
      <c r="A2" s="77">
        <v>2009</v>
      </c>
      <c r="B2" s="72">
        <v>0.495</v>
      </c>
      <c r="C2" s="72">
        <v>0.38</v>
      </c>
      <c r="D2" s="72">
        <v>0.93</v>
      </c>
      <c r="E2" s="72">
        <v>0.73</v>
      </c>
      <c r="F2" s="75">
        <v>0.45700000000000002</v>
      </c>
      <c r="G2" s="75">
        <v>0.317</v>
      </c>
      <c r="H2" s="72">
        <v>0.82</v>
      </c>
      <c r="I2" s="76">
        <v>0.66</v>
      </c>
    </row>
    <row r="3" spans="1:11">
      <c r="A3" s="78">
        <v>2010</v>
      </c>
      <c r="B3" s="71">
        <v>0.50800000000000001</v>
      </c>
      <c r="C3" s="71">
        <v>0.39700000000000002</v>
      </c>
      <c r="D3" s="71">
        <v>0.98</v>
      </c>
      <c r="E3" s="71">
        <v>0.76</v>
      </c>
      <c r="F3" s="73">
        <v>0.44600000000000001</v>
      </c>
      <c r="G3" s="73">
        <v>0.31</v>
      </c>
      <c r="H3" s="71">
        <v>0.8</v>
      </c>
      <c r="I3" s="74">
        <v>0.65</v>
      </c>
    </row>
    <row r="4" spans="1:11">
      <c r="A4" s="77">
        <v>2011</v>
      </c>
      <c r="B4" s="72">
        <v>0.55100000000000005</v>
      </c>
      <c r="C4" s="72">
        <v>0.43099999999999999</v>
      </c>
      <c r="D4" s="72">
        <v>1.07</v>
      </c>
      <c r="E4" s="72">
        <v>0.84</v>
      </c>
      <c r="F4" s="75">
        <v>0.46700000000000003</v>
      </c>
      <c r="G4" s="75">
        <v>0.33600000000000002</v>
      </c>
      <c r="H4" s="72">
        <v>0.84</v>
      </c>
      <c r="I4" s="76">
        <v>0.68</v>
      </c>
    </row>
    <row r="5" spans="1:11">
      <c r="A5" s="78">
        <v>2012</v>
      </c>
      <c r="B5" s="71">
        <v>0.68899999999999995</v>
      </c>
      <c r="C5" s="71">
        <v>0.57399999999999995</v>
      </c>
      <c r="D5" s="71">
        <v>1.19</v>
      </c>
      <c r="E5" s="71">
        <v>0.9</v>
      </c>
      <c r="F5" s="73">
        <v>0.505</v>
      </c>
      <c r="G5" s="73">
        <v>0.35599999999999998</v>
      </c>
      <c r="H5" s="71">
        <v>0.99</v>
      </c>
      <c r="I5" s="74">
        <v>0.72</v>
      </c>
    </row>
    <row r="6" spans="1:11">
      <c r="A6" s="77">
        <v>2013</v>
      </c>
      <c r="B6" s="72">
        <v>0.67200000000000004</v>
      </c>
      <c r="C6" s="72">
        <v>0.56000000000000005</v>
      </c>
      <c r="D6" s="72">
        <v>1.1599999999999999</v>
      </c>
      <c r="E6" s="72">
        <v>0.93</v>
      </c>
      <c r="F6" s="75">
        <v>0.52600000000000002</v>
      </c>
      <c r="G6" s="75">
        <v>0.36899999999999999</v>
      </c>
      <c r="H6" s="72">
        <v>0.99</v>
      </c>
      <c r="I6" s="76">
        <v>0.81</v>
      </c>
    </row>
    <row r="7" spans="1:11">
      <c r="A7" s="78">
        <v>2014</v>
      </c>
      <c r="B7" s="71">
        <v>0.67800000000000005</v>
      </c>
      <c r="C7" s="71">
        <v>0.57999999999999996</v>
      </c>
      <c r="D7" s="71">
        <v>1.17</v>
      </c>
      <c r="E7" s="71">
        <v>0.96</v>
      </c>
      <c r="F7" s="73">
        <v>0.54700000000000004</v>
      </c>
      <c r="G7" s="73">
        <v>0.40500000000000003</v>
      </c>
      <c r="H7" s="71">
        <v>1.01</v>
      </c>
      <c r="I7" s="74">
        <v>0.82</v>
      </c>
    </row>
    <row r="8" spans="1:11">
      <c r="A8" s="77">
        <v>2015</v>
      </c>
      <c r="B8" s="72">
        <v>0.68200000000000005</v>
      </c>
      <c r="C8" s="72">
        <v>0.58499999999999996</v>
      </c>
      <c r="D8" s="72">
        <v>1.18</v>
      </c>
      <c r="E8" s="72">
        <v>0.96</v>
      </c>
      <c r="F8" s="75">
        <v>0.56299999999999994</v>
      </c>
      <c r="G8" s="75">
        <v>0.42199999999999999</v>
      </c>
      <c r="H8" s="72">
        <v>1.05</v>
      </c>
      <c r="I8" s="76">
        <v>0.85</v>
      </c>
    </row>
    <row r="9" spans="1:11">
      <c r="A9" s="78">
        <v>2016</v>
      </c>
      <c r="B9" s="71">
        <v>0.69199999999999995</v>
      </c>
      <c r="C9" s="71">
        <v>0.59499999999999997</v>
      </c>
      <c r="D9" s="71">
        <v>1.19</v>
      </c>
      <c r="E9" s="71">
        <v>0.97</v>
      </c>
      <c r="F9" s="73">
        <v>0.57299999999999995</v>
      </c>
      <c r="G9" s="73">
        <v>0.433</v>
      </c>
      <c r="H9" s="71">
        <v>1.1100000000000001</v>
      </c>
      <c r="I9" s="74">
        <v>0.9</v>
      </c>
    </row>
    <row r="10" spans="1:11">
      <c r="A10" s="77">
        <v>2017</v>
      </c>
      <c r="B10" s="72">
        <v>0.69499999999999995</v>
      </c>
      <c r="C10" s="72">
        <v>0.59899999999999998</v>
      </c>
      <c r="D10" s="72">
        <v>1.2</v>
      </c>
      <c r="E10" s="72">
        <v>0.98</v>
      </c>
      <c r="F10" s="75">
        <v>0.61</v>
      </c>
      <c r="G10" s="75">
        <v>0.439</v>
      </c>
      <c r="H10" s="72">
        <v>1.19</v>
      </c>
      <c r="I10" s="76">
        <v>0.91</v>
      </c>
    </row>
    <row r="11" spans="1:11">
      <c r="A11" s="78">
        <v>2018</v>
      </c>
      <c r="B11" s="71">
        <v>0.69699999999999995</v>
      </c>
      <c r="C11" s="71">
        <v>0.60299999999999998</v>
      </c>
      <c r="D11" s="71">
        <v>1.23</v>
      </c>
      <c r="E11" s="71">
        <v>0.99</v>
      </c>
      <c r="F11" s="73">
        <v>0.624</v>
      </c>
      <c r="G11" s="73">
        <v>0.45800000000000002</v>
      </c>
      <c r="H11" s="71">
        <v>1.22</v>
      </c>
      <c r="I11" s="74">
        <v>0.93</v>
      </c>
    </row>
    <row r="12" spans="1:11">
      <c r="A12" s="77">
        <v>2019</v>
      </c>
      <c r="B12" s="72">
        <v>0.71199999999999997</v>
      </c>
      <c r="C12" s="72">
        <v>0.621</v>
      </c>
      <c r="D12" s="72">
        <v>1.27</v>
      </c>
      <c r="E12" s="72">
        <v>1.01</v>
      </c>
      <c r="F12" s="75">
        <v>0.65100000000000002</v>
      </c>
      <c r="G12" s="75">
        <v>0.47799999999999998</v>
      </c>
      <c r="H12" s="72">
        <v>1.27</v>
      </c>
      <c r="I12" s="76">
        <v>0.97</v>
      </c>
    </row>
    <row r="13" spans="1:11">
      <c r="A13" s="78">
        <v>2020</v>
      </c>
      <c r="B13" s="71">
        <v>0.76</v>
      </c>
      <c r="C13" s="71">
        <v>0.65</v>
      </c>
      <c r="D13" s="71">
        <v>1.36</v>
      </c>
      <c r="E13" s="71">
        <v>1.06</v>
      </c>
      <c r="F13" s="73">
        <v>0.69</v>
      </c>
      <c r="G13" s="73">
        <v>0.5</v>
      </c>
      <c r="H13" s="71">
        <v>1.33</v>
      </c>
      <c r="I13" s="74">
        <v>1.02</v>
      </c>
    </row>
    <row r="14" spans="1:11">
      <c r="A14" s="77">
        <v>2021</v>
      </c>
      <c r="B14" s="72">
        <f>'[1]Standard Letter Prices'!$R19*10^-2</f>
        <v>0.85</v>
      </c>
      <c r="C14" s="72">
        <f>'[1]Standard Letter Prices'!$R$21*10^-2</f>
        <v>0.66</v>
      </c>
      <c r="D14" s="75">
        <f>'[1]Average L Letter Prices'!$M$64</f>
        <v>1.346790487947872</v>
      </c>
      <c r="E14" s="75">
        <f>'[1]Average L Letter Prices'!$M$65</f>
        <v>1.0820568712604732</v>
      </c>
      <c r="F14" s="75">
        <f>'[1]Standard Letter Prices'!$R$20*10^-2</f>
        <v>0.77</v>
      </c>
      <c r="G14" s="75">
        <f>'[1]Standard Letter Prices'!$R$22*10^-2</f>
        <v>0.55000000000000004</v>
      </c>
      <c r="H14" s="75">
        <f>'[1]Average L Letter Prices'!$M$66</f>
        <v>1.3311853471499</v>
      </c>
      <c r="I14" s="76">
        <f>'[1]Average L Letter Prices'!$M$67</f>
        <v>1.0208419169310559</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B4986-5D3B-4676-8D45-C2D077E3FD24}">
  <sheetPr>
    <tabColor theme="9" tint="0.59999389629810485"/>
  </sheetPr>
  <dimension ref="A1:H37"/>
  <sheetViews>
    <sheetView workbookViewId="0">
      <selection activeCell="D74" sqref="D74"/>
    </sheetView>
  </sheetViews>
  <sheetFormatPr defaultRowHeight="14.25"/>
  <cols>
    <col min="3" max="3" width="22.3984375" bestFit="1" customWidth="1"/>
    <col min="4" max="4" width="12.1328125" customWidth="1"/>
    <col min="5" max="5" width="21.73046875" customWidth="1"/>
  </cols>
  <sheetData>
    <row r="1" spans="1:8">
      <c r="A1" s="57" t="s">
        <v>31</v>
      </c>
      <c r="B1" s="57" t="s">
        <v>157</v>
      </c>
      <c r="C1" s="57" t="s">
        <v>129</v>
      </c>
      <c r="D1" s="57" t="s">
        <v>158</v>
      </c>
      <c r="E1" s="57" t="s">
        <v>13</v>
      </c>
      <c r="F1" s="57" t="s">
        <v>14</v>
      </c>
      <c r="G1" s="57" t="s">
        <v>159</v>
      </c>
      <c r="H1" s="65" t="s">
        <v>160</v>
      </c>
    </row>
    <row r="2" spans="1:8">
      <c r="A2" t="s">
        <v>161</v>
      </c>
      <c r="B2" t="s">
        <v>162</v>
      </c>
      <c r="C2" t="s">
        <v>163</v>
      </c>
      <c r="D2">
        <f>477*10^6</f>
        <v>477000000</v>
      </c>
      <c r="E2">
        <f>1514*10^6</f>
        <v>1514000000</v>
      </c>
      <c r="F2">
        <v>1</v>
      </c>
      <c r="G2">
        <v>1</v>
      </c>
    </row>
    <row r="3" spans="1:8">
      <c r="A3" s="56" t="s">
        <v>161</v>
      </c>
      <c r="B3" s="56" t="s">
        <v>164</v>
      </c>
      <c r="C3" s="56" t="s">
        <v>163</v>
      </c>
      <c r="D3" s="56">
        <f>492*10^6</f>
        <v>492000000</v>
      </c>
      <c r="E3" s="56">
        <f>1516*10^6</f>
        <v>1516000000</v>
      </c>
      <c r="F3" s="56">
        <v>1</v>
      </c>
      <c r="G3" s="56">
        <v>1</v>
      </c>
    </row>
    <row r="4" spans="1:8">
      <c r="A4" t="s">
        <v>161</v>
      </c>
      <c r="B4" t="s">
        <v>165</v>
      </c>
      <c r="C4" t="s">
        <v>163</v>
      </c>
      <c r="D4">
        <f>642*10^6</f>
        <v>642000000</v>
      </c>
      <c r="E4">
        <f>1880*10^6</f>
        <v>1880000000</v>
      </c>
      <c r="F4">
        <v>1</v>
      </c>
      <c r="G4">
        <v>1</v>
      </c>
    </row>
    <row r="5" spans="1:8">
      <c r="A5" s="56" t="s">
        <v>161</v>
      </c>
      <c r="B5" s="56" t="s">
        <v>166</v>
      </c>
      <c r="C5" s="56" t="s">
        <v>163</v>
      </c>
      <c r="D5" s="56">
        <f>501*10^6</f>
        <v>501000000</v>
      </c>
      <c r="E5" s="56">
        <f>1553*10^6</f>
        <v>1553000000</v>
      </c>
      <c r="F5" s="56">
        <v>1</v>
      </c>
      <c r="G5" s="56">
        <v>1</v>
      </c>
    </row>
    <row r="6" spans="1:8">
      <c r="A6" t="s">
        <v>161</v>
      </c>
      <c r="B6" t="s">
        <v>162</v>
      </c>
      <c r="C6" t="s">
        <v>167</v>
      </c>
      <c r="D6">
        <f>67*10^6</f>
        <v>67000000</v>
      </c>
      <c r="E6">
        <f>360*10^6</f>
        <v>360000000</v>
      </c>
      <c r="F6">
        <v>2</v>
      </c>
      <c r="G6">
        <v>1</v>
      </c>
    </row>
    <row r="7" spans="1:8">
      <c r="A7" s="56" t="s">
        <v>161</v>
      </c>
      <c r="B7" s="56" t="s">
        <v>164</v>
      </c>
      <c r="C7" s="56" t="s">
        <v>167</v>
      </c>
      <c r="D7" s="56">
        <f>65*10^6</f>
        <v>65000000</v>
      </c>
      <c r="E7" s="56">
        <f>356*10^6</f>
        <v>356000000</v>
      </c>
      <c r="F7" s="56">
        <v>2</v>
      </c>
      <c r="G7" s="56">
        <v>1</v>
      </c>
    </row>
    <row r="8" spans="1:8">
      <c r="A8" t="s">
        <v>161</v>
      </c>
      <c r="B8" t="s">
        <v>165</v>
      </c>
      <c r="C8" t="s">
        <v>167</v>
      </c>
      <c r="D8">
        <f>87*10^6</f>
        <v>87000000</v>
      </c>
      <c r="E8">
        <f>411*10^6</f>
        <v>411000000</v>
      </c>
      <c r="F8">
        <v>2</v>
      </c>
      <c r="G8">
        <v>1</v>
      </c>
    </row>
    <row r="9" spans="1:8">
      <c r="A9" s="56" t="s">
        <v>161</v>
      </c>
      <c r="B9" s="56" t="s">
        <v>166</v>
      </c>
      <c r="C9" s="56" t="s">
        <v>167</v>
      </c>
      <c r="D9" s="56">
        <f>91*10^6</f>
        <v>91000000</v>
      </c>
      <c r="E9" s="56">
        <f>376*10^6</f>
        <v>376000000</v>
      </c>
      <c r="F9" s="56">
        <v>2</v>
      </c>
      <c r="G9" s="56">
        <v>1</v>
      </c>
    </row>
    <row r="10" spans="1:8">
      <c r="A10" t="s">
        <v>161</v>
      </c>
      <c r="B10" t="s">
        <v>162</v>
      </c>
      <c r="C10" t="s">
        <v>168</v>
      </c>
      <c r="D10">
        <f>46*10^6</f>
        <v>46000000</v>
      </c>
      <c r="E10">
        <f>573*10^6</f>
        <v>573000000</v>
      </c>
      <c r="F10">
        <v>3</v>
      </c>
      <c r="G10">
        <v>1</v>
      </c>
    </row>
    <row r="11" spans="1:8">
      <c r="A11" s="56" t="s">
        <v>161</v>
      </c>
      <c r="B11" s="56" t="s">
        <v>164</v>
      </c>
      <c r="C11" s="56" t="s">
        <v>168</v>
      </c>
      <c r="D11" s="56">
        <f>44*10^6</f>
        <v>44000000</v>
      </c>
      <c r="E11" s="56">
        <f>549*10^6</f>
        <v>549000000</v>
      </c>
      <c r="F11" s="56">
        <v>3</v>
      </c>
      <c r="G11" s="56">
        <v>1</v>
      </c>
    </row>
    <row r="12" spans="1:8">
      <c r="A12" t="s">
        <v>161</v>
      </c>
      <c r="B12" t="s">
        <v>165</v>
      </c>
      <c r="C12" t="s">
        <v>168</v>
      </c>
      <c r="D12">
        <f>55*10^6</f>
        <v>55000000</v>
      </c>
      <c r="E12">
        <f>659*10^6</f>
        <v>659000000</v>
      </c>
      <c r="F12">
        <v>3</v>
      </c>
      <c r="G12">
        <v>1</v>
      </c>
    </row>
    <row r="13" spans="1:8">
      <c r="A13" s="56" t="s">
        <v>161</v>
      </c>
      <c r="B13" s="56" t="s">
        <v>166</v>
      </c>
      <c r="C13" s="56" t="s">
        <v>168</v>
      </c>
      <c r="D13" s="56">
        <f>48*10^6</f>
        <v>48000000</v>
      </c>
      <c r="E13" s="56">
        <f>586*10^6</f>
        <v>586000000</v>
      </c>
      <c r="F13" s="56">
        <v>3</v>
      </c>
      <c r="G13" s="56">
        <v>1</v>
      </c>
    </row>
    <row r="14" spans="1:8">
      <c r="A14" t="s">
        <v>169</v>
      </c>
      <c r="B14" t="s">
        <v>162</v>
      </c>
      <c r="C14" t="s">
        <v>163</v>
      </c>
      <c r="D14">
        <f>520*10^6</f>
        <v>520000000</v>
      </c>
      <c r="E14">
        <f>1568*10^6</f>
        <v>1568000000</v>
      </c>
      <c r="F14">
        <v>1</v>
      </c>
      <c r="G14">
        <v>2</v>
      </c>
    </row>
    <row r="15" spans="1:8">
      <c r="A15" s="56" t="s">
        <v>169</v>
      </c>
      <c r="B15" s="56" t="s">
        <v>164</v>
      </c>
      <c r="C15" s="56" t="s">
        <v>163</v>
      </c>
      <c r="D15" s="56">
        <f>540*10^6</f>
        <v>540000000</v>
      </c>
      <c r="E15" s="56">
        <f>1570*10^6</f>
        <v>1570000000</v>
      </c>
      <c r="F15" s="56">
        <v>1</v>
      </c>
      <c r="G15" s="56">
        <v>2</v>
      </c>
    </row>
    <row r="16" spans="1:8">
      <c r="A16" t="s">
        <v>169</v>
      </c>
      <c r="B16" t="s">
        <v>165</v>
      </c>
      <c r="C16" t="s">
        <v>163</v>
      </c>
      <c r="D16">
        <f>696*10^6</f>
        <v>696000000</v>
      </c>
      <c r="E16">
        <f>1885*10^6</f>
        <v>1885000000</v>
      </c>
      <c r="F16">
        <v>1</v>
      </c>
      <c r="G16">
        <v>2</v>
      </c>
    </row>
    <row r="17" spans="1:7">
      <c r="A17" s="56" t="s">
        <v>169</v>
      </c>
      <c r="B17" s="56" t="s">
        <v>166</v>
      </c>
      <c r="C17" s="56" t="s">
        <v>163</v>
      </c>
      <c r="D17" s="56">
        <f>563*10^6</f>
        <v>563000000</v>
      </c>
      <c r="E17" s="56">
        <f>1607*10^6</f>
        <v>1607000000</v>
      </c>
      <c r="F17" s="56">
        <v>1</v>
      </c>
      <c r="G17" s="56">
        <v>2</v>
      </c>
    </row>
    <row r="18" spans="1:7">
      <c r="A18" t="s">
        <v>169</v>
      </c>
      <c r="B18" t="s">
        <v>162</v>
      </c>
      <c r="C18" t="s">
        <v>167</v>
      </c>
      <c r="D18">
        <f>76*10^6</f>
        <v>76000000</v>
      </c>
      <c r="E18">
        <f>382*10^6</f>
        <v>382000000</v>
      </c>
      <c r="F18">
        <v>2</v>
      </c>
      <c r="G18">
        <v>2</v>
      </c>
    </row>
    <row r="19" spans="1:7">
      <c r="A19" s="56" t="s">
        <v>169</v>
      </c>
      <c r="B19" s="56" t="s">
        <v>164</v>
      </c>
      <c r="C19" s="56" t="s">
        <v>167</v>
      </c>
      <c r="D19" s="56">
        <f>67*10^6</f>
        <v>67000000</v>
      </c>
      <c r="E19" s="56">
        <f>348*10^6</f>
        <v>348000000</v>
      </c>
      <c r="F19" s="56">
        <v>2</v>
      </c>
      <c r="G19" s="56">
        <v>2</v>
      </c>
    </row>
    <row r="20" spans="1:7">
      <c r="A20" t="s">
        <v>169</v>
      </c>
      <c r="B20" t="s">
        <v>165</v>
      </c>
      <c r="C20" t="s">
        <v>167</v>
      </c>
      <c r="D20">
        <f>94*10^6</f>
        <v>94000000</v>
      </c>
      <c r="E20">
        <f>428*10^6</f>
        <v>428000000</v>
      </c>
      <c r="F20">
        <v>2</v>
      </c>
      <c r="G20">
        <v>2</v>
      </c>
    </row>
    <row r="21" spans="1:7">
      <c r="A21" s="56" t="s">
        <v>169</v>
      </c>
      <c r="B21" s="56" t="s">
        <v>166</v>
      </c>
      <c r="C21" s="56" t="s">
        <v>167</v>
      </c>
      <c r="D21" s="56">
        <f>71*10^6</f>
        <v>71000000</v>
      </c>
      <c r="E21" s="56">
        <f>376*10^6</f>
        <v>376000000</v>
      </c>
      <c r="F21" s="56">
        <v>2</v>
      </c>
      <c r="G21" s="56">
        <v>2</v>
      </c>
    </row>
    <row r="22" spans="1:7">
      <c r="A22" t="s">
        <v>169</v>
      </c>
      <c r="B22" t="s">
        <v>162</v>
      </c>
      <c r="C22" t="s">
        <v>168</v>
      </c>
      <c r="D22">
        <f>48*10^6</f>
        <v>48000000</v>
      </c>
      <c r="E22">
        <f>570*10^6</f>
        <v>570000000</v>
      </c>
      <c r="F22">
        <v>3</v>
      </c>
      <c r="G22">
        <v>2</v>
      </c>
    </row>
    <row r="23" spans="1:7">
      <c r="A23" s="56" t="s">
        <v>169</v>
      </c>
      <c r="B23" s="56" t="s">
        <v>164</v>
      </c>
      <c r="C23" s="56" t="s">
        <v>168</v>
      </c>
      <c r="D23" s="56">
        <f>47*10^6</f>
        <v>47000000</v>
      </c>
      <c r="E23" s="56">
        <f>567*10^6</f>
        <v>567000000</v>
      </c>
      <c r="F23" s="56">
        <v>3</v>
      </c>
      <c r="G23" s="56">
        <v>2</v>
      </c>
    </row>
    <row r="24" spans="1:7">
      <c r="A24" t="s">
        <v>169</v>
      </c>
      <c r="B24" t="s">
        <v>165</v>
      </c>
      <c r="C24" t="s">
        <v>168</v>
      </c>
      <c r="D24">
        <f>54*10^6</f>
        <v>54000000</v>
      </c>
      <c r="E24">
        <f>639*10^6</f>
        <v>639000000</v>
      </c>
      <c r="F24">
        <v>3</v>
      </c>
      <c r="G24">
        <v>2</v>
      </c>
    </row>
    <row r="25" spans="1:7">
      <c r="A25" s="56" t="s">
        <v>169</v>
      </c>
      <c r="B25" s="56" t="s">
        <v>166</v>
      </c>
      <c r="C25" s="56" t="s">
        <v>168</v>
      </c>
      <c r="D25" s="56">
        <f>46*10^6</f>
        <v>46000000</v>
      </c>
      <c r="E25" s="56">
        <f>567*10^6</f>
        <v>567000000</v>
      </c>
      <c r="F25" s="56">
        <v>3</v>
      </c>
      <c r="G25" s="56">
        <v>2</v>
      </c>
    </row>
    <row r="26" spans="1:7">
      <c r="A26" t="s">
        <v>170</v>
      </c>
      <c r="B26" t="s">
        <v>162</v>
      </c>
      <c r="C26" t="s">
        <v>163</v>
      </c>
      <c r="D26">
        <f>794*10^6</f>
        <v>794000000</v>
      </c>
      <c r="E26">
        <f>2104*10^6</f>
        <v>2104000000</v>
      </c>
      <c r="F26">
        <v>1</v>
      </c>
      <c r="G26">
        <v>3</v>
      </c>
    </row>
    <row r="27" spans="1:7">
      <c r="A27" t="s">
        <v>170</v>
      </c>
      <c r="B27" t="s">
        <v>164</v>
      </c>
      <c r="C27" t="s">
        <v>163</v>
      </c>
      <c r="D27">
        <f>774*10^6</f>
        <v>774000000</v>
      </c>
      <c r="E27">
        <f>2120*10^6</f>
        <v>2120000000</v>
      </c>
      <c r="F27" s="56">
        <v>1</v>
      </c>
      <c r="G27" s="56">
        <v>3</v>
      </c>
    </row>
    <row r="28" spans="1:7">
      <c r="A28" t="s">
        <v>170</v>
      </c>
      <c r="B28" t="s">
        <v>165</v>
      </c>
      <c r="C28" t="s">
        <v>163</v>
      </c>
      <c r="D28">
        <f>1052*10^6</f>
        <v>1052000000</v>
      </c>
      <c r="E28">
        <f>2706*10^6</f>
        <v>2706000000</v>
      </c>
      <c r="F28">
        <v>1</v>
      </c>
      <c r="G28">
        <v>3</v>
      </c>
    </row>
    <row r="29" spans="1:7">
      <c r="A29" t="s">
        <v>170</v>
      </c>
      <c r="B29" t="s">
        <v>166</v>
      </c>
      <c r="C29" t="s">
        <v>163</v>
      </c>
      <c r="D29">
        <f>942*10^6</f>
        <v>942000000</v>
      </c>
      <c r="E29">
        <f>2461*10^6</f>
        <v>2461000000</v>
      </c>
      <c r="F29" s="56">
        <v>1</v>
      </c>
      <c r="G29" s="56">
        <v>3</v>
      </c>
    </row>
    <row r="30" spans="1:7">
      <c r="A30" t="s">
        <v>170</v>
      </c>
      <c r="B30" t="s">
        <v>162</v>
      </c>
      <c r="C30" t="s">
        <v>167</v>
      </c>
      <c r="D30">
        <f>114*10^6</f>
        <v>114000000</v>
      </c>
      <c r="E30">
        <f>451*10^6</f>
        <v>451000000</v>
      </c>
      <c r="F30">
        <v>2</v>
      </c>
      <c r="G30">
        <v>3</v>
      </c>
    </row>
    <row r="31" spans="1:7">
      <c r="A31" t="s">
        <v>170</v>
      </c>
      <c r="B31" t="s">
        <v>164</v>
      </c>
      <c r="C31" t="s">
        <v>167</v>
      </c>
      <c r="D31">
        <f>95*10^6</f>
        <v>95000000</v>
      </c>
      <c r="E31">
        <f>448*10^6</f>
        <v>448000000</v>
      </c>
      <c r="F31" s="56">
        <v>2</v>
      </c>
      <c r="G31" s="56">
        <v>3</v>
      </c>
    </row>
    <row r="32" spans="1:7">
      <c r="A32" t="s">
        <v>170</v>
      </c>
      <c r="B32" t="s">
        <v>165</v>
      </c>
      <c r="C32" t="s">
        <v>167</v>
      </c>
      <c r="D32">
        <f>118*10^6</f>
        <v>118000000</v>
      </c>
      <c r="E32">
        <f>540*10^6</f>
        <v>540000000</v>
      </c>
      <c r="F32">
        <v>2</v>
      </c>
      <c r="G32">
        <v>3</v>
      </c>
    </row>
    <row r="33" spans="1:7">
      <c r="A33" t="s">
        <v>170</v>
      </c>
      <c r="B33" t="s">
        <v>166</v>
      </c>
      <c r="C33" t="s">
        <v>167</v>
      </c>
      <c r="D33">
        <f>82*10^6</f>
        <v>82000000</v>
      </c>
      <c r="E33">
        <f>470*10^6</f>
        <v>470000000</v>
      </c>
      <c r="F33" s="56">
        <v>2</v>
      </c>
      <c r="G33" s="56">
        <v>3</v>
      </c>
    </row>
    <row r="34" spans="1:7">
      <c r="A34" t="s">
        <v>170</v>
      </c>
      <c r="B34" t="s">
        <v>162</v>
      </c>
      <c r="C34" t="s">
        <v>168</v>
      </c>
      <c r="D34">
        <f>51*10^6</f>
        <v>51000000</v>
      </c>
      <c r="E34">
        <f>528*10^6</f>
        <v>528000000</v>
      </c>
      <c r="F34">
        <v>3</v>
      </c>
      <c r="G34">
        <v>3</v>
      </c>
    </row>
    <row r="35" spans="1:7">
      <c r="A35" t="s">
        <v>170</v>
      </c>
      <c r="B35" t="s">
        <v>164</v>
      </c>
      <c r="C35" t="s">
        <v>168</v>
      </c>
      <c r="D35">
        <f>51*10^6</f>
        <v>51000000</v>
      </c>
      <c r="E35">
        <f>679*10^6</f>
        <v>679000000</v>
      </c>
      <c r="F35" s="56">
        <v>3</v>
      </c>
      <c r="G35" s="56">
        <v>3</v>
      </c>
    </row>
    <row r="36" spans="1:7">
      <c r="A36" t="s">
        <v>170</v>
      </c>
      <c r="B36" t="s">
        <v>165</v>
      </c>
      <c r="C36" t="s">
        <v>168</v>
      </c>
      <c r="D36">
        <f>63*10^6</f>
        <v>63000000</v>
      </c>
      <c r="E36">
        <f>825*10^6</f>
        <v>825000000</v>
      </c>
      <c r="F36">
        <v>3</v>
      </c>
      <c r="G36">
        <v>3</v>
      </c>
    </row>
    <row r="37" spans="1:7">
      <c r="A37" t="s">
        <v>170</v>
      </c>
      <c r="B37" t="s">
        <v>166</v>
      </c>
      <c r="C37" t="s">
        <v>168</v>
      </c>
      <c r="D37">
        <f>37*10^6</f>
        <v>37000000</v>
      </c>
      <c r="E37">
        <f>650*10^6</f>
        <v>650000000</v>
      </c>
      <c r="F37" s="56">
        <v>3</v>
      </c>
      <c r="G37" s="56">
        <v>3</v>
      </c>
    </row>
  </sheetData>
  <autoFilter ref="C1:C25" xr:uid="{94EB2D65-B975-49E3-BC2B-25EF2E079D07}"/>
  <pageMargins left="0.7" right="0.7" top="0.75" bottom="0.75" header="0.3" footer="0.3"/>
  <pageSetup paperSize="9" orientation="portrait" r:id="rId1"/>
  <headerFooter>
    <oddHeader>&amp;L&amp;"Calibri"&amp;12&amp;K000000Classification: CONFIDENTIAL&amp;1#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6ED8D-6453-406C-BCFC-64F2BB3EFC71}">
  <sheetPr>
    <tabColor theme="9" tint="0.59999389629810485"/>
  </sheetPr>
  <dimension ref="A1:M21"/>
  <sheetViews>
    <sheetView workbookViewId="0">
      <selection activeCell="I29" sqref="I29"/>
    </sheetView>
  </sheetViews>
  <sheetFormatPr defaultRowHeight="14.25"/>
  <cols>
    <col min="1" max="1" width="9.73046875" bestFit="1" customWidth="1"/>
    <col min="2" max="2" width="22" bestFit="1" customWidth="1"/>
    <col min="3" max="3" width="14.73046875" style="4" customWidth="1"/>
    <col min="4" max="4" width="21.1328125" style="4" bestFit="1" customWidth="1"/>
    <col min="6" max="6" width="14.265625" bestFit="1" customWidth="1"/>
    <col min="8" max="8" width="16" customWidth="1"/>
    <col min="9" max="9" width="16.1328125" bestFit="1" customWidth="1"/>
  </cols>
  <sheetData>
    <row r="1" spans="1:13">
      <c r="A1" t="s">
        <v>31</v>
      </c>
      <c r="B1" t="s">
        <v>44</v>
      </c>
      <c r="C1" s="43" t="s">
        <v>12</v>
      </c>
      <c r="D1" s="43" t="s">
        <v>13</v>
      </c>
      <c r="E1" s="50" t="s">
        <v>14</v>
      </c>
      <c r="F1" s="50" t="s">
        <v>15</v>
      </c>
      <c r="G1" s="65" t="s">
        <v>160</v>
      </c>
    </row>
    <row r="2" spans="1:13">
      <c r="A2" s="41" t="s">
        <v>25</v>
      </c>
      <c r="B2" s="50" t="s">
        <v>171</v>
      </c>
      <c r="C2" s="15">
        <f>4578*10^6</f>
        <v>4578000000</v>
      </c>
      <c r="D2" s="15">
        <f>2661*10^6</f>
        <v>2661000000</v>
      </c>
      <c r="E2">
        <v>2</v>
      </c>
      <c r="F2">
        <v>2</v>
      </c>
      <c r="G2" s="50"/>
      <c r="I2" s="51"/>
      <c r="L2" s="50"/>
      <c r="M2" s="50"/>
    </row>
    <row r="3" spans="1:13">
      <c r="A3" s="41" t="s">
        <v>25</v>
      </c>
      <c r="B3" s="50" t="s">
        <v>172</v>
      </c>
      <c r="C3" s="15">
        <f>7081*10^6</f>
        <v>7081000000</v>
      </c>
      <c r="D3" s="15">
        <f>1665*10^6</f>
        <v>1665000000</v>
      </c>
      <c r="E3">
        <v>1</v>
      </c>
      <c r="F3">
        <v>2</v>
      </c>
      <c r="H3" s="50"/>
      <c r="I3" s="43"/>
      <c r="J3" s="43"/>
      <c r="L3" s="43"/>
      <c r="M3" s="43"/>
    </row>
    <row r="4" spans="1:13">
      <c r="A4" s="41" t="s">
        <v>25</v>
      </c>
      <c r="B4" s="50" t="s">
        <v>173</v>
      </c>
      <c r="C4" s="15">
        <f>9*10^6</f>
        <v>9000000</v>
      </c>
      <c r="D4" s="15">
        <f>5*10^6</f>
        <v>5000000</v>
      </c>
      <c r="E4">
        <v>4</v>
      </c>
      <c r="F4">
        <v>2</v>
      </c>
      <c r="K4" s="3"/>
      <c r="L4" s="43"/>
      <c r="M4" s="43"/>
    </row>
    <row r="5" spans="1:13">
      <c r="A5" s="41" t="s">
        <v>25</v>
      </c>
      <c r="B5" s="50" t="s">
        <v>174</v>
      </c>
      <c r="C5" s="15">
        <f>0*10^6</f>
        <v>0</v>
      </c>
      <c r="D5" s="15">
        <f>173*10^6</f>
        <v>173000000</v>
      </c>
      <c r="E5">
        <v>3</v>
      </c>
      <c r="F5">
        <v>2</v>
      </c>
      <c r="L5" s="4"/>
      <c r="M5" s="4"/>
    </row>
    <row r="6" spans="1:13">
      <c r="A6" s="41" t="s">
        <v>26</v>
      </c>
      <c r="B6" s="50" t="s">
        <v>171</v>
      </c>
      <c r="C6" s="15">
        <f>4086*10^6</f>
        <v>4086000000</v>
      </c>
      <c r="D6" s="15">
        <f>2448*10^6</f>
        <v>2448000000</v>
      </c>
      <c r="E6">
        <v>2</v>
      </c>
      <c r="F6">
        <v>3</v>
      </c>
      <c r="G6" s="50"/>
      <c r="H6" s="43"/>
      <c r="I6" s="43"/>
      <c r="J6" s="50"/>
      <c r="L6" s="4"/>
      <c r="M6" s="4"/>
    </row>
    <row r="7" spans="1:13">
      <c r="A7" s="41" t="s">
        <v>26</v>
      </c>
      <c r="B7" s="50" t="s">
        <v>172</v>
      </c>
      <c r="C7" s="15">
        <f>6992*10^6</f>
        <v>6992000000</v>
      </c>
      <c r="D7" s="15">
        <f>1619*10^6</f>
        <v>1619000000</v>
      </c>
      <c r="E7">
        <v>1</v>
      </c>
      <c r="F7">
        <v>3</v>
      </c>
      <c r="G7" s="50"/>
      <c r="H7" s="43"/>
      <c r="I7" s="43"/>
      <c r="J7" s="50"/>
      <c r="L7" s="4"/>
      <c r="M7" s="4"/>
    </row>
    <row r="8" spans="1:13">
      <c r="A8" s="41" t="s">
        <v>26</v>
      </c>
      <c r="B8" s="50" t="s">
        <v>173</v>
      </c>
      <c r="C8" s="15">
        <f>7*10^6</f>
        <v>7000000</v>
      </c>
      <c r="D8" s="15">
        <f>3*10^6</f>
        <v>3000000</v>
      </c>
      <c r="E8">
        <v>4</v>
      </c>
      <c r="F8">
        <v>3</v>
      </c>
      <c r="G8" s="50"/>
      <c r="H8" s="43"/>
      <c r="I8" s="43"/>
      <c r="J8" s="50"/>
      <c r="L8" s="4"/>
      <c r="M8" s="4"/>
    </row>
    <row r="9" spans="1:13">
      <c r="A9" s="27" t="s">
        <v>26</v>
      </c>
      <c r="B9" s="50" t="s">
        <v>174</v>
      </c>
      <c r="C9" s="15">
        <f>0*10^6</f>
        <v>0</v>
      </c>
      <c r="D9" s="15">
        <f>161*10^6</f>
        <v>161000000</v>
      </c>
      <c r="E9">
        <v>3</v>
      </c>
      <c r="F9">
        <v>3</v>
      </c>
      <c r="G9" s="50"/>
      <c r="H9" s="43"/>
      <c r="I9" s="43"/>
      <c r="J9" s="50"/>
      <c r="L9" s="4"/>
      <c r="M9" s="4"/>
    </row>
    <row r="10" spans="1:13">
      <c r="A10" s="41" t="s">
        <v>27</v>
      </c>
      <c r="B10" s="50" t="s">
        <v>171</v>
      </c>
      <c r="C10" s="15">
        <f>3800*10^6</f>
        <v>3800000000</v>
      </c>
      <c r="D10" s="15">
        <f>2376*10^6</f>
        <v>2376000000</v>
      </c>
      <c r="E10">
        <v>2</v>
      </c>
      <c r="F10">
        <v>4</v>
      </c>
      <c r="K10" s="43"/>
      <c r="L10" s="43"/>
      <c r="M10" s="43"/>
    </row>
    <row r="11" spans="1:13">
      <c r="A11" s="41" t="s">
        <v>27</v>
      </c>
      <c r="B11" s="50" t="s">
        <v>172</v>
      </c>
      <c r="C11" s="15">
        <f>6591*10^6</f>
        <v>6591000000</v>
      </c>
      <c r="D11" s="15">
        <f>1553*10^6</f>
        <v>1553000000</v>
      </c>
      <c r="E11">
        <v>1</v>
      </c>
      <c r="F11">
        <v>4</v>
      </c>
    </row>
    <row r="12" spans="1:13">
      <c r="A12" s="41" t="s">
        <v>27</v>
      </c>
      <c r="B12" s="50" t="s">
        <v>173</v>
      </c>
      <c r="C12" s="15">
        <f>6*10^6</f>
        <v>6000000</v>
      </c>
      <c r="D12" s="15">
        <f>3*10^6</f>
        <v>3000000</v>
      </c>
      <c r="E12">
        <v>4</v>
      </c>
      <c r="F12">
        <v>4</v>
      </c>
    </row>
    <row r="13" spans="1:13">
      <c r="A13" s="27" t="s">
        <v>27</v>
      </c>
      <c r="B13" s="50" t="s">
        <v>174</v>
      </c>
      <c r="C13" s="15">
        <f>0*10^6</f>
        <v>0</v>
      </c>
      <c r="D13" s="15">
        <f>146*10^6</f>
        <v>146000000</v>
      </c>
      <c r="E13">
        <v>3</v>
      </c>
      <c r="F13">
        <v>4</v>
      </c>
      <c r="G13" s="58" t="s">
        <v>175</v>
      </c>
    </row>
    <row r="14" spans="1:13">
      <c r="A14" s="27" t="s">
        <v>29</v>
      </c>
      <c r="B14" s="50" t="s">
        <v>171</v>
      </c>
      <c r="C14" s="4">
        <f>3619*10^6</f>
        <v>3619000000</v>
      </c>
      <c r="D14" s="4">
        <f>2303*10^6</f>
        <v>2303000000</v>
      </c>
      <c r="E14">
        <v>2</v>
      </c>
      <c r="F14">
        <v>5</v>
      </c>
    </row>
    <row r="15" spans="1:13">
      <c r="A15" s="27" t="s">
        <v>29</v>
      </c>
      <c r="B15" s="50" t="s">
        <v>172</v>
      </c>
      <c r="C15" s="4">
        <f>6362*10^6</f>
        <v>6362000000</v>
      </c>
      <c r="D15" s="4">
        <f>1561*10^6</f>
        <v>1561000000</v>
      </c>
      <c r="E15">
        <v>1</v>
      </c>
      <c r="F15">
        <v>5</v>
      </c>
    </row>
    <row r="16" spans="1:13">
      <c r="A16" s="27" t="s">
        <v>29</v>
      </c>
      <c r="B16" s="50" t="s">
        <v>173</v>
      </c>
      <c r="C16" s="4">
        <f>5*10^6</f>
        <v>5000000</v>
      </c>
      <c r="D16" s="4">
        <f>3*10^6</f>
        <v>3000000</v>
      </c>
      <c r="E16">
        <v>4</v>
      </c>
      <c r="F16">
        <v>5</v>
      </c>
    </row>
    <row r="17" spans="1:6">
      <c r="A17" s="27" t="s">
        <v>29</v>
      </c>
      <c r="B17" s="50" t="s">
        <v>174</v>
      </c>
      <c r="C17" s="4">
        <f>0*10^6</f>
        <v>0</v>
      </c>
      <c r="D17" s="4">
        <f>151*10^6</f>
        <v>151000000</v>
      </c>
      <c r="E17">
        <v>3</v>
      </c>
      <c r="F17">
        <v>5</v>
      </c>
    </row>
    <row r="18" spans="1:6">
      <c r="A18" s="27" t="s">
        <v>30</v>
      </c>
      <c r="B18" s="50" t="s">
        <v>171</v>
      </c>
      <c r="C18" s="4">
        <f>2770*10^6</f>
        <v>2770000000</v>
      </c>
      <c r="D18" s="4">
        <f>2155*10^6</f>
        <v>2155000000</v>
      </c>
      <c r="E18">
        <v>2</v>
      </c>
      <c r="F18">
        <v>6</v>
      </c>
    </row>
    <row r="19" spans="1:6">
      <c r="A19" s="27" t="s">
        <v>30</v>
      </c>
      <c r="B19" s="50" t="s">
        <v>172</v>
      </c>
      <c r="C19" s="4">
        <f>5013*10^6</f>
        <v>5013000000</v>
      </c>
      <c r="D19" s="4">
        <f>1321*10^6</f>
        <v>1321000000</v>
      </c>
      <c r="E19">
        <v>1</v>
      </c>
      <c r="F19">
        <v>6</v>
      </c>
    </row>
    <row r="20" spans="1:6">
      <c r="A20" s="27" t="s">
        <v>30</v>
      </c>
      <c r="B20" s="50" t="s">
        <v>173</v>
      </c>
      <c r="C20" s="4">
        <f>4*10^6</f>
        <v>4000000</v>
      </c>
      <c r="D20" s="4">
        <f>2*10^6</f>
        <v>2000000</v>
      </c>
      <c r="E20">
        <v>4</v>
      </c>
      <c r="F20">
        <v>6</v>
      </c>
    </row>
    <row r="21" spans="1:6">
      <c r="A21" s="27" t="s">
        <v>30</v>
      </c>
      <c r="B21" s="50" t="s">
        <v>174</v>
      </c>
      <c r="C21" s="4">
        <f>0*10^6</f>
        <v>0</v>
      </c>
      <c r="D21" s="4">
        <f>122*10^6</f>
        <v>122000000</v>
      </c>
      <c r="E21">
        <v>3</v>
      </c>
      <c r="F21">
        <v>6</v>
      </c>
    </row>
  </sheetData>
  <phoneticPr fontId="29" type="noConversion"/>
  <pageMargins left="0.7" right="0.7" top="0.75" bottom="0.75" header="0.3" footer="0.3"/>
  <pageSetup paperSize="9" orientation="portrait" r:id="rId1"/>
  <headerFooter>
    <oddHeader>&amp;L&amp;"Calibri"&amp;12&amp;K000000Classification: CONFIDENTIAL&amp;1#</oddHead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7D073-C4E8-430F-97D7-E0EFBD70597E}">
  <sheetPr>
    <tabColor rgb="FFC6E0B4"/>
  </sheetPr>
  <dimension ref="A1:F970"/>
  <sheetViews>
    <sheetView topLeftCell="A950" zoomScaleNormal="100" workbookViewId="0">
      <selection activeCell="B971" sqref="B971"/>
    </sheetView>
  </sheetViews>
  <sheetFormatPr defaultRowHeight="14.25"/>
  <cols>
    <col min="2" max="2" width="21.59765625" bestFit="1" customWidth="1"/>
    <col min="4" max="4" width="12.86328125" customWidth="1"/>
  </cols>
  <sheetData>
    <row r="1" spans="1:6">
      <c r="A1" t="s">
        <v>176</v>
      </c>
      <c r="B1" t="s">
        <v>177</v>
      </c>
      <c r="C1" t="s">
        <v>10</v>
      </c>
      <c r="D1" t="s">
        <v>178</v>
      </c>
      <c r="E1" t="s">
        <v>179</v>
      </c>
      <c r="F1" t="s">
        <v>15</v>
      </c>
    </row>
    <row r="2" spans="1:6">
      <c r="A2" t="s">
        <v>180</v>
      </c>
      <c r="B2" t="s">
        <v>181</v>
      </c>
      <c r="C2" t="s">
        <v>22</v>
      </c>
      <c r="D2">
        <v>94.300003000000004</v>
      </c>
      <c r="E2" t="s">
        <v>182</v>
      </c>
      <c r="F2">
        <v>1</v>
      </c>
    </row>
    <row r="3" spans="1:6">
      <c r="A3" t="s">
        <v>183</v>
      </c>
      <c r="B3" t="s">
        <v>184</v>
      </c>
      <c r="C3" t="s">
        <v>22</v>
      </c>
      <c r="D3">
        <v>93.800003000000004</v>
      </c>
      <c r="E3" t="s">
        <v>185</v>
      </c>
      <c r="F3">
        <v>1</v>
      </c>
    </row>
    <row r="4" spans="1:6">
      <c r="A4" t="s">
        <v>186</v>
      </c>
      <c r="B4" t="s">
        <v>187</v>
      </c>
      <c r="C4" t="s">
        <v>22</v>
      </c>
      <c r="D4">
        <v>93.400002000000001</v>
      </c>
      <c r="E4" t="s">
        <v>185</v>
      </c>
      <c r="F4">
        <v>1</v>
      </c>
    </row>
    <row r="5" spans="1:6">
      <c r="A5" t="s">
        <v>188</v>
      </c>
      <c r="B5" t="s">
        <v>189</v>
      </c>
      <c r="C5" t="s">
        <v>22</v>
      </c>
      <c r="D5">
        <v>93.599997999999999</v>
      </c>
      <c r="E5" t="s">
        <v>185</v>
      </c>
      <c r="F5">
        <v>1</v>
      </c>
    </row>
    <row r="6" spans="1:6">
      <c r="A6" t="s">
        <v>190</v>
      </c>
      <c r="B6" t="s">
        <v>191</v>
      </c>
      <c r="C6" t="s">
        <v>22</v>
      </c>
      <c r="D6">
        <v>94.400002000000001</v>
      </c>
      <c r="E6" t="s">
        <v>185</v>
      </c>
      <c r="F6">
        <v>1</v>
      </c>
    </row>
    <row r="7" spans="1:6">
      <c r="A7" t="s">
        <v>192</v>
      </c>
      <c r="B7" t="s">
        <v>193</v>
      </c>
      <c r="C7" t="s">
        <v>22</v>
      </c>
      <c r="D7">
        <v>93.5</v>
      </c>
      <c r="E7" t="s">
        <v>185</v>
      </c>
      <c r="F7">
        <v>1</v>
      </c>
    </row>
    <row r="8" spans="1:6">
      <c r="A8" t="s">
        <v>194</v>
      </c>
      <c r="B8" t="s">
        <v>195</v>
      </c>
      <c r="C8" t="s">
        <v>22</v>
      </c>
      <c r="D8">
        <v>92.699996999999996</v>
      </c>
      <c r="E8" t="s">
        <v>185</v>
      </c>
      <c r="F8">
        <v>1</v>
      </c>
    </row>
    <row r="9" spans="1:6">
      <c r="A9" t="s">
        <v>196</v>
      </c>
      <c r="B9" t="s">
        <v>197</v>
      </c>
      <c r="C9" t="s">
        <v>22</v>
      </c>
      <c r="D9">
        <v>93.300003000000004</v>
      </c>
      <c r="E9" t="s">
        <v>185</v>
      </c>
      <c r="F9">
        <v>1</v>
      </c>
    </row>
    <row r="10" spans="1:6">
      <c r="A10" t="s">
        <v>198</v>
      </c>
      <c r="B10" t="s">
        <v>199</v>
      </c>
      <c r="C10" t="s">
        <v>22</v>
      </c>
      <c r="D10">
        <v>92.699996999999996</v>
      </c>
      <c r="E10" t="s">
        <v>185</v>
      </c>
      <c r="F10">
        <v>1</v>
      </c>
    </row>
    <row r="11" spans="1:6">
      <c r="A11" t="s">
        <v>200</v>
      </c>
      <c r="B11" t="s">
        <v>201</v>
      </c>
      <c r="C11" t="s">
        <v>22</v>
      </c>
      <c r="D11">
        <v>93.699996999999996</v>
      </c>
      <c r="E11" t="s">
        <v>185</v>
      </c>
      <c r="F11">
        <v>1</v>
      </c>
    </row>
    <row r="12" spans="1:6">
      <c r="A12" t="s">
        <v>202</v>
      </c>
      <c r="B12" t="s">
        <v>203</v>
      </c>
      <c r="C12" t="s">
        <v>22</v>
      </c>
      <c r="D12">
        <v>92.099997999999999</v>
      </c>
      <c r="E12" t="s">
        <v>185</v>
      </c>
      <c r="F12">
        <v>1</v>
      </c>
    </row>
    <row r="13" spans="1:6">
      <c r="A13" t="s">
        <v>204</v>
      </c>
      <c r="B13" t="s">
        <v>205</v>
      </c>
      <c r="C13" t="s">
        <v>22</v>
      </c>
      <c r="D13">
        <v>94.5</v>
      </c>
      <c r="E13" t="s">
        <v>205</v>
      </c>
      <c r="F13">
        <v>1</v>
      </c>
    </row>
    <row r="14" spans="1:6">
      <c r="A14" t="s">
        <v>206</v>
      </c>
      <c r="B14" t="s">
        <v>207</v>
      </c>
      <c r="C14" t="s">
        <v>22</v>
      </c>
      <c r="D14">
        <v>95.699996999999996</v>
      </c>
      <c r="E14" t="s">
        <v>185</v>
      </c>
      <c r="F14">
        <v>1</v>
      </c>
    </row>
    <row r="15" spans="1:6">
      <c r="A15" t="s">
        <v>208</v>
      </c>
      <c r="B15" t="s">
        <v>209</v>
      </c>
      <c r="C15" t="s">
        <v>22</v>
      </c>
      <c r="D15">
        <v>94.099997999999999</v>
      </c>
      <c r="E15" t="s">
        <v>185</v>
      </c>
      <c r="F15">
        <v>1</v>
      </c>
    </row>
    <row r="16" spans="1:6">
      <c r="A16" t="s">
        <v>210</v>
      </c>
      <c r="B16" t="s">
        <v>211</v>
      </c>
      <c r="C16" t="s">
        <v>22</v>
      </c>
      <c r="D16">
        <v>92.400002000000001</v>
      </c>
      <c r="E16" t="s">
        <v>212</v>
      </c>
      <c r="F16">
        <v>1</v>
      </c>
    </row>
    <row r="17" spans="1:6">
      <c r="A17" t="s">
        <v>213</v>
      </c>
      <c r="B17" t="s">
        <v>214</v>
      </c>
      <c r="C17" t="s">
        <v>22</v>
      </c>
      <c r="D17">
        <v>94.599997999999999</v>
      </c>
      <c r="E17" t="s">
        <v>212</v>
      </c>
      <c r="F17">
        <v>1</v>
      </c>
    </row>
    <row r="18" spans="1:6">
      <c r="A18" t="s">
        <v>215</v>
      </c>
      <c r="B18" t="s">
        <v>216</v>
      </c>
      <c r="C18" t="s">
        <v>22</v>
      </c>
      <c r="D18">
        <v>94</v>
      </c>
      <c r="E18" t="s">
        <v>185</v>
      </c>
      <c r="F18">
        <v>1</v>
      </c>
    </row>
    <row r="19" spans="1:6">
      <c r="A19" t="s">
        <v>217</v>
      </c>
      <c r="B19" t="s">
        <v>218</v>
      </c>
      <c r="C19" t="s">
        <v>22</v>
      </c>
      <c r="D19">
        <v>91.800003000000004</v>
      </c>
      <c r="E19" t="s">
        <v>185</v>
      </c>
      <c r="F19">
        <v>1</v>
      </c>
    </row>
    <row r="20" spans="1:6">
      <c r="A20" t="s">
        <v>219</v>
      </c>
      <c r="B20" t="s">
        <v>220</v>
      </c>
      <c r="C20" t="s">
        <v>22</v>
      </c>
      <c r="D20">
        <v>93.599997999999999</v>
      </c>
      <c r="E20" t="s">
        <v>185</v>
      </c>
      <c r="F20">
        <v>1</v>
      </c>
    </row>
    <row r="21" spans="1:6">
      <c r="A21" t="s">
        <v>221</v>
      </c>
      <c r="B21" t="s">
        <v>222</v>
      </c>
      <c r="C21" t="s">
        <v>22</v>
      </c>
      <c r="D21">
        <v>94.199996999999996</v>
      </c>
      <c r="E21" t="s">
        <v>185</v>
      </c>
      <c r="F21">
        <v>1</v>
      </c>
    </row>
    <row r="22" spans="1:6">
      <c r="A22" t="s">
        <v>223</v>
      </c>
      <c r="B22" t="s">
        <v>224</v>
      </c>
      <c r="C22" t="s">
        <v>22</v>
      </c>
      <c r="D22">
        <v>92.699996999999996</v>
      </c>
      <c r="E22" t="s">
        <v>185</v>
      </c>
      <c r="F22">
        <v>1</v>
      </c>
    </row>
    <row r="23" spans="1:6">
      <c r="A23" t="s">
        <v>225</v>
      </c>
      <c r="B23" t="s">
        <v>226</v>
      </c>
      <c r="C23" t="s">
        <v>22</v>
      </c>
      <c r="D23">
        <v>92.099997999999999</v>
      </c>
      <c r="E23" t="s">
        <v>185</v>
      </c>
      <c r="F23">
        <v>1</v>
      </c>
    </row>
    <row r="24" spans="1:6">
      <c r="A24" t="s">
        <v>227</v>
      </c>
      <c r="B24" t="s">
        <v>228</v>
      </c>
      <c r="C24" t="s">
        <v>22</v>
      </c>
      <c r="D24">
        <v>94</v>
      </c>
      <c r="E24" t="s">
        <v>185</v>
      </c>
      <c r="F24">
        <v>1</v>
      </c>
    </row>
    <row r="25" spans="1:6">
      <c r="A25" t="s">
        <v>229</v>
      </c>
      <c r="B25" t="s">
        <v>230</v>
      </c>
      <c r="C25" t="s">
        <v>22</v>
      </c>
      <c r="D25">
        <v>94.599997999999999</v>
      </c>
      <c r="E25" t="s">
        <v>182</v>
      </c>
      <c r="F25">
        <v>1</v>
      </c>
    </row>
    <row r="26" spans="1:6">
      <c r="A26" t="s">
        <v>231</v>
      </c>
      <c r="B26" t="s">
        <v>232</v>
      </c>
      <c r="C26" t="s">
        <v>22</v>
      </c>
      <c r="D26">
        <v>93.300003000000004</v>
      </c>
      <c r="E26" t="s">
        <v>185</v>
      </c>
      <c r="F26">
        <v>1</v>
      </c>
    </row>
    <row r="27" spans="1:6">
      <c r="A27" t="s">
        <v>233</v>
      </c>
      <c r="B27" t="s">
        <v>234</v>
      </c>
      <c r="C27" t="s">
        <v>22</v>
      </c>
      <c r="D27">
        <v>93.5</v>
      </c>
      <c r="E27" t="s">
        <v>182</v>
      </c>
      <c r="F27">
        <v>1</v>
      </c>
    </row>
    <row r="28" spans="1:6">
      <c r="A28" t="s">
        <v>235</v>
      </c>
      <c r="B28" t="s">
        <v>236</v>
      </c>
      <c r="C28" t="s">
        <v>22</v>
      </c>
      <c r="D28">
        <v>93.199996999999996</v>
      </c>
      <c r="E28" t="s">
        <v>185</v>
      </c>
      <c r="F28">
        <v>1</v>
      </c>
    </row>
    <row r="29" spans="1:6">
      <c r="A29" t="s">
        <v>237</v>
      </c>
      <c r="B29" t="s">
        <v>238</v>
      </c>
      <c r="C29" t="s">
        <v>22</v>
      </c>
      <c r="D29">
        <v>93.5</v>
      </c>
      <c r="E29" t="s">
        <v>185</v>
      </c>
      <c r="F29">
        <v>1</v>
      </c>
    </row>
    <row r="30" spans="1:6">
      <c r="A30" t="s">
        <v>239</v>
      </c>
      <c r="B30" t="s">
        <v>240</v>
      </c>
      <c r="C30" t="s">
        <v>22</v>
      </c>
      <c r="D30">
        <v>93.199996999999996</v>
      </c>
      <c r="E30" t="s">
        <v>185</v>
      </c>
      <c r="F30">
        <v>1</v>
      </c>
    </row>
    <row r="31" spans="1:6">
      <c r="A31" t="s">
        <v>241</v>
      </c>
      <c r="B31" t="s">
        <v>242</v>
      </c>
      <c r="C31" t="s">
        <v>22</v>
      </c>
      <c r="D31">
        <v>93.699996999999996</v>
      </c>
      <c r="E31" t="s">
        <v>185</v>
      </c>
      <c r="F31">
        <v>1</v>
      </c>
    </row>
    <row r="32" spans="1:6">
      <c r="A32" t="s">
        <v>243</v>
      </c>
      <c r="B32" t="s">
        <v>244</v>
      </c>
      <c r="C32" t="s">
        <v>22</v>
      </c>
      <c r="D32">
        <v>94</v>
      </c>
      <c r="E32" t="s">
        <v>185</v>
      </c>
      <c r="F32">
        <v>1</v>
      </c>
    </row>
    <row r="33" spans="1:6">
      <c r="A33" t="s">
        <v>245</v>
      </c>
      <c r="B33" t="s">
        <v>246</v>
      </c>
      <c r="C33" t="s">
        <v>22</v>
      </c>
      <c r="D33">
        <v>92.900002000000001</v>
      </c>
      <c r="E33" t="s">
        <v>185</v>
      </c>
      <c r="F33">
        <v>1</v>
      </c>
    </row>
    <row r="34" spans="1:6">
      <c r="A34" t="s">
        <v>247</v>
      </c>
      <c r="B34" t="s">
        <v>248</v>
      </c>
      <c r="C34" t="s">
        <v>22</v>
      </c>
      <c r="D34">
        <v>93.699996999999996</v>
      </c>
      <c r="E34" t="s">
        <v>185</v>
      </c>
      <c r="F34">
        <v>1</v>
      </c>
    </row>
    <row r="35" spans="1:6">
      <c r="A35" t="s">
        <v>249</v>
      </c>
      <c r="B35" t="s">
        <v>250</v>
      </c>
      <c r="C35" t="s">
        <v>22</v>
      </c>
      <c r="D35">
        <v>93.800003000000004</v>
      </c>
      <c r="E35" t="s">
        <v>182</v>
      </c>
      <c r="F35">
        <v>1</v>
      </c>
    </row>
    <row r="36" spans="1:6">
      <c r="A36" t="s">
        <v>251</v>
      </c>
      <c r="B36" t="s">
        <v>252</v>
      </c>
      <c r="C36" t="s">
        <v>22</v>
      </c>
      <c r="D36">
        <v>92.699996999999996</v>
      </c>
      <c r="E36" t="s">
        <v>185</v>
      </c>
      <c r="F36">
        <v>1</v>
      </c>
    </row>
    <row r="37" spans="1:6">
      <c r="A37" t="s">
        <v>253</v>
      </c>
      <c r="B37" t="s">
        <v>254</v>
      </c>
      <c r="C37" t="s">
        <v>22</v>
      </c>
      <c r="D37">
        <v>94.300003000000004</v>
      </c>
      <c r="E37" t="s">
        <v>185</v>
      </c>
      <c r="F37">
        <v>1</v>
      </c>
    </row>
    <row r="38" spans="1:6">
      <c r="A38" t="s">
        <v>255</v>
      </c>
      <c r="B38" t="s">
        <v>256</v>
      </c>
      <c r="C38" t="s">
        <v>22</v>
      </c>
      <c r="D38">
        <v>94.400002000000001</v>
      </c>
      <c r="E38" t="s">
        <v>182</v>
      </c>
      <c r="F38">
        <v>1</v>
      </c>
    </row>
    <row r="39" spans="1:6">
      <c r="A39" t="s">
        <v>257</v>
      </c>
      <c r="B39" t="s">
        <v>258</v>
      </c>
      <c r="C39" t="s">
        <v>22</v>
      </c>
      <c r="D39">
        <v>94.5</v>
      </c>
      <c r="E39" t="s">
        <v>185</v>
      </c>
      <c r="F39">
        <v>1</v>
      </c>
    </row>
    <row r="40" spans="1:6">
      <c r="A40" t="s">
        <v>259</v>
      </c>
      <c r="B40" t="s">
        <v>260</v>
      </c>
      <c r="C40" t="s">
        <v>22</v>
      </c>
      <c r="D40">
        <v>94</v>
      </c>
      <c r="E40" t="s">
        <v>182</v>
      </c>
      <c r="F40">
        <v>1</v>
      </c>
    </row>
    <row r="41" spans="1:6">
      <c r="A41" t="s">
        <v>261</v>
      </c>
      <c r="B41" t="s">
        <v>262</v>
      </c>
      <c r="C41" t="s">
        <v>22</v>
      </c>
      <c r="D41">
        <v>92.699996999999996</v>
      </c>
      <c r="E41" t="s">
        <v>185</v>
      </c>
      <c r="F41">
        <v>1</v>
      </c>
    </row>
    <row r="42" spans="1:6">
      <c r="A42" t="s">
        <v>263</v>
      </c>
      <c r="B42" t="s">
        <v>264</v>
      </c>
      <c r="C42" t="s">
        <v>22</v>
      </c>
      <c r="D42">
        <v>92.5</v>
      </c>
      <c r="E42" t="s">
        <v>185</v>
      </c>
      <c r="F42">
        <v>1</v>
      </c>
    </row>
    <row r="43" spans="1:6">
      <c r="A43" t="s">
        <v>265</v>
      </c>
      <c r="B43" t="s">
        <v>266</v>
      </c>
      <c r="C43" t="s">
        <v>22</v>
      </c>
      <c r="D43">
        <v>94.199996999999996</v>
      </c>
      <c r="E43" t="s">
        <v>185</v>
      </c>
      <c r="F43">
        <v>1</v>
      </c>
    </row>
    <row r="44" spans="1:6">
      <c r="A44" t="s">
        <v>267</v>
      </c>
      <c r="B44" t="s">
        <v>268</v>
      </c>
      <c r="C44" t="s">
        <v>22</v>
      </c>
      <c r="D44">
        <v>90.800003000000004</v>
      </c>
      <c r="E44" t="s">
        <v>185</v>
      </c>
      <c r="F44">
        <v>1</v>
      </c>
    </row>
    <row r="45" spans="1:6">
      <c r="A45" t="s">
        <v>269</v>
      </c>
      <c r="B45" t="s">
        <v>270</v>
      </c>
      <c r="C45" t="s">
        <v>22</v>
      </c>
      <c r="D45">
        <v>93.5</v>
      </c>
      <c r="E45" t="s">
        <v>185</v>
      </c>
      <c r="F45">
        <v>1</v>
      </c>
    </row>
    <row r="46" spans="1:6">
      <c r="A46" t="s">
        <v>271</v>
      </c>
      <c r="B46" t="s">
        <v>272</v>
      </c>
      <c r="C46" t="s">
        <v>22</v>
      </c>
      <c r="D46">
        <v>94.699996999999996</v>
      </c>
      <c r="E46" t="s">
        <v>185</v>
      </c>
      <c r="F46">
        <v>1</v>
      </c>
    </row>
    <row r="47" spans="1:6">
      <c r="A47" t="s">
        <v>273</v>
      </c>
      <c r="B47" t="s">
        <v>274</v>
      </c>
      <c r="C47" t="s">
        <v>22</v>
      </c>
      <c r="D47">
        <v>91.900002000000001</v>
      </c>
      <c r="E47" t="s">
        <v>185</v>
      </c>
      <c r="F47">
        <v>1</v>
      </c>
    </row>
    <row r="48" spans="1:6">
      <c r="A48" t="s">
        <v>275</v>
      </c>
      <c r="B48" t="s">
        <v>276</v>
      </c>
      <c r="C48" t="s">
        <v>22</v>
      </c>
      <c r="D48">
        <v>67.400002000000001</v>
      </c>
      <c r="E48" t="s">
        <v>182</v>
      </c>
      <c r="F48">
        <v>1</v>
      </c>
    </row>
    <row r="49" spans="1:6">
      <c r="A49" t="s">
        <v>277</v>
      </c>
      <c r="B49" t="s">
        <v>278</v>
      </c>
      <c r="C49" t="s">
        <v>22</v>
      </c>
      <c r="D49">
        <v>94.199996999999996</v>
      </c>
      <c r="E49" t="s">
        <v>185</v>
      </c>
      <c r="F49">
        <v>1</v>
      </c>
    </row>
    <row r="50" spans="1:6">
      <c r="A50" t="s">
        <v>279</v>
      </c>
      <c r="B50" t="s">
        <v>280</v>
      </c>
      <c r="C50" t="s">
        <v>22</v>
      </c>
      <c r="D50">
        <v>93</v>
      </c>
      <c r="E50" t="s">
        <v>185</v>
      </c>
      <c r="F50">
        <v>1</v>
      </c>
    </row>
    <row r="51" spans="1:6">
      <c r="A51" t="s">
        <v>281</v>
      </c>
      <c r="B51" t="s">
        <v>282</v>
      </c>
      <c r="C51" t="s">
        <v>22</v>
      </c>
      <c r="D51">
        <v>91.599997999999999</v>
      </c>
      <c r="E51" t="s">
        <v>185</v>
      </c>
      <c r="F51">
        <v>1</v>
      </c>
    </row>
    <row r="52" spans="1:6">
      <c r="A52" t="s">
        <v>283</v>
      </c>
      <c r="B52" t="s">
        <v>284</v>
      </c>
      <c r="C52" t="s">
        <v>22</v>
      </c>
      <c r="D52">
        <v>94</v>
      </c>
      <c r="E52" t="s">
        <v>185</v>
      </c>
      <c r="F52">
        <v>1</v>
      </c>
    </row>
    <row r="53" spans="1:6">
      <c r="A53" t="s">
        <v>285</v>
      </c>
      <c r="B53" t="s">
        <v>286</v>
      </c>
      <c r="C53" t="s">
        <v>22</v>
      </c>
      <c r="D53">
        <v>93.599997999999999</v>
      </c>
      <c r="E53" t="s">
        <v>182</v>
      </c>
      <c r="F53">
        <v>1</v>
      </c>
    </row>
    <row r="54" spans="1:6">
      <c r="A54" t="s">
        <v>287</v>
      </c>
      <c r="B54" t="s">
        <v>288</v>
      </c>
      <c r="C54" t="s">
        <v>22</v>
      </c>
      <c r="D54">
        <v>94.599997999999999</v>
      </c>
      <c r="E54" t="s">
        <v>182</v>
      </c>
      <c r="F54">
        <v>1</v>
      </c>
    </row>
    <row r="55" spans="1:6">
      <c r="A55" t="s">
        <v>289</v>
      </c>
      <c r="B55" t="s">
        <v>290</v>
      </c>
      <c r="C55" t="s">
        <v>22</v>
      </c>
      <c r="D55">
        <v>92.900002000000001</v>
      </c>
      <c r="E55" t="s">
        <v>185</v>
      </c>
      <c r="F55">
        <v>1</v>
      </c>
    </row>
    <row r="56" spans="1:6">
      <c r="A56" t="s">
        <v>291</v>
      </c>
      <c r="B56" t="s">
        <v>292</v>
      </c>
      <c r="C56" t="s">
        <v>22</v>
      </c>
      <c r="D56">
        <v>87.800003000000004</v>
      </c>
      <c r="E56" t="s">
        <v>182</v>
      </c>
      <c r="F56">
        <v>1</v>
      </c>
    </row>
    <row r="57" spans="1:6">
      <c r="A57" t="s">
        <v>293</v>
      </c>
      <c r="B57" t="s">
        <v>294</v>
      </c>
      <c r="C57" t="s">
        <v>22</v>
      </c>
      <c r="D57">
        <v>93.800003000000004</v>
      </c>
      <c r="E57" t="s">
        <v>182</v>
      </c>
      <c r="F57">
        <v>1</v>
      </c>
    </row>
    <row r="58" spans="1:6">
      <c r="A58" t="s">
        <v>295</v>
      </c>
      <c r="B58" t="s">
        <v>296</v>
      </c>
      <c r="C58" t="s">
        <v>22</v>
      </c>
      <c r="D58">
        <v>93.099997999999999</v>
      </c>
      <c r="E58" t="s">
        <v>185</v>
      </c>
      <c r="F58">
        <v>1</v>
      </c>
    </row>
    <row r="59" spans="1:6">
      <c r="A59" t="s">
        <v>297</v>
      </c>
      <c r="B59" t="s">
        <v>298</v>
      </c>
      <c r="C59" t="s">
        <v>22</v>
      </c>
      <c r="D59">
        <v>94.5</v>
      </c>
      <c r="E59" t="s">
        <v>185</v>
      </c>
      <c r="F59">
        <v>1</v>
      </c>
    </row>
    <row r="60" spans="1:6">
      <c r="A60" t="s">
        <v>299</v>
      </c>
      <c r="B60" t="s">
        <v>300</v>
      </c>
      <c r="C60" t="s">
        <v>22</v>
      </c>
      <c r="D60">
        <v>92.900002000000001</v>
      </c>
      <c r="E60" t="s">
        <v>212</v>
      </c>
      <c r="F60">
        <v>1</v>
      </c>
    </row>
    <row r="61" spans="1:6">
      <c r="A61" t="s">
        <v>301</v>
      </c>
      <c r="B61" t="s">
        <v>302</v>
      </c>
      <c r="C61" t="s">
        <v>22</v>
      </c>
      <c r="D61">
        <v>92.099997999999999</v>
      </c>
      <c r="E61" t="s">
        <v>185</v>
      </c>
      <c r="F61">
        <v>1</v>
      </c>
    </row>
    <row r="62" spans="1:6">
      <c r="A62" t="s">
        <v>303</v>
      </c>
      <c r="B62" t="s">
        <v>304</v>
      </c>
      <c r="C62" t="s">
        <v>22</v>
      </c>
      <c r="D62">
        <v>92.599997999999999</v>
      </c>
      <c r="E62" t="s">
        <v>212</v>
      </c>
      <c r="F62">
        <v>1</v>
      </c>
    </row>
    <row r="63" spans="1:6">
      <c r="A63" t="s">
        <v>305</v>
      </c>
      <c r="B63" t="s">
        <v>306</v>
      </c>
      <c r="C63" t="s">
        <v>22</v>
      </c>
      <c r="D63">
        <v>93</v>
      </c>
      <c r="E63" t="s">
        <v>185</v>
      </c>
      <c r="F63">
        <v>1</v>
      </c>
    </row>
    <row r="64" spans="1:6">
      <c r="A64" t="s">
        <v>307</v>
      </c>
      <c r="B64" t="s">
        <v>308</v>
      </c>
      <c r="C64" t="s">
        <v>22</v>
      </c>
      <c r="D64">
        <v>94.400002000000001</v>
      </c>
      <c r="E64" t="s">
        <v>185</v>
      </c>
      <c r="F64">
        <v>1</v>
      </c>
    </row>
    <row r="65" spans="1:6">
      <c r="A65" t="s">
        <v>309</v>
      </c>
      <c r="B65" t="s">
        <v>310</v>
      </c>
      <c r="C65" t="s">
        <v>22</v>
      </c>
      <c r="D65">
        <v>94.400002000000001</v>
      </c>
      <c r="E65" t="s">
        <v>185</v>
      </c>
      <c r="F65">
        <v>1</v>
      </c>
    </row>
    <row r="66" spans="1:6">
      <c r="A66" t="s">
        <v>311</v>
      </c>
      <c r="B66" t="s">
        <v>312</v>
      </c>
      <c r="C66" t="s">
        <v>22</v>
      </c>
      <c r="D66">
        <v>92.800003000000004</v>
      </c>
      <c r="E66" t="s">
        <v>185</v>
      </c>
      <c r="F66">
        <v>1</v>
      </c>
    </row>
    <row r="67" spans="1:6">
      <c r="A67" t="s">
        <v>313</v>
      </c>
      <c r="B67" t="s">
        <v>314</v>
      </c>
      <c r="C67" t="s">
        <v>22</v>
      </c>
      <c r="D67">
        <v>94.5</v>
      </c>
      <c r="E67" t="s">
        <v>185</v>
      </c>
      <c r="F67">
        <v>1</v>
      </c>
    </row>
    <row r="68" spans="1:6">
      <c r="A68" t="s">
        <v>315</v>
      </c>
      <c r="B68" t="s">
        <v>316</v>
      </c>
      <c r="C68" t="s">
        <v>22</v>
      </c>
      <c r="D68">
        <v>93.599997999999999</v>
      </c>
      <c r="E68" t="s">
        <v>185</v>
      </c>
      <c r="F68">
        <v>1</v>
      </c>
    </row>
    <row r="69" spans="1:6">
      <c r="A69" t="s">
        <v>317</v>
      </c>
      <c r="B69" t="s">
        <v>318</v>
      </c>
      <c r="C69" t="s">
        <v>22</v>
      </c>
      <c r="D69">
        <v>94.699996999999996</v>
      </c>
      <c r="E69" t="s">
        <v>182</v>
      </c>
      <c r="F69">
        <v>1</v>
      </c>
    </row>
    <row r="70" spans="1:6">
      <c r="A70" t="s">
        <v>319</v>
      </c>
      <c r="B70" t="s">
        <v>320</v>
      </c>
      <c r="C70" t="s">
        <v>22</v>
      </c>
      <c r="D70">
        <v>93.099997999999999</v>
      </c>
      <c r="E70" t="s">
        <v>185</v>
      </c>
      <c r="F70">
        <v>1</v>
      </c>
    </row>
    <row r="71" spans="1:6">
      <c r="A71" t="s">
        <v>321</v>
      </c>
      <c r="B71" t="s">
        <v>322</v>
      </c>
      <c r="C71" t="s">
        <v>22</v>
      </c>
      <c r="D71">
        <v>93.5</v>
      </c>
      <c r="E71" t="s">
        <v>185</v>
      </c>
      <c r="F71">
        <v>1</v>
      </c>
    </row>
    <row r="72" spans="1:6">
      <c r="A72" t="s">
        <v>323</v>
      </c>
      <c r="B72" t="s">
        <v>324</v>
      </c>
      <c r="C72" t="s">
        <v>22</v>
      </c>
      <c r="D72">
        <v>91.099997999999999</v>
      </c>
      <c r="E72" t="s">
        <v>185</v>
      </c>
      <c r="F72">
        <v>1</v>
      </c>
    </row>
    <row r="73" spans="1:6">
      <c r="A73" t="s">
        <v>325</v>
      </c>
      <c r="B73" t="s">
        <v>326</v>
      </c>
      <c r="C73" t="s">
        <v>22</v>
      </c>
      <c r="D73">
        <v>93.099997999999999</v>
      </c>
      <c r="E73" t="s">
        <v>185</v>
      </c>
      <c r="F73">
        <v>1</v>
      </c>
    </row>
    <row r="74" spans="1:6">
      <c r="A74" t="s">
        <v>327</v>
      </c>
      <c r="B74" t="s">
        <v>328</v>
      </c>
      <c r="C74" t="s">
        <v>22</v>
      </c>
      <c r="D74">
        <v>92.300003000000004</v>
      </c>
      <c r="E74" t="s">
        <v>212</v>
      </c>
      <c r="F74">
        <v>1</v>
      </c>
    </row>
    <row r="75" spans="1:6">
      <c r="A75" t="s">
        <v>329</v>
      </c>
      <c r="B75" t="s">
        <v>330</v>
      </c>
      <c r="C75" t="s">
        <v>22</v>
      </c>
      <c r="D75">
        <v>94.199996999999996</v>
      </c>
      <c r="E75" t="s">
        <v>185</v>
      </c>
      <c r="F75">
        <v>1</v>
      </c>
    </row>
    <row r="76" spans="1:6">
      <c r="A76" t="s">
        <v>331</v>
      </c>
      <c r="B76" t="s">
        <v>332</v>
      </c>
      <c r="C76" t="s">
        <v>22</v>
      </c>
      <c r="D76">
        <v>93.099997999999999</v>
      </c>
      <c r="E76" t="s">
        <v>185</v>
      </c>
      <c r="F76">
        <v>1</v>
      </c>
    </row>
    <row r="77" spans="1:6">
      <c r="A77" t="s">
        <v>333</v>
      </c>
      <c r="B77" t="s">
        <v>334</v>
      </c>
      <c r="C77" t="s">
        <v>22</v>
      </c>
      <c r="D77">
        <v>93.199996999999996</v>
      </c>
      <c r="E77" t="s">
        <v>185</v>
      </c>
      <c r="F77">
        <v>1</v>
      </c>
    </row>
    <row r="78" spans="1:6">
      <c r="A78" t="s">
        <v>335</v>
      </c>
      <c r="B78" t="s">
        <v>336</v>
      </c>
      <c r="C78" t="s">
        <v>22</v>
      </c>
      <c r="D78">
        <v>91.699996999999996</v>
      </c>
      <c r="E78" t="s">
        <v>185</v>
      </c>
      <c r="F78">
        <v>1</v>
      </c>
    </row>
    <row r="79" spans="1:6">
      <c r="A79" t="s">
        <v>337</v>
      </c>
      <c r="B79" t="s">
        <v>338</v>
      </c>
      <c r="C79" t="s">
        <v>22</v>
      </c>
      <c r="D79">
        <v>93</v>
      </c>
      <c r="E79" t="s">
        <v>182</v>
      </c>
      <c r="F79">
        <v>1</v>
      </c>
    </row>
    <row r="80" spans="1:6">
      <c r="A80" t="s">
        <v>339</v>
      </c>
      <c r="B80" t="s">
        <v>340</v>
      </c>
      <c r="C80" t="s">
        <v>22</v>
      </c>
      <c r="D80">
        <v>92.400002000000001</v>
      </c>
      <c r="E80" t="s">
        <v>185</v>
      </c>
      <c r="F80">
        <v>1</v>
      </c>
    </row>
    <row r="81" spans="1:6">
      <c r="A81" t="s">
        <v>341</v>
      </c>
      <c r="B81" t="s">
        <v>342</v>
      </c>
      <c r="C81" t="s">
        <v>22</v>
      </c>
      <c r="D81">
        <v>94.099997999999999</v>
      </c>
      <c r="E81" t="s">
        <v>182</v>
      </c>
      <c r="F81">
        <v>1</v>
      </c>
    </row>
    <row r="82" spans="1:6">
      <c r="A82" t="s">
        <v>343</v>
      </c>
      <c r="B82" t="s">
        <v>344</v>
      </c>
      <c r="C82" t="s">
        <v>22</v>
      </c>
      <c r="D82">
        <v>93.800003000000004</v>
      </c>
      <c r="E82" t="s">
        <v>185</v>
      </c>
      <c r="F82">
        <v>1</v>
      </c>
    </row>
    <row r="83" spans="1:6">
      <c r="A83" t="s">
        <v>345</v>
      </c>
      <c r="B83" t="s">
        <v>346</v>
      </c>
      <c r="C83" t="s">
        <v>22</v>
      </c>
      <c r="D83">
        <v>92.900002000000001</v>
      </c>
      <c r="E83" t="s">
        <v>185</v>
      </c>
      <c r="F83">
        <v>1</v>
      </c>
    </row>
    <row r="84" spans="1:6">
      <c r="A84" t="s">
        <v>347</v>
      </c>
      <c r="B84" t="s">
        <v>348</v>
      </c>
      <c r="C84" t="s">
        <v>22</v>
      </c>
      <c r="D84">
        <v>94.300003000000004</v>
      </c>
      <c r="E84" t="s">
        <v>185</v>
      </c>
      <c r="F84">
        <v>1</v>
      </c>
    </row>
    <row r="85" spans="1:6">
      <c r="A85" t="s">
        <v>349</v>
      </c>
      <c r="B85" t="s">
        <v>350</v>
      </c>
      <c r="C85" t="s">
        <v>22</v>
      </c>
      <c r="D85">
        <v>93.099997999999999</v>
      </c>
      <c r="E85" t="s">
        <v>185</v>
      </c>
      <c r="F85">
        <v>1</v>
      </c>
    </row>
    <row r="86" spans="1:6">
      <c r="A86" t="s">
        <v>351</v>
      </c>
      <c r="B86" t="s">
        <v>352</v>
      </c>
      <c r="C86" t="s">
        <v>22</v>
      </c>
      <c r="D86">
        <v>94.5</v>
      </c>
      <c r="E86" t="s">
        <v>185</v>
      </c>
      <c r="F86">
        <v>1</v>
      </c>
    </row>
    <row r="87" spans="1:6">
      <c r="A87" t="s">
        <v>353</v>
      </c>
      <c r="B87" t="s">
        <v>354</v>
      </c>
      <c r="C87" t="s">
        <v>22</v>
      </c>
      <c r="D87">
        <v>91.900002000000001</v>
      </c>
      <c r="E87" t="s">
        <v>185</v>
      </c>
      <c r="F87">
        <v>1</v>
      </c>
    </row>
    <row r="88" spans="1:6">
      <c r="A88" t="s">
        <v>355</v>
      </c>
      <c r="B88" t="s">
        <v>356</v>
      </c>
      <c r="C88" t="s">
        <v>22</v>
      </c>
      <c r="D88">
        <v>93.699996999999996</v>
      </c>
      <c r="E88" t="s">
        <v>185</v>
      </c>
      <c r="F88">
        <v>1</v>
      </c>
    </row>
    <row r="89" spans="1:6">
      <c r="A89" t="s">
        <v>357</v>
      </c>
      <c r="B89" t="s">
        <v>358</v>
      </c>
      <c r="C89" t="s">
        <v>22</v>
      </c>
      <c r="D89">
        <v>92.099997999999999</v>
      </c>
      <c r="E89" t="s">
        <v>212</v>
      </c>
      <c r="F89">
        <v>1</v>
      </c>
    </row>
    <row r="90" spans="1:6">
      <c r="A90" t="s">
        <v>359</v>
      </c>
      <c r="B90" t="s">
        <v>360</v>
      </c>
      <c r="C90" t="s">
        <v>22</v>
      </c>
      <c r="D90">
        <v>92.699996999999996</v>
      </c>
      <c r="E90" t="s">
        <v>185</v>
      </c>
      <c r="F90">
        <v>1</v>
      </c>
    </row>
    <row r="91" spans="1:6">
      <c r="A91" t="s">
        <v>361</v>
      </c>
      <c r="B91" t="s">
        <v>362</v>
      </c>
      <c r="C91" t="s">
        <v>22</v>
      </c>
      <c r="D91">
        <v>93.400002000000001</v>
      </c>
      <c r="E91" t="s">
        <v>185</v>
      </c>
      <c r="F91">
        <v>1</v>
      </c>
    </row>
    <row r="92" spans="1:6">
      <c r="A92" t="s">
        <v>363</v>
      </c>
      <c r="B92" t="s">
        <v>364</v>
      </c>
      <c r="C92" t="s">
        <v>22</v>
      </c>
      <c r="D92">
        <v>93.400002000000001</v>
      </c>
      <c r="E92" t="s">
        <v>185</v>
      </c>
      <c r="F92">
        <v>1</v>
      </c>
    </row>
    <row r="93" spans="1:6">
      <c r="A93" t="s">
        <v>365</v>
      </c>
      <c r="B93" t="s">
        <v>366</v>
      </c>
      <c r="C93" t="s">
        <v>22</v>
      </c>
      <c r="D93">
        <v>94.800003000000004</v>
      </c>
      <c r="E93" t="s">
        <v>185</v>
      </c>
      <c r="F93">
        <v>1</v>
      </c>
    </row>
    <row r="94" spans="1:6">
      <c r="A94" t="s">
        <v>367</v>
      </c>
      <c r="B94" t="s">
        <v>368</v>
      </c>
      <c r="C94" t="s">
        <v>22</v>
      </c>
      <c r="D94">
        <v>94</v>
      </c>
      <c r="E94" t="s">
        <v>185</v>
      </c>
      <c r="F94">
        <v>1</v>
      </c>
    </row>
    <row r="95" spans="1:6">
      <c r="A95" t="s">
        <v>369</v>
      </c>
      <c r="B95" t="s">
        <v>370</v>
      </c>
      <c r="C95" t="s">
        <v>22</v>
      </c>
      <c r="D95">
        <v>92.699996999999996</v>
      </c>
      <c r="E95" t="s">
        <v>185</v>
      </c>
      <c r="F95">
        <v>1</v>
      </c>
    </row>
    <row r="96" spans="1:6">
      <c r="A96" t="s">
        <v>371</v>
      </c>
      <c r="B96" t="s">
        <v>372</v>
      </c>
      <c r="C96" t="s">
        <v>22</v>
      </c>
      <c r="D96">
        <v>94</v>
      </c>
      <c r="E96" t="s">
        <v>185</v>
      </c>
      <c r="F96">
        <v>1</v>
      </c>
    </row>
    <row r="97" spans="1:6">
      <c r="A97" t="s">
        <v>373</v>
      </c>
      <c r="B97" t="s">
        <v>374</v>
      </c>
      <c r="C97" t="s">
        <v>22</v>
      </c>
      <c r="D97">
        <v>94.599997999999999</v>
      </c>
      <c r="E97" t="s">
        <v>185</v>
      </c>
      <c r="F97">
        <v>1</v>
      </c>
    </row>
    <row r="98" spans="1:6">
      <c r="A98" t="s">
        <v>375</v>
      </c>
      <c r="B98" t="s">
        <v>376</v>
      </c>
      <c r="C98" t="s">
        <v>22</v>
      </c>
      <c r="D98">
        <v>93.800003000000004</v>
      </c>
      <c r="E98" t="s">
        <v>185</v>
      </c>
      <c r="F98">
        <v>1</v>
      </c>
    </row>
    <row r="99" spans="1:6">
      <c r="A99" t="s">
        <v>377</v>
      </c>
      <c r="B99" t="s">
        <v>378</v>
      </c>
      <c r="C99" t="s">
        <v>22</v>
      </c>
      <c r="D99">
        <v>92.400002000000001</v>
      </c>
      <c r="E99" t="s">
        <v>185</v>
      </c>
      <c r="F99">
        <v>1</v>
      </c>
    </row>
    <row r="100" spans="1:6">
      <c r="A100" t="s">
        <v>379</v>
      </c>
      <c r="B100" t="s">
        <v>380</v>
      </c>
      <c r="C100" t="s">
        <v>22</v>
      </c>
      <c r="D100">
        <v>93.5</v>
      </c>
      <c r="E100" t="s">
        <v>185</v>
      </c>
      <c r="F100">
        <v>1</v>
      </c>
    </row>
    <row r="101" spans="1:6">
      <c r="A101" t="s">
        <v>381</v>
      </c>
      <c r="B101" t="s">
        <v>382</v>
      </c>
      <c r="C101" t="s">
        <v>22</v>
      </c>
      <c r="D101">
        <v>93.099997999999999</v>
      </c>
      <c r="E101" t="s">
        <v>185</v>
      </c>
      <c r="F101">
        <v>1</v>
      </c>
    </row>
    <row r="102" spans="1:6">
      <c r="A102" t="s">
        <v>383</v>
      </c>
      <c r="B102" t="s">
        <v>384</v>
      </c>
      <c r="C102" t="s">
        <v>22</v>
      </c>
      <c r="D102">
        <v>94.400002000000001</v>
      </c>
      <c r="E102" t="s">
        <v>212</v>
      </c>
      <c r="F102">
        <v>1</v>
      </c>
    </row>
    <row r="103" spans="1:6">
      <c r="A103" t="s">
        <v>385</v>
      </c>
      <c r="B103" t="s">
        <v>386</v>
      </c>
      <c r="C103" t="s">
        <v>22</v>
      </c>
      <c r="D103">
        <v>91.400002000000001</v>
      </c>
      <c r="E103" t="s">
        <v>185</v>
      </c>
      <c r="F103">
        <v>1</v>
      </c>
    </row>
    <row r="104" spans="1:6">
      <c r="A104" t="s">
        <v>387</v>
      </c>
      <c r="B104" t="s">
        <v>388</v>
      </c>
      <c r="C104" t="s">
        <v>22</v>
      </c>
      <c r="D104">
        <v>95.199996999999996</v>
      </c>
      <c r="E104" t="s">
        <v>182</v>
      </c>
      <c r="F104">
        <v>1</v>
      </c>
    </row>
    <row r="105" spans="1:6">
      <c r="A105" t="s">
        <v>389</v>
      </c>
      <c r="B105" t="s">
        <v>390</v>
      </c>
      <c r="C105" t="s">
        <v>22</v>
      </c>
      <c r="D105">
        <v>94</v>
      </c>
      <c r="E105" t="s">
        <v>185</v>
      </c>
      <c r="F105">
        <v>1</v>
      </c>
    </row>
    <row r="106" spans="1:6">
      <c r="A106" t="s">
        <v>391</v>
      </c>
      <c r="B106" t="s">
        <v>392</v>
      </c>
      <c r="C106" t="s">
        <v>22</v>
      </c>
      <c r="D106">
        <v>93.199996999999996</v>
      </c>
      <c r="E106" t="s">
        <v>185</v>
      </c>
      <c r="F106">
        <v>1</v>
      </c>
    </row>
    <row r="107" spans="1:6">
      <c r="A107" t="s">
        <v>393</v>
      </c>
      <c r="B107" t="s">
        <v>394</v>
      </c>
      <c r="C107" t="s">
        <v>22</v>
      </c>
      <c r="D107">
        <v>93</v>
      </c>
      <c r="E107" t="s">
        <v>185</v>
      </c>
      <c r="F107">
        <v>1</v>
      </c>
    </row>
    <row r="108" spans="1:6">
      <c r="A108" t="s">
        <v>395</v>
      </c>
      <c r="B108" t="s">
        <v>396</v>
      </c>
      <c r="C108" t="s">
        <v>22</v>
      </c>
      <c r="D108">
        <v>93.199996999999996</v>
      </c>
      <c r="E108" t="s">
        <v>185</v>
      </c>
      <c r="F108">
        <v>1</v>
      </c>
    </row>
    <row r="109" spans="1:6">
      <c r="A109" t="s">
        <v>397</v>
      </c>
      <c r="B109" t="s">
        <v>398</v>
      </c>
      <c r="C109" t="s">
        <v>22</v>
      </c>
      <c r="D109">
        <v>92.300003000000004</v>
      </c>
      <c r="E109" t="s">
        <v>185</v>
      </c>
      <c r="F109">
        <v>1</v>
      </c>
    </row>
    <row r="110" spans="1:6">
      <c r="A110" t="s">
        <v>399</v>
      </c>
      <c r="B110" t="s">
        <v>400</v>
      </c>
      <c r="C110" t="s">
        <v>22</v>
      </c>
      <c r="D110">
        <v>94.699996999999996</v>
      </c>
      <c r="E110" t="s">
        <v>185</v>
      </c>
      <c r="F110">
        <v>1</v>
      </c>
    </row>
    <row r="111" spans="1:6">
      <c r="A111" t="s">
        <v>401</v>
      </c>
      <c r="B111" t="s">
        <v>402</v>
      </c>
      <c r="C111" t="s">
        <v>22</v>
      </c>
      <c r="D111">
        <v>93.900002000000001</v>
      </c>
      <c r="E111" t="s">
        <v>185</v>
      </c>
      <c r="F111">
        <v>1</v>
      </c>
    </row>
    <row r="112" spans="1:6">
      <c r="A112" t="s">
        <v>403</v>
      </c>
      <c r="B112" t="s">
        <v>404</v>
      </c>
      <c r="C112" t="s">
        <v>22</v>
      </c>
      <c r="D112">
        <v>93.199996999999996</v>
      </c>
      <c r="E112" t="s">
        <v>185</v>
      </c>
      <c r="F112">
        <v>1</v>
      </c>
    </row>
    <row r="113" spans="1:6">
      <c r="A113" t="s">
        <v>405</v>
      </c>
      <c r="B113" t="s">
        <v>406</v>
      </c>
      <c r="C113" t="s">
        <v>22</v>
      </c>
      <c r="D113">
        <v>91.400002000000001</v>
      </c>
      <c r="E113" t="s">
        <v>185</v>
      </c>
      <c r="F113">
        <v>1</v>
      </c>
    </row>
    <row r="114" spans="1:6">
      <c r="A114" t="s">
        <v>407</v>
      </c>
      <c r="B114" t="s">
        <v>408</v>
      </c>
      <c r="C114" t="s">
        <v>22</v>
      </c>
      <c r="D114">
        <v>94.199996999999996</v>
      </c>
      <c r="E114" t="s">
        <v>185</v>
      </c>
      <c r="F114">
        <v>1</v>
      </c>
    </row>
    <row r="115" spans="1:6">
      <c r="A115" t="s">
        <v>409</v>
      </c>
      <c r="B115" t="s">
        <v>410</v>
      </c>
      <c r="C115" t="s">
        <v>22</v>
      </c>
      <c r="D115">
        <v>92.5</v>
      </c>
      <c r="E115" t="s">
        <v>185</v>
      </c>
      <c r="F115">
        <v>1</v>
      </c>
    </row>
    <row r="116" spans="1:6">
      <c r="A116" t="s">
        <v>411</v>
      </c>
      <c r="B116" t="s">
        <v>412</v>
      </c>
      <c r="C116" t="s">
        <v>22</v>
      </c>
      <c r="D116">
        <v>92.599997999999999</v>
      </c>
      <c r="E116" t="s">
        <v>185</v>
      </c>
      <c r="F116">
        <v>1</v>
      </c>
    </row>
    <row r="117" spans="1:6">
      <c r="A117" t="s">
        <v>413</v>
      </c>
      <c r="B117" t="s">
        <v>414</v>
      </c>
      <c r="C117" t="s">
        <v>22</v>
      </c>
      <c r="D117">
        <v>93.699996999999996</v>
      </c>
      <c r="E117" t="s">
        <v>185</v>
      </c>
      <c r="F117">
        <v>1</v>
      </c>
    </row>
    <row r="118" spans="1:6">
      <c r="A118" t="s">
        <v>415</v>
      </c>
      <c r="B118" t="s">
        <v>416</v>
      </c>
      <c r="C118" t="s">
        <v>22</v>
      </c>
      <c r="D118">
        <v>93.5</v>
      </c>
      <c r="E118" t="s">
        <v>185</v>
      </c>
      <c r="F118">
        <v>1</v>
      </c>
    </row>
    <row r="119" spans="1:6">
      <c r="A119" t="s">
        <v>417</v>
      </c>
      <c r="B119" t="s">
        <v>418</v>
      </c>
      <c r="C119" t="s">
        <v>22</v>
      </c>
      <c r="D119">
        <v>92.599997999999999</v>
      </c>
      <c r="E119" t="s">
        <v>185</v>
      </c>
      <c r="F119">
        <v>1</v>
      </c>
    </row>
    <row r="120" spans="1:6">
      <c r="A120" t="s">
        <v>419</v>
      </c>
      <c r="B120" t="s">
        <v>420</v>
      </c>
      <c r="C120" t="s">
        <v>22</v>
      </c>
      <c r="D120">
        <v>93.099997999999999</v>
      </c>
      <c r="E120" t="s">
        <v>185</v>
      </c>
      <c r="F120">
        <v>1</v>
      </c>
    </row>
    <row r="121" spans="1:6">
      <c r="A121" t="s">
        <v>421</v>
      </c>
      <c r="B121" t="s">
        <v>422</v>
      </c>
      <c r="C121" t="s">
        <v>22</v>
      </c>
      <c r="D121">
        <v>93.5</v>
      </c>
      <c r="E121" t="s">
        <v>185</v>
      </c>
      <c r="F121">
        <v>1</v>
      </c>
    </row>
    <row r="122" spans="1:6">
      <c r="A122" t="s">
        <v>423</v>
      </c>
      <c r="B122" t="s">
        <v>424</v>
      </c>
      <c r="C122" t="s">
        <v>22</v>
      </c>
      <c r="D122">
        <v>54</v>
      </c>
      <c r="E122" t="s">
        <v>182</v>
      </c>
      <c r="F122">
        <v>1</v>
      </c>
    </row>
    <row r="123" spans="1:6">
      <c r="A123" t="s">
        <v>349</v>
      </c>
      <c r="B123" t="s">
        <v>350</v>
      </c>
      <c r="C123" t="s">
        <v>23</v>
      </c>
      <c r="D123">
        <v>94.099997999999999</v>
      </c>
      <c r="E123" t="s">
        <v>185</v>
      </c>
      <c r="F123">
        <v>2</v>
      </c>
    </row>
    <row r="124" spans="1:6">
      <c r="A124" t="s">
        <v>180</v>
      </c>
      <c r="B124" t="s">
        <v>181</v>
      </c>
      <c r="C124" t="s">
        <v>23</v>
      </c>
      <c r="D124">
        <v>94.099997999999999</v>
      </c>
      <c r="E124" t="s">
        <v>182</v>
      </c>
      <c r="F124">
        <v>2</v>
      </c>
    </row>
    <row r="125" spans="1:6">
      <c r="A125" t="s">
        <v>183</v>
      </c>
      <c r="B125" t="s">
        <v>184</v>
      </c>
      <c r="C125" t="s">
        <v>23</v>
      </c>
      <c r="D125">
        <v>95.5</v>
      </c>
      <c r="E125" t="s">
        <v>185</v>
      </c>
      <c r="F125">
        <v>2</v>
      </c>
    </row>
    <row r="126" spans="1:6">
      <c r="A126" t="s">
        <v>186</v>
      </c>
      <c r="B126" t="s">
        <v>187</v>
      </c>
      <c r="C126" t="s">
        <v>23</v>
      </c>
      <c r="D126">
        <v>92.5</v>
      </c>
      <c r="E126" t="s">
        <v>185</v>
      </c>
      <c r="F126">
        <v>2</v>
      </c>
    </row>
    <row r="127" spans="1:6">
      <c r="A127" t="s">
        <v>188</v>
      </c>
      <c r="B127" t="s">
        <v>189</v>
      </c>
      <c r="C127" t="s">
        <v>23</v>
      </c>
      <c r="D127">
        <v>91.300003000000004</v>
      </c>
      <c r="E127" t="s">
        <v>185</v>
      </c>
      <c r="F127">
        <v>2</v>
      </c>
    </row>
    <row r="128" spans="1:6">
      <c r="A128" t="s">
        <v>190</v>
      </c>
      <c r="B128" t="s">
        <v>191</v>
      </c>
      <c r="C128" t="s">
        <v>23</v>
      </c>
      <c r="D128">
        <v>94.199996999999996</v>
      </c>
      <c r="E128" t="s">
        <v>185</v>
      </c>
      <c r="F128">
        <v>2</v>
      </c>
    </row>
    <row r="129" spans="1:6">
      <c r="A129" t="s">
        <v>192</v>
      </c>
      <c r="B129" t="s">
        <v>193</v>
      </c>
      <c r="C129" t="s">
        <v>23</v>
      </c>
      <c r="D129">
        <v>92</v>
      </c>
      <c r="E129" t="s">
        <v>185</v>
      </c>
      <c r="F129">
        <v>2</v>
      </c>
    </row>
    <row r="130" spans="1:6">
      <c r="A130" t="s">
        <v>194</v>
      </c>
      <c r="B130" t="s">
        <v>195</v>
      </c>
      <c r="C130" t="s">
        <v>23</v>
      </c>
      <c r="D130">
        <v>92.300003000000004</v>
      </c>
      <c r="E130" t="s">
        <v>185</v>
      </c>
      <c r="F130">
        <v>2</v>
      </c>
    </row>
    <row r="131" spans="1:6">
      <c r="A131" t="s">
        <v>196</v>
      </c>
      <c r="B131" t="s">
        <v>197</v>
      </c>
      <c r="C131" t="s">
        <v>23</v>
      </c>
      <c r="D131">
        <v>94.699996999999996</v>
      </c>
      <c r="E131" t="s">
        <v>185</v>
      </c>
      <c r="F131">
        <v>2</v>
      </c>
    </row>
    <row r="132" spans="1:6">
      <c r="A132" t="s">
        <v>198</v>
      </c>
      <c r="B132" t="s">
        <v>199</v>
      </c>
      <c r="C132" t="s">
        <v>23</v>
      </c>
      <c r="D132">
        <v>93.599997999999999</v>
      </c>
      <c r="E132" t="s">
        <v>185</v>
      </c>
      <c r="F132">
        <v>2</v>
      </c>
    </row>
    <row r="133" spans="1:6">
      <c r="A133" t="s">
        <v>200</v>
      </c>
      <c r="B133" t="s">
        <v>201</v>
      </c>
      <c r="C133" t="s">
        <v>23</v>
      </c>
      <c r="D133">
        <v>94.599997999999999</v>
      </c>
      <c r="E133" t="s">
        <v>185</v>
      </c>
      <c r="F133">
        <v>2</v>
      </c>
    </row>
    <row r="134" spans="1:6">
      <c r="A134" t="s">
        <v>202</v>
      </c>
      <c r="B134" t="s">
        <v>203</v>
      </c>
      <c r="C134" t="s">
        <v>23</v>
      </c>
      <c r="D134">
        <v>91</v>
      </c>
      <c r="E134" t="s">
        <v>185</v>
      </c>
      <c r="F134">
        <v>2</v>
      </c>
    </row>
    <row r="135" spans="1:6">
      <c r="A135" t="s">
        <v>204</v>
      </c>
      <c r="B135" t="s">
        <v>205</v>
      </c>
      <c r="C135" t="s">
        <v>23</v>
      </c>
      <c r="D135">
        <v>92.800003000000004</v>
      </c>
      <c r="E135" t="s">
        <v>205</v>
      </c>
      <c r="F135">
        <v>2</v>
      </c>
    </row>
    <row r="136" spans="1:6">
      <c r="A136" t="s">
        <v>206</v>
      </c>
      <c r="B136" t="s">
        <v>207</v>
      </c>
      <c r="C136" t="s">
        <v>23</v>
      </c>
      <c r="D136">
        <v>95</v>
      </c>
      <c r="E136" t="s">
        <v>185</v>
      </c>
      <c r="F136">
        <v>2</v>
      </c>
    </row>
    <row r="137" spans="1:6">
      <c r="A137" t="s">
        <v>208</v>
      </c>
      <c r="B137" t="s">
        <v>209</v>
      </c>
      <c r="C137" t="s">
        <v>23</v>
      </c>
      <c r="D137">
        <v>91.900002000000001</v>
      </c>
      <c r="E137" t="s">
        <v>185</v>
      </c>
      <c r="F137">
        <v>2</v>
      </c>
    </row>
    <row r="138" spans="1:6">
      <c r="A138" t="s">
        <v>210</v>
      </c>
      <c r="B138" t="s">
        <v>211</v>
      </c>
      <c r="C138" t="s">
        <v>23</v>
      </c>
      <c r="D138">
        <v>93.699996999999996</v>
      </c>
      <c r="E138" t="s">
        <v>212</v>
      </c>
      <c r="F138">
        <v>2</v>
      </c>
    </row>
    <row r="139" spans="1:6">
      <c r="A139" t="s">
        <v>213</v>
      </c>
      <c r="B139" t="s">
        <v>214</v>
      </c>
      <c r="C139" t="s">
        <v>23</v>
      </c>
      <c r="D139">
        <v>94.5</v>
      </c>
      <c r="E139" t="s">
        <v>212</v>
      </c>
      <c r="F139">
        <v>2</v>
      </c>
    </row>
    <row r="140" spans="1:6">
      <c r="A140" t="s">
        <v>215</v>
      </c>
      <c r="B140" t="s">
        <v>216</v>
      </c>
      <c r="C140" t="s">
        <v>23</v>
      </c>
      <c r="D140">
        <v>93.199996999999996</v>
      </c>
      <c r="E140" t="s">
        <v>185</v>
      </c>
      <c r="F140">
        <v>2</v>
      </c>
    </row>
    <row r="141" spans="1:6">
      <c r="A141" t="s">
        <v>217</v>
      </c>
      <c r="B141" t="s">
        <v>218</v>
      </c>
      <c r="C141" t="s">
        <v>23</v>
      </c>
      <c r="D141">
        <v>91.400002000000001</v>
      </c>
      <c r="E141" t="s">
        <v>185</v>
      </c>
      <c r="F141">
        <v>2</v>
      </c>
    </row>
    <row r="142" spans="1:6">
      <c r="A142" t="s">
        <v>219</v>
      </c>
      <c r="B142" t="s">
        <v>220</v>
      </c>
      <c r="C142" t="s">
        <v>23</v>
      </c>
      <c r="D142">
        <v>93.5</v>
      </c>
      <c r="E142" t="s">
        <v>185</v>
      </c>
      <c r="F142">
        <v>2</v>
      </c>
    </row>
    <row r="143" spans="1:6">
      <c r="A143" t="s">
        <v>221</v>
      </c>
      <c r="B143" t="s">
        <v>222</v>
      </c>
      <c r="C143" t="s">
        <v>23</v>
      </c>
      <c r="D143">
        <v>93.099997999999999</v>
      </c>
      <c r="E143" t="s">
        <v>185</v>
      </c>
      <c r="F143">
        <v>2</v>
      </c>
    </row>
    <row r="144" spans="1:6">
      <c r="A144" t="s">
        <v>223</v>
      </c>
      <c r="B144" t="s">
        <v>224</v>
      </c>
      <c r="C144" t="s">
        <v>23</v>
      </c>
      <c r="D144">
        <v>94.300003000000004</v>
      </c>
      <c r="E144" t="s">
        <v>185</v>
      </c>
      <c r="F144">
        <v>2</v>
      </c>
    </row>
    <row r="145" spans="1:6">
      <c r="A145" t="s">
        <v>225</v>
      </c>
      <c r="B145" t="s">
        <v>226</v>
      </c>
      <c r="C145" t="s">
        <v>23</v>
      </c>
      <c r="D145">
        <v>92.400002000000001</v>
      </c>
      <c r="E145" t="s">
        <v>185</v>
      </c>
      <c r="F145">
        <v>2</v>
      </c>
    </row>
    <row r="146" spans="1:6">
      <c r="A146" t="s">
        <v>227</v>
      </c>
      <c r="B146" t="s">
        <v>228</v>
      </c>
      <c r="C146" t="s">
        <v>23</v>
      </c>
      <c r="D146">
        <v>93.800003000000004</v>
      </c>
      <c r="E146" t="s">
        <v>185</v>
      </c>
      <c r="F146">
        <v>2</v>
      </c>
    </row>
    <row r="147" spans="1:6">
      <c r="A147" t="s">
        <v>229</v>
      </c>
      <c r="B147" t="s">
        <v>230</v>
      </c>
      <c r="C147" t="s">
        <v>23</v>
      </c>
      <c r="D147">
        <v>93.599997999999999</v>
      </c>
      <c r="E147" t="s">
        <v>182</v>
      </c>
      <c r="F147">
        <v>2</v>
      </c>
    </row>
    <row r="148" spans="1:6">
      <c r="A148" t="s">
        <v>231</v>
      </c>
      <c r="B148" t="s">
        <v>232</v>
      </c>
      <c r="C148" t="s">
        <v>23</v>
      </c>
      <c r="D148">
        <v>93.199996999999996</v>
      </c>
      <c r="E148" t="s">
        <v>185</v>
      </c>
      <c r="F148">
        <v>2</v>
      </c>
    </row>
    <row r="149" spans="1:6">
      <c r="A149" t="s">
        <v>233</v>
      </c>
      <c r="B149" t="s">
        <v>234</v>
      </c>
      <c r="C149" t="s">
        <v>23</v>
      </c>
      <c r="D149">
        <v>93.900002000000001</v>
      </c>
      <c r="E149" t="s">
        <v>182</v>
      </c>
      <c r="F149">
        <v>2</v>
      </c>
    </row>
    <row r="150" spans="1:6">
      <c r="A150" t="s">
        <v>235</v>
      </c>
      <c r="B150" t="s">
        <v>236</v>
      </c>
      <c r="C150" t="s">
        <v>23</v>
      </c>
      <c r="D150">
        <v>91.599997999999999</v>
      </c>
      <c r="E150" t="s">
        <v>185</v>
      </c>
      <c r="F150">
        <v>2</v>
      </c>
    </row>
    <row r="151" spans="1:6">
      <c r="A151" t="s">
        <v>237</v>
      </c>
      <c r="B151" t="s">
        <v>238</v>
      </c>
      <c r="C151" t="s">
        <v>23</v>
      </c>
      <c r="D151">
        <v>92</v>
      </c>
      <c r="E151" t="s">
        <v>185</v>
      </c>
      <c r="F151">
        <v>2</v>
      </c>
    </row>
    <row r="152" spans="1:6">
      <c r="A152" t="s">
        <v>239</v>
      </c>
      <c r="B152" t="s">
        <v>240</v>
      </c>
      <c r="C152" t="s">
        <v>23</v>
      </c>
      <c r="D152">
        <v>91.5</v>
      </c>
      <c r="E152" t="s">
        <v>185</v>
      </c>
      <c r="F152">
        <v>2</v>
      </c>
    </row>
    <row r="153" spans="1:6">
      <c r="A153" t="s">
        <v>241</v>
      </c>
      <c r="B153" t="s">
        <v>242</v>
      </c>
      <c r="C153" t="s">
        <v>23</v>
      </c>
      <c r="D153">
        <v>94.599997999999999</v>
      </c>
      <c r="E153" t="s">
        <v>185</v>
      </c>
      <c r="F153">
        <v>2</v>
      </c>
    </row>
    <row r="154" spans="1:6">
      <c r="A154" t="s">
        <v>243</v>
      </c>
      <c r="B154" t="s">
        <v>244</v>
      </c>
      <c r="C154" t="s">
        <v>23</v>
      </c>
      <c r="D154">
        <v>93.900002000000001</v>
      </c>
      <c r="E154" t="s">
        <v>185</v>
      </c>
      <c r="F154">
        <v>2</v>
      </c>
    </row>
    <row r="155" spans="1:6">
      <c r="A155" t="s">
        <v>245</v>
      </c>
      <c r="B155" t="s">
        <v>246</v>
      </c>
      <c r="C155" t="s">
        <v>23</v>
      </c>
      <c r="D155">
        <v>92.599997999999999</v>
      </c>
      <c r="E155" t="s">
        <v>185</v>
      </c>
      <c r="F155">
        <v>2</v>
      </c>
    </row>
    <row r="156" spans="1:6">
      <c r="A156" t="s">
        <v>247</v>
      </c>
      <c r="B156" t="s">
        <v>248</v>
      </c>
      <c r="C156" t="s">
        <v>23</v>
      </c>
      <c r="D156">
        <v>93.300003000000004</v>
      </c>
      <c r="E156" t="s">
        <v>185</v>
      </c>
      <c r="F156">
        <v>2</v>
      </c>
    </row>
    <row r="157" spans="1:6">
      <c r="A157" t="s">
        <v>249</v>
      </c>
      <c r="B157" t="s">
        <v>250</v>
      </c>
      <c r="C157" t="s">
        <v>23</v>
      </c>
      <c r="D157">
        <v>94.5</v>
      </c>
      <c r="E157" t="s">
        <v>182</v>
      </c>
      <c r="F157">
        <v>2</v>
      </c>
    </row>
    <row r="158" spans="1:6">
      <c r="A158" t="s">
        <v>251</v>
      </c>
      <c r="B158" t="s">
        <v>252</v>
      </c>
      <c r="C158" t="s">
        <v>23</v>
      </c>
      <c r="D158">
        <v>93.699996999999996</v>
      </c>
      <c r="E158" t="s">
        <v>185</v>
      </c>
      <c r="F158">
        <v>2</v>
      </c>
    </row>
    <row r="159" spans="1:6">
      <c r="A159" t="s">
        <v>253</v>
      </c>
      <c r="B159" t="s">
        <v>254</v>
      </c>
      <c r="C159" t="s">
        <v>23</v>
      </c>
      <c r="D159">
        <v>92.599997999999999</v>
      </c>
      <c r="E159" t="s">
        <v>185</v>
      </c>
      <c r="F159">
        <v>2</v>
      </c>
    </row>
    <row r="160" spans="1:6">
      <c r="A160" t="s">
        <v>255</v>
      </c>
      <c r="B160" t="s">
        <v>256</v>
      </c>
      <c r="C160" t="s">
        <v>23</v>
      </c>
      <c r="D160">
        <v>93.5</v>
      </c>
      <c r="E160" t="s">
        <v>182</v>
      </c>
      <c r="F160">
        <v>2</v>
      </c>
    </row>
    <row r="161" spans="1:6">
      <c r="A161" t="s">
        <v>257</v>
      </c>
      <c r="B161" t="s">
        <v>258</v>
      </c>
      <c r="C161" t="s">
        <v>23</v>
      </c>
      <c r="D161">
        <v>93.800003000000004</v>
      </c>
      <c r="E161" t="s">
        <v>185</v>
      </c>
      <c r="F161">
        <v>2</v>
      </c>
    </row>
    <row r="162" spans="1:6">
      <c r="A162" t="s">
        <v>259</v>
      </c>
      <c r="B162" t="s">
        <v>260</v>
      </c>
      <c r="C162" t="s">
        <v>23</v>
      </c>
      <c r="D162">
        <v>94.099997999999999</v>
      </c>
      <c r="E162" t="s">
        <v>182</v>
      </c>
      <c r="F162">
        <v>2</v>
      </c>
    </row>
    <row r="163" spans="1:6">
      <c r="A163" t="s">
        <v>261</v>
      </c>
      <c r="B163" t="s">
        <v>262</v>
      </c>
      <c r="C163" t="s">
        <v>23</v>
      </c>
      <c r="D163">
        <v>91.199996999999996</v>
      </c>
      <c r="E163" t="s">
        <v>185</v>
      </c>
      <c r="F163">
        <v>2</v>
      </c>
    </row>
    <row r="164" spans="1:6">
      <c r="A164" t="s">
        <v>263</v>
      </c>
      <c r="B164" t="s">
        <v>264</v>
      </c>
      <c r="C164" t="s">
        <v>23</v>
      </c>
      <c r="D164">
        <v>93.800003000000004</v>
      </c>
      <c r="E164" t="s">
        <v>185</v>
      </c>
      <c r="F164">
        <v>2</v>
      </c>
    </row>
    <row r="165" spans="1:6">
      <c r="A165" t="s">
        <v>265</v>
      </c>
      <c r="B165" t="s">
        <v>266</v>
      </c>
      <c r="C165" t="s">
        <v>23</v>
      </c>
      <c r="D165">
        <v>94.099997999999999</v>
      </c>
      <c r="E165" t="s">
        <v>185</v>
      </c>
      <c r="F165">
        <v>2</v>
      </c>
    </row>
    <row r="166" spans="1:6">
      <c r="A166" t="s">
        <v>267</v>
      </c>
      <c r="B166" t="s">
        <v>268</v>
      </c>
      <c r="C166" t="s">
        <v>23</v>
      </c>
      <c r="D166">
        <v>92.300003000000004</v>
      </c>
      <c r="E166" t="s">
        <v>185</v>
      </c>
      <c r="F166">
        <v>2</v>
      </c>
    </row>
    <row r="167" spans="1:6">
      <c r="A167" t="s">
        <v>269</v>
      </c>
      <c r="B167" t="s">
        <v>270</v>
      </c>
      <c r="C167" t="s">
        <v>23</v>
      </c>
      <c r="D167">
        <v>93.599997999999999</v>
      </c>
      <c r="E167" t="s">
        <v>185</v>
      </c>
      <c r="F167">
        <v>2</v>
      </c>
    </row>
    <row r="168" spans="1:6">
      <c r="A168" t="s">
        <v>271</v>
      </c>
      <c r="B168" t="s">
        <v>272</v>
      </c>
      <c r="C168" t="s">
        <v>23</v>
      </c>
      <c r="D168">
        <v>93.300003000000004</v>
      </c>
      <c r="E168" t="s">
        <v>185</v>
      </c>
      <c r="F168">
        <v>2</v>
      </c>
    </row>
    <row r="169" spans="1:6">
      <c r="A169" t="s">
        <v>273</v>
      </c>
      <c r="B169" t="s">
        <v>274</v>
      </c>
      <c r="C169" t="s">
        <v>23</v>
      </c>
      <c r="D169">
        <v>93.5</v>
      </c>
      <c r="E169" t="s">
        <v>185</v>
      </c>
      <c r="F169">
        <v>2</v>
      </c>
    </row>
    <row r="170" spans="1:6">
      <c r="A170" t="s">
        <v>275</v>
      </c>
      <c r="B170" t="s">
        <v>276</v>
      </c>
      <c r="C170" t="s">
        <v>23</v>
      </c>
      <c r="D170">
        <v>63.099997999999999</v>
      </c>
      <c r="E170" t="s">
        <v>182</v>
      </c>
      <c r="F170">
        <v>2</v>
      </c>
    </row>
    <row r="171" spans="1:6">
      <c r="A171" t="s">
        <v>277</v>
      </c>
      <c r="B171" t="s">
        <v>278</v>
      </c>
      <c r="C171" t="s">
        <v>23</v>
      </c>
      <c r="D171">
        <v>92.400002000000001</v>
      </c>
      <c r="E171" t="s">
        <v>185</v>
      </c>
      <c r="F171">
        <v>2</v>
      </c>
    </row>
    <row r="172" spans="1:6">
      <c r="A172" t="s">
        <v>279</v>
      </c>
      <c r="B172" t="s">
        <v>280</v>
      </c>
      <c r="C172" t="s">
        <v>23</v>
      </c>
      <c r="D172">
        <v>93.5</v>
      </c>
      <c r="E172" t="s">
        <v>185</v>
      </c>
      <c r="F172">
        <v>2</v>
      </c>
    </row>
    <row r="173" spans="1:6">
      <c r="A173" t="s">
        <v>281</v>
      </c>
      <c r="B173" t="s">
        <v>282</v>
      </c>
      <c r="C173" t="s">
        <v>23</v>
      </c>
      <c r="D173">
        <v>92.599997999999999</v>
      </c>
      <c r="E173" t="s">
        <v>185</v>
      </c>
      <c r="F173">
        <v>2</v>
      </c>
    </row>
    <row r="174" spans="1:6">
      <c r="A174" t="s">
        <v>283</v>
      </c>
      <c r="B174" t="s">
        <v>284</v>
      </c>
      <c r="C174" t="s">
        <v>23</v>
      </c>
      <c r="D174">
        <v>93</v>
      </c>
      <c r="E174" t="s">
        <v>185</v>
      </c>
      <c r="F174">
        <v>2</v>
      </c>
    </row>
    <row r="175" spans="1:6">
      <c r="A175" t="s">
        <v>285</v>
      </c>
      <c r="B175" t="s">
        <v>286</v>
      </c>
      <c r="C175" t="s">
        <v>23</v>
      </c>
      <c r="D175">
        <v>92.699996999999996</v>
      </c>
      <c r="E175" t="s">
        <v>182</v>
      </c>
      <c r="F175">
        <v>2</v>
      </c>
    </row>
    <row r="176" spans="1:6">
      <c r="A176" t="s">
        <v>287</v>
      </c>
      <c r="B176" t="s">
        <v>288</v>
      </c>
      <c r="C176" t="s">
        <v>23</v>
      </c>
      <c r="D176">
        <v>94.699996999999996</v>
      </c>
      <c r="E176" t="s">
        <v>182</v>
      </c>
      <c r="F176">
        <v>2</v>
      </c>
    </row>
    <row r="177" spans="1:6">
      <c r="A177" t="s">
        <v>289</v>
      </c>
      <c r="B177" t="s">
        <v>290</v>
      </c>
      <c r="C177" t="s">
        <v>23</v>
      </c>
      <c r="D177">
        <v>94.099997999999999</v>
      </c>
      <c r="E177" t="s">
        <v>185</v>
      </c>
      <c r="F177">
        <v>2</v>
      </c>
    </row>
    <row r="178" spans="1:6">
      <c r="A178" t="s">
        <v>291</v>
      </c>
      <c r="B178" t="s">
        <v>292</v>
      </c>
      <c r="C178" t="s">
        <v>23</v>
      </c>
      <c r="D178">
        <v>88.5</v>
      </c>
      <c r="E178" t="s">
        <v>182</v>
      </c>
      <c r="F178">
        <v>2</v>
      </c>
    </row>
    <row r="179" spans="1:6">
      <c r="A179" t="s">
        <v>293</v>
      </c>
      <c r="B179" t="s">
        <v>294</v>
      </c>
      <c r="C179" t="s">
        <v>23</v>
      </c>
      <c r="D179">
        <v>93.099997999999999</v>
      </c>
      <c r="E179" t="s">
        <v>182</v>
      </c>
      <c r="F179">
        <v>2</v>
      </c>
    </row>
    <row r="180" spans="1:6">
      <c r="A180" t="s">
        <v>295</v>
      </c>
      <c r="B180" t="s">
        <v>296</v>
      </c>
      <c r="C180" t="s">
        <v>23</v>
      </c>
      <c r="D180">
        <v>93</v>
      </c>
      <c r="E180" t="s">
        <v>185</v>
      </c>
      <c r="F180">
        <v>2</v>
      </c>
    </row>
    <row r="181" spans="1:6">
      <c r="A181" t="s">
        <v>297</v>
      </c>
      <c r="B181" t="s">
        <v>298</v>
      </c>
      <c r="C181" t="s">
        <v>23</v>
      </c>
      <c r="D181">
        <v>94.099997999999999</v>
      </c>
      <c r="E181" t="s">
        <v>185</v>
      </c>
      <c r="F181">
        <v>2</v>
      </c>
    </row>
    <row r="182" spans="1:6">
      <c r="A182" t="s">
        <v>299</v>
      </c>
      <c r="B182" t="s">
        <v>300</v>
      </c>
      <c r="C182" t="s">
        <v>23</v>
      </c>
      <c r="D182">
        <v>91.400002000000001</v>
      </c>
      <c r="E182" t="s">
        <v>212</v>
      </c>
      <c r="F182">
        <v>2</v>
      </c>
    </row>
    <row r="183" spans="1:6">
      <c r="A183" t="s">
        <v>301</v>
      </c>
      <c r="B183" t="s">
        <v>302</v>
      </c>
      <c r="C183" t="s">
        <v>23</v>
      </c>
      <c r="D183">
        <v>92.400002000000001</v>
      </c>
      <c r="E183" t="s">
        <v>185</v>
      </c>
      <c r="F183">
        <v>2</v>
      </c>
    </row>
    <row r="184" spans="1:6">
      <c r="A184" t="s">
        <v>303</v>
      </c>
      <c r="B184" t="s">
        <v>304</v>
      </c>
      <c r="C184" t="s">
        <v>23</v>
      </c>
      <c r="D184">
        <v>92.699996999999996</v>
      </c>
      <c r="E184" t="s">
        <v>212</v>
      </c>
      <c r="F184">
        <v>2</v>
      </c>
    </row>
    <row r="185" spans="1:6">
      <c r="A185" t="s">
        <v>305</v>
      </c>
      <c r="B185" t="s">
        <v>306</v>
      </c>
      <c r="C185" t="s">
        <v>23</v>
      </c>
      <c r="D185">
        <v>92.599997999999999</v>
      </c>
      <c r="E185" t="s">
        <v>185</v>
      </c>
      <c r="F185">
        <v>2</v>
      </c>
    </row>
    <row r="186" spans="1:6">
      <c r="A186" t="s">
        <v>307</v>
      </c>
      <c r="B186" t="s">
        <v>308</v>
      </c>
      <c r="C186" t="s">
        <v>23</v>
      </c>
      <c r="D186">
        <v>92.900002000000001</v>
      </c>
      <c r="E186" t="s">
        <v>185</v>
      </c>
      <c r="F186">
        <v>2</v>
      </c>
    </row>
    <row r="187" spans="1:6">
      <c r="A187" t="s">
        <v>309</v>
      </c>
      <c r="B187" t="s">
        <v>310</v>
      </c>
      <c r="C187" t="s">
        <v>23</v>
      </c>
      <c r="D187">
        <v>94.300003000000004</v>
      </c>
      <c r="E187" t="s">
        <v>185</v>
      </c>
      <c r="F187">
        <v>2</v>
      </c>
    </row>
    <row r="188" spans="1:6">
      <c r="A188" t="s">
        <v>311</v>
      </c>
      <c r="B188" t="s">
        <v>312</v>
      </c>
      <c r="C188" t="s">
        <v>23</v>
      </c>
      <c r="D188">
        <v>93.800003000000004</v>
      </c>
      <c r="E188" t="s">
        <v>185</v>
      </c>
      <c r="F188">
        <v>2</v>
      </c>
    </row>
    <row r="189" spans="1:6">
      <c r="A189" t="s">
        <v>313</v>
      </c>
      <c r="B189" t="s">
        <v>314</v>
      </c>
      <c r="C189" t="s">
        <v>23</v>
      </c>
      <c r="D189">
        <v>93.900002000000001</v>
      </c>
      <c r="E189" t="s">
        <v>185</v>
      </c>
      <c r="F189">
        <v>2</v>
      </c>
    </row>
    <row r="190" spans="1:6">
      <c r="A190" t="s">
        <v>315</v>
      </c>
      <c r="B190" t="s">
        <v>316</v>
      </c>
      <c r="C190" t="s">
        <v>23</v>
      </c>
      <c r="D190">
        <v>92.599997999999999</v>
      </c>
      <c r="E190" t="s">
        <v>185</v>
      </c>
      <c r="F190">
        <v>2</v>
      </c>
    </row>
    <row r="191" spans="1:6">
      <c r="A191" t="s">
        <v>317</v>
      </c>
      <c r="B191" t="s">
        <v>318</v>
      </c>
      <c r="C191" t="s">
        <v>23</v>
      </c>
      <c r="D191">
        <v>94</v>
      </c>
      <c r="E191" t="s">
        <v>182</v>
      </c>
      <c r="F191">
        <v>2</v>
      </c>
    </row>
    <row r="192" spans="1:6">
      <c r="A192" t="s">
        <v>319</v>
      </c>
      <c r="B192" t="s">
        <v>320</v>
      </c>
      <c r="C192" t="s">
        <v>23</v>
      </c>
      <c r="D192">
        <v>93.800003000000004</v>
      </c>
      <c r="E192" t="s">
        <v>185</v>
      </c>
      <c r="F192">
        <v>2</v>
      </c>
    </row>
    <row r="193" spans="1:6">
      <c r="A193" t="s">
        <v>321</v>
      </c>
      <c r="B193" t="s">
        <v>322</v>
      </c>
      <c r="C193" t="s">
        <v>23</v>
      </c>
      <c r="D193">
        <v>93.699996999999996</v>
      </c>
      <c r="E193" t="s">
        <v>185</v>
      </c>
      <c r="F193">
        <v>2</v>
      </c>
    </row>
    <row r="194" spans="1:6">
      <c r="A194" t="s">
        <v>323</v>
      </c>
      <c r="B194" t="s">
        <v>324</v>
      </c>
      <c r="C194" t="s">
        <v>23</v>
      </c>
      <c r="D194">
        <v>92.400002000000001</v>
      </c>
      <c r="E194" t="s">
        <v>185</v>
      </c>
      <c r="F194">
        <v>2</v>
      </c>
    </row>
    <row r="195" spans="1:6">
      <c r="A195" t="s">
        <v>325</v>
      </c>
      <c r="B195" t="s">
        <v>326</v>
      </c>
      <c r="C195" t="s">
        <v>23</v>
      </c>
      <c r="D195">
        <v>92</v>
      </c>
      <c r="E195" t="s">
        <v>185</v>
      </c>
      <c r="F195">
        <v>2</v>
      </c>
    </row>
    <row r="196" spans="1:6">
      <c r="A196" t="s">
        <v>327</v>
      </c>
      <c r="B196" t="s">
        <v>328</v>
      </c>
      <c r="C196" t="s">
        <v>23</v>
      </c>
      <c r="D196">
        <v>93.300003000000004</v>
      </c>
      <c r="E196" t="s">
        <v>212</v>
      </c>
      <c r="F196">
        <v>2</v>
      </c>
    </row>
    <row r="197" spans="1:6">
      <c r="A197" t="s">
        <v>329</v>
      </c>
      <c r="B197" t="s">
        <v>330</v>
      </c>
      <c r="C197" t="s">
        <v>23</v>
      </c>
      <c r="D197">
        <v>93.599997999999999</v>
      </c>
      <c r="E197" t="s">
        <v>185</v>
      </c>
      <c r="F197">
        <v>2</v>
      </c>
    </row>
    <row r="198" spans="1:6">
      <c r="A198" t="s">
        <v>331</v>
      </c>
      <c r="B198" t="s">
        <v>332</v>
      </c>
      <c r="C198" t="s">
        <v>23</v>
      </c>
      <c r="D198">
        <v>91.400002000000001</v>
      </c>
      <c r="E198" t="s">
        <v>185</v>
      </c>
      <c r="F198">
        <v>2</v>
      </c>
    </row>
    <row r="199" spans="1:6">
      <c r="A199" t="s">
        <v>333</v>
      </c>
      <c r="B199" t="s">
        <v>334</v>
      </c>
      <c r="C199" t="s">
        <v>23</v>
      </c>
      <c r="D199">
        <v>93.800003000000004</v>
      </c>
      <c r="E199" t="s">
        <v>185</v>
      </c>
      <c r="F199">
        <v>2</v>
      </c>
    </row>
    <row r="200" spans="1:6">
      <c r="A200" t="s">
        <v>335</v>
      </c>
      <c r="B200" t="s">
        <v>336</v>
      </c>
      <c r="C200" t="s">
        <v>23</v>
      </c>
      <c r="D200">
        <v>92.300003000000004</v>
      </c>
      <c r="E200" t="s">
        <v>185</v>
      </c>
      <c r="F200">
        <v>2</v>
      </c>
    </row>
    <row r="201" spans="1:6">
      <c r="A201" t="s">
        <v>337</v>
      </c>
      <c r="B201" t="s">
        <v>338</v>
      </c>
      <c r="C201" t="s">
        <v>23</v>
      </c>
      <c r="D201">
        <v>94.400002000000001</v>
      </c>
      <c r="E201" t="s">
        <v>182</v>
      </c>
      <c r="F201">
        <v>2</v>
      </c>
    </row>
    <row r="202" spans="1:6">
      <c r="A202" t="s">
        <v>339</v>
      </c>
      <c r="B202" t="s">
        <v>340</v>
      </c>
      <c r="C202" t="s">
        <v>23</v>
      </c>
      <c r="D202">
        <v>94.199996999999996</v>
      </c>
      <c r="E202" t="s">
        <v>185</v>
      </c>
      <c r="F202">
        <v>2</v>
      </c>
    </row>
    <row r="203" spans="1:6">
      <c r="A203" t="s">
        <v>341</v>
      </c>
      <c r="B203" t="s">
        <v>342</v>
      </c>
      <c r="C203" t="s">
        <v>23</v>
      </c>
      <c r="D203">
        <v>92.099997999999999</v>
      </c>
      <c r="E203" t="s">
        <v>182</v>
      </c>
      <c r="F203">
        <v>2</v>
      </c>
    </row>
    <row r="204" spans="1:6">
      <c r="A204" t="s">
        <v>343</v>
      </c>
      <c r="B204" t="s">
        <v>344</v>
      </c>
      <c r="C204" t="s">
        <v>23</v>
      </c>
      <c r="D204">
        <v>91.900002000000001</v>
      </c>
      <c r="E204" t="s">
        <v>185</v>
      </c>
      <c r="F204">
        <v>2</v>
      </c>
    </row>
    <row r="205" spans="1:6">
      <c r="A205" t="s">
        <v>345</v>
      </c>
      <c r="B205" t="s">
        <v>346</v>
      </c>
      <c r="C205" t="s">
        <v>23</v>
      </c>
      <c r="D205">
        <v>92.5</v>
      </c>
      <c r="E205" t="s">
        <v>185</v>
      </c>
      <c r="F205">
        <v>2</v>
      </c>
    </row>
    <row r="206" spans="1:6">
      <c r="A206" t="s">
        <v>347</v>
      </c>
      <c r="B206" t="s">
        <v>348</v>
      </c>
      <c r="C206" t="s">
        <v>23</v>
      </c>
      <c r="D206">
        <v>94.099997999999999</v>
      </c>
      <c r="E206" t="s">
        <v>185</v>
      </c>
      <c r="F206">
        <v>2</v>
      </c>
    </row>
    <row r="207" spans="1:6">
      <c r="A207" t="s">
        <v>349</v>
      </c>
      <c r="B207" t="s">
        <v>350</v>
      </c>
      <c r="C207" t="s">
        <v>23</v>
      </c>
      <c r="D207">
        <v>93.400002000000001</v>
      </c>
      <c r="E207" t="s">
        <v>185</v>
      </c>
      <c r="F207">
        <v>2</v>
      </c>
    </row>
    <row r="208" spans="1:6">
      <c r="A208" t="s">
        <v>351</v>
      </c>
      <c r="B208" t="s">
        <v>352</v>
      </c>
      <c r="C208" t="s">
        <v>23</v>
      </c>
      <c r="D208">
        <v>93.599997999999999</v>
      </c>
      <c r="E208" t="s">
        <v>185</v>
      </c>
      <c r="F208">
        <v>2</v>
      </c>
    </row>
    <row r="209" spans="1:6">
      <c r="A209" t="s">
        <v>353</v>
      </c>
      <c r="B209" t="s">
        <v>354</v>
      </c>
      <c r="C209" t="s">
        <v>23</v>
      </c>
      <c r="D209">
        <v>93</v>
      </c>
      <c r="E209" t="s">
        <v>185</v>
      </c>
      <c r="F209">
        <v>2</v>
      </c>
    </row>
    <row r="210" spans="1:6">
      <c r="A210" t="s">
        <v>355</v>
      </c>
      <c r="B210" t="s">
        <v>356</v>
      </c>
      <c r="C210" t="s">
        <v>23</v>
      </c>
      <c r="D210">
        <v>93.800003000000004</v>
      </c>
      <c r="E210" t="s">
        <v>185</v>
      </c>
      <c r="F210">
        <v>2</v>
      </c>
    </row>
    <row r="211" spans="1:6">
      <c r="A211" t="s">
        <v>357</v>
      </c>
      <c r="B211" t="s">
        <v>358</v>
      </c>
      <c r="C211" t="s">
        <v>23</v>
      </c>
      <c r="D211">
        <v>92.199996999999996</v>
      </c>
      <c r="E211" t="s">
        <v>212</v>
      </c>
      <c r="F211">
        <v>2</v>
      </c>
    </row>
    <row r="212" spans="1:6">
      <c r="A212" t="s">
        <v>359</v>
      </c>
      <c r="B212" t="s">
        <v>360</v>
      </c>
      <c r="C212" t="s">
        <v>23</v>
      </c>
      <c r="D212">
        <v>92.300003000000004</v>
      </c>
      <c r="E212" t="s">
        <v>185</v>
      </c>
      <c r="F212">
        <v>2</v>
      </c>
    </row>
    <row r="213" spans="1:6">
      <c r="A213" t="s">
        <v>361</v>
      </c>
      <c r="B213" t="s">
        <v>362</v>
      </c>
      <c r="C213" t="s">
        <v>23</v>
      </c>
      <c r="D213">
        <v>93.800003000000004</v>
      </c>
      <c r="E213" t="s">
        <v>185</v>
      </c>
      <c r="F213">
        <v>2</v>
      </c>
    </row>
    <row r="214" spans="1:6">
      <c r="A214" t="s">
        <v>363</v>
      </c>
      <c r="B214" t="s">
        <v>364</v>
      </c>
      <c r="C214" t="s">
        <v>23</v>
      </c>
      <c r="D214">
        <v>92.400002000000001</v>
      </c>
      <c r="E214" t="s">
        <v>185</v>
      </c>
      <c r="F214">
        <v>2</v>
      </c>
    </row>
    <row r="215" spans="1:6">
      <c r="A215" t="s">
        <v>365</v>
      </c>
      <c r="B215" t="s">
        <v>366</v>
      </c>
      <c r="C215" t="s">
        <v>23</v>
      </c>
      <c r="D215">
        <v>92.5</v>
      </c>
      <c r="E215" t="s">
        <v>185</v>
      </c>
      <c r="F215">
        <v>2</v>
      </c>
    </row>
    <row r="216" spans="1:6">
      <c r="A216" t="s">
        <v>367</v>
      </c>
      <c r="B216" t="s">
        <v>368</v>
      </c>
      <c r="C216" t="s">
        <v>23</v>
      </c>
      <c r="D216">
        <v>94.5</v>
      </c>
      <c r="E216" t="s">
        <v>185</v>
      </c>
      <c r="F216">
        <v>2</v>
      </c>
    </row>
    <row r="217" spans="1:6">
      <c r="A217" t="s">
        <v>369</v>
      </c>
      <c r="B217" t="s">
        <v>370</v>
      </c>
      <c r="C217" t="s">
        <v>23</v>
      </c>
      <c r="D217">
        <v>91.800003000000004</v>
      </c>
      <c r="E217" t="s">
        <v>185</v>
      </c>
      <c r="F217">
        <v>2</v>
      </c>
    </row>
    <row r="218" spans="1:6">
      <c r="A218" t="s">
        <v>371</v>
      </c>
      <c r="B218" t="s">
        <v>372</v>
      </c>
      <c r="C218" t="s">
        <v>23</v>
      </c>
      <c r="D218">
        <v>94.199996999999996</v>
      </c>
      <c r="E218" t="s">
        <v>185</v>
      </c>
      <c r="F218">
        <v>2</v>
      </c>
    </row>
    <row r="219" spans="1:6">
      <c r="A219" t="s">
        <v>373</v>
      </c>
      <c r="B219" t="s">
        <v>374</v>
      </c>
      <c r="C219" t="s">
        <v>23</v>
      </c>
      <c r="D219">
        <v>91.699996999999996</v>
      </c>
      <c r="E219" t="s">
        <v>185</v>
      </c>
      <c r="F219">
        <v>2</v>
      </c>
    </row>
    <row r="220" spans="1:6">
      <c r="A220" t="s">
        <v>375</v>
      </c>
      <c r="B220" t="s">
        <v>376</v>
      </c>
      <c r="C220" t="s">
        <v>23</v>
      </c>
      <c r="D220">
        <v>93</v>
      </c>
      <c r="E220" t="s">
        <v>185</v>
      </c>
      <c r="F220">
        <v>2</v>
      </c>
    </row>
    <row r="221" spans="1:6">
      <c r="A221" t="s">
        <v>377</v>
      </c>
      <c r="B221" t="s">
        <v>378</v>
      </c>
      <c r="C221" t="s">
        <v>23</v>
      </c>
      <c r="D221">
        <v>92.699996999999996</v>
      </c>
      <c r="E221" t="s">
        <v>185</v>
      </c>
      <c r="F221">
        <v>2</v>
      </c>
    </row>
    <row r="222" spans="1:6">
      <c r="A222" t="s">
        <v>379</v>
      </c>
      <c r="B222" t="s">
        <v>380</v>
      </c>
      <c r="C222" t="s">
        <v>23</v>
      </c>
      <c r="D222">
        <v>92.400002000000001</v>
      </c>
      <c r="E222" t="s">
        <v>185</v>
      </c>
      <c r="F222">
        <v>2</v>
      </c>
    </row>
    <row r="223" spans="1:6">
      <c r="A223" t="s">
        <v>381</v>
      </c>
      <c r="B223" t="s">
        <v>382</v>
      </c>
      <c r="C223" t="s">
        <v>23</v>
      </c>
      <c r="D223">
        <v>92.800003000000004</v>
      </c>
      <c r="E223" t="s">
        <v>185</v>
      </c>
      <c r="F223">
        <v>2</v>
      </c>
    </row>
    <row r="224" spans="1:6">
      <c r="A224" t="s">
        <v>383</v>
      </c>
      <c r="B224" t="s">
        <v>384</v>
      </c>
      <c r="C224" t="s">
        <v>23</v>
      </c>
      <c r="D224">
        <v>92.599997999999999</v>
      </c>
      <c r="E224" t="s">
        <v>212</v>
      </c>
      <c r="F224">
        <v>2</v>
      </c>
    </row>
    <row r="225" spans="1:6">
      <c r="A225" t="s">
        <v>385</v>
      </c>
      <c r="B225" t="s">
        <v>386</v>
      </c>
      <c r="C225" t="s">
        <v>23</v>
      </c>
      <c r="D225">
        <v>90.5</v>
      </c>
      <c r="E225" t="s">
        <v>185</v>
      </c>
      <c r="F225">
        <v>2</v>
      </c>
    </row>
    <row r="226" spans="1:6">
      <c r="A226" t="s">
        <v>387</v>
      </c>
      <c r="B226" t="s">
        <v>388</v>
      </c>
      <c r="C226" t="s">
        <v>23</v>
      </c>
      <c r="D226">
        <v>93.400002000000001</v>
      </c>
      <c r="E226" t="s">
        <v>182</v>
      </c>
      <c r="F226">
        <v>2</v>
      </c>
    </row>
    <row r="227" spans="1:6">
      <c r="A227" t="s">
        <v>389</v>
      </c>
      <c r="B227" t="s">
        <v>390</v>
      </c>
      <c r="C227" t="s">
        <v>23</v>
      </c>
      <c r="D227">
        <v>93.900002000000001</v>
      </c>
      <c r="E227" t="s">
        <v>185</v>
      </c>
      <c r="F227">
        <v>2</v>
      </c>
    </row>
    <row r="228" spans="1:6">
      <c r="A228" t="s">
        <v>391</v>
      </c>
      <c r="B228" t="s">
        <v>392</v>
      </c>
      <c r="C228" t="s">
        <v>23</v>
      </c>
      <c r="D228">
        <v>92.400002000000001</v>
      </c>
      <c r="E228" t="s">
        <v>185</v>
      </c>
      <c r="F228">
        <v>2</v>
      </c>
    </row>
    <row r="229" spans="1:6">
      <c r="A229" t="s">
        <v>393</v>
      </c>
      <c r="B229" t="s">
        <v>394</v>
      </c>
      <c r="C229" t="s">
        <v>23</v>
      </c>
      <c r="D229">
        <v>92.099997999999999</v>
      </c>
      <c r="E229" t="s">
        <v>185</v>
      </c>
      <c r="F229">
        <v>2</v>
      </c>
    </row>
    <row r="230" spans="1:6">
      <c r="A230" t="s">
        <v>395</v>
      </c>
      <c r="B230" t="s">
        <v>396</v>
      </c>
      <c r="C230" t="s">
        <v>23</v>
      </c>
      <c r="D230">
        <v>92.400002000000001</v>
      </c>
      <c r="E230" t="s">
        <v>185</v>
      </c>
      <c r="F230">
        <v>2</v>
      </c>
    </row>
    <row r="231" spans="1:6">
      <c r="A231" t="s">
        <v>397</v>
      </c>
      <c r="B231" t="s">
        <v>398</v>
      </c>
      <c r="C231" t="s">
        <v>23</v>
      </c>
      <c r="D231">
        <v>90.800003000000004</v>
      </c>
      <c r="E231" t="s">
        <v>185</v>
      </c>
      <c r="F231">
        <v>2</v>
      </c>
    </row>
    <row r="232" spans="1:6">
      <c r="A232" t="s">
        <v>399</v>
      </c>
      <c r="B232" t="s">
        <v>400</v>
      </c>
      <c r="C232" t="s">
        <v>23</v>
      </c>
      <c r="D232">
        <v>94.300003000000004</v>
      </c>
      <c r="E232" t="s">
        <v>185</v>
      </c>
      <c r="F232">
        <v>2</v>
      </c>
    </row>
    <row r="233" spans="1:6">
      <c r="A233" t="s">
        <v>401</v>
      </c>
      <c r="B233" t="s">
        <v>402</v>
      </c>
      <c r="C233" t="s">
        <v>23</v>
      </c>
      <c r="D233">
        <v>94.599997999999999</v>
      </c>
      <c r="E233" t="s">
        <v>185</v>
      </c>
      <c r="F233">
        <v>2</v>
      </c>
    </row>
    <row r="234" spans="1:6">
      <c r="A234" t="s">
        <v>403</v>
      </c>
      <c r="B234" t="s">
        <v>404</v>
      </c>
      <c r="C234" t="s">
        <v>23</v>
      </c>
      <c r="D234">
        <v>92.900002000000001</v>
      </c>
      <c r="E234" t="s">
        <v>185</v>
      </c>
      <c r="F234">
        <v>2</v>
      </c>
    </row>
    <row r="235" spans="1:6">
      <c r="A235" t="s">
        <v>405</v>
      </c>
      <c r="B235" t="s">
        <v>406</v>
      </c>
      <c r="C235" t="s">
        <v>23</v>
      </c>
      <c r="D235">
        <v>94.199996999999996</v>
      </c>
      <c r="E235" t="s">
        <v>185</v>
      </c>
      <c r="F235">
        <v>2</v>
      </c>
    </row>
    <row r="236" spans="1:6">
      <c r="A236" t="s">
        <v>407</v>
      </c>
      <c r="B236" t="s">
        <v>408</v>
      </c>
      <c r="C236" t="s">
        <v>23</v>
      </c>
      <c r="D236">
        <v>94.199996999999996</v>
      </c>
      <c r="E236" t="s">
        <v>185</v>
      </c>
      <c r="F236">
        <v>2</v>
      </c>
    </row>
    <row r="237" spans="1:6">
      <c r="A237" t="s">
        <v>409</v>
      </c>
      <c r="B237" t="s">
        <v>410</v>
      </c>
      <c r="C237" t="s">
        <v>23</v>
      </c>
      <c r="D237">
        <v>94</v>
      </c>
      <c r="E237" t="s">
        <v>185</v>
      </c>
      <c r="F237">
        <v>2</v>
      </c>
    </row>
    <row r="238" spans="1:6">
      <c r="A238" t="s">
        <v>411</v>
      </c>
      <c r="B238" t="s">
        <v>412</v>
      </c>
      <c r="C238" t="s">
        <v>23</v>
      </c>
      <c r="D238">
        <v>91.400002000000001</v>
      </c>
      <c r="E238" t="s">
        <v>185</v>
      </c>
      <c r="F238">
        <v>2</v>
      </c>
    </row>
    <row r="239" spans="1:6">
      <c r="A239" t="s">
        <v>413</v>
      </c>
      <c r="B239" t="s">
        <v>414</v>
      </c>
      <c r="C239" t="s">
        <v>23</v>
      </c>
      <c r="D239">
        <v>93.900002000000001</v>
      </c>
      <c r="E239" t="s">
        <v>185</v>
      </c>
      <c r="F239">
        <v>2</v>
      </c>
    </row>
    <row r="240" spans="1:6">
      <c r="A240" t="s">
        <v>415</v>
      </c>
      <c r="B240" t="s">
        <v>416</v>
      </c>
      <c r="C240" t="s">
        <v>23</v>
      </c>
      <c r="D240">
        <v>92.300003000000004</v>
      </c>
      <c r="E240" t="s">
        <v>185</v>
      </c>
      <c r="F240">
        <v>2</v>
      </c>
    </row>
    <row r="241" spans="1:6">
      <c r="A241" t="s">
        <v>417</v>
      </c>
      <c r="B241" t="s">
        <v>418</v>
      </c>
      <c r="C241" t="s">
        <v>23</v>
      </c>
      <c r="D241">
        <v>93.800003000000004</v>
      </c>
      <c r="E241" t="s">
        <v>185</v>
      </c>
      <c r="F241">
        <v>2</v>
      </c>
    </row>
    <row r="242" spans="1:6">
      <c r="A242" t="s">
        <v>419</v>
      </c>
      <c r="B242" t="s">
        <v>420</v>
      </c>
      <c r="C242" t="s">
        <v>23</v>
      </c>
      <c r="D242">
        <v>94</v>
      </c>
      <c r="E242" t="s">
        <v>185</v>
      </c>
      <c r="F242">
        <v>2</v>
      </c>
    </row>
    <row r="243" spans="1:6">
      <c r="A243" t="s">
        <v>421</v>
      </c>
      <c r="B243" t="s">
        <v>422</v>
      </c>
      <c r="C243" t="s">
        <v>23</v>
      </c>
      <c r="D243">
        <v>95.099997999999999</v>
      </c>
      <c r="E243" t="s">
        <v>185</v>
      </c>
      <c r="F243">
        <v>2</v>
      </c>
    </row>
    <row r="244" spans="1:6">
      <c r="A244" t="s">
        <v>423</v>
      </c>
      <c r="B244" t="s">
        <v>424</v>
      </c>
      <c r="C244" t="s">
        <v>23</v>
      </c>
      <c r="D244">
        <v>53.200001</v>
      </c>
      <c r="E244" t="s">
        <v>182</v>
      </c>
      <c r="F244">
        <v>2</v>
      </c>
    </row>
    <row r="245" spans="1:6">
      <c r="A245" t="s">
        <v>180</v>
      </c>
      <c r="B245" t="s">
        <v>181</v>
      </c>
      <c r="C245" t="s">
        <v>24</v>
      </c>
      <c r="D245">
        <v>93.699996999999996</v>
      </c>
      <c r="E245" t="s">
        <v>182</v>
      </c>
      <c r="F245">
        <v>3</v>
      </c>
    </row>
    <row r="246" spans="1:6">
      <c r="A246" t="s">
        <v>183</v>
      </c>
      <c r="B246" t="s">
        <v>184</v>
      </c>
      <c r="C246" t="s">
        <v>24</v>
      </c>
      <c r="D246">
        <v>94.599997999999999</v>
      </c>
      <c r="E246" t="s">
        <v>185</v>
      </c>
      <c r="F246">
        <v>3</v>
      </c>
    </row>
    <row r="247" spans="1:6">
      <c r="A247" t="s">
        <v>186</v>
      </c>
      <c r="B247" t="s">
        <v>187</v>
      </c>
      <c r="C247" t="s">
        <v>24</v>
      </c>
      <c r="D247">
        <v>92.800003000000004</v>
      </c>
      <c r="E247" t="s">
        <v>185</v>
      </c>
      <c r="F247">
        <v>3</v>
      </c>
    </row>
    <row r="248" spans="1:6">
      <c r="A248" t="s">
        <v>188</v>
      </c>
      <c r="B248" t="s">
        <v>189</v>
      </c>
      <c r="C248" t="s">
        <v>24</v>
      </c>
      <c r="D248">
        <v>91.300003000000004</v>
      </c>
      <c r="E248" t="s">
        <v>185</v>
      </c>
      <c r="F248">
        <v>3</v>
      </c>
    </row>
    <row r="249" spans="1:6">
      <c r="A249" t="s">
        <v>190</v>
      </c>
      <c r="B249" t="s">
        <v>191</v>
      </c>
      <c r="C249" t="s">
        <v>24</v>
      </c>
      <c r="D249">
        <v>92.800003000000004</v>
      </c>
      <c r="E249" t="s">
        <v>185</v>
      </c>
      <c r="F249">
        <v>3</v>
      </c>
    </row>
    <row r="250" spans="1:6">
      <c r="A250" t="s">
        <v>192</v>
      </c>
      <c r="B250" t="s">
        <v>193</v>
      </c>
      <c r="C250" t="s">
        <v>24</v>
      </c>
      <c r="D250">
        <v>92.599997999999999</v>
      </c>
      <c r="E250" t="s">
        <v>185</v>
      </c>
      <c r="F250">
        <v>3</v>
      </c>
    </row>
    <row r="251" spans="1:6">
      <c r="A251" t="s">
        <v>194</v>
      </c>
      <c r="B251" t="s">
        <v>195</v>
      </c>
      <c r="C251" t="s">
        <v>24</v>
      </c>
      <c r="D251">
        <v>92.599997999999999</v>
      </c>
      <c r="E251" t="s">
        <v>185</v>
      </c>
      <c r="F251">
        <v>3</v>
      </c>
    </row>
    <row r="252" spans="1:6">
      <c r="A252" t="s">
        <v>196</v>
      </c>
      <c r="B252" t="s">
        <v>197</v>
      </c>
      <c r="C252" t="s">
        <v>24</v>
      </c>
      <c r="D252">
        <v>92.800003000000004</v>
      </c>
      <c r="E252" t="s">
        <v>185</v>
      </c>
      <c r="F252">
        <v>3</v>
      </c>
    </row>
    <row r="253" spans="1:6">
      <c r="A253" t="s">
        <v>198</v>
      </c>
      <c r="B253" t="s">
        <v>199</v>
      </c>
      <c r="C253" t="s">
        <v>24</v>
      </c>
      <c r="D253">
        <v>93.099997999999999</v>
      </c>
      <c r="E253" t="s">
        <v>185</v>
      </c>
      <c r="F253">
        <v>3</v>
      </c>
    </row>
    <row r="254" spans="1:6">
      <c r="A254" t="s">
        <v>200</v>
      </c>
      <c r="B254" t="s">
        <v>201</v>
      </c>
      <c r="C254" t="s">
        <v>24</v>
      </c>
      <c r="D254">
        <v>92.900002000000001</v>
      </c>
      <c r="E254" t="s">
        <v>185</v>
      </c>
      <c r="F254">
        <v>3</v>
      </c>
    </row>
    <row r="255" spans="1:6">
      <c r="A255" t="s">
        <v>202</v>
      </c>
      <c r="B255" t="s">
        <v>203</v>
      </c>
      <c r="C255" t="s">
        <v>24</v>
      </c>
      <c r="D255">
        <v>92.199996999999996</v>
      </c>
      <c r="E255" t="s">
        <v>185</v>
      </c>
      <c r="F255">
        <v>3</v>
      </c>
    </row>
    <row r="256" spans="1:6">
      <c r="A256" t="s">
        <v>204</v>
      </c>
      <c r="B256" t="s">
        <v>205</v>
      </c>
      <c r="C256" t="s">
        <v>24</v>
      </c>
      <c r="D256">
        <v>93.199996999999996</v>
      </c>
      <c r="E256" t="s">
        <v>205</v>
      </c>
      <c r="F256">
        <v>3</v>
      </c>
    </row>
    <row r="257" spans="1:6">
      <c r="A257" t="s">
        <v>206</v>
      </c>
      <c r="B257" t="s">
        <v>207</v>
      </c>
      <c r="C257" t="s">
        <v>24</v>
      </c>
      <c r="D257">
        <v>94.699996999999996</v>
      </c>
      <c r="E257" t="s">
        <v>185</v>
      </c>
      <c r="F257">
        <v>3</v>
      </c>
    </row>
    <row r="258" spans="1:6">
      <c r="A258" t="s">
        <v>208</v>
      </c>
      <c r="B258" t="s">
        <v>209</v>
      </c>
      <c r="C258" t="s">
        <v>24</v>
      </c>
      <c r="D258">
        <v>92.800003000000004</v>
      </c>
      <c r="E258" t="s">
        <v>185</v>
      </c>
      <c r="F258">
        <v>3</v>
      </c>
    </row>
    <row r="259" spans="1:6">
      <c r="A259" t="s">
        <v>210</v>
      </c>
      <c r="B259" t="s">
        <v>211</v>
      </c>
      <c r="C259" t="s">
        <v>24</v>
      </c>
      <c r="D259">
        <v>92.800003000000004</v>
      </c>
      <c r="E259" t="s">
        <v>212</v>
      </c>
      <c r="F259">
        <v>3</v>
      </c>
    </row>
    <row r="260" spans="1:6">
      <c r="A260" t="s">
        <v>213</v>
      </c>
      <c r="B260" t="s">
        <v>214</v>
      </c>
      <c r="C260" t="s">
        <v>24</v>
      </c>
      <c r="D260">
        <v>93.900002000000001</v>
      </c>
      <c r="E260" t="s">
        <v>212</v>
      </c>
      <c r="F260">
        <v>3</v>
      </c>
    </row>
    <row r="261" spans="1:6">
      <c r="A261" t="s">
        <v>215</v>
      </c>
      <c r="B261" t="s">
        <v>216</v>
      </c>
      <c r="C261" t="s">
        <v>24</v>
      </c>
      <c r="D261">
        <v>92.300003000000004</v>
      </c>
      <c r="E261" t="s">
        <v>185</v>
      </c>
      <c r="F261">
        <v>3</v>
      </c>
    </row>
    <row r="262" spans="1:6">
      <c r="A262" t="s">
        <v>217</v>
      </c>
      <c r="B262" t="s">
        <v>218</v>
      </c>
      <c r="C262" t="s">
        <v>24</v>
      </c>
      <c r="D262">
        <v>91.599997999999999</v>
      </c>
      <c r="E262" t="s">
        <v>185</v>
      </c>
      <c r="F262">
        <v>3</v>
      </c>
    </row>
    <row r="263" spans="1:6">
      <c r="A263" t="s">
        <v>219</v>
      </c>
      <c r="B263" t="s">
        <v>220</v>
      </c>
      <c r="C263" t="s">
        <v>24</v>
      </c>
      <c r="D263">
        <v>92.300003000000004</v>
      </c>
      <c r="E263" t="s">
        <v>185</v>
      </c>
      <c r="F263">
        <v>3</v>
      </c>
    </row>
    <row r="264" spans="1:6">
      <c r="A264" t="s">
        <v>221</v>
      </c>
      <c r="B264" t="s">
        <v>222</v>
      </c>
      <c r="C264" t="s">
        <v>24</v>
      </c>
      <c r="D264">
        <v>93.900002000000001</v>
      </c>
      <c r="E264" t="s">
        <v>185</v>
      </c>
      <c r="F264">
        <v>3</v>
      </c>
    </row>
    <row r="265" spans="1:6">
      <c r="A265" t="s">
        <v>223</v>
      </c>
      <c r="B265" t="s">
        <v>224</v>
      </c>
      <c r="C265" t="s">
        <v>24</v>
      </c>
      <c r="D265">
        <v>92.5</v>
      </c>
      <c r="E265" t="s">
        <v>185</v>
      </c>
      <c r="F265">
        <v>3</v>
      </c>
    </row>
    <row r="266" spans="1:6">
      <c r="A266" t="s">
        <v>225</v>
      </c>
      <c r="B266" t="s">
        <v>226</v>
      </c>
      <c r="C266" t="s">
        <v>24</v>
      </c>
      <c r="D266">
        <v>93.900002000000001</v>
      </c>
      <c r="E266" t="s">
        <v>185</v>
      </c>
      <c r="F266">
        <v>3</v>
      </c>
    </row>
    <row r="267" spans="1:6">
      <c r="A267" t="s">
        <v>227</v>
      </c>
      <c r="B267" t="s">
        <v>228</v>
      </c>
      <c r="C267" t="s">
        <v>24</v>
      </c>
      <c r="D267">
        <v>94.099997999999999</v>
      </c>
      <c r="E267" t="s">
        <v>185</v>
      </c>
      <c r="F267">
        <v>3</v>
      </c>
    </row>
    <row r="268" spans="1:6">
      <c r="A268" t="s">
        <v>229</v>
      </c>
      <c r="B268" t="s">
        <v>230</v>
      </c>
      <c r="C268" t="s">
        <v>24</v>
      </c>
      <c r="D268">
        <v>91.400002000000001</v>
      </c>
      <c r="E268" t="s">
        <v>182</v>
      </c>
      <c r="F268">
        <v>3</v>
      </c>
    </row>
    <row r="269" spans="1:6">
      <c r="A269" t="s">
        <v>231</v>
      </c>
      <c r="B269" t="s">
        <v>232</v>
      </c>
      <c r="C269" t="s">
        <v>24</v>
      </c>
      <c r="D269">
        <v>91.900002000000001</v>
      </c>
      <c r="E269" t="s">
        <v>185</v>
      </c>
      <c r="F269">
        <v>3</v>
      </c>
    </row>
    <row r="270" spans="1:6">
      <c r="A270" t="s">
        <v>233</v>
      </c>
      <c r="B270" t="s">
        <v>234</v>
      </c>
      <c r="C270" t="s">
        <v>24</v>
      </c>
      <c r="D270">
        <v>92.300003000000004</v>
      </c>
      <c r="E270" t="s">
        <v>182</v>
      </c>
      <c r="F270">
        <v>3</v>
      </c>
    </row>
    <row r="271" spans="1:6">
      <c r="A271" t="s">
        <v>235</v>
      </c>
      <c r="B271" t="s">
        <v>236</v>
      </c>
      <c r="C271" t="s">
        <v>24</v>
      </c>
      <c r="D271">
        <v>91.599997999999999</v>
      </c>
      <c r="E271" t="s">
        <v>185</v>
      </c>
      <c r="F271">
        <v>3</v>
      </c>
    </row>
    <row r="272" spans="1:6">
      <c r="A272" t="s">
        <v>237</v>
      </c>
      <c r="B272" t="s">
        <v>238</v>
      </c>
      <c r="C272" t="s">
        <v>24</v>
      </c>
      <c r="D272">
        <v>91.5</v>
      </c>
      <c r="E272" t="s">
        <v>185</v>
      </c>
      <c r="F272">
        <v>3</v>
      </c>
    </row>
    <row r="273" spans="1:6">
      <c r="A273" t="s">
        <v>239</v>
      </c>
      <c r="B273" t="s">
        <v>240</v>
      </c>
      <c r="C273" t="s">
        <v>24</v>
      </c>
      <c r="D273">
        <v>92.400002000000001</v>
      </c>
      <c r="E273" t="s">
        <v>185</v>
      </c>
      <c r="F273">
        <v>3</v>
      </c>
    </row>
    <row r="274" spans="1:6">
      <c r="A274" t="s">
        <v>241</v>
      </c>
      <c r="B274" t="s">
        <v>242</v>
      </c>
      <c r="C274" t="s">
        <v>24</v>
      </c>
      <c r="D274">
        <v>94.5</v>
      </c>
      <c r="E274" t="s">
        <v>185</v>
      </c>
      <c r="F274">
        <v>3</v>
      </c>
    </row>
    <row r="275" spans="1:6">
      <c r="A275" t="s">
        <v>243</v>
      </c>
      <c r="B275" t="s">
        <v>244</v>
      </c>
      <c r="C275" t="s">
        <v>24</v>
      </c>
      <c r="D275">
        <v>93.699996999999996</v>
      </c>
      <c r="E275" t="s">
        <v>185</v>
      </c>
      <c r="F275">
        <v>3</v>
      </c>
    </row>
    <row r="276" spans="1:6">
      <c r="A276" t="s">
        <v>245</v>
      </c>
      <c r="B276" t="s">
        <v>246</v>
      </c>
      <c r="C276" t="s">
        <v>24</v>
      </c>
      <c r="D276">
        <v>92.099997999999999</v>
      </c>
      <c r="E276" t="s">
        <v>185</v>
      </c>
      <c r="F276">
        <v>3</v>
      </c>
    </row>
    <row r="277" spans="1:6">
      <c r="A277" t="s">
        <v>247</v>
      </c>
      <c r="B277" t="s">
        <v>248</v>
      </c>
      <c r="C277" t="s">
        <v>24</v>
      </c>
      <c r="D277">
        <v>93.199996999999996</v>
      </c>
      <c r="E277" t="s">
        <v>185</v>
      </c>
      <c r="F277">
        <v>3</v>
      </c>
    </row>
    <row r="278" spans="1:6">
      <c r="A278" t="s">
        <v>249</v>
      </c>
      <c r="B278" t="s">
        <v>250</v>
      </c>
      <c r="C278" t="s">
        <v>24</v>
      </c>
      <c r="D278">
        <v>93.699996999999996</v>
      </c>
      <c r="E278" t="s">
        <v>182</v>
      </c>
      <c r="F278">
        <v>3</v>
      </c>
    </row>
    <row r="279" spans="1:6">
      <c r="A279" t="s">
        <v>251</v>
      </c>
      <c r="B279" t="s">
        <v>252</v>
      </c>
      <c r="C279" t="s">
        <v>24</v>
      </c>
      <c r="D279">
        <v>92.400002000000001</v>
      </c>
      <c r="E279" t="s">
        <v>185</v>
      </c>
      <c r="F279">
        <v>3</v>
      </c>
    </row>
    <row r="280" spans="1:6">
      <c r="A280" t="s">
        <v>253</v>
      </c>
      <c r="B280" t="s">
        <v>254</v>
      </c>
      <c r="C280" t="s">
        <v>24</v>
      </c>
      <c r="D280">
        <v>92.300003000000004</v>
      </c>
      <c r="E280" t="s">
        <v>185</v>
      </c>
      <c r="F280">
        <v>3</v>
      </c>
    </row>
    <row r="281" spans="1:6">
      <c r="A281" t="s">
        <v>255</v>
      </c>
      <c r="B281" t="s">
        <v>256</v>
      </c>
      <c r="C281" t="s">
        <v>24</v>
      </c>
      <c r="D281">
        <v>92.300003000000004</v>
      </c>
      <c r="E281" t="s">
        <v>182</v>
      </c>
      <c r="F281">
        <v>3</v>
      </c>
    </row>
    <row r="282" spans="1:6">
      <c r="A282" t="s">
        <v>257</v>
      </c>
      <c r="B282" t="s">
        <v>258</v>
      </c>
      <c r="C282" t="s">
        <v>24</v>
      </c>
      <c r="D282">
        <v>93.599997999999999</v>
      </c>
      <c r="E282" t="s">
        <v>185</v>
      </c>
      <c r="F282">
        <v>3</v>
      </c>
    </row>
    <row r="283" spans="1:6">
      <c r="A283" t="s">
        <v>259</v>
      </c>
      <c r="B283" t="s">
        <v>260</v>
      </c>
      <c r="C283" t="s">
        <v>24</v>
      </c>
      <c r="D283">
        <v>93.5</v>
      </c>
      <c r="E283" t="s">
        <v>182</v>
      </c>
      <c r="F283">
        <v>3</v>
      </c>
    </row>
    <row r="284" spans="1:6">
      <c r="A284" t="s">
        <v>261</v>
      </c>
      <c r="B284" t="s">
        <v>262</v>
      </c>
      <c r="C284" t="s">
        <v>24</v>
      </c>
      <c r="D284">
        <v>90</v>
      </c>
      <c r="E284" t="s">
        <v>185</v>
      </c>
      <c r="F284">
        <v>3</v>
      </c>
    </row>
    <row r="285" spans="1:6">
      <c r="A285" t="s">
        <v>263</v>
      </c>
      <c r="B285" t="s">
        <v>264</v>
      </c>
      <c r="C285" t="s">
        <v>24</v>
      </c>
      <c r="D285">
        <v>93.599997999999999</v>
      </c>
      <c r="E285" t="s">
        <v>185</v>
      </c>
      <c r="F285">
        <v>3</v>
      </c>
    </row>
    <row r="286" spans="1:6">
      <c r="A286" t="s">
        <v>265</v>
      </c>
      <c r="B286" t="s">
        <v>266</v>
      </c>
      <c r="C286" t="s">
        <v>24</v>
      </c>
      <c r="D286">
        <v>93.400002000000001</v>
      </c>
      <c r="E286" t="s">
        <v>185</v>
      </c>
      <c r="F286">
        <v>3</v>
      </c>
    </row>
    <row r="287" spans="1:6">
      <c r="A287" t="s">
        <v>267</v>
      </c>
      <c r="B287" t="s">
        <v>268</v>
      </c>
      <c r="C287" t="s">
        <v>24</v>
      </c>
      <c r="D287">
        <v>93.5</v>
      </c>
      <c r="E287" t="s">
        <v>185</v>
      </c>
      <c r="F287">
        <v>3</v>
      </c>
    </row>
    <row r="288" spans="1:6">
      <c r="A288" t="s">
        <v>269</v>
      </c>
      <c r="B288" t="s">
        <v>270</v>
      </c>
      <c r="C288" t="s">
        <v>24</v>
      </c>
      <c r="D288">
        <v>93.900002000000001</v>
      </c>
      <c r="E288" t="s">
        <v>185</v>
      </c>
      <c r="F288">
        <v>3</v>
      </c>
    </row>
    <row r="289" spans="1:6">
      <c r="A289" t="s">
        <v>271</v>
      </c>
      <c r="B289" t="s">
        <v>272</v>
      </c>
      <c r="C289" t="s">
        <v>24</v>
      </c>
      <c r="D289">
        <v>94</v>
      </c>
      <c r="E289" t="s">
        <v>185</v>
      </c>
      <c r="F289">
        <v>3</v>
      </c>
    </row>
    <row r="290" spans="1:6">
      <c r="A290" t="s">
        <v>273</v>
      </c>
      <c r="B290" t="s">
        <v>274</v>
      </c>
      <c r="C290" t="s">
        <v>24</v>
      </c>
      <c r="D290">
        <v>93.5</v>
      </c>
      <c r="E290" t="s">
        <v>185</v>
      </c>
      <c r="F290">
        <v>3</v>
      </c>
    </row>
    <row r="291" spans="1:6">
      <c r="A291" t="s">
        <v>275</v>
      </c>
      <c r="B291" t="s">
        <v>276</v>
      </c>
      <c r="C291" t="s">
        <v>24</v>
      </c>
      <c r="D291">
        <v>63.099997999999999</v>
      </c>
      <c r="E291" t="s">
        <v>182</v>
      </c>
      <c r="F291">
        <v>3</v>
      </c>
    </row>
    <row r="292" spans="1:6">
      <c r="A292" t="s">
        <v>277</v>
      </c>
      <c r="B292" t="s">
        <v>278</v>
      </c>
      <c r="C292" t="s">
        <v>24</v>
      </c>
      <c r="D292">
        <v>93.300003000000004</v>
      </c>
      <c r="E292" t="s">
        <v>185</v>
      </c>
      <c r="F292">
        <v>3</v>
      </c>
    </row>
    <row r="293" spans="1:6">
      <c r="A293" t="s">
        <v>279</v>
      </c>
      <c r="B293" t="s">
        <v>280</v>
      </c>
      <c r="C293" t="s">
        <v>24</v>
      </c>
      <c r="D293">
        <v>92.599997999999999</v>
      </c>
      <c r="E293" t="s">
        <v>185</v>
      </c>
      <c r="F293">
        <v>3</v>
      </c>
    </row>
    <row r="294" spans="1:6">
      <c r="A294" t="s">
        <v>281</v>
      </c>
      <c r="B294" t="s">
        <v>282</v>
      </c>
      <c r="C294" t="s">
        <v>24</v>
      </c>
      <c r="D294">
        <v>88.300003000000004</v>
      </c>
      <c r="E294" t="s">
        <v>185</v>
      </c>
      <c r="F294">
        <v>3</v>
      </c>
    </row>
    <row r="295" spans="1:6">
      <c r="A295" t="s">
        <v>283</v>
      </c>
      <c r="B295" t="s">
        <v>284</v>
      </c>
      <c r="C295" t="s">
        <v>24</v>
      </c>
      <c r="D295">
        <v>92</v>
      </c>
      <c r="E295" t="s">
        <v>185</v>
      </c>
      <c r="F295">
        <v>3</v>
      </c>
    </row>
    <row r="296" spans="1:6">
      <c r="A296" t="s">
        <v>285</v>
      </c>
      <c r="B296" t="s">
        <v>286</v>
      </c>
      <c r="C296" t="s">
        <v>24</v>
      </c>
      <c r="D296">
        <v>89.800003000000004</v>
      </c>
      <c r="E296" t="s">
        <v>182</v>
      </c>
      <c r="F296">
        <v>3</v>
      </c>
    </row>
    <row r="297" spans="1:6">
      <c r="A297" t="s">
        <v>287</v>
      </c>
      <c r="B297" t="s">
        <v>288</v>
      </c>
      <c r="C297" t="s">
        <v>24</v>
      </c>
      <c r="D297">
        <v>92.599997999999999</v>
      </c>
      <c r="E297" t="s">
        <v>182</v>
      </c>
      <c r="F297">
        <v>3</v>
      </c>
    </row>
    <row r="298" spans="1:6">
      <c r="A298" t="s">
        <v>289</v>
      </c>
      <c r="B298" t="s">
        <v>290</v>
      </c>
      <c r="C298" t="s">
        <v>24</v>
      </c>
      <c r="D298">
        <v>93.800003000000004</v>
      </c>
      <c r="E298" t="s">
        <v>185</v>
      </c>
      <c r="F298">
        <v>3</v>
      </c>
    </row>
    <row r="299" spans="1:6">
      <c r="A299" t="s">
        <v>291</v>
      </c>
      <c r="B299" t="s">
        <v>292</v>
      </c>
      <c r="C299" t="s">
        <v>24</v>
      </c>
      <c r="D299">
        <v>83.800003000000004</v>
      </c>
      <c r="E299" t="s">
        <v>182</v>
      </c>
      <c r="F299">
        <v>3</v>
      </c>
    </row>
    <row r="300" spans="1:6">
      <c r="A300" t="s">
        <v>293</v>
      </c>
      <c r="B300" t="s">
        <v>294</v>
      </c>
      <c r="C300" t="s">
        <v>24</v>
      </c>
      <c r="D300">
        <v>92.199996999999996</v>
      </c>
      <c r="E300" t="s">
        <v>182</v>
      </c>
      <c r="F300">
        <v>3</v>
      </c>
    </row>
    <row r="301" spans="1:6">
      <c r="A301" t="s">
        <v>295</v>
      </c>
      <c r="B301" t="s">
        <v>296</v>
      </c>
      <c r="C301" t="s">
        <v>24</v>
      </c>
      <c r="D301">
        <v>93</v>
      </c>
      <c r="E301" t="s">
        <v>185</v>
      </c>
      <c r="F301">
        <v>3</v>
      </c>
    </row>
    <row r="302" spans="1:6">
      <c r="A302" t="s">
        <v>297</v>
      </c>
      <c r="B302" t="s">
        <v>298</v>
      </c>
      <c r="C302" t="s">
        <v>24</v>
      </c>
      <c r="D302">
        <v>94.099997999999999</v>
      </c>
      <c r="E302" t="s">
        <v>185</v>
      </c>
      <c r="F302">
        <v>3</v>
      </c>
    </row>
    <row r="303" spans="1:6">
      <c r="A303" t="s">
        <v>299</v>
      </c>
      <c r="B303" t="s">
        <v>300</v>
      </c>
      <c r="C303" t="s">
        <v>24</v>
      </c>
      <c r="D303">
        <v>92.400002000000001</v>
      </c>
      <c r="E303" t="s">
        <v>212</v>
      </c>
      <c r="F303">
        <v>3</v>
      </c>
    </row>
    <row r="304" spans="1:6">
      <c r="A304" t="s">
        <v>301</v>
      </c>
      <c r="B304" t="s">
        <v>302</v>
      </c>
      <c r="C304" t="s">
        <v>24</v>
      </c>
      <c r="D304">
        <v>91.5</v>
      </c>
      <c r="E304" t="s">
        <v>185</v>
      </c>
      <c r="F304">
        <v>3</v>
      </c>
    </row>
    <row r="305" spans="1:6">
      <c r="A305" t="s">
        <v>303</v>
      </c>
      <c r="B305" t="s">
        <v>304</v>
      </c>
      <c r="C305" t="s">
        <v>24</v>
      </c>
      <c r="D305">
        <v>92.699996999999996</v>
      </c>
      <c r="E305" t="s">
        <v>212</v>
      </c>
      <c r="F305">
        <v>3</v>
      </c>
    </row>
    <row r="306" spans="1:6">
      <c r="A306" t="s">
        <v>305</v>
      </c>
      <c r="B306" t="s">
        <v>306</v>
      </c>
      <c r="C306" t="s">
        <v>24</v>
      </c>
      <c r="D306">
        <v>91.800003000000004</v>
      </c>
      <c r="E306" t="s">
        <v>185</v>
      </c>
      <c r="F306">
        <v>3</v>
      </c>
    </row>
    <row r="307" spans="1:6">
      <c r="A307" t="s">
        <v>307</v>
      </c>
      <c r="B307" t="s">
        <v>308</v>
      </c>
      <c r="C307" t="s">
        <v>24</v>
      </c>
      <c r="D307">
        <v>93.300003000000004</v>
      </c>
      <c r="E307" t="s">
        <v>185</v>
      </c>
      <c r="F307">
        <v>3</v>
      </c>
    </row>
    <row r="308" spans="1:6">
      <c r="A308" t="s">
        <v>309</v>
      </c>
      <c r="B308" t="s">
        <v>310</v>
      </c>
      <c r="C308" t="s">
        <v>24</v>
      </c>
      <c r="D308">
        <v>92.099997999999999</v>
      </c>
      <c r="E308" t="s">
        <v>185</v>
      </c>
      <c r="F308">
        <v>3</v>
      </c>
    </row>
    <row r="309" spans="1:6">
      <c r="A309" t="s">
        <v>311</v>
      </c>
      <c r="B309" t="s">
        <v>312</v>
      </c>
      <c r="C309" t="s">
        <v>24</v>
      </c>
      <c r="D309">
        <v>93.099997999999999</v>
      </c>
      <c r="E309" t="s">
        <v>185</v>
      </c>
      <c r="F309">
        <v>3</v>
      </c>
    </row>
    <row r="310" spans="1:6">
      <c r="A310" t="s">
        <v>313</v>
      </c>
      <c r="B310" t="s">
        <v>314</v>
      </c>
      <c r="C310" t="s">
        <v>24</v>
      </c>
      <c r="D310">
        <v>94.5</v>
      </c>
      <c r="E310" t="s">
        <v>185</v>
      </c>
      <c r="F310">
        <v>3</v>
      </c>
    </row>
    <row r="311" spans="1:6">
      <c r="A311" t="s">
        <v>315</v>
      </c>
      <c r="B311" t="s">
        <v>316</v>
      </c>
      <c r="C311" t="s">
        <v>24</v>
      </c>
      <c r="D311">
        <v>90.800003000000004</v>
      </c>
      <c r="E311" t="s">
        <v>185</v>
      </c>
      <c r="F311">
        <v>3</v>
      </c>
    </row>
    <row r="312" spans="1:6">
      <c r="A312" t="s">
        <v>317</v>
      </c>
      <c r="B312" t="s">
        <v>318</v>
      </c>
      <c r="C312" t="s">
        <v>24</v>
      </c>
      <c r="D312">
        <v>92.400002000000001</v>
      </c>
      <c r="E312" t="s">
        <v>182</v>
      </c>
      <c r="F312">
        <v>3</v>
      </c>
    </row>
    <row r="313" spans="1:6">
      <c r="A313" t="s">
        <v>319</v>
      </c>
      <c r="B313" t="s">
        <v>320</v>
      </c>
      <c r="C313" t="s">
        <v>24</v>
      </c>
      <c r="D313">
        <v>93.5</v>
      </c>
      <c r="E313" t="s">
        <v>185</v>
      </c>
      <c r="F313">
        <v>3</v>
      </c>
    </row>
    <row r="314" spans="1:6">
      <c r="A314" t="s">
        <v>321</v>
      </c>
      <c r="B314" t="s">
        <v>322</v>
      </c>
      <c r="C314" t="s">
        <v>24</v>
      </c>
      <c r="D314">
        <v>93</v>
      </c>
      <c r="E314" t="s">
        <v>185</v>
      </c>
      <c r="F314">
        <v>3</v>
      </c>
    </row>
    <row r="315" spans="1:6">
      <c r="A315" t="s">
        <v>323</v>
      </c>
      <c r="B315" t="s">
        <v>324</v>
      </c>
      <c r="C315" t="s">
        <v>24</v>
      </c>
      <c r="D315">
        <v>92</v>
      </c>
      <c r="E315" t="s">
        <v>185</v>
      </c>
      <c r="F315">
        <v>3</v>
      </c>
    </row>
    <row r="316" spans="1:6">
      <c r="A316" t="s">
        <v>325</v>
      </c>
      <c r="B316" t="s">
        <v>326</v>
      </c>
      <c r="C316" t="s">
        <v>24</v>
      </c>
      <c r="D316">
        <v>91.099997999999999</v>
      </c>
      <c r="E316" t="s">
        <v>185</v>
      </c>
      <c r="F316">
        <v>3</v>
      </c>
    </row>
    <row r="317" spans="1:6">
      <c r="A317" t="s">
        <v>327</v>
      </c>
      <c r="B317" t="s">
        <v>328</v>
      </c>
      <c r="C317" t="s">
        <v>24</v>
      </c>
      <c r="D317">
        <v>92.400002000000001</v>
      </c>
      <c r="E317" t="s">
        <v>212</v>
      </c>
      <c r="F317">
        <v>3</v>
      </c>
    </row>
    <row r="318" spans="1:6">
      <c r="A318" t="s">
        <v>329</v>
      </c>
      <c r="B318" t="s">
        <v>330</v>
      </c>
      <c r="C318" t="s">
        <v>24</v>
      </c>
      <c r="D318">
        <v>92</v>
      </c>
      <c r="E318" t="s">
        <v>185</v>
      </c>
      <c r="F318">
        <v>3</v>
      </c>
    </row>
    <row r="319" spans="1:6">
      <c r="A319" t="s">
        <v>331</v>
      </c>
      <c r="B319" t="s">
        <v>332</v>
      </c>
      <c r="C319" t="s">
        <v>24</v>
      </c>
      <c r="D319">
        <v>91.800003000000004</v>
      </c>
      <c r="E319" t="s">
        <v>185</v>
      </c>
      <c r="F319">
        <v>3</v>
      </c>
    </row>
    <row r="320" spans="1:6">
      <c r="A320" t="s">
        <v>333</v>
      </c>
      <c r="B320" t="s">
        <v>334</v>
      </c>
      <c r="C320" t="s">
        <v>24</v>
      </c>
      <c r="D320">
        <v>91.800003000000004</v>
      </c>
      <c r="E320" t="s">
        <v>185</v>
      </c>
      <c r="F320">
        <v>3</v>
      </c>
    </row>
    <row r="321" spans="1:6">
      <c r="A321" t="s">
        <v>335</v>
      </c>
      <c r="B321" t="s">
        <v>336</v>
      </c>
      <c r="C321" t="s">
        <v>24</v>
      </c>
      <c r="D321">
        <v>91.099997999999999</v>
      </c>
      <c r="E321" t="s">
        <v>185</v>
      </c>
      <c r="F321">
        <v>3</v>
      </c>
    </row>
    <row r="322" spans="1:6">
      <c r="A322" t="s">
        <v>337</v>
      </c>
      <c r="B322" t="s">
        <v>338</v>
      </c>
      <c r="C322" t="s">
        <v>24</v>
      </c>
      <c r="D322">
        <v>93.800003000000004</v>
      </c>
      <c r="E322" t="s">
        <v>182</v>
      </c>
      <c r="F322">
        <v>3</v>
      </c>
    </row>
    <row r="323" spans="1:6">
      <c r="A323" t="s">
        <v>339</v>
      </c>
      <c r="B323" t="s">
        <v>340</v>
      </c>
      <c r="C323" t="s">
        <v>24</v>
      </c>
      <c r="D323">
        <v>93.199996999999996</v>
      </c>
      <c r="E323" t="s">
        <v>185</v>
      </c>
      <c r="F323">
        <v>3</v>
      </c>
    </row>
    <row r="324" spans="1:6">
      <c r="A324" t="s">
        <v>341</v>
      </c>
      <c r="B324" t="s">
        <v>342</v>
      </c>
      <c r="C324" t="s">
        <v>24</v>
      </c>
      <c r="D324">
        <v>91.900002000000001</v>
      </c>
      <c r="E324" t="s">
        <v>182</v>
      </c>
      <c r="F324">
        <v>3</v>
      </c>
    </row>
    <row r="325" spans="1:6">
      <c r="A325" t="s">
        <v>343</v>
      </c>
      <c r="B325" t="s">
        <v>344</v>
      </c>
      <c r="C325" t="s">
        <v>24</v>
      </c>
      <c r="D325">
        <v>93</v>
      </c>
      <c r="E325" t="s">
        <v>185</v>
      </c>
      <c r="F325">
        <v>3</v>
      </c>
    </row>
    <row r="326" spans="1:6">
      <c r="A326" t="s">
        <v>345</v>
      </c>
      <c r="B326" t="s">
        <v>346</v>
      </c>
      <c r="C326" t="s">
        <v>24</v>
      </c>
      <c r="D326">
        <v>93.400002000000001</v>
      </c>
      <c r="E326" t="s">
        <v>185</v>
      </c>
      <c r="F326">
        <v>3</v>
      </c>
    </row>
    <row r="327" spans="1:6">
      <c r="A327" t="s">
        <v>347</v>
      </c>
      <c r="B327" t="s">
        <v>348</v>
      </c>
      <c r="C327" t="s">
        <v>24</v>
      </c>
      <c r="D327">
        <v>94.199996999999996</v>
      </c>
      <c r="E327" t="s">
        <v>185</v>
      </c>
      <c r="F327">
        <v>3</v>
      </c>
    </row>
    <row r="328" spans="1:6">
      <c r="A328" t="s">
        <v>349</v>
      </c>
      <c r="B328" t="s">
        <v>350</v>
      </c>
      <c r="C328" t="s">
        <v>24</v>
      </c>
      <c r="D328">
        <v>92.400002000000001</v>
      </c>
      <c r="E328" t="s">
        <v>185</v>
      </c>
      <c r="F328">
        <v>3</v>
      </c>
    </row>
    <row r="329" spans="1:6">
      <c r="A329" t="s">
        <v>351</v>
      </c>
      <c r="B329" t="s">
        <v>352</v>
      </c>
      <c r="C329" t="s">
        <v>24</v>
      </c>
      <c r="D329">
        <v>91.300003000000004</v>
      </c>
      <c r="E329" t="s">
        <v>185</v>
      </c>
      <c r="F329">
        <v>3</v>
      </c>
    </row>
    <row r="330" spans="1:6">
      <c r="A330" t="s">
        <v>353</v>
      </c>
      <c r="B330" t="s">
        <v>354</v>
      </c>
      <c r="C330" t="s">
        <v>24</v>
      </c>
      <c r="D330">
        <v>93</v>
      </c>
      <c r="E330" t="s">
        <v>185</v>
      </c>
      <c r="F330">
        <v>3</v>
      </c>
    </row>
    <row r="331" spans="1:6">
      <c r="A331" t="s">
        <v>355</v>
      </c>
      <c r="B331" t="s">
        <v>356</v>
      </c>
      <c r="C331" t="s">
        <v>24</v>
      </c>
      <c r="D331">
        <v>93.400002000000001</v>
      </c>
      <c r="E331" t="s">
        <v>185</v>
      </c>
      <c r="F331">
        <v>3</v>
      </c>
    </row>
    <row r="332" spans="1:6">
      <c r="A332" t="s">
        <v>357</v>
      </c>
      <c r="B332" t="s">
        <v>358</v>
      </c>
      <c r="C332" t="s">
        <v>24</v>
      </c>
      <c r="D332">
        <v>93.5</v>
      </c>
      <c r="E332" t="s">
        <v>212</v>
      </c>
      <c r="F332">
        <v>3</v>
      </c>
    </row>
    <row r="333" spans="1:6">
      <c r="A333" t="s">
        <v>359</v>
      </c>
      <c r="B333" t="s">
        <v>360</v>
      </c>
      <c r="C333" t="s">
        <v>24</v>
      </c>
      <c r="D333">
        <v>90.5</v>
      </c>
      <c r="E333" t="s">
        <v>185</v>
      </c>
      <c r="F333">
        <v>3</v>
      </c>
    </row>
    <row r="334" spans="1:6">
      <c r="A334" t="s">
        <v>361</v>
      </c>
      <c r="B334" t="s">
        <v>362</v>
      </c>
      <c r="C334" t="s">
        <v>24</v>
      </c>
      <c r="D334">
        <v>93</v>
      </c>
      <c r="E334" t="s">
        <v>185</v>
      </c>
      <c r="F334">
        <v>3</v>
      </c>
    </row>
    <row r="335" spans="1:6">
      <c r="A335" t="s">
        <v>363</v>
      </c>
      <c r="B335" t="s">
        <v>364</v>
      </c>
      <c r="C335" t="s">
        <v>24</v>
      </c>
      <c r="D335">
        <v>92.400002000000001</v>
      </c>
      <c r="E335" t="s">
        <v>185</v>
      </c>
      <c r="F335">
        <v>3</v>
      </c>
    </row>
    <row r="336" spans="1:6">
      <c r="A336" t="s">
        <v>365</v>
      </c>
      <c r="B336" t="s">
        <v>366</v>
      </c>
      <c r="C336" t="s">
        <v>24</v>
      </c>
      <c r="D336">
        <v>92.099997999999999</v>
      </c>
      <c r="E336" t="s">
        <v>185</v>
      </c>
      <c r="F336">
        <v>3</v>
      </c>
    </row>
    <row r="337" spans="1:6">
      <c r="A337" t="s">
        <v>367</v>
      </c>
      <c r="B337" t="s">
        <v>368</v>
      </c>
      <c r="C337" t="s">
        <v>24</v>
      </c>
      <c r="D337">
        <v>92.5</v>
      </c>
      <c r="E337" t="s">
        <v>185</v>
      </c>
      <c r="F337">
        <v>3</v>
      </c>
    </row>
    <row r="338" spans="1:6">
      <c r="A338" t="s">
        <v>369</v>
      </c>
      <c r="B338" t="s">
        <v>370</v>
      </c>
      <c r="C338" t="s">
        <v>24</v>
      </c>
      <c r="D338">
        <v>93.5</v>
      </c>
      <c r="E338" t="s">
        <v>185</v>
      </c>
      <c r="F338">
        <v>3</v>
      </c>
    </row>
    <row r="339" spans="1:6">
      <c r="A339" t="s">
        <v>371</v>
      </c>
      <c r="B339" t="s">
        <v>372</v>
      </c>
      <c r="C339" t="s">
        <v>24</v>
      </c>
      <c r="D339">
        <v>93.800003000000004</v>
      </c>
      <c r="E339" t="s">
        <v>185</v>
      </c>
      <c r="F339">
        <v>3</v>
      </c>
    </row>
    <row r="340" spans="1:6">
      <c r="A340" t="s">
        <v>373</v>
      </c>
      <c r="B340" t="s">
        <v>374</v>
      </c>
      <c r="C340" t="s">
        <v>24</v>
      </c>
      <c r="D340">
        <v>91.5</v>
      </c>
      <c r="E340" t="s">
        <v>185</v>
      </c>
      <c r="F340">
        <v>3</v>
      </c>
    </row>
    <row r="341" spans="1:6">
      <c r="A341" t="s">
        <v>375</v>
      </c>
      <c r="B341" t="s">
        <v>376</v>
      </c>
      <c r="C341" t="s">
        <v>24</v>
      </c>
      <c r="D341">
        <v>92.800003000000004</v>
      </c>
      <c r="E341" t="s">
        <v>185</v>
      </c>
      <c r="F341">
        <v>3</v>
      </c>
    </row>
    <row r="342" spans="1:6">
      <c r="A342" t="s">
        <v>377</v>
      </c>
      <c r="B342" t="s">
        <v>378</v>
      </c>
      <c r="C342" t="s">
        <v>24</v>
      </c>
      <c r="D342">
        <v>91.400002000000001</v>
      </c>
      <c r="E342" t="s">
        <v>185</v>
      </c>
      <c r="F342">
        <v>3</v>
      </c>
    </row>
    <row r="343" spans="1:6">
      <c r="A343" t="s">
        <v>379</v>
      </c>
      <c r="B343" t="s">
        <v>380</v>
      </c>
      <c r="C343" t="s">
        <v>24</v>
      </c>
      <c r="D343">
        <v>92.900002000000001</v>
      </c>
      <c r="E343" t="s">
        <v>185</v>
      </c>
      <c r="F343">
        <v>3</v>
      </c>
    </row>
    <row r="344" spans="1:6">
      <c r="A344" t="s">
        <v>381</v>
      </c>
      <c r="B344" t="s">
        <v>382</v>
      </c>
      <c r="C344" t="s">
        <v>24</v>
      </c>
      <c r="D344">
        <v>90.5</v>
      </c>
      <c r="E344" t="s">
        <v>185</v>
      </c>
      <c r="F344">
        <v>3</v>
      </c>
    </row>
    <row r="345" spans="1:6">
      <c r="A345" t="s">
        <v>383</v>
      </c>
      <c r="B345" t="s">
        <v>384</v>
      </c>
      <c r="C345" t="s">
        <v>24</v>
      </c>
      <c r="D345">
        <v>92</v>
      </c>
      <c r="E345" t="s">
        <v>212</v>
      </c>
      <c r="F345">
        <v>3</v>
      </c>
    </row>
    <row r="346" spans="1:6">
      <c r="A346" t="s">
        <v>385</v>
      </c>
      <c r="B346" t="s">
        <v>386</v>
      </c>
      <c r="C346" t="s">
        <v>24</v>
      </c>
      <c r="D346">
        <v>91.199996999999996</v>
      </c>
      <c r="E346" t="s">
        <v>185</v>
      </c>
      <c r="F346">
        <v>3</v>
      </c>
    </row>
    <row r="347" spans="1:6">
      <c r="A347" t="s">
        <v>387</v>
      </c>
      <c r="B347" t="s">
        <v>388</v>
      </c>
      <c r="C347" t="s">
        <v>24</v>
      </c>
      <c r="D347">
        <v>92.300003000000004</v>
      </c>
      <c r="E347" t="s">
        <v>182</v>
      </c>
      <c r="F347">
        <v>3</v>
      </c>
    </row>
    <row r="348" spans="1:6">
      <c r="A348" t="s">
        <v>389</v>
      </c>
      <c r="B348" t="s">
        <v>390</v>
      </c>
      <c r="C348" t="s">
        <v>24</v>
      </c>
      <c r="D348">
        <v>93.800003000000004</v>
      </c>
      <c r="E348" t="s">
        <v>185</v>
      </c>
      <c r="F348">
        <v>3</v>
      </c>
    </row>
    <row r="349" spans="1:6">
      <c r="A349" t="s">
        <v>391</v>
      </c>
      <c r="B349" t="s">
        <v>392</v>
      </c>
      <c r="C349" t="s">
        <v>24</v>
      </c>
      <c r="D349">
        <v>92.300003000000004</v>
      </c>
      <c r="E349" t="s">
        <v>185</v>
      </c>
      <c r="F349">
        <v>3</v>
      </c>
    </row>
    <row r="350" spans="1:6">
      <c r="A350" t="s">
        <v>393</v>
      </c>
      <c r="B350" t="s">
        <v>394</v>
      </c>
      <c r="C350" t="s">
        <v>24</v>
      </c>
      <c r="D350">
        <v>90.800003000000004</v>
      </c>
      <c r="E350" t="s">
        <v>185</v>
      </c>
      <c r="F350">
        <v>3</v>
      </c>
    </row>
    <row r="351" spans="1:6">
      <c r="A351" t="s">
        <v>395</v>
      </c>
      <c r="B351" t="s">
        <v>396</v>
      </c>
      <c r="C351" t="s">
        <v>24</v>
      </c>
      <c r="D351">
        <v>92.800003000000004</v>
      </c>
      <c r="E351" t="s">
        <v>185</v>
      </c>
      <c r="F351">
        <v>3</v>
      </c>
    </row>
    <row r="352" spans="1:6">
      <c r="A352" t="s">
        <v>397</v>
      </c>
      <c r="B352" t="s">
        <v>398</v>
      </c>
      <c r="C352" t="s">
        <v>24</v>
      </c>
      <c r="D352">
        <v>91.900002000000001</v>
      </c>
      <c r="E352" t="s">
        <v>185</v>
      </c>
      <c r="F352">
        <v>3</v>
      </c>
    </row>
    <row r="353" spans="1:6">
      <c r="A353" t="s">
        <v>399</v>
      </c>
      <c r="B353" t="s">
        <v>400</v>
      </c>
      <c r="C353" t="s">
        <v>24</v>
      </c>
      <c r="D353">
        <v>94.099997999999999</v>
      </c>
      <c r="E353" t="s">
        <v>185</v>
      </c>
      <c r="F353">
        <v>3</v>
      </c>
    </row>
    <row r="354" spans="1:6">
      <c r="A354" t="s">
        <v>401</v>
      </c>
      <c r="B354" t="s">
        <v>402</v>
      </c>
      <c r="C354" t="s">
        <v>24</v>
      </c>
      <c r="D354">
        <v>94</v>
      </c>
      <c r="E354" t="s">
        <v>185</v>
      </c>
      <c r="F354">
        <v>3</v>
      </c>
    </row>
    <row r="355" spans="1:6">
      <c r="A355" t="s">
        <v>403</v>
      </c>
      <c r="B355" t="s">
        <v>404</v>
      </c>
      <c r="C355" t="s">
        <v>24</v>
      </c>
      <c r="D355">
        <v>91.599997999999999</v>
      </c>
      <c r="E355" t="s">
        <v>185</v>
      </c>
      <c r="F355">
        <v>3</v>
      </c>
    </row>
    <row r="356" spans="1:6">
      <c r="A356" t="s">
        <v>405</v>
      </c>
      <c r="B356" t="s">
        <v>406</v>
      </c>
      <c r="C356" t="s">
        <v>24</v>
      </c>
      <c r="D356">
        <v>93.300003000000004</v>
      </c>
      <c r="E356" t="s">
        <v>185</v>
      </c>
      <c r="F356">
        <v>3</v>
      </c>
    </row>
    <row r="357" spans="1:6">
      <c r="A357" t="s">
        <v>407</v>
      </c>
      <c r="B357" t="s">
        <v>408</v>
      </c>
      <c r="C357" t="s">
        <v>24</v>
      </c>
      <c r="D357">
        <v>93.900002000000001</v>
      </c>
      <c r="E357" t="s">
        <v>185</v>
      </c>
      <c r="F357">
        <v>3</v>
      </c>
    </row>
    <row r="358" spans="1:6">
      <c r="A358" t="s">
        <v>409</v>
      </c>
      <c r="B358" t="s">
        <v>410</v>
      </c>
      <c r="C358" t="s">
        <v>24</v>
      </c>
      <c r="D358">
        <v>91.5</v>
      </c>
      <c r="E358" t="s">
        <v>185</v>
      </c>
      <c r="F358">
        <v>3</v>
      </c>
    </row>
    <row r="359" spans="1:6">
      <c r="A359" t="s">
        <v>411</v>
      </c>
      <c r="B359" t="s">
        <v>412</v>
      </c>
      <c r="C359" t="s">
        <v>24</v>
      </c>
      <c r="D359">
        <v>92.400002000000001</v>
      </c>
      <c r="E359" t="s">
        <v>185</v>
      </c>
      <c r="F359">
        <v>3</v>
      </c>
    </row>
    <row r="360" spans="1:6">
      <c r="A360" t="s">
        <v>413</v>
      </c>
      <c r="B360" t="s">
        <v>414</v>
      </c>
      <c r="C360" t="s">
        <v>24</v>
      </c>
      <c r="D360">
        <v>94.5</v>
      </c>
      <c r="E360" t="s">
        <v>185</v>
      </c>
      <c r="F360">
        <v>3</v>
      </c>
    </row>
    <row r="361" spans="1:6">
      <c r="A361" t="s">
        <v>415</v>
      </c>
      <c r="B361" t="s">
        <v>416</v>
      </c>
      <c r="C361" t="s">
        <v>24</v>
      </c>
      <c r="D361">
        <v>92.199996999999996</v>
      </c>
      <c r="E361" t="s">
        <v>185</v>
      </c>
      <c r="F361">
        <v>3</v>
      </c>
    </row>
    <row r="362" spans="1:6">
      <c r="A362" t="s">
        <v>417</v>
      </c>
      <c r="B362" t="s">
        <v>418</v>
      </c>
      <c r="C362" t="s">
        <v>24</v>
      </c>
      <c r="D362">
        <v>94.300003000000004</v>
      </c>
      <c r="E362" t="s">
        <v>185</v>
      </c>
      <c r="F362">
        <v>3</v>
      </c>
    </row>
    <row r="363" spans="1:6">
      <c r="A363" t="s">
        <v>419</v>
      </c>
      <c r="B363" t="s">
        <v>420</v>
      </c>
      <c r="C363" t="s">
        <v>24</v>
      </c>
      <c r="D363">
        <v>93.599997999999999</v>
      </c>
      <c r="E363" t="s">
        <v>185</v>
      </c>
      <c r="F363">
        <v>3</v>
      </c>
    </row>
    <row r="364" spans="1:6">
      <c r="A364" t="s">
        <v>421</v>
      </c>
      <c r="B364" t="s">
        <v>422</v>
      </c>
      <c r="C364" t="s">
        <v>24</v>
      </c>
      <c r="D364">
        <v>94.300003000000004</v>
      </c>
      <c r="E364" t="s">
        <v>185</v>
      </c>
      <c r="F364">
        <v>3</v>
      </c>
    </row>
    <row r="365" spans="1:6">
      <c r="A365" t="s">
        <v>423</v>
      </c>
      <c r="B365" t="s">
        <v>424</v>
      </c>
      <c r="C365" t="s">
        <v>24</v>
      </c>
      <c r="D365">
        <v>53.200001</v>
      </c>
      <c r="E365" t="s">
        <v>182</v>
      </c>
      <c r="F365">
        <v>3</v>
      </c>
    </row>
    <row r="366" spans="1:6">
      <c r="A366" t="s">
        <v>180</v>
      </c>
      <c r="B366" t="s">
        <v>181</v>
      </c>
      <c r="C366" t="s">
        <v>25</v>
      </c>
      <c r="D366">
        <v>92.300003000000004</v>
      </c>
      <c r="E366" t="s">
        <v>182</v>
      </c>
      <c r="F366">
        <v>4</v>
      </c>
    </row>
    <row r="367" spans="1:6">
      <c r="A367" t="s">
        <v>183</v>
      </c>
      <c r="B367" t="s">
        <v>184</v>
      </c>
      <c r="C367" t="s">
        <v>25</v>
      </c>
      <c r="D367">
        <v>93.5</v>
      </c>
      <c r="E367" t="s">
        <v>185</v>
      </c>
      <c r="F367">
        <v>4</v>
      </c>
    </row>
    <row r="368" spans="1:6">
      <c r="A368" t="s">
        <v>186</v>
      </c>
      <c r="B368" t="s">
        <v>187</v>
      </c>
      <c r="C368" t="s">
        <v>25</v>
      </c>
      <c r="D368">
        <v>93.5</v>
      </c>
      <c r="E368" t="s">
        <v>185</v>
      </c>
      <c r="F368">
        <v>4</v>
      </c>
    </row>
    <row r="369" spans="1:6">
      <c r="A369" t="s">
        <v>188</v>
      </c>
      <c r="B369" t="s">
        <v>189</v>
      </c>
      <c r="C369" t="s">
        <v>25</v>
      </c>
      <c r="D369">
        <v>92.599997999999999</v>
      </c>
      <c r="E369" t="s">
        <v>185</v>
      </c>
      <c r="F369">
        <v>4</v>
      </c>
    </row>
    <row r="370" spans="1:6">
      <c r="A370" t="s">
        <v>190</v>
      </c>
      <c r="B370" t="s">
        <v>191</v>
      </c>
      <c r="C370" t="s">
        <v>25</v>
      </c>
      <c r="D370">
        <v>94.400002000000001</v>
      </c>
      <c r="E370" t="s">
        <v>185</v>
      </c>
      <c r="F370">
        <v>4</v>
      </c>
    </row>
    <row r="371" spans="1:6">
      <c r="A371" t="s">
        <v>192</v>
      </c>
      <c r="B371" t="s">
        <v>193</v>
      </c>
      <c r="C371" t="s">
        <v>25</v>
      </c>
      <c r="D371">
        <v>92.800003000000004</v>
      </c>
      <c r="E371" t="s">
        <v>185</v>
      </c>
      <c r="F371">
        <v>4</v>
      </c>
    </row>
    <row r="372" spans="1:6">
      <c r="A372" t="s">
        <v>194</v>
      </c>
      <c r="B372" t="s">
        <v>195</v>
      </c>
      <c r="C372" t="s">
        <v>25</v>
      </c>
      <c r="D372">
        <v>91.900002000000001</v>
      </c>
      <c r="E372" t="s">
        <v>185</v>
      </c>
      <c r="F372">
        <v>4</v>
      </c>
    </row>
    <row r="373" spans="1:6">
      <c r="A373" t="s">
        <v>196</v>
      </c>
      <c r="B373" t="s">
        <v>197</v>
      </c>
      <c r="C373" t="s">
        <v>25</v>
      </c>
      <c r="D373">
        <v>93</v>
      </c>
      <c r="E373" t="s">
        <v>185</v>
      </c>
      <c r="F373">
        <v>4</v>
      </c>
    </row>
    <row r="374" spans="1:6">
      <c r="A374" t="s">
        <v>198</v>
      </c>
      <c r="B374" t="s">
        <v>199</v>
      </c>
      <c r="C374" t="s">
        <v>25</v>
      </c>
      <c r="D374">
        <v>93.199996999999996</v>
      </c>
      <c r="E374" t="s">
        <v>185</v>
      </c>
      <c r="F374">
        <v>4</v>
      </c>
    </row>
    <row r="375" spans="1:6">
      <c r="A375" t="s">
        <v>200</v>
      </c>
      <c r="B375" t="s">
        <v>201</v>
      </c>
      <c r="C375" t="s">
        <v>25</v>
      </c>
      <c r="D375">
        <v>92.900002000000001</v>
      </c>
      <c r="E375" t="s">
        <v>185</v>
      </c>
      <c r="F375">
        <v>4</v>
      </c>
    </row>
    <row r="376" spans="1:6">
      <c r="A376" t="s">
        <v>202</v>
      </c>
      <c r="B376" t="s">
        <v>203</v>
      </c>
      <c r="C376" t="s">
        <v>25</v>
      </c>
      <c r="D376">
        <v>93.800003000000004</v>
      </c>
      <c r="E376" t="s">
        <v>185</v>
      </c>
      <c r="F376">
        <v>4</v>
      </c>
    </row>
    <row r="377" spans="1:6">
      <c r="A377" t="s">
        <v>204</v>
      </c>
      <c r="B377" t="s">
        <v>205</v>
      </c>
      <c r="C377" t="s">
        <v>25</v>
      </c>
      <c r="D377">
        <v>92.300003000000004</v>
      </c>
      <c r="E377" t="s">
        <v>205</v>
      </c>
      <c r="F377">
        <v>4</v>
      </c>
    </row>
    <row r="378" spans="1:6">
      <c r="A378" t="s">
        <v>206</v>
      </c>
      <c r="B378" t="s">
        <v>207</v>
      </c>
      <c r="C378" t="s">
        <v>25</v>
      </c>
      <c r="D378">
        <v>94.599997999999999</v>
      </c>
      <c r="E378" t="s">
        <v>185</v>
      </c>
      <c r="F378">
        <v>4</v>
      </c>
    </row>
    <row r="379" spans="1:6">
      <c r="A379" t="s">
        <v>208</v>
      </c>
      <c r="B379" t="s">
        <v>209</v>
      </c>
      <c r="C379" t="s">
        <v>25</v>
      </c>
      <c r="D379">
        <v>92.5</v>
      </c>
      <c r="E379" t="s">
        <v>185</v>
      </c>
      <c r="F379">
        <v>4</v>
      </c>
    </row>
    <row r="380" spans="1:6">
      <c r="A380" t="s">
        <v>210</v>
      </c>
      <c r="B380" t="s">
        <v>211</v>
      </c>
      <c r="C380" t="s">
        <v>25</v>
      </c>
      <c r="D380">
        <v>93.400002000000001</v>
      </c>
      <c r="E380" t="s">
        <v>212</v>
      </c>
      <c r="F380">
        <v>4</v>
      </c>
    </row>
    <row r="381" spans="1:6">
      <c r="A381" t="s">
        <v>213</v>
      </c>
      <c r="B381" t="s">
        <v>214</v>
      </c>
      <c r="C381" t="s">
        <v>25</v>
      </c>
      <c r="D381">
        <v>94.699996999999996</v>
      </c>
      <c r="E381" t="s">
        <v>212</v>
      </c>
      <c r="F381">
        <v>4</v>
      </c>
    </row>
    <row r="382" spans="1:6">
      <c r="A382" t="s">
        <v>215</v>
      </c>
      <c r="B382" t="s">
        <v>216</v>
      </c>
      <c r="C382" t="s">
        <v>25</v>
      </c>
      <c r="D382">
        <v>92.900002000000001</v>
      </c>
      <c r="E382" t="s">
        <v>185</v>
      </c>
      <c r="F382">
        <v>4</v>
      </c>
    </row>
    <row r="383" spans="1:6">
      <c r="A383" t="s">
        <v>217</v>
      </c>
      <c r="B383" t="s">
        <v>218</v>
      </c>
      <c r="C383" t="s">
        <v>25</v>
      </c>
      <c r="D383">
        <v>91.900002000000001</v>
      </c>
      <c r="E383" t="s">
        <v>185</v>
      </c>
      <c r="F383">
        <v>4</v>
      </c>
    </row>
    <row r="384" spans="1:6">
      <c r="A384" t="s">
        <v>219</v>
      </c>
      <c r="B384" t="s">
        <v>220</v>
      </c>
      <c r="C384" t="s">
        <v>25</v>
      </c>
      <c r="D384">
        <v>91.599997999999999</v>
      </c>
      <c r="E384" t="s">
        <v>185</v>
      </c>
      <c r="F384">
        <v>4</v>
      </c>
    </row>
    <row r="385" spans="1:6">
      <c r="A385" t="s">
        <v>221</v>
      </c>
      <c r="B385" t="s">
        <v>222</v>
      </c>
      <c r="C385" t="s">
        <v>25</v>
      </c>
      <c r="D385">
        <v>94.400002000000001</v>
      </c>
      <c r="E385" t="s">
        <v>185</v>
      </c>
      <c r="F385">
        <v>4</v>
      </c>
    </row>
    <row r="386" spans="1:6">
      <c r="A386" t="s">
        <v>223</v>
      </c>
      <c r="B386" t="s">
        <v>224</v>
      </c>
      <c r="C386" t="s">
        <v>25</v>
      </c>
      <c r="D386">
        <v>93.300003000000004</v>
      </c>
      <c r="E386" t="s">
        <v>185</v>
      </c>
      <c r="F386">
        <v>4</v>
      </c>
    </row>
    <row r="387" spans="1:6">
      <c r="A387" t="s">
        <v>225</v>
      </c>
      <c r="B387" t="s">
        <v>226</v>
      </c>
      <c r="C387" t="s">
        <v>25</v>
      </c>
      <c r="D387">
        <v>93.599997999999999</v>
      </c>
      <c r="E387" t="s">
        <v>185</v>
      </c>
      <c r="F387">
        <v>4</v>
      </c>
    </row>
    <row r="388" spans="1:6">
      <c r="A388" t="s">
        <v>227</v>
      </c>
      <c r="B388" t="s">
        <v>228</v>
      </c>
      <c r="C388" t="s">
        <v>25</v>
      </c>
      <c r="D388">
        <v>93.199996999999996</v>
      </c>
      <c r="E388" t="s">
        <v>185</v>
      </c>
      <c r="F388">
        <v>4</v>
      </c>
    </row>
    <row r="389" spans="1:6">
      <c r="A389" t="s">
        <v>229</v>
      </c>
      <c r="B389" t="s">
        <v>230</v>
      </c>
      <c r="C389" t="s">
        <v>25</v>
      </c>
      <c r="D389">
        <v>92.599997999999999</v>
      </c>
      <c r="E389" t="s">
        <v>182</v>
      </c>
      <c r="F389">
        <v>4</v>
      </c>
    </row>
    <row r="390" spans="1:6">
      <c r="A390" t="s">
        <v>231</v>
      </c>
      <c r="B390" t="s">
        <v>232</v>
      </c>
      <c r="C390" t="s">
        <v>25</v>
      </c>
      <c r="D390">
        <v>91.300003000000004</v>
      </c>
      <c r="E390" t="s">
        <v>185</v>
      </c>
      <c r="F390">
        <v>4</v>
      </c>
    </row>
    <row r="391" spans="1:6">
      <c r="A391" t="s">
        <v>233</v>
      </c>
      <c r="B391" t="s">
        <v>234</v>
      </c>
      <c r="C391" t="s">
        <v>25</v>
      </c>
      <c r="D391">
        <v>93.900002000000001</v>
      </c>
      <c r="E391" t="s">
        <v>182</v>
      </c>
      <c r="F391">
        <v>4</v>
      </c>
    </row>
    <row r="392" spans="1:6">
      <c r="A392" t="s">
        <v>235</v>
      </c>
      <c r="B392" t="s">
        <v>236</v>
      </c>
      <c r="C392" t="s">
        <v>25</v>
      </c>
      <c r="D392">
        <v>93.099997999999999</v>
      </c>
      <c r="E392" t="s">
        <v>185</v>
      </c>
      <c r="F392">
        <v>4</v>
      </c>
    </row>
    <row r="393" spans="1:6">
      <c r="A393" t="s">
        <v>237</v>
      </c>
      <c r="B393" t="s">
        <v>238</v>
      </c>
      <c r="C393" t="s">
        <v>25</v>
      </c>
      <c r="D393">
        <v>92</v>
      </c>
      <c r="E393" t="s">
        <v>185</v>
      </c>
      <c r="F393">
        <v>4</v>
      </c>
    </row>
    <row r="394" spans="1:6">
      <c r="A394" t="s">
        <v>239</v>
      </c>
      <c r="B394" t="s">
        <v>240</v>
      </c>
      <c r="C394" t="s">
        <v>25</v>
      </c>
      <c r="D394">
        <v>94</v>
      </c>
      <c r="E394" t="s">
        <v>185</v>
      </c>
      <c r="F394">
        <v>4</v>
      </c>
    </row>
    <row r="395" spans="1:6">
      <c r="A395" t="s">
        <v>241</v>
      </c>
      <c r="B395" t="s">
        <v>242</v>
      </c>
      <c r="C395" t="s">
        <v>25</v>
      </c>
      <c r="D395">
        <v>94.099997999999999</v>
      </c>
      <c r="E395" t="s">
        <v>185</v>
      </c>
      <c r="F395">
        <v>4</v>
      </c>
    </row>
    <row r="396" spans="1:6">
      <c r="A396" t="s">
        <v>243</v>
      </c>
      <c r="B396" t="s">
        <v>244</v>
      </c>
      <c r="C396" t="s">
        <v>25</v>
      </c>
      <c r="D396">
        <v>93.599997999999999</v>
      </c>
      <c r="E396" t="s">
        <v>185</v>
      </c>
      <c r="F396">
        <v>4</v>
      </c>
    </row>
    <row r="397" spans="1:6">
      <c r="A397" t="s">
        <v>245</v>
      </c>
      <c r="B397" t="s">
        <v>246</v>
      </c>
      <c r="C397" t="s">
        <v>25</v>
      </c>
      <c r="D397">
        <v>91.599997999999999</v>
      </c>
      <c r="E397" t="s">
        <v>185</v>
      </c>
      <c r="F397">
        <v>4</v>
      </c>
    </row>
    <row r="398" spans="1:6">
      <c r="A398" t="s">
        <v>247</v>
      </c>
      <c r="B398" t="s">
        <v>248</v>
      </c>
      <c r="C398" t="s">
        <v>25</v>
      </c>
      <c r="D398">
        <v>93.699996999999996</v>
      </c>
      <c r="E398" t="s">
        <v>185</v>
      </c>
      <c r="F398">
        <v>4</v>
      </c>
    </row>
    <row r="399" spans="1:6">
      <c r="A399" t="s">
        <v>249</v>
      </c>
      <c r="B399" t="s">
        <v>250</v>
      </c>
      <c r="C399" t="s">
        <v>25</v>
      </c>
      <c r="D399">
        <v>94</v>
      </c>
      <c r="E399" t="s">
        <v>182</v>
      </c>
      <c r="F399">
        <v>4</v>
      </c>
    </row>
    <row r="400" spans="1:6">
      <c r="A400" t="s">
        <v>251</v>
      </c>
      <c r="B400" t="s">
        <v>252</v>
      </c>
      <c r="C400" t="s">
        <v>25</v>
      </c>
      <c r="D400">
        <v>91.400002000000001</v>
      </c>
      <c r="E400" t="s">
        <v>185</v>
      </c>
      <c r="F400">
        <v>4</v>
      </c>
    </row>
    <row r="401" spans="1:6">
      <c r="A401" t="s">
        <v>253</v>
      </c>
      <c r="B401" t="s">
        <v>254</v>
      </c>
      <c r="C401" t="s">
        <v>25</v>
      </c>
      <c r="D401">
        <v>92.699996999999996</v>
      </c>
      <c r="E401" t="s">
        <v>185</v>
      </c>
      <c r="F401">
        <v>4</v>
      </c>
    </row>
    <row r="402" spans="1:6">
      <c r="A402" t="s">
        <v>255</v>
      </c>
      <c r="B402" t="s">
        <v>256</v>
      </c>
      <c r="C402" t="s">
        <v>25</v>
      </c>
      <c r="D402">
        <v>94</v>
      </c>
      <c r="E402" t="s">
        <v>182</v>
      </c>
      <c r="F402">
        <v>4</v>
      </c>
    </row>
    <row r="403" spans="1:6">
      <c r="A403" t="s">
        <v>257</v>
      </c>
      <c r="B403" t="s">
        <v>258</v>
      </c>
      <c r="C403" t="s">
        <v>25</v>
      </c>
      <c r="D403">
        <v>94.699996999999996</v>
      </c>
      <c r="E403" t="s">
        <v>185</v>
      </c>
      <c r="F403">
        <v>4</v>
      </c>
    </row>
    <row r="404" spans="1:6">
      <c r="A404" t="s">
        <v>259</v>
      </c>
      <c r="B404" t="s">
        <v>260</v>
      </c>
      <c r="C404" t="s">
        <v>25</v>
      </c>
      <c r="D404">
        <v>93.5</v>
      </c>
      <c r="E404" t="s">
        <v>182</v>
      </c>
      <c r="F404">
        <v>4</v>
      </c>
    </row>
    <row r="405" spans="1:6">
      <c r="A405" t="s">
        <v>261</v>
      </c>
      <c r="B405" t="s">
        <v>262</v>
      </c>
      <c r="C405" t="s">
        <v>25</v>
      </c>
      <c r="D405">
        <v>93.400002000000001</v>
      </c>
      <c r="E405" t="s">
        <v>185</v>
      </c>
      <c r="F405">
        <v>4</v>
      </c>
    </row>
    <row r="406" spans="1:6">
      <c r="A406" t="s">
        <v>263</v>
      </c>
      <c r="B406" t="s">
        <v>264</v>
      </c>
      <c r="C406" t="s">
        <v>25</v>
      </c>
      <c r="D406">
        <v>94.199996999999996</v>
      </c>
      <c r="E406" t="s">
        <v>185</v>
      </c>
      <c r="F406">
        <v>4</v>
      </c>
    </row>
    <row r="407" spans="1:6">
      <c r="A407" t="s">
        <v>265</v>
      </c>
      <c r="B407" t="s">
        <v>266</v>
      </c>
      <c r="C407" t="s">
        <v>25</v>
      </c>
      <c r="D407">
        <v>93.800003000000004</v>
      </c>
      <c r="E407" t="s">
        <v>185</v>
      </c>
      <c r="F407">
        <v>4</v>
      </c>
    </row>
    <row r="408" spans="1:6">
      <c r="A408" t="s">
        <v>267</v>
      </c>
      <c r="B408" t="s">
        <v>268</v>
      </c>
      <c r="C408" t="s">
        <v>25</v>
      </c>
      <c r="D408">
        <v>94.099997999999999</v>
      </c>
      <c r="E408" t="s">
        <v>185</v>
      </c>
      <c r="F408">
        <v>4</v>
      </c>
    </row>
    <row r="409" spans="1:6">
      <c r="A409" t="s">
        <v>269</v>
      </c>
      <c r="B409" t="s">
        <v>270</v>
      </c>
      <c r="C409" t="s">
        <v>25</v>
      </c>
      <c r="D409">
        <v>93.199996999999996</v>
      </c>
      <c r="E409" t="s">
        <v>185</v>
      </c>
      <c r="F409">
        <v>4</v>
      </c>
    </row>
    <row r="410" spans="1:6">
      <c r="A410" t="s">
        <v>271</v>
      </c>
      <c r="B410" t="s">
        <v>272</v>
      </c>
      <c r="C410" t="s">
        <v>25</v>
      </c>
      <c r="D410">
        <v>93.900002000000001</v>
      </c>
      <c r="E410" t="s">
        <v>185</v>
      </c>
      <c r="F410">
        <v>4</v>
      </c>
    </row>
    <row r="411" spans="1:6">
      <c r="A411" t="s">
        <v>273</v>
      </c>
      <c r="B411" t="s">
        <v>274</v>
      </c>
      <c r="C411" t="s">
        <v>25</v>
      </c>
      <c r="D411">
        <v>92.800003000000004</v>
      </c>
      <c r="E411" t="s">
        <v>185</v>
      </c>
      <c r="F411">
        <v>4</v>
      </c>
    </row>
    <row r="412" spans="1:6">
      <c r="A412" t="s">
        <v>275</v>
      </c>
      <c r="B412" t="s">
        <v>276</v>
      </c>
      <c r="C412" t="s">
        <v>25</v>
      </c>
      <c r="D412">
        <v>56.299999</v>
      </c>
      <c r="E412" t="s">
        <v>182</v>
      </c>
      <c r="F412">
        <v>4</v>
      </c>
    </row>
    <row r="413" spans="1:6">
      <c r="A413" t="s">
        <v>277</v>
      </c>
      <c r="B413" t="s">
        <v>278</v>
      </c>
      <c r="C413" t="s">
        <v>25</v>
      </c>
      <c r="D413">
        <v>92.800003000000004</v>
      </c>
      <c r="E413" t="s">
        <v>185</v>
      </c>
      <c r="F413">
        <v>4</v>
      </c>
    </row>
    <row r="414" spans="1:6">
      <c r="A414" t="s">
        <v>279</v>
      </c>
      <c r="B414" t="s">
        <v>280</v>
      </c>
      <c r="C414" t="s">
        <v>25</v>
      </c>
      <c r="D414">
        <v>93.199996999999996</v>
      </c>
      <c r="E414" t="s">
        <v>185</v>
      </c>
      <c r="F414">
        <v>4</v>
      </c>
    </row>
    <row r="415" spans="1:6">
      <c r="A415" t="s">
        <v>281</v>
      </c>
      <c r="B415" t="s">
        <v>282</v>
      </c>
      <c r="C415" t="s">
        <v>25</v>
      </c>
      <c r="D415">
        <v>92.400002000000001</v>
      </c>
      <c r="E415" t="s">
        <v>185</v>
      </c>
      <c r="F415">
        <v>4</v>
      </c>
    </row>
    <row r="416" spans="1:6">
      <c r="A416" t="s">
        <v>283</v>
      </c>
      <c r="B416" t="s">
        <v>284</v>
      </c>
      <c r="C416" t="s">
        <v>25</v>
      </c>
      <c r="D416">
        <v>92.800003000000004</v>
      </c>
      <c r="E416" t="s">
        <v>185</v>
      </c>
      <c r="F416">
        <v>4</v>
      </c>
    </row>
    <row r="417" spans="1:6">
      <c r="A417" t="s">
        <v>285</v>
      </c>
      <c r="B417" t="s">
        <v>286</v>
      </c>
      <c r="C417" t="s">
        <v>25</v>
      </c>
      <c r="D417">
        <v>89</v>
      </c>
      <c r="E417" t="s">
        <v>182</v>
      </c>
      <c r="F417">
        <v>4</v>
      </c>
    </row>
    <row r="418" spans="1:6">
      <c r="A418" t="s">
        <v>287</v>
      </c>
      <c r="B418" t="s">
        <v>288</v>
      </c>
      <c r="C418" t="s">
        <v>25</v>
      </c>
      <c r="D418">
        <v>93.699996999999996</v>
      </c>
      <c r="E418" t="s">
        <v>182</v>
      </c>
      <c r="F418">
        <v>4</v>
      </c>
    </row>
    <row r="419" spans="1:6">
      <c r="A419" t="s">
        <v>289</v>
      </c>
      <c r="B419" t="s">
        <v>290</v>
      </c>
      <c r="C419" t="s">
        <v>25</v>
      </c>
      <c r="D419">
        <v>94.099997999999999</v>
      </c>
      <c r="E419" t="s">
        <v>185</v>
      </c>
      <c r="F419">
        <v>4</v>
      </c>
    </row>
    <row r="420" spans="1:6">
      <c r="A420" t="s">
        <v>291</v>
      </c>
      <c r="B420" t="s">
        <v>292</v>
      </c>
      <c r="C420" t="s">
        <v>25</v>
      </c>
      <c r="D420">
        <v>81.5</v>
      </c>
      <c r="E420" t="s">
        <v>182</v>
      </c>
      <c r="F420">
        <v>4</v>
      </c>
    </row>
    <row r="421" spans="1:6">
      <c r="A421" t="s">
        <v>293</v>
      </c>
      <c r="B421" t="s">
        <v>294</v>
      </c>
      <c r="C421" t="s">
        <v>25</v>
      </c>
      <c r="D421">
        <v>92</v>
      </c>
      <c r="E421" t="s">
        <v>182</v>
      </c>
      <c r="F421">
        <v>4</v>
      </c>
    </row>
    <row r="422" spans="1:6">
      <c r="A422" t="s">
        <v>295</v>
      </c>
      <c r="B422" t="s">
        <v>296</v>
      </c>
      <c r="C422" t="s">
        <v>25</v>
      </c>
      <c r="D422">
        <v>93.5</v>
      </c>
      <c r="E422" t="s">
        <v>185</v>
      </c>
      <c r="F422">
        <v>4</v>
      </c>
    </row>
    <row r="423" spans="1:6">
      <c r="A423" t="s">
        <v>297</v>
      </c>
      <c r="B423" t="s">
        <v>298</v>
      </c>
      <c r="C423" t="s">
        <v>25</v>
      </c>
      <c r="D423">
        <v>94.099997999999999</v>
      </c>
      <c r="E423" t="s">
        <v>185</v>
      </c>
      <c r="F423">
        <v>4</v>
      </c>
    </row>
    <row r="424" spans="1:6">
      <c r="A424" t="s">
        <v>299</v>
      </c>
      <c r="B424" t="s">
        <v>300</v>
      </c>
      <c r="C424" t="s">
        <v>25</v>
      </c>
      <c r="D424">
        <v>91.300003000000004</v>
      </c>
      <c r="E424" t="s">
        <v>212</v>
      </c>
      <c r="F424">
        <v>4</v>
      </c>
    </row>
    <row r="425" spans="1:6">
      <c r="A425" t="s">
        <v>301</v>
      </c>
      <c r="B425" t="s">
        <v>302</v>
      </c>
      <c r="C425" t="s">
        <v>25</v>
      </c>
      <c r="D425">
        <v>92.300003000000004</v>
      </c>
      <c r="E425" t="s">
        <v>185</v>
      </c>
      <c r="F425">
        <v>4</v>
      </c>
    </row>
    <row r="426" spans="1:6">
      <c r="A426" t="s">
        <v>303</v>
      </c>
      <c r="B426" t="s">
        <v>304</v>
      </c>
      <c r="C426" t="s">
        <v>25</v>
      </c>
      <c r="D426">
        <v>94.099997999999999</v>
      </c>
      <c r="E426" t="s">
        <v>212</v>
      </c>
      <c r="F426">
        <v>4</v>
      </c>
    </row>
    <row r="427" spans="1:6">
      <c r="A427" t="s">
        <v>305</v>
      </c>
      <c r="B427" t="s">
        <v>306</v>
      </c>
      <c r="C427" t="s">
        <v>25</v>
      </c>
      <c r="D427">
        <v>94.199996999999996</v>
      </c>
      <c r="E427" t="s">
        <v>185</v>
      </c>
      <c r="F427">
        <v>4</v>
      </c>
    </row>
    <row r="428" spans="1:6">
      <c r="A428" t="s">
        <v>307</v>
      </c>
      <c r="B428" t="s">
        <v>308</v>
      </c>
      <c r="C428" t="s">
        <v>25</v>
      </c>
      <c r="D428">
        <v>94.300003000000004</v>
      </c>
      <c r="E428" t="s">
        <v>185</v>
      </c>
      <c r="F428">
        <v>4</v>
      </c>
    </row>
    <row r="429" spans="1:6">
      <c r="A429" t="s">
        <v>309</v>
      </c>
      <c r="B429" t="s">
        <v>310</v>
      </c>
      <c r="C429" t="s">
        <v>25</v>
      </c>
      <c r="D429">
        <v>91.599997999999999</v>
      </c>
      <c r="E429" t="s">
        <v>185</v>
      </c>
      <c r="F429">
        <v>4</v>
      </c>
    </row>
    <row r="430" spans="1:6">
      <c r="A430" t="s">
        <v>311</v>
      </c>
      <c r="B430" t="s">
        <v>312</v>
      </c>
      <c r="C430" t="s">
        <v>25</v>
      </c>
      <c r="D430">
        <v>92.900002000000001</v>
      </c>
      <c r="E430" t="s">
        <v>185</v>
      </c>
      <c r="F430">
        <v>4</v>
      </c>
    </row>
    <row r="431" spans="1:6">
      <c r="A431" t="s">
        <v>313</v>
      </c>
      <c r="B431" t="s">
        <v>314</v>
      </c>
      <c r="C431" t="s">
        <v>25</v>
      </c>
      <c r="D431">
        <v>93.300003000000004</v>
      </c>
      <c r="E431" t="s">
        <v>185</v>
      </c>
      <c r="F431">
        <v>4</v>
      </c>
    </row>
    <row r="432" spans="1:6">
      <c r="A432" t="s">
        <v>315</v>
      </c>
      <c r="B432" t="s">
        <v>316</v>
      </c>
      <c r="C432" t="s">
        <v>25</v>
      </c>
      <c r="D432">
        <v>92.900002000000001</v>
      </c>
      <c r="E432" t="s">
        <v>185</v>
      </c>
      <c r="F432">
        <v>4</v>
      </c>
    </row>
    <row r="433" spans="1:6">
      <c r="A433" t="s">
        <v>317</v>
      </c>
      <c r="B433" t="s">
        <v>318</v>
      </c>
      <c r="C433" t="s">
        <v>25</v>
      </c>
      <c r="D433">
        <v>93.699996999999996</v>
      </c>
      <c r="E433" t="s">
        <v>182</v>
      </c>
      <c r="F433">
        <v>4</v>
      </c>
    </row>
    <row r="434" spans="1:6">
      <c r="A434" t="s">
        <v>319</v>
      </c>
      <c r="B434" t="s">
        <v>320</v>
      </c>
      <c r="C434" t="s">
        <v>25</v>
      </c>
      <c r="D434">
        <v>93.900002000000001</v>
      </c>
      <c r="E434" t="s">
        <v>185</v>
      </c>
      <c r="F434">
        <v>4</v>
      </c>
    </row>
    <row r="435" spans="1:6">
      <c r="A435" t="s">
        <v>321</v>
      </c>
      <c r="B435" t="s">
        <v>322</v>
      </c>
      <c r="C435" t="s">
        <v>25</v>
      </c>
      <c r="D435">
        <v>93.199996999999996</v>
      </c>
      <c r="E435" t="s">
        <v>185</v>
      </c>
      <c r="F435">
        <v>4</v>
      </c>
    </row>
    <row r="436" spans="1:6">
      <c r="A436" t="s">
        <v>323</v>
      </c>
      <c r="B436" t="s">
        <v>324</v>
      </c>
      <c r="C436" t="s">
        <v>25</v>
      </c>
      <c r="D436">
        <v>94.300003000000004</v>
      </c>
      <c r="E436" t="s">
        <v>185</v>
      </c>
      <c r="F436">
        <v>4</v>
      </c>
    </row>
    <row r="437" spans="1:6">
      <c r="A437" t="s">
        <v>325</v>
      </c>
      <c r="B437" t="s">
        <v>326</v>
      </c>
      <c r="C437" t="s">
        <v>25</v>
      </c>
      <c r="D437">
        <v>93.199996999999996</v>
      </c>
      <c r="E437" t="s">
        <v>185</v>
      </c>
      <c r="F437">
        <v>4</v>
      </c>
    </row>
    <row r="438" spans="1:6">
      <c r="A438" t="s">
        <v>327</v>
      </c>
      <c r="B438" t="s">
        <v>328</v>
      </c>
      <c r="C438" t="s">
        <v>25</v>
      </c>
      <c r="D438">
        <v>93.599997999999999</v>
      </c>
      <c r="E438" t="s">
        <v>212</v>
      </c>
      <c r="F438">
        <v>4</v>
      </c>
    </row>
    <row r="439" spans="1:6">
      <c r="A439" t="s">
        <v>329</v>
      </c>
      <c r="B439" t="s">
        <v>330</v>
      </c>
      <c r="C439" t="s">
        <v>25</v>
      </c>
      <c r="D439">
        <v>94.400002000000001</v>
      </c>
      <c r="E439" t="s">
        <v>185</v>
      </c>
      <c r="F439">
        <v>4</v>
      </c>
    </row>
    <row r="440" spans="1:6">
      <c r="A440" t="s">
        <v>331</v>
      </c>
      <c r="B440" t="s">
        <v>332</v>
      </c>
      <c r="C440" t="s">
        <v>25</v>
      </c>
      <c r="D440">
        <v>92.5</v>
      </c>
      <c r="E440" t="s">
        <v>185</v>
      </c>
      <c r="F440">
        <v>4</v>
      </c>
    </row>
    <row r="441" spans="1:6">
      <c r="A441" t="s">
        <v>333</v>
      </c>
      <c r="B441" t="s">
        <v>334</v>
      </c>
      <c r="C441" t="s">
        <v>25</v>
      </c>
      <c r="D441">
        <v>94.599997999999999</v>
      </c>
      <c r="E441" t="s">
        <v>185</v>
      </c>
      <c r="F441">
        <v>4</v>
      </c>
    </row>
    <row r="442" spans="1:6">
      <c r="A442" t="s">
        <v>335</v>
      </c>
      <c r="B442" t="s">
        <v>336</v>
      </c>
      <c r="C442" t="s">
        <v>25</v>
      </c>
      <c r="D442">
        <v>93.5</v>
      </c>
      <c r="E442" t="s">
        <v>185</v>
      </c>
      <c r="F442">
        <v>4</v>
      </c>
    </row>
    <row r="443" spans="1:6">
      <c r="A443" t="s">
        <v>337</v>
      </c>
      <c r="B443" t="s">
        <v>338</v>
      </c>
      <c r="C443" t="s">
        <v>25</v>
      </c>
      <c r="D443">
        <v>91</v>
      </c>
      <c r="E443" t="s">
        <v>182</v>
      </c>
      <c r="F443">
        <v>4</v>
      </c>
    </row>
    <row r="444" spans="1:6">
      <c r="A444" t="s">
        <v>339</v>
      </c>
      <c r="B444" t="s">
        <v>340</v>
      </c>
      <c r="C444" t="s">
        <v>25</v>
      </c>
      <c r="D444">
        <v>94.300003000000004</v>
      </c>
      <c r="E444" t="s">
        <v>185</v>
      </c>
      <c r="F444">
        <v>4</v>
      </c>
    </row>
    <row r="445" spans="1:6">
      <c r="A445" t="s">
        <v>341</v>
      </c>
      <c r="B445" t="s">
        <v>342</v>
      </c>
      <c r="C445" t="s">
        <v>25</v>
      </c>
      <c r="D445">
        <v>92.400002000000001</v>
      </c>
      <c r="E445" t="s">
        <v>182</v>
      </c>
      <c r="F445">
        <v>4</v>
      </c>
    </row>
    <row r="446" spans="1:6">
      <c r="A446" t="s">
        <v>343</v>
      </c>
      <c r="B446" t="s">
        <v>344</v>
      </c>
      <c r="C446" t="s">
        <v>25</v>
      </c>
      <c r="D446">
        <v>90.900002000000001</v>
      </c>
      <c r="E446" t="s">
        <v>185</v>
      </c>
      <c r="F446">
        <v>4</v>
      </c>
    </row>
    <row r="447" spans="1:6">
      <c r="A447" t="s">
        <v>345</v>
      </c>
      <c r="B447" t="s">
        <v>346</v>
      </c>
      <c r="C447" t="s">
        <v>25</v>
      </c>
      <c r="D447">
        <v>93</v>
      </c>
      <c r="E447" t="s">
        <v>185</v>
      </c>
      <c r="F447">
        <v>4</v>
      </c>
    </row>
    <row r="448" spans="1:6">
      <c r="A448" t="s">
        <v>347</v>
      </c>
      <c r="B448" t="s">
        <v>348</v>
      </c>
      <c r="C448" t="s">
        <v>25</v>
      </c>
      <c r="D448">
        <v>95</v>
      </c>
      <c r="E448" t="s">
        <v>185</v>
      </c>
      <c r="F448">
        <v>4</v>
      </c>
    </row>
    <row r="449" spans="1:6">
      <c r="A449" t="s">
        <v>349</v>
      </c>
      <c r="B449" t="s">
        <v>350</v>
      </c>
      <c r="C449" t="s">
        <v>25</v>
      </c>
      <c r="D449">
        <v>93.5</v>
      </c>
      <c r="E449" t="s">
        <v>185</v>
      </c>
      <c r="F449">
        <v>4</v>
      </c>
    </row>
    <row r="450" spans="1:6">
      <c r="A450" t="s">
        <v>351</v>
      </c>
      <c r="B450" t="s">
        <v>352</v>
      </c>
      <c r="C450" t="s">
        <v>25</v>
      </c>
      <c r="D450">
        <v>91.900002000000001</v>
      </c>
      <c r="E450" t="s">
        <v>185</v>
      </c>
      <c r="F450">
        <v>4</v>
      </c>
    </row>
    <row r="451" spans="1:6">
      <c r="A451" t="s">
        <v>353</v>
      </c>
      <c r="B451" t="s">
        <v>354</v>
      </c>
      <c r="C451" t="s">
        <v>25</v>
      </c>
      <c r="D451">
        <v>91.5</v>
      </c>
      <c r="E451" t="s">
        <v>185</v>
      </c>
      <c r="F451">
        <v>4</v>
      </c>
    </row>
    <row r="452" spans="1:6">
      <c r="A452" t="s">
        <v>355</v>
      </c>
      <c r="B452" t="s">
        <v>356</v>
      </c>
      <c r="C452" t="s">
        <v>25</v>
      </c>
      <c r="D452">
        <v>93.800003000000004</v>
      </c>
      <c r="E452" t="s">
        <v>185</v>
      </c>
      <c r="F452">
        <v>4</v>
      </c>
    </row>
    <row r="453" spans="1:6">
      <c r="A453" t="s">
        <v>357</v>
      </c>
      <c r="B453" t="s">
        <v>358</v>
      </c>
      <c r="C453" t="s">
        <v>25</v>
      </c>
      <c r="D453">
        <v>94.5</v>
      </c>
      <c r="E453" t="s">
        <v>212</v>
      </c>
      <c r="F453">
        <v>4</v>
      </c>
    </row>
    <row r="454" spans="1:6">
      <c r="A454" t="s">
        <v>359</v>
      </c>
      <c r="B454" t="s">
        <v>360</v>
      </c>
      <c r="C454" t="s">
        <v>25</v>
      </c>
      <c r="D454">
        <v>91.199996999999996</v>
      </c>
      <c r="E454" t="s">
        <v>185</v>
      </c>
      <c r="F454">
        <v>4</v>
      </c>
    </row>
    <row r="455" spans="1:6">
      <c r="A455" t="s">
        <v>361</v>
      </c>
      <c r="B455" t="s">
        <v>362</v>
      </c>
      <c r="C455" t="s">
        <v>25</v>
      </c>
      <c r="D455">
        <v>92.800003000000004</v>
      </c>
      <c r="E455" t="s">
        <v>185</v>
      </c>
      <c r="F455">
        <v>4</v>
      </c>
    </row>
    <row r="456" spans="1:6">
      <c r="A456" t="s">
        <v>363</v>
      </c>
      <c r="B456" t="s">
        <v>364</v>
      </c>
      <c r="C456" t="s">
        <v>25</v>
      </c>
      <c r="D456">
        <v>92.699996999999996</v>
      </c>
      <c r="E456" t="s">
        <v>185</v>
      </c>
      <c r="F456">
        <v>4</v>
      </c>
    </row>
    <row r="457" spans="1:6">
      <c r="A457" t="s">
        <v>365</v>
      </c>
      <c r="B457" t="s">
        <v>366</v>
      </c>
      <c r="C457" t="s">
        <v>25</v>
      </c>
      <c r="D457">
        <v>92.599997999999999</v>
      </c>
      <c r="E457" t="s">
        <v>185</v>
      </c>
      <c r="F457">
        <v>4</v>
      </c>
    </row>
    <row r="458" spans="1:6">
      <c r="A458" t="s">
        <v>367</v>
      </c>
      <c r="B458" t="s">
        <v>368</v>
      </c>
      <c r="C458" t="s">
        <v>25</v>
      </c>
      <c r="D458">
        <v>92.199996999999996</v>
      </c>
      <c r="E458" t="s">
        <v>185</v>
      </c>
      <c r="F458">
        <v>4</v>
      </c>
    </row>
    <row r="459" spans="1:6">
      <c r="A459" t="s">
        <v>369</v>
      </c>
      <c r="B459" t="s">
        <v>370</v>
      </c>
      <c r="C459" t="s">
        <v>25</v>
      </c>
      <c r="D459">
        <v>93.800003000000004</v>
      </c>
      <c r="E459" t="s">
        <v>185</v>
      </c>
      <c r="F459">
        <v>4</v>
      </c>
    </row>
    <row r="460" spans="1:6">
      <c r="A460" t="s">
        <v>371</v>
      </c>
      <c r="B460" t="s">
        <v>372</v>
      </c>
      <c r="C460" t="s">
        <v>25</v>
      </c>
      <c r="D460">
        <v>94</v>
      </c>
      <c r="E460" t="s">
        <v>185</v>
      </c>
      <c r="F460">
        <v>4</v>
      </c>
    </row>
    <row r="461" spans="1:6">
      <c r="A461" t="s">
        <v>373</v>
      </c>
      <c r="B461" t="s">
        <v>374</v>
      </c>
      <c r="C461" t="s">
        <v>25</v>
      </c>
      <c r="D461">
        <v>92.900002000000001</v>
      </c>
      <c r="E461" t="s">
        <v>185</v>
      </c>
      <c r="F461">
        <v>4</v>
      </c>
    </row>
    <row r="462" spans="1:6">
      <c r="A462" t="s">
        <v>375</v>
      </c>
      <c r="B462" t="s">
        <v>376</v>
      </c>
      <c r="C462" t="s">
        <v>25</v>
      </c>
      <c r="D462">
        <v>91.599997999999999</v>
      </c>
      <c r="E462" t="s">
        <v>185</v>
      </c>
      <c r="F462">
        <v>4</v>
      </c>
    </row>
    <row r="463" spans="1:6">
      <c r="A463" t="s">
        <v>377</v>
      </c>
      <c r="B463" t="s">
        <v>378</v>
      </c>
      <c r="C463" t="s">
        <v>25</v>
      </c>
      <c r="D463">
        <v>93</v>
      </c>
      <c r="E463" t="s">
        <v>185</v>
      </c>
      <c r="F463">
        <v>4</v>
      </c>
    </row>
    <row r="464" spans="1:6">
      <c r="A464" t="s">
        <v>379</v>
      </c>
      <c r="B464" t="s">
        <v>380</v>
      </c>
      <c r="C464" t="s">
        <v>25</v>
      </c>
      <c r="D464">
        <v>92</v>
      </c>
      <c r="E464" t="s">
        <v>185</v>
      </c>
      <c r="F464">
        <v>4</v>
      </c>
    </row>
    <row r="465" spans="1:6">
      <c r="A465" t="s">
        <v>381</v>
      </c>
      <c r="B465" t="s">
        <v>382</v>
      </c>
      <c r="C465" t="s">
        <v>25</v>
      </c>
      <c r="D465">
        <v>93.300003000000004</v>
      </c>
      <c r="E465" t="s">
        <v>185</v>
      </c>
      <c r="F465">
        <v>4</v>
      </c>
    </row>
    <row r="466" spans="1:6">
      <c r="A466" t="s">
        <v>383</v>
      </c>
      <c r="B466" t="s">
        <v>384</v>
      </c>
      <c r="C466" t="s">
        <v>25</v>
      </c>
      <c r="D466">
        <v>93.5</v>
      </c>
      <c r="E466" t="s">
        <v>212</v>
      </c>
      <c r="F466">
        <v>4</v>
      </c>
    </row>
    <row r="467" spans="1:6">
      <c r="A467" t="s">
        <v>385</v>
      </c>
      <c r="B467" t="s">
        <v>386</v>
      </c>
      <c r="C467" t="s">
        <v>25</v>
      </c>
      <c r="D467">
        <v>91.400002000000001</v>
      </c>
      <c r="E467" t="s">
        <v>185</v>
      </c>
      <c r="F467">
        <v>4</v>
      </c>
    </row>
    <row r="468" spans="1:6">
      <c r="A468" t="s">
        <v>387</v>
      </c>
      <c r="B468" t="s">
        <v>388</v>
      </c>
      <c r="C468" t="s">
        <v>25</v>
      </c>
      <c r="D468">
        <v>92.599997999999999</v>
      </c>
      <c r="E468" t="s">
        <v>182</v>
      </c>
      <c r="F468">
        <v>4</v>
      </c>
    </row>
    <row r="469" spans="1:6">
      <c r="A469" t="s">
        <v>389</v>
      </c>
      <c r="B469" t="s">
        <v>390</v>
      </c>
      <c r="C469" t="s">
        <v>25</v>
      </c>
      <c r="D469">
        <v>93.199996999999996</v>
      </c>
      <c r="E469" t="s">
        <v>185</v>
      </c>
      <c r="F469">
        <v>4</v>
      </c>
    </row>
    <row r="470" spans="1:6">
      <c r="A470" t="s">
        <v>391</v>
      </c>
      <c r="B470" t="s">
        <v>392</v>
      </c>
      <c r="C470" t="s">
        <v>25</v>
      </c>
      <c r="D470">
        <v>92.699996999999996</v>
      </c>
      <c r="E470" t="s">
        <v>185</v>
      </c>
      <c r="F470">
        <v>4</v>
      </c>
    </row>
    <row r="471" spans="1:6">
      <c r="A471" t="s">
        <v>393</v>
      </c>
      <c r="B471" t="s">
        <v>394</v>
      </c>
      <c r="C471" t="s">
        <v>25</v>
      </c>
      <c r="D471">
        <v>91.800003000000004</v>
      </c>
      <c r="E471" t="s">
        <v>185</v>
      </c>
      <c r="F471">
        <v>4</v>
      </c>
    </row>
    <row r="472" spans="1:6">
      <c r="A472" t="s">
        <v>395</v>
      </c>
      <c r="B472" t="s">
        <v>396</v>
      </c>
      <c r="C472" t="s">
        <v>25</v>
      </c>
      <c r="D472">
        <v>92</v>
      </c>
      <c r="E472" t="s">
        <v>185</v>
      </c>
      <c r="F472">
        <v>4</v>
      </c>
    </row>
    <row r="473" spans="1:6">
      <c r="A473" t="s">
        <v>397</v>
      </c>
      <c r="B473" t="s">
        <v>398</v>
      </c>
      <c r="C473" t="s">
        <v>25</v>
      </c>
      <c r="D473">
        <v>92.099997999999999</v>
      </c>
      <c r="E473" t="s">
        <v>185</v>
      </c>
      <c r="F473">
        <v>4</v>
      </c>
    </row>
    <row r="474" spans="1:6">
      <c r="A474" t="s">
        <v>399</v>
      </c>
      <c r="B474" t="s">
        <v>400</v>
      </c>
      <c r="C474" t="s">
        <v>25</v>
      </c>
      <c r="D474">
        <v>94.300003000000004</v>
      </c>
      <c r="E474" t="s">
        <v>185</v>
      </c>
      <c r="F474">
        <v>4</v>
      </c>
    </row>
    <row r="475" spans="1:6">
      <c r="A475" t="s">
        <v>401</v>
      </c>
      <c r="B475" t="s">
        <v>402</v>
      </c>
      <c r="C475" t="s">
        <v>25</v>
      </c>
      <c r="D475">
        <v>95.099997999999999</v>
      </c>
      <c r="E475" t="s">
        <v>185</v>
      </c>
      <c r="F475">
        <v>4</v>
      </c>
    </row>
    <row r="476" spans="1:6">
      <c r="A476" t="s">
        <v>403</v>
      </c>
      <c r="B476" t="s">
        <v>404</v>
      </c>
      <c r="C476" t="s">
        <v>25</v>
      </c>
      <c r="D476">
        <v>92.599997999999999</v>
      </c>
      <c r="E476" t="s">
        <v>185</v>
      </c>
      <c r="F476">
        <v>4</v>
      </c>
    </row>
    <row r="477" spans="1:6">
      <c r="A477" t="s">
        <v>405</v>
      </c>
      <c r="B477" t="s">
        <v>406</v>
      </c>
      <c r="C477" t="s">
        <v>25</v>
      </c>
      <c r="D477">
        <v>93.099997999999999</v>
      </c>
      <c r="E477" t="s">
        <v>185</v>
      </c>
      <c r="F477">
        <v>4</v>
      </c>
    </row>
    <row r="478" spans="1:6">
      <c r="A478" t="s">
        <v>407</v>
      </c>
      <c r="B478" t="s">
        <v>408</v>
      </c>
      <c r="C478" t="s">
        <v>25</v>
      </c>
      <c r="D478">
        <v>94.400002000000001</v>
      </c>
      <c r="E478" t="s">
        <v>185</v>
      </c>
      <c r="F478">
        <v>4</v>
      </c>
    </row>
    <row r="479" spans="1:6">
      <c r="A479" t="s">
        <v>409</v>
      </c>
      <c r="B479" t="s">
        <v>410</v>
      </c>
      <c r="C479" t="s">
        <v>25</v>
      </c>
      <c r="D479">
        <v>92.699996999999996</v>
      </c>
      <c r="E479" t="s">
        <v>185</v>
      </c>
      <c r="F479">
        <v>4</v>
      </c>
    </row>
    <row r="480" spans="1:6">
      <c r="A480" t="s">
        <v>411</v>
      </c>
      <c r="B480" t="s">
        <v>412</v>
      </c>
      <c r="C480" t="s">
        <v>25</v>
      </c>
      <c r="D480">
        <v>92.199996999999996</v>
      </c>
      <c r="E480" t="s">
        <v>185</v>
      </c>
      <c r="F480">
        <v>4</v>
      </c>
    </row>
    <row r="481" spans="1:6">
      <c r="A481" t="s">
        <v>413</v>
      </c>
      <c r="B481" t="s">
        <v>414</v>
      </c>
      <c r="C481" t="s">
        <v>25</v>
      </c>
      <c r="D481">
        <v>94.5</v>
      </c>
      <c r="E481" t="s">
        <v>185</v>
      </c>
      <c r="F481">
        <v>4</v>
      </c>
    </row>
    <row r="482" spans="1:6">
      <c r="A482" t="s">
        <v>415</v>
      </c>
      <c r="B482" t="s">
        <v>416</v>
      </c>
      <c r="C482" t="s">
        <v>25</v>
      </c>
      <c r="D482">
        <v>92.400002000000001</v>
      </c>
      <c r="E482" t="s">
        <v>185</v>
      </c>
      <c r="F482">
        <v>4</v>
      </c>
    </row>
    <row r="483" spans="1:6">
      <c r="A483" t="s">
        <v>417</v>
      </c>
      <c r="B483" t="s">
        <v>418</v>
      </c>
      <c r="C483" t="s">
        <v>25</v>
      </c>
      <c r="D483">
        <v>93.900002000000001</v>
      </c>
      <c r="E483" t="s">
        <v>185</v>
      </c>
      <c r="F483">
        <v>4</v>
      </c>
    </row>
    <row r="484" spans="1:6">
      <c r="A484" t="s">
        <v>419</v>
      </c>
      <c r="B484" t="s">
        <v>420</v>
      </c>
      <c r="C484" t="s">
        <v>25</v>
      </c>
      <c r="D484">
        <v>93</v>
      </c>
      <c r="E484" t="s">
        <v>185</v>
      </c>
      <c r="F484">
        <v>4</v>
      </c>
    </row>
    <row r="485" spans="1:6">
      <c r="A485" t="s">
        <v>421</v>
      </c>
      <c r="B485" t="s">
        <v>422</v>
      </c>
      <c r="C485" t="s">
        <v>25</v>
      </c>
      <c r="D485">
        <v>93.699996999999996</v>
      </c>
      <c r="E485" t="s">
        <v>185</v>
      </c>
      <c r="F485">
        <v>4</v>
      </c>
    </row>
    <row r="486" spans="1:6">
      <c r="A486" t="s">
        <v>423</v>
      </c>
      <c r="B486" t="s">
        <v>424</v>
      </c>
      <c r="C486" t="s">
        <v>25</v>
      </c>
      <c r="D486">
        <v>54.900002000000001</v>
      </c>
      <c r="E486" t="s">
        <v>182</v>
      </c>
      <c r="F486">
        <v>4</v>
      </c>
    </row>
    <row r="487" spans="1:6">
      <c r="A487" t="s">
        <v>180</v>
      </c>
      <c r="B487" t="s">
        <v>181</v>
      </c>
      <c r="C487" t="s">
        <v>26</v>
      </c>
      <c r="D487">
        <v>90.3</v>
      </c>
      <c r="E487" t="s">
        <v>182</v>
      </c>
      <c r="F487">
        <v>5</v>
      </c>
    </row>
    <row r="488" spans="1:6">
      <c r="A488" t="s">
        <v>183</v>
      </c>
      <c r="B488" t="s">
        <v>184</v>
      </c>
      <c r="C488" t="s">
        <v>26</v>
      </c>
      <c r="D488">
        <v>93.7</v>
      </c>
      <c r="E488" t="s">
        <v>185</v>
      </c>
      <c r="F488">
        <v>5</v>
      </c>
    </row>
    <row r="489" spans="1:6">
      <c r="A489" t="s">
        <v>186</v>
      </c>
      <c r="B489" t="s">
        <v>187</v>
      </c>
      <c r="C489" t="s">
        <v>26</v>
      </c>
      <c r="D489">
        <v>91.6</v>
      </c>
      <c r="E489" t="s">
        <v>185</v>
      </c>
      <c r="F489">
        <v>5</v>
      </c>
    </row>
    <row r="490" spans="1:6">
      <c r="A490" t="s">
        <v>188</v>
      </c>
      <c r="B490" t="s">
        <v>189</v>
      </c>
      <c r="C490" t="s">
        <v>26</v>
      </c>
      <c r="D490">
        <v>92</v>
      </c>
      <c r="E490" t="s">
        <v>185</v>
      </c>
      <c r="F490">
        <v>5</v>
      </c>
    </row>
    <row r="491" spans="1:6">
      <c r="A491" t="s">
        <v>190</v>
      </c>
      <c r="B491" t="s">
        <v>191</v>
      </c>
      <c r="C491" t="s">
        <v>26</v>
      </c>
      <c r="D491">
        <v>92.7</v>
      </c>
      <c r="E491" t="s">
        <v>185</v>
      </c>
      <c r="F491">
        <v>5</v>
      </c>
    </row>
    <row r="492" spans="1:6">
      <c r="A492" t="s">
        <v>192</v>
      </c>
      <c r="B492" t="s">
        <v>193</v>
      </c>
      <c r="C492" t="s">
        <v>26</v>
      </c>
      <c r="D492">
        <v>93.7</v>
      </c>
      <c r="E492" t="s">
        <v>185</v>
      </c>
      <c r="F492">
        <v>5</v>
      </c>
    </row>
    <row r="493" spans="1:6">
      <c r="A493" t="s">
        <v>194</v>
      </c>
      <c r="B493" t="s">
        <v>195</v>
      </c>
      <c r="C493" t="s">
        <v>26</v>
      </c>
      <c r="D493">
        <v>89.8</v>
      </c>
      <c r="E493" t="s">
        <v>185</v>
      </c>
      <c r="F493">
        <v>5</v>
      </c>
    </row>
    <row r="494" spans="1:6">
      <c r="A494" t="s">
        <v>196</v>
      </c>
      <c r="B494" t="s">
        <v>197</v>
      </c>
      <c r="C494" t="s">
        <v>26</v>
      </c>
      <c r="D494">
        <v>92.9</v>
      </c>
      <c r="E494" t="s">
        <v>185</v>
      </c>
      <c r="F494">
        <v>5</v>
      </c>
    </row>
    <row r="495" spans="1:6">
      <c r="A495" t="s">
        <v>198</v>
      </c>
      <c r="B495" t="s">
        <v>199</v>
      </c>
      <c r="C495" t="s">
        <v>26</v>
      </c>
      <c r="D495">
        <v>91.6</v>
      </c>
      <c r="E495" t="s">
        <v>185</v>
      </c>
      <c r="F495">
        <v>5</v>
      </c>
    </row>
    <row r="496" spans="1:6">
      <c r="A496" t="s">
        <v>200</v>
      </c>
      <c r="B496" t="s">
        <v>201</v>
      </c>
      <c r="C496" t="s">
        <v>26</v>
      </c>
      <c r="D496">
        <v>89.8</v>
      </c>
      <c r="E496" t="s">
        <v>185</v>
      </c>
      <c r="F496">
        <v>5</v>
      </c>
    </row>
    <row r="497" spans="1:6">
      <c r="A497" t="s">
        <v>202</v>
      </c>
      <c r="B497" t="s">
        <v>203</v>
      </c>
      <c r="C497" t="s">
        <v>26</v>
      </c>
      <c r="D497">
        <v>91.9</v>
      </c>
      <c r="E497" t="s">
        <v>185</v>
      </c>
      <c r="F497">
        <v>5</v>
      </c>
    </row>
    <row r="498" spans="1:6">
      <c r="A498" t="s">
        <v>204</v>
      </c>
      <c r="B498" t="s">
        <v>205</v>
      </c>
      <c r="C498" t="s">
        <v>26</v>
      </c>
      <c r="D498">
        <v>88.8</v>
      </c>
      <c r="E498" t="s">
        <v>205</v>
      </c>
      <c r="F498">
        <v>5</v>
      </c>
    </row>
    <row r="499" spans="1:6">
      <c r="A499" t="s">
        <v>206</v>
      </c>
      <c r="B499" t="s">
        <v>207</v>
      </c>
      <c r="C499" t="s">
        <v>26</v>
      </c>
      <c r="D499">
        <v>94.5</v>
      </c>
      <c r="E499" t="s">
        <v>185</v>
      </c>
      <c r="F499">
        <v>5</v>
      </c>
    </row>
    <row r="500" spans="1:6">
      <c r="A500" t="s">
        <v>208</v>
      </c>
      <c r="B500" t="s">
        <v>209</v>
      </c>
      <c r="C500" t="s">
        <v>26</v>
      </c>
      <c r="D500">
        <v>92.3</v>
      </c>
      <c r="E500" t="s">
        <v>185</v>
      </c>
      <c r="F500">
        <v>5</v>
      </c>
    </row>
    <row r="501" spans="1:6">
      <c r="A501" t="s">
        <v>210</v>
      </c>
      <c r="B501" t="s">
        <v>211</v>
      </c>
      <c r="C501" t="s">
        <v>26</v>
      </c>
      <c r="D501">
        <v>93.1</v>
      </c>
      <c r="E501" t="s">
        <v>212</v>
      </c>
      <c r="F501">
        <v>5</v>
      </c>
    </row>
    <row r="502" spans="1:6">
      <c r="A502" t="s">
        <v>213</v>
      </c>
      <c r="B502" t="s">
        <v>214</v>
      </c>
      <c r="C502" t="s">
        <v>26</v>
      </c>
      <c r="D502">
        <v>93.3</v>
      </c>
      <c r="E502" t="s">
        <v>212</v>
      </c>
      <c r="F502">
        <v>5</v>
      </c>
    </row>
    <row r="503" spans="1:6">
      <c r="A503" t="s">
        <v>215</v>
      </c>
      <c r="B503" t="s">
        <v>216</v>
      </c>
      <c r="C503" t="s">
        <v>26</v>
      </c>
      <c r="D503">
        <v>89.5</v>
      </c>
      <c r="E503" t="s">
        <v>185</v>
      </c>
      <c r="F503">
        <v>5</v>
      </c>
    </row>
    <row r="504" spans="1:6">
      <c r="A504" t="s">
        <v>217</v>
      </c>
      <c r="B504" t="s">
        <v>218</v>
      </c>
      <c r="C504" t="s">
        <v>26</v>
      </c>
      <c r="D504">
        <v>90.6</v>
      </c>
      <c r="E504" t="s">
        <v>185</v>
      </c>
      <c r="F504">
        <v>5</v>
      </c>
    </row>
    <row r="505" spans="1:6">
      <c r="A505" t="s">
        <v>219</v>
      </c>
      <c r="B505" t="s">
        <v>220</v>
      </c>
      <c r="C505" t="s">
        <v>26</v>
      </c>
      <c r="D505">
        <v>91.1</v>
      </c>
      <c r="E505" t="s">
        <v>185</v>
      </c>
      <c r="F505">
        <v>5</v>
      </c>
    </row>
    <row r="506" spans="1:6">
      <c r="A506" t="s">
        <v>221</v>
      </c>
      <c r="B506" t="s">
        <v>222</v>
      </c>
      <c r="C506" t="s">
        <v>26</v>
      </c>
      <c r="D506">
        <v>90.8</v>
      </c>
      <c r="E506" t="s">
        <v>185</v>
      </c>
      <c r="F506">
        <v>5</v>
      </c>
    </row>
    <row r="507" spans="1:6">
      <c r="A507" t="s">
        <v>223</v>
      </c>
      <c r="B507" t="s">
        <v>224</v>
      </c>
      <c r="C507" t="s">
        <v>26</v>
      </c>
      <c r="D507">
        <v>91.6</v>
      </c>
      <c r="E507" t="s">
        <v>185</v>
      </c>
      <c r="F507">
        <v>5</v>
      </c>
    </row>
    <row r="508" spans="1:6">
      <c r="A508" t="s">
        <v>225</v>
      </c>
      <c r="B508" t="s">
        <v>226</v>
      </c>
      <c r="C508" t="s">
        <v>26</v>
      </c>
      <c r="D508">
        <v>92</v>
      </c>
      <c r="E508" t="s">
        <v>185</v>
      </c>
      <c r="F508">
        <v>5</v>
      </c>
    </row>
    <row r="509" spans="1:6">
      <c r="A509" t="s">
        <v>227</v>
      </c>
      <c r="B509" t="s">
        <v>228</v>
      </c>
      <c r="C509" t="s">
        <v>26</v>
      </c>
      <c r="D509">
        <v>90.3</v>
      </c>
      <c r="E509" t="s">
        <v>185</v>
      </c>
      <c r="F509">
        <v>5</v>
      </c>
    </row>
    <row r="510" spans="1:6">
      <c r="A510" t="s">
        <v>229</v>
      </c>
      <c r="B510" t="s">
        <v>230</v>
      </c>
      <c r="C510" t="s">
        <v>26</v>
      </c>
      <c r="D510">
        <v>91.9</v>
      </c>
      <c r="E510" t="s">
        <v>182</v>
      </c>
      <c r="F510">
        <v>5</v>
      </c>
    </row>
    <row r="511" spans="1:6">
      <c r="A511" t="s">
        <v>231</v>
      </c>
      <c r="B511" t="s">
        <v>232</v>
      </c>
      <c r="C511" t="s">
        <v>26</v>
      </c>
      <c r="D511">
        <v>92.3</v>
      </c>
      <c r="E511" t="s">
        <v>185</v>
      </c>
      <c r="F511">
        <v>5</v>
      </c>
    </row>
    <row r="512" spans="1:6">
      <c r="A512" t="s">
        <v>233</v>
      </c>
      <c r="B512" t="s">
        <v>234</v>
      </c>
      <c r="C512" t="s">
        <v>26</v>
      </c>
      <c r="D512">
        <v>91.9</v>
      </c>
      <c r="E512" t="s">
        <v>182</v>
      </c>
      <c r="F512">
        <v>5</v>
      </c>
    </row>
    <row r="513" spans="1:6">
      <c r="A513" t="s">
        <v>235</v>
      </c>
      <c r="B513" t="s">
        <v>236</v>
      </c>
      <c r="C513" t="s">
        <v>26</v>
      </c>
      <c r="D513">
        <v>91.8</v>
      </c>
      <c r="E513" t="s">
        <v>185</v>
      </c>
      <c r="F513">
        <v>5</v>
      </c>
    </row>
    <row r="514" spans="1:6">
      <c r="A514" t="s">
        <v>237</v>
      </c>
      <c r="B514" t="s">
        <v>238</v>
      </c>
      <c r="C514" t="s">
        <v>26</v>
      </c>
      <c r="D514">
        <v>93.2</v>
      </c>
      <c r="E514" t="s">
        <v>185</v>
      </c>
      <c r="F514">
        <v>5</v>
      </c>
    </row>
    <row r="515" spans="1:6">
      <c r="A515" t="s">
        <v>239</v>
      </c>
      <c r="B515" t="s">
        <v>240</v>
      </c>
      <c r="C515" t="s">
        <v>26</v>
      </c>
      <c r="D515">
        <v>90.4</v>
      </c>
      <c r="E515" t="s">
        <v>185</v>
      </c>
      <c r="F515">
        <v>5</v>
      </c>
    </row>
    <row r="516" spans="1:6">
      <c r="A516" t="s">
        <v>241</v>
      </c>
      <c r="B516" t="s">
        <v>242</v>
      </c>
      <c r="C516" t="s">
        <v>26</v>
      </c>
      <c r="D516">
        <v>92.1</v>
      </c>
      <c r="E516" t="s">
        <v>185</v>
      </c>
      <c r="F516">
        <v>5</v>
      </c>
    </row>
    <row r="517" spans="1:6">
      <c r="A517" t="s">
        <v>243</v>
      </c>
      <c r="B517" t="s">
        <v>244</v>
      </c>
      <c r="C517" t="s">
        <v>26</v>
      </c>
      <c r="D517">
        <v>92.3</v>
      </c>
      <c r="E517" t="s">
        <v>185</v>
      </c>
      <c r="F517">
        <v>5</v>
      </c>
    </row>
    <row r="518" spans="1:6">
      <c r="A518" t="s">
        <v>245</v>
      </c>
      <c r="B518" t="s">
        <v>246</v>
      </c>
      <c r="C518" t="s">
        <v>26</v>
      </c>
      <c r="D518">
        <v>91.1</v>
      </c>
      <c r="E518" t="s">
        <v>185</v>
      </c>
      <c r="F518">
        <v>5</v>
      </c>
    </row>
    <row r="519" spans="1:6">
      <c r="A519" t="s">
        <v>247</v>
      </c>
      <c r="B519" t="s">
        <v>248</v>
      </c>
      <c r="C519" t="s">
        <v>26</v>
      </c>
      <c r="D519">
        <v>93.8</v>
      </c>
      <c r="E519" t="s">
        <v>185</v>
      </c>
      <c r="F519">
        <v>5</v>
      </c>
    </row>
    <row r="520" spans="1:6">
      <c r="A520" t="s">
        <v>249</v>
      </c>
      <c r="B520" t="s">
        <v>250</v>
      </c>
      <c r="C520" t="s">
        <v>26</v>
      </c>
      <c r="D520">
        <v>91.9</v>
      </c>
      <c r="E520" t="s">
        <v>182</v>
      </c>
      <c r="F520">
        <v>5</v>
      </c>
    </row>
    <row r="521" spans="1:6">
      <c r="A521" t="s">
        <v>251</v>
      </c>
      <c r="B521" t="s">
        <v>252</v>
      </c>
      <c r="C521" t="s">
        <v>26</v>
      </c>
      <c r="D521">
        <v>90.7</v>
      </c>
      <c r="E521" t="s">
        <v>185</v>
      </c>
      <c r="F521">
        <v>5</v>
      </c>
    </row>
    <row r="522" spans="1:6">
      <c r="A522" t="s">
        <v>253</v>
      </c>
      <c r="B522" t="s">
        <v>254</v>
      </c>
      <c r="C522" t="s">
        <v>26</v>
      </c>
      <c r="D522">
        <v>89.7</v>
      </c>
      <c r="E522" t="s">
        <v>185</v>
      </c>
      <c r="F522">
        <v>5</v>
      </c>
    </row>
    <row r="523" spans="1:6">
      <c r="A523" t="s">
        <v>255</v>
      </c>
      <c r="B523" t="s">
        <v>256</v>
      </c>
      <c r="C523" t="s">
        <v>26</v>
      </c>
      <c r="D523">
        <v>89.1</v>
      </c>
      <c r="E523" t="s">
        <v>182</v>
      </c>
      <c r="F523">
        <v>5</v>
      </c>
    </row>
    <row r="524" spans="1:6">
      <c r="A524" t="s">
        <v>257</v>
      </c>
      <c r="B524" t="s">
        <v>258</v>
      </c>
      <c r="C524" t="s">
        <v>26</v>
      </c>
      <c r="D524">
        <v>94.2</v>
      </c>
      <c r="E524" t="s">
        <v>185</v>
      </c>
      <c r="F524">
        <v>5</v>
      </c>
    </row>
    <row r="525" spans="1:6">
      <c r="A525" t="s">
        <v>259</v>
      </c>
      <c r="B525" t="s">
        <v>260</v>
      </c>
      <c r="C525" t="s">
        <v>26</v>
      </c>
      <c r="D525">
        <v>92.1</v>
      </c>
      <c r="E525" t="s">
        <v>182</v>
      </c>
      <c r="F525">
        <v>5</v>
      </c>
    </row>
    <row r="526" spans="1:6">
      <c r="A526" t="s">
        <v>261</v>
      </c>
      <c r="B526" t="s">
        <v>262</v>
      </c>
      <c r="C526" t="s">
        <v>26</v>
      </c>
      <c r="D526">
        <v>90.9</v>
      </c>
      <c r="E526" t="s">
        <v>185</v>
      </c>
      <c r="F526">
        <v>5</v>
      </c>
    </row>
    <row r="527" spans="1:6">
      <c r="A527" t="s">
        <v>263</v>
      </c>
      <c r="B527" t="s">
        <v>264</v>
      </c>
      <c r="C527" t="s">
        <v>26</v>
      </c>
      <c r="D527">
        <v>92.9</v>
      </c>
      <c r="E527" t="s">
        <v>185</v>
      </c>
      <c r="F527">
        <v>5</v>
      </c>
    </row>
    <row r="528" spans="1:6">
      <c r="A528" t="s">
        <v>265</v>
      </c>
      <c r="B528" t="s">
        <v>266</v>
      </c>
      <c r="C528" t="s">
        <v>26</v>
      </c>
      <c r="D528">
        <v>93.9</v>
      </c>
      <c r="E528" t="s">
        <v>185</v>
      </c>
      <c r="F528">
        <v>5</v>
      </c>
    </row>
    <row r="529" spans="1:6">
      <c r="A529" t="s">
        <v>267</v>
      </c>
      <c r="B529" t="s">
        <v>268</v>
      </c>
      <c r="C529" t="s">
        <v>26</v>
      </c>
      <c r="D529">
        <v>92.1</v>
      </c>
      <c r="E529" t="s">
        <v>185</v>
      </c>
      <c r="F529">
        <v>5</v>
      </c>
    </row>
    <row r="530" spans="1:6">
      <c r="A530" t="s">
        <v>269</v>
      </c>
      <c r="B530" t="s">
        <v>270</v>
      </c>
      <c r="C530" t="s">
        <v>26</v>
      </c>
      <c r="D530">
        <v>92.1</v>
      </c>
      <c r="E530" t="s">
        <v>185</v>
      </c>
      <c r="F530">
        <v>5</v>
      </c>
    </row>
    <row r="531" spans="1:6">
      <c r="A531" t="s">
        <v>271</v>
      </c>
      <c r="B531" t="s">
        <v>272</v>
      </c>
      <c r="C531" t="s">
        <v>26</v>
      </c>
      <c r="D531">
        <v>93.7</v>
      </c>
      <c r="E531" t="s">
        <v>185</v>
      </c>
      <c r="F531">
        <v>5</v>
      </c>
    </row>
    <row r="532" spans="1:6">
      <c r="A532" t="s">
        <v>273</v>
      </c>
      <c r="B532" t="s">
        <v>274</v>
      </c>
      <c r="C532" t="s">
        <v>26</v>
      </c>
      <c r="D532">
        <v>91.1</v>
      </c>
      <c r="E532" t="s">
        <v>185</v>
      </c>
      <c r="F532">
        <v>5</v>
      </c>
    </row>
    <row r="533" spans="1:6">
      <c r="A533" t="s">
        <v>275</v>
      </c>
      <c r="B533" t="s">
        <v>276</v>
      </c>
      <c r="C533" t="s">
        <v>26</v>
      </c>
      <c r="D533">
        <v>71.400000000000006</v>
      </c>
      <c r="E533" t="s">
        <v>182</v>
      </c>
      <c r="F533">
        <v>5</v>
      </c>
    </row>
    <row r="534" spans="1:6">
      <c r="A534" t="s">
        <v>277</v>
      </c>
      <c r="B534" t="s">
        <v>278</v>
      </c>
      <c r="C534" t="s">
        <v>26</v>
      </c>
      <c r="D534">
        <v>90.1</v>
      </c>
      <c r="E534" t="s">
        <v>185</v>
      </c>
      <c r="F534">
        <v>5</v>
      </c>
    </row>
    <row r="535" spans="1:6">
      <c r="A535" t="s">
        <v>279</v>
      </c>
      <c r="B535" t="s">
        <v>280</v>
      </c>
      <c r="C535" t="s">
        <v>26</v>
      </c>
      <c r="D535">
        <v>91.4</v>
      </c>
      <c r="E535" t="s">
        <v>185</v>
      </c>
      <c r="F535">
        <v>5</v>
      </c>
    </row>
    <row r="536" spans="1:6">
      <c r="A536" t="s">
        <v>281</v>
      </c>
      <c r="B536" t="s">
        <v>282</v>
      </c>
      <c r="C536" t="s">
        <v>26</v>
      </c>
      <c r="D536">
        <v>90.7</v>
      </c>
      <c r="E536" t="s">
        <v>185</v>
      </c>
      <c r="F536">
        <v>5</v>
      </c>
    </row>
    <row r="537" spans="1:6">
      <c r="A537" t="s">
        <v>283</v>
      </c>
      <c r="B537" t="s">
        <v>284</v>
      </c>
      <c r="C537" t="s">
        <v>26</v>
      </c>
      <c r="D537">
        <v>89.6</v>
      </c>
      <c r="E537" t="s">
        <v>185</v>
      </c>
      <c r="F537">
        <v>5</v>
      </c>
    </row>
    <row r="538" spans="1:6">
      <c r="A538" t="s">
        <v>285</v>
      </c>
      <c r="B538" t="s">
        <v>286</v>
      </c>
      <c r="C538" t="s">
        <v>26</v>
      </c>
      <c r="D538">
        <v>88.3</v>
      </c>
      <c r="E538" t="s">
        <v>182</v>
      </c>
      <c r="F538">
        <v>5</v>
      </c>
    </row>
    <row r="539" spans="1:6">
      <c r="A539" t="s">
        <v>287</v>
      </c>
      <c r="B539" t="s">
        <v>288</v>
      </c>
      <c r="C539" t="s">
        <v>26</v>
      </c>
      <c r="D539">
        <v>91.4</v>
      </c>
      <c r="E539" t="s">
        <v>182</v>
      </c>
      <c r="F539">
        <v>5</v>
      </c>
    </row>
    <row r="540" spans="1:6">
      <c r="A540" t="s">
        <v>289</v>
      </c>
      <c r="B540" t="s">
        <v>290</v>
      </c>
      <c r="C540" t="s">
        <v>26</v>
      </c>
      <c r="D540">
        <v>93.3</v>
      </c>
      <c r="E540" t="s">
        <v>185</v>
      </c>
      <c r="F540">
        <v>5</v>
      </c>
    </row>
    <row r="541" spans="1:6">
      <c r="A541" t="s">
        <v>291</v>
      </c>
      <c r="B541" t="s">
        <v>292</v>
      </c>
      <c r="C541" t="s">
        <v>26</v>
      </c>
      <c r="D541">
        <v>79.2</v>
      </c>
      <c r="E541" t="s">
        <v>182</v>
      </c>
      <c r="F541">
        <v>5</v>
      </c>
    </row>
    <row r="542" spans="1:6">
      <c r="A542" t="s">
        <v>293</v>
      </c>
      <c r="B542" t="s">
        <v>294</v>
      </c>
      <c r="C542" t="s">
        <v>26</v>
      </c>
      <c r="D542">
        <v>92.1</v>
      </c>
      <c r="E542" t="s">
        <v>182</v>
      </c>
      <c r="F542">
        <v>5</v>
      </c>
    </row>
    <row r="543" spans="1:6">
      <c r="A543" t="s">
        <v>295</v>
      </c>
      <c r="B543" t="s">
        <v>296</v>
      </c>
      <c r="C543" t="s">
        <v>26</v>
      </c>
      <c r="D543">
        <v>93.3</v>
      </c>
      <c r="E543" t="s">
        <v>185</v>
      </c>
      <c r="F543">
        <v>5</v>
      </c>
    </row>
    <row r="544" spans="1:6">
      <c r="A544" t="s">
        <v>297</v>
      </c>
      <c r="B544" t="s">
        <v>298</v>
      </c>
      <c r="C544" t="s">
        <v>26</v>
      </c>
      <c r="D544">
        <v>94.3</v>
      </c>
      <c r="E544" t="s">
        <v>185</v>
      </c>
      <c r="F544">
        <v>5</v>
      </c>
    </row>
    <row r="545" spans="1:6">
      <c r="A545" t="s">
        <v>299</v>
      </c>
      <c r="B545" t="s">
        <v>300</v>
      </c>
      <c r="C545" t="s">
        <v>26</v>
      </c>
      <c r="D545">
        <v>92.9</v>
      </c>
      <c r="E545" t="s">
        <v>212</v>
      </c>
      <c r="F545">
        <v>5</v>
      </c>
    </row>
    <row r="546" spans="1:6">
      <c r="A546" t="s">
        <v>301</v>
      </c>
      <c r="B546" t="s">
        <v>302</v>
      </c>
      <c r="C546" t="s">
        <v>26</v>
      </c>
      <c r="D546">
        <v>89.9</v>
      </c>
      <c r="E546" t="s">
        <v>185</v>
      </c>
      <c r="F546">
        <v>5</v>
      </c>
    </row>
    <row r="547" spans="1:6">
      <c r="A547" t="s">
        <v>303</v>
      </c>
      <c r="B547" t="s">
        <v>304</v>
      </c>
      <c r="C547" t="s">
        <v>26</v>
      </c>
      <c r="D547">
        <v>92.3</v>
      </c>
      <c r="E547" t="s">
        <v>212</v>
      </c>
      <c r="F547">
        <v>5</v>
      </c>
    </row>
    <row r="548" spans="1:6">
      <c r="A548" t="s">
        <v>305</v>
      </c>
      <c r="B548" t="s">
        <v>306</v>
      </c>
      <c r="C548" t="s">
        <v>26</v>
      </c>
      <c r="D548">
        <v>88.5</v>
      </c>
      <c r="E548" t="s">
        <v>185</v>
      </c>
      <c r="F548">
        <v>5</v>
      </c>
    </row>
    <row r="549" spans="1:6">
      <c r="A549" t="s">
        <v>307</v>
      </c>
      <c r="B549" t="s">
        <v>308</v>
      </c>
      <c r="C549" t="s">
        <v>26</v>
      </c>
      <c r="D549">
        <v>94.5</v>
      </c>
      <c r="E549" t="s">
        <v>185</v>
      </c>
      <c r="F549">
        <v>5</v>
      </c>
    </row>
    <row r="550" spans="1:6">
      <c r="A550" t="s">
        <v>309</v>
      </c>
      <c r="B550" t="s">
        <v>310</v>
      </c>
      <c r="C550" t="s">
        <v>26</v>
      </c>
      <c r="D550">
        <v>92.3</v>
      </c>
      <c r="E550" t="s">
        <v>185</v>
      </c>
      <c r="F550">
        <v>5</v>
      </c>
    </row>
    <row r="551" spans="1:6">
      <c r="A551" t="s">
        <v>311</v>
      </c>
      <c r="B551" t="s">
        <v>312</v>
      </c>
      <c r="C551" t="s">
        <v>26</v>
      </c>
      <c r="D551">
        <v>92</v>
      </c>
      <c r="E551" t="s">
        <v>185</v>
      </c>
      <c r="F551">
        <v>5</v>
      </c>
    </row>
    <row r="552" spans="1:6">
      <c r="A552" t="s">
        <v>313</v>
      </c>
      <c r="B552" t="s">
        <v>314</v>
      </c>
      <c r="C552" t="s">
        <v>26</v>
      </c>
      <c r="D552">
        <v>91.2</v>
      </c>
      <c r="E552" t="s">
        <v>185</v>
      </c>
      <c r="F552">
        <v>5</v>
      </c>
    </row>
    <row r="553" spans="1:6">
      <c r="A553" t="s">
        <v>315</v>
      </c>
      <c r="B553" t="s">
        <v>316</v>
      </c>
      <c r="C553" t="s">
        <v>26</v>
      </c>
      <c r="D553">
        <v>90.4</v>
      </c>
      <c r="E553" t="s">
        <v>185</v>
      </c>
      <c r="F553">
        <v>5</v>
      </c>
    </row>
    <row r="554" spans="1:6">
      <c r="A554" t="s">
        <v>317</v>
      </c>
      <c r="B554" t="s">
        <v>318</v>
      </c>
      <c r="C554" t="s">
        <v>26</v>
      </c>
      <c r="D554">
        <v>91.1</v>
      </c>
      <c r="E554" t="s">
        <v>182</v>
      </c>
      <c r="F554">
        <v>5</v>
      </c>
    </row>
    <row r="555" spans="1:6">
      <c r="A555" t="s">
        <v>319</v>
      </c>
      <c r="B555" t="s">
        <v>320</v>
      </c>
      <c r="C555" t="s">
        <v>26</v>
      </c>
      <c r="D555">
        <v>92.5</v>
      </c>
      <c r="E555" t="s">
        <v>185</v>
      </c>
      <c r="F555">
        <v>5</v>
      </c>
    </row>
    <row r="556" spans="1:6">
      <c r="A556" t="s">
        <v>321</v>
      </c>
      <c r="B556" t="s">
        <v>322</v>
      </c>
      <c r="C556" t="s">
        <v>26</v>
      </c>
      <c r="D556">
        <v>93.2</v>
      </c>
      <c r="E556" t="s">
        <v>185</v>
      </c>
      <c r="F556">
        <v>5</v>
      </c>
    </row>
    <row r="557" spans="1:6">
      <c r="A557" t="s">
        <v>323</v>
      </c>
      <c r="B557" t="s">
        <v>324</v>
      </c>
      <c r="C557" t="s">
        <v>26</v>
      </c>
      <c r="D557">
        <v>92.5</v>
      </c>
      <c r="E557" t="s">
        <v>185</v>
      </c>
      <c r="F557">
        <v>5</v>
      </c>
    </row>
    <row r="558" spans="1:6">
      <c r="A558" t="s">
        <v>325</v>
      </c>
      <c r="B558" t="s">
        <v>326</v>
      </c>
      <c r="C558" t="s">
        <v>26</v>
      </c>
      <c r="D558">
        <v>88.4</v>
      </c>
      <c r="E558" t="s">
        <v>185</v>
      </c>
      <c r="F558">
        <v>5</v>
      </c>
    </row>
    <row r="559" spans="1:6">
      <c r="A559" t="s">
        <v>327</v>
      </c>
      <c r="B559" t="s">
        <v>328</v>
      </c>
      <c r="C559" t="s">
        <v>26</v>
      </c>
      <c r="D559">
        <v>92.2</v>
      </c>
      <c r="E559" t="s">
        <v>212</v>
      </c>
      <c r="F559">
        <v>5</v>
      </c>
    </row>
    <row r="560" spans="1:6">
      <c r="A560" t="s">
        <v>329</v>
      </c>
      <c r="B560" t="s">
        <v>330</v>
      </c>
      <c r="C560" t="s">
        <v>26</v>
      </c>
      <c r="D560">
        <v>91</v>
      </c>
      <c r="E560" t="s">
        <v>185</v>
      </c>
      <c r="F560">
        <v>5</v>
      </c>
    </row>
    <row r="561" spans="1:6">
      <c r="A561" t="s">
        <v>331</v>
      </c>
      <c r="B561" t="s">
        <v>332</v>
      </c>
      <c r="C561" t="s">
        <v>26</v>
      </c>
      <c r="D561">
        <v>91.9</v>
      </c>
      <c r="E561" t="s">
        <v>185</v>
      </c>
      <c r="F561">
        <v>5</v>
      </c>
    </row>
    <row r="562" spans="1:6">
      <c r="A562" t="s">
        <v>333</v>
      </c>
      <c r="B562" t="s">
        <v>334</v>
      </c>
      <c r="C562" t="s">
        <v>26</v>
      </c>
      <c r="D562">
        <v>91.7</v>
      </c>
      <c r="E562" t="s">
        <v>185</v>
      </c>
      <c r="F562">
        <v>5</v>
      </c>
    </row>
    <row r="563" spans="1:6">
      <c r="A563" t="s">
        <v>335</v>
      </c>
      <c r="B563" t="s">
        <v>336</v>
      </c>
      <c r="C563" t="s">
        <v>26</v>
      </c>
      <c r="D563">
        <v>91.5</v>
      </c>
      <c r="E563" t="s">
        <v>185</v>
      </c>
      <c r="F563">
        <v>5</v>
      </c>
    </row>
    <row r="564" spans="1:6">
      <c r="A564" t="s">
        <v>337</v>
      </c>
      <c r="B564" t="s">
        <v>338</v>
      </c>
      <c r="C564" t="s">
        <v>26</v>
      </c>
      <c r="D564">
        <v>91.7</v>
      </c>
      <c r="E564" t="s">
        <v>182</v>
      </c>
      <c r="F564">
        <v>5</v>
      </c>
    </row>
    <row r="565" spans="1:6">
      <c r="A565" t="s">
        <v>339</v>
      </c>
      <c r="B565" t="s">
        <v>340</v>
      </c>
      <c r="C565" t="s">
        <v>26</v>
      </c>
      <c r="D565">
        <v>92.9</v>
      </c>
      <c r="E565" t="s">
        <v>185</v>
      </c>
      <c r="F565">
        <v>5</v>
      </c>
    </row>
    <row r="566" spans="1:6">
      <c r="A566" t="s">
        <v>341</v>
      </c>
      <c r="B566" t="s">
        <v>342</v>
      </c>
      <c r="C566" t="s">
        <v>26</v>
      </c>
      <c r="D566">
        <v>90.6</v>
      </c>
      <c r="E566" t="s">
        <v>182</v>
      </c>
      <c r="F566">
        <v>5</v>
      </c>
    </row>
    <row r="567" spans="1:6">
      <c r="A567" t="s">
        <v>343</v>
      </c>
      <c r="B567" t="s">
        <v>344</v>
      </c>
      <c r="C567" t="s">
        <v>26</v>
      </c>
      <c r="D567">
        <v>93.2</v>
      </c>
      <c r="E567" t="s">
        <v>185</v>
      </c>
      <c r="F567">
        <v>5</v>
      </c>
    </row>
    <row r="568" spans="1:6">
      <c r="A568" t="s">
        <v>345</v>
      </c>
      <c r="B568" t="s">
        <v>346</v>
      </c>
      <c r="C568" t="s">
        <v>26</v>
      </c>
      <c r="D568">
        <v>91.7</v>
      </c>
      <c r="E568" t="s">
        <v>185</v>
      </c>
      <c r="F568">
        <v>5</v>
      </c>
    </row>
    <row r="569" spans="1:6">
      <c r="A569" t="s">
        <v>347</v>
      </c>
      <c r="B569" t="s">
        <v>348</v>
      </c>
      <c r="C569" t="s">
        <v>26</v>
      </c>
      <c r="D569">
        <v>94.1</v>
      </c>
      <c r="E569" t="s">
        <v>185</v>
      </c>
      <c r="F569">
        <v>5</v>
      </c>
    </row>
    <row r="570" spans="1:6">
      <c r="A570" t="s">
        <v>349</v>
      </c>
      <c r="B570" t="s">
        <v>350</v>
      </c>
      <c r="C570" t="s">
        <v>26</v>
      </c>
      <c r="D570">
        <v>93.1</v>
      </c>
      <c r="E570" t="s">
        <v>185</v>
      </c>
      <c r="F570">
        <v>5</v>
      </c>
    </row>
    <row r="571" spans="1:6">
      <c r="A571" t="s">
        <v>351</v>
      </c>
      <c r="B571" t="s">
        <v>352</v>
      </c>
      <c r="C571" t="s">
        <v>26</v>
      </c>
      <c r="D571">
        <v>93.2</v>
      </c>
      <c r="E571" t="s">
        <v>185</v>
      </c>
      <c r="F571">
        <v>5</v>
      </c>
    </row>
    <row r="572" spans="1:6">
      <c r="A572" t="s">
        <v>353</v>
      </c>
      <c r="B572" t="s">
        <v>354</v>
      </c>
      <c r="C572" t="s">
        <v>26</v>
      </c>
      <c r="D572">
        <v>89.8</v>
      </c>
      <c r="E572" t="s">
        <v>185</v>
      </c>
      <c r="F572">
        <v>5</v>
      </c>
    </row>
    <row r="573" spans="1:6">
      <c r="A573" t="s">
        <v>355</v>
      </c>
      <c r="B573" t="s">
        <v>356</v>
      </c>
      <c r="C573" t="s">
        <v>26</v>
      </c>
      <c r="D573">
        <v>91.6</v>
      </c>
      <c r="E573" t="s">
        <v>185</v>
      </c>
      <c r="F573">
        <v>5</v>
      </c>
    </row>
    <row r="574" spans="1:6">
      <c r="A574" t="s">
        <v>357</v>
      </c>
      <c r="B574" t="s">
        <v>358</v>
      </c>
      <c r="C574" t="s">
        <v>26</v>
      </c>
      <c r="D574">
        <v>92.3</v>
      </c>
      <c r="E574" t="s">
        <v>212</v>
      </c>
      <c r="F574">
        <v>5</v>
      </c>
    </row>
    <row r="575" spans="1:6">
      <c r="A575" t="s">
        <v>359</v>
      </c>
      <c r="B575" t="s">
        <v>360</v>
      </c>
      <c r="C575" t="s">
        <v>26</v>
      </c>
      <c r="D575">
        <v>90.2</v>
      </c>
      <c r="E575" t="s">
        <v>185</v>
      </c>
      <c r="F575">
        <v>5</v>
      </c>
    </row>
    <row r="576" spans="1:6">
      <c r="A576" t="s">
        <v>361</v>
      </c>
      <c r="B576" t="s">
        <v>362</v>
      </c>
      <c r="C576" t="s">
        <v>26</v>
      </c>
      <c r="D576">
        <v>91.9</v>
      </c>
      <c r="E576" t="s">
        <v>185</v>
      </c>
      <c r="F576">
        <v>5</v>
      </c>
    </row>
    <row r="577" spans="1:6">
      <c r="A577" t="s">
        <v>363</v>
      </c>
      <c r="B577" t="s">
        <v>364</v>
      </c>
      <c r="C577" t="s">
        <v>26</v>
      </c>
      <c r="D577">
        <v>92.8</v>
      </c>
      <c r="E577" t="s">
        <v>185</v>
      </c>
      <c r="F577">
        <v>5</v>
      </c>
    </row>
    <row r="578" spans="1:6">
      <c r="A578" t="s">
        <v>365</v>
      </c>
      <c r="B578" t="s">
        <v>366</v>
      </c>
      <c r="C578" t="s">
        <v>26</v>
      </c>
      <c r="D578">
        <v>93</v>
      </c>
      <c r="E578" t="s">
        <v>185</v>
      </c>
      <c r="F578">
        <v>5</v>
      </c>
    </row>
    <row r="579" spans="1:6">
      <c r="A579" t="s">
        <v>367</v>
      </c>
      <c r="B579" t="s">
        <v>368</v>
      </c>
      <c r="C579" t="s">
        <v>26</v>
      </c>
      <c r="D579">
        <v>91.3</v>
      </c>
      <c r="E579" t="s">
        <v>185</v>
      </c>
      <c r="F579">
        <v>5</v>
      </c>
    </row>
    <row r="580" spans="1:6">
      <c r="A580" t="s">
        <v>369</v>
      </c>
      <c r="B580" t="s">
        <v>370</v>
      </c>
      <c r="C580" t="s">
        <v>26</v>
      </c>
      <c r="D580">
        <v>92.6</v>
      </c>
      <c r="E580" t="s">
        <v>185</v>
      </c>
      <c r="F580">
        <v>5</v>
      </c>
    </row>
    <row r="581" spans="1:6">
      <c r="A581" t="s">
        <v>371</v>
      </c>
      <c r="B581" t="s">
        <v>372</v>
      </c>
      <c r="C581" t="s">
        <v>26</v>
      </c>
      <c r="D581">
        <v>90.9</v>
      </c>
      <c r="E581" t="s">
        <v>185</v>
      </c>
      <c r="F581">
        <v>5</v>
      </c>
    </row>
    <row r="582" spans="1:6">
      <c r="A582" t="s">
        <v>373</v>
      </c>
      <c r="B582" t="s">
        <v>374</v>
      </c>
      <c r="C582" t="s">
        <v>26</v>
      </c>
      <c r="D582">
        <v>90</v>
      </c>
      <c r="E582" t="s">
        <v>185</v>
      </c>
      <c r="F582">
        <v>5</v>
      </c>
    </row>
    <row r="583" spans="1:6">
      <c r="A583" t="s">
        <v>375</v>
      </c>
      <c r="B583" t="s">
        <v>376</v>
      </c>
      <c r="C583" t="s">
        <v>26</v>
      </c>
      <c r="D583">
        <v>91.6</v>
      </c>
      <c r="E583" t="s">
        <v>185</v>
      </c>
      <c r="F583">
        <v>5</v>
      </c>
    </row>
    <row r="584" spans="1:6">
      <c r="A584" t="s">
        <v>377</v>
      </c>
      <c r="B584" t="s">
        <v>378</v>
      </c>
      <c r="C584" t="s">
        <v>26</v>
      </c>
      <c r="D584">
        <v>89.7</v>
      </c>
      <c r="E584" t="s">
        <v>185</v>
      </c>
      <c r="F584">
        <v>5</v>
      </c>
    </row>
    <row r="585" spans="1:6">
      <c r="A585" t="s">
        <v>379</v>
      </c>
      <c r="B585" t="s">
        <v>380</v>
      </c>
      <c r="C585" t="s">
        <v>26</v>
      </c>
      <c r="D585">
        <v>90.4</v>
      </c>
      <c r="E585" t="s">
        <v>185</v>
      </c>
      <c r="F585">
        <v>5</v>
      </c>
    </row>
    <row r="586" spans="1:6">
      <c r="A586" t="s">
        <v>381</v>
      </c>
      <c r="B586" t="s">
        <v>382</v>
      </c>
      <c r="C586" t="s">
        <v>26</v>
      </c>
      <c r="D586">
        <v>90.3</v>
      </c>
      <c r="E586" t="s">
        <v>185</v>
      </c>
      <c r="F586">
        <v>5</v>
      </c>
    </row>
    <row r="587" spans="1:6">
      <c r="A587" t="s">
        <v>383</v>
      </c>
      <c r="B587" t="s">
        <v>384</v>
      </c>
      <c r="C587" t="s">
        <v>26</v>
      </c>
      <c r="D587">
        <v>89.3</v>
      </c>
      <c r="E587" t="s">
        <v>212</v>
      </c>
      <c r="F587">
        <v>5</v>
      </c>
    </row>
    <row r="588" spans="1:6">
      <c r="A588" t="s">
        <v>385</v>
      </c>
      <c r="B588" t="s">
        <v>386</v>
      </c>
      <c r="C588" t="s">
        <v>26</v>
      </c>
      <c r="D588">
        <v>90</v>
      </c>
      <c r="E588" t="s">
        <v>185</v>
      </c>
      <c r="F588">
        <v>5</v>
      </c>
    </row>
    <row r="589" spans="1:6">
      <c r="A589" t="s">
        <v>387</v>
      </c>
      <c r="B589" t="s">
        <v>388</v>
      </c>
      <c r="C589" t="s">
        <v>26</v>
      </c>
      <c r="D589">
        <v>89.5</v>
      </c>
      <c r="E589" t="s">
        <v>182</v>
      </c>
      <c r="F589">
        <v>5</v>
      </c>
    </row>
    <row r="590" spans="1:6">
      <c r="A590" t="s">
        <v>389</v>
      </c>
      <c r="B590" t="s">
        <v>390</v>
      </c>
      <c r="C590" t="s">
        <v>26</v>
      </c>
      <c r="D590">
        <v>92.5</v>
      </c>
      <c r="E590" t="s">
        <v>185</v>
      </c>
      <c r="F590">
        <v>5</v>
      </c>
    </row>
    <row r="591" spans="1:6">
      <c r="A591" t="s">
        <v>391</v>
      </c>
      <c r="B591" t="s">
        <v>392</v>
      </c>
      <c r="C591" t="s">
        <v>26</v>
      </c>
      <c r="D591">
        <v>91.5</v>
      </c>
      <c r="E591" t="s">
        <v>185</v>
      </c>
      <c r="F591">
        <v>5</v>
      </c>
    </row>
    <row r="592" spans="1:6">
      <c r="A592" t="s">
        <v>393</v>
      </c>
      <c r="B592" t="s">
        <v>394</v>
      </c>
      <c r="C592" t="s">
        <v>26</v>
      </c>
      <c r="D592">
        <v>90.2</v>
      </c>
      <c r="E592" t="s">
        <v>185</v>
      </c>
      <c r="F592">
        <v>5</v>
      </c>
    </row>
    <row r="593" spans="1:6">
      <c r="A593" t="s">
        <v>395</v>
      </c>
      <c r="B593" t="s">
        <v>396</v>
      </c>
      <c r="C593" t="s">
        <v>26</v>
      </c>
      <c r="D593">
        <v>92</v>
      </c>
      <c r="E593" t="s">
        <v>185</v>
      </c>
      <c r="F593">
        <v>5</v>
      </c>
    </row>
    <row r="594" spans="1:6">
      <c r="A594" t="s">
        <v>397</v>
      </c>
      <c r="B594" t="s">
        <v>398</v>
      </c>
      <c r="C594" t="s">
        <v>26</v>
      </c>
      <c r="D594">
        <v>91.2</v>
      </c>
      <c r="E594" t="s">
        <v>185</v>
      </c>
      <c r="F594">
        <v>5</v>
      </c>
    </row>
    <row r="595" spans="1:6">
      <c r="A595" t="s">
        <v>399</v>
      </c>
      <c r="B595" t="s">
        <v>400</v>
      </c>
      <c r="C595" t="s">
        <v>26</v>
      </c>
      <c r="D595">
        <v>94.7</v>
      </c>
      <c r="E595" t="s">
        <v>185</v>
      </c>
      <c r="F595">
        <v>5</v>
      </c>
    </row>
    <row r="596" spans="1:6">
      <c r="A596" t="s">
        <v>401</v>
      </c>
      <c r="B596" t="s">
        <v>402</v>
      </c>
      <c r="C596" t="s">
        <v>26</v>
      </c>
      <c r="D596">
        <v>93</v>
      </c>
      <c r="E596" t="s">
        <v>185</v>
      </c>
      <c r="F596">
        <v>5</v>
      </c>
    </row>
    <row r="597" spans="1:6">
      <c r="A597" t="s">
        <v>403</v>
      </c>
      <c r="B597" t="s">
        <v>404</v>
      </c>
      <c r="C597" t="s">
        <v>26</v>
      </c>
      <c r="D597">
        <v>91.9</v>
      </c>
      <c r="E597" t="s">
        <v>185</v>
      </c>
      <c r="F597">
        <v>5</v>
      </c>
    </row>
    <row r="598" spans="1:6">
      <c r="A598" t="s">
        <v>405</v>
      </c>
      <c r="B598" t="s">
        <v>406</v>
      </c>
      <c r="C598" t="s">
        <v>26</v>
      </c>
      <c r="D598">
        <v>93</v>
      </c>
      <c r="E598" t="s">
        <v>185</v>
      </c>
      <c r="F598">
        <v>5</v>
      </c>
    </row>
    <row r="599" spans="1:6">
      <c r="A599" t="s">
        <v>407</v>
      </c>
      <c r="B599" t="s">
        <v>408</v>
      </c>
      <c r="C599" t="s">
        <v>26</v>
      </c>
      <c r="D599">
        <v>93.7</v>
      </c>
      <c r="E599" t="s">
        <v>185</v>
      </c>
      <c r="F599">
        <v>5</v>
      </c>
    </row>
    <row r="600" spans="1:6">
      <c r="A600" t="s">
        <v>409</v>
      </c>
      <c r="B600" t="s">
        <v>410</v>
      </c>
      <c r="C600" t="s">
        <v>26</v>
      </c>
      <c r="D600">
        <v>89.8</v>
      </c>
      <c r="E600" t="s">
        <v>185</v>
      </c>
      <c r="F600">
        <v>5</v>
      </c>
    </row>
    <row r="601" spans="1:6">
      <c r="A601" t="s">
        <v>411</v>
      </c>
      <c r="B601" t="s">
        <v>412</v>
      </c>
      <c r="C601" t="s">
        <v>26</v>
      </c>
      <c r="D601">
        <v>92.1</v>
      </c>
      <c r="E601" t="s">
        <v>185</v>
      </c>
      <c r="F601">
        <v>5</v>
      </c>
    </row>
    <row r="602" spans="1:6">
      <c r="A602" t="s">
        <v>413</v>
      </c>
      <c r="B602" t="s">
        <v>414</v>
      </c>
      <c r="C602" t="s">
        <v>26</v>
      </c>
      <c r="D602">
        <v>90.5</v>
      </c>
      <c r="E602" t="s">
        <v>185</v>
      </c>
      <c r="F602">
        <v>5</v>
      </c>
    </row>
    <row r="603" spans="1:6">
      <c r="A603" t="s">
        <v>415</v>
      </c>
      <c r="B603" t="s">
        <v>416</v>
      </c>
      <c r="C603" t="s">
        <v>26</v>
      </c>
      <c r="D603">
        <v>90.2</v>
      </c>
      <c r="E603" t="s">
        <v>185</v>
      </c>
      <c r="F603">
        <v>5</v>
      </c>
    </row>
    <row r="604" spans="1:6">
      <c r="A604" t="s">
        <v>417</v>
      </c>
      <c r="B604" t="s">
        <v>418</v>
      </c>
      <c r="C604" t="s">
        <v>26</v>
      </c>
      <c r="D604">
        <v>92.6</v>
      </c>
      <c r="E604" t="s">
        <v>185</v>
      </c>
      <c r="F604">
        <v>5</v>
      </c>
    </row>
    <row r="605" spans="1:6">
      <c r="A605" t="s">
        <v>419</v>
      </c>
      <c r="B605" t="s">
        <v>420</v>
      </c>
      <c r="C605" t="s">
        <v>26</v>
      </c>
      <c r="D605">
        <v>92.1</v>
      </c>
      <c r="E605" t="s">
        <v>185</v>
      </c>
      <c r="F605">
        <v>5</v>
      </c>
    </row>
    <row r="606" spans="1:6">
      <c r="A606" t="s">
        <v>421</v>
      </c>
      <c r="B606" t="s">
        <v>422</v>
      </c>
      <c r="C606" t="s">
        <v>26</v>
      </c>
      <c r="D606">
        <v>94.2</v>
      </c>
      <c r="E606" t="s">
        <v>185</v>
      </c>
      <c r="F606">
        <v>5</v>
      </c>
    </row>
    <row r="607" spans="1:6">
      <c r="A607" t="s">
        <v>423</v>
      </c>
      <c r="B607" t="s">
        <v>424</v>
      </c>
      <c r="C607" t="s">
        <v>26</v>
      </c>
      <c r="D607">
        <v>52.3</v>
      </c>
      <c r="E607" t="s">
        <v>182</v>
      </c>
      <c r="F607">
        <v>5</v>
      </c>
    </row>
    <row r="608" spans="1:6">
      <c r="A608" t="s">
        <v>180</v>
      </c>
      <c r="B608" t="s">
        <v>181</v>
      </c>
      <c r="C608" t="s">
        <v>27</v>
      </c>
      <c r="D608">
        <v>91.1</v>
      </c>
      <c r="E608" t="s">
        <v>182</v>
      </c>
      <c r="F608">
        <v>6</v>
      </c>
    </row>
    <row r="609" spans="1:6">
      <c r="A609" t="s">
        <v>183</v>
      </c>
      <c r="B609" t="s">
        <v>184</v>
      </c>
      <c r="C609" t="s">
        <v>27</v>
      </c>
      <c r="D609">
        <v>92.2</v>
      </c>
      <c r="E609" t="s">
        <v>185</v>
      </c>
      <c r="F609">
        <v>6</v>
      </c>
    </row>
    <row r="610" spans="1:6">
      <c r="A610" t="s">
        <v>186</v>
      </c>
      <c r="B610" t="s">
        <v>187</v>
      </c>
      <c r="C610" t="s">
        <v>27</v>
      </c>
      <c r="D610">
        <v>91</v>
      </c>
      <c r="E610" t="s">
        <v>185</v>
      </c>
      <c r="F610">
        <v>6</v>
      </c>
    </row>
    <row r="611" spans="1:6">
      <c r="A611" t="s">
        <v>188</v>
      </c>
      <c r="B611" t="s">
        <v>189</v>
      </c>
      <c r="C611" t="s">
        <v>27</v>
      </c>
      <c r="D611">
        <v>93.1</v>
      </c>
      <c r="E611" t="s">
        <v>185</v>
      </c>
      <c r="F611">
        <v>6</v>
      </c>
    </row>
    <row r="612" spans="1:6">
      <c r="A612" t="s">
        <v>190</v>
      </c>
      <c r="B612" t="s">
        <v>191</v>
      </c>
      <c r="C612" t="s">
        <v>27</v>
      </c>
      <c r="D612">
        <v>92.9</v>
      </c>
      <c r="E612" t="s">
        <v>185</v>
      </c>
      <c r="F612">
        <v>6</v>
      </c>
    </row>
    <row r="613" spans="1:6">
      <c r="A613" t="s">
        <v>192</v>
      </c>
      <c r="B613" t="s">
        <v>193</v>
      </c>
      <c r="C613" t="s">
        <v>27</v>
      </c>
      <c r="D613">
        <v>93.6</v>
      </c>
      <c r="E613" t="s">
        <v>185</v>
      </c>
      <c r="F613">
        <v>6</v>
      </c>
    </row>
    <row r="614" spans="1:6">
      <c r="A614" t="s">
        <v>194</v>
      </c>
      <c r="B614" t="s">
        <v>195</v>
      </c>
      <c r="C614" t="s">
        <v>27</v>
      </c>
      <c r="D614">
        <v>92</v>
      </c>
      <c r="E614" t="s">
        <v>185</v>
      </c>
      <c r="F614">
        <v>6</v>
      </c>
    </row>
    <row r="615" spans="1:6">
      <c r="A615" t="s">
        <v>196</v>
      </c>
      <c r="B615" t="s">
        <v>197</v>
      </c>
      <c r="C615" t="s">
        <v>27</v>
      </c>
      <c r="D615">
        <v>93</v>
      </c>
      <c r="E615" t="s">
        <v>185</v>
      </c>
      <c r="F615">
        <v>6</v>
      </c>
    </row>
    <row r="616" spans="1:6">
      <c r="A616" t="s">
        <v>198</v>
      </c>
      <c r="B616" t="s">
        <v>199</v>
      </c>
      <c r="C616" t="s">
        <v>27</v>
      </c>
      <c r="D616">
        <v>92</v>
      </c>
      <c r="E616" t="s">
        <v>185</v>
      </c>
      <c r="F616">
        <v>6</v>
      </c>
    </row>
    <row r="617" spans="1:6">
      <c r="A617" t="s">
        <v>200</v>
      </c>
      <c r="B617" t="s">
        <v>201</v>
      </c>
      <c r="C617" t="s">
        <v>27</v>
      </c>
      <c r="D617">
        <v>90.8</v>
      </c>
      <c r="E617" t="s">
        <v>185</v>
      </c>
      <c r="F617">
        <v>6</v>
      </c>
    </row>
    <row r="618" spans="1:6">
      <c r="A618" t="s">
        <v>202</v>
      </c>
      <c r="B618" t="s">
        <v>203</v>
      </c>
      <c r="C618" t="s">
        <v>27</v>
      </c>
      <c r="D618">
        <v>92.6</v>
      </c>
      <c r="E618" t="s">
        <v>185</v>
      </c>
      <c r="F618">
        <v>6</v>
      </c>
    </row>
    <row r="619" spans="1:6">
      <c r="A619" t="s">
        <v>204</v>
      </c>
      <c r="B619" t="s">
        <v>205</v>
      </c>
      <c r="C619" t="s">
        <v>27</v>
      </c>
      <c r="D619">
        <v>91.3</v>
      </c>
      <c r="E619" t="s">
        <v>205</v>
      </c>
      <c r="F619">
        <v>6</v>
      </c>
    </row>
    <row r="620" spans="1:6">
      <c r="A620" t="s">
        <v>206</v>
      </c>
      <c r="B620" t="s">
        <v>207</v>
      </c>
      <c r="C620" t="s">
        <v>27</v>
      </c>
      <c r="D620">
        <v>94.5</v>
      </c>
      <c r="E620" t="s">
        <v>185</v>
      </c>
      <c r="F620">
        <v>6</v>
      </c>
    </row>
    <row r="621" spans="1:6">
      <c r="A621" t="s">
        <v>208</v>
      </c>
      <c r="B621" t="s">
        <v>209</v>
      </c>
      <c r="C621" t="s">
        <v>27</v>
      </c>
      <c r="D621">
        <v>90.3</v>
      </c>
      <c r="E621" t="s">
        <v>185</v>
      </c>
      <c r="F621">
        <v>6</v>
      </c>
    </row>
    <row r="622" spans="1:6">
      <c r="A622" t="s">
        <v>210</v>
      </c>
      <c r="B622" t="s">
        <v>211</v>
      </c>
      <c r="C622" t="s">
        <v>27</v>
      </c>
      <c r="D622">
        <v>92.7</v>
      </c>
      <c r="E622" t="s">
        <v>212</v>
      </c>
      <c r="F622">
        <v>6</v>
      </c>
    </row>
    <row r="623" spans="1:6">
      <c r="A623" t="s">
        <v>213</v>
      </c>
      <c r="B623" t="s">
        <v>214</v>
      </c>
      <c r="C623" t="s">
        <v>27</v>
      </c>
      <c r="D623">
        <v>92.5</v>
      </c>
      <c r="E623" t="s">
        <v>212</v>
      </c>
      <c r="F623">
        <v>6</v>
      </c>
    </row>
    <row r="624" spans="1:6">
      <c r="A624" t="s">
        <v>215</v>
      </c>
      <c r="B624" t="s">
        <v>216</v>
      </c>
      <c r="C624" t="s">
        <v>27</v>
      </c>
      <c r="D624">
        <v>89.6</v>
      </c>
      <c r="E624" t="s">
        <v>185</v>
      </c>
      <c r="F624">
        <v>6</v>
      </c>
    </row>
    <row r="625" spans="1:6">
      <c r="A625" t="s">
        <v>217</v>
      </c>
      <c r="B625" t="s">
        <v>218</v>
      </c>
      <c r="C625" t="s">
        <v>27</v>
      </c>
      <c r="D625">
        <v>89.3</v>
      </c>
      <c r="E625" t="s">
        <v>185</v>
      </c>
      <c r="F625">
        <v>6</v>
      </c>
    </row>
    <row r="626" spans="1:6">
      <c r="A626" t="s">
        <v>219</v>
      </c>
      <c r="B626" t="s">
        <v>220</v>
      </c>
      <c r="C626" t="s">
        <v>27</v>
      </c>
      <c r="D626">
        <v>91.3</v>
      </c>
      <c r="E626" t="s">
        <v>185</v>
      </c>
      <c r="F626">
        <v>6</v>
      </c>
    </row>
    <row r="627" spans="1:6">
      <c r="A627" t="s">
        <v>221</v>
      </c>
      <c r="B627" t="s">
        <v>222</v>
      </c>
      <c r="C627" t="s">
        <v>27</v>
      </c>
      <c r="D627">
        <v>91.2</v>
      </c>
      <c r="E627" t="s">
        <v>185</v>
      </c>
      <c r="F627">
        <v>6</v>
      </c>
    </row>
    <row r="628" spans="1:6">
      <c r="A628" t="s">
        <v>223</v>
      </c>
      <c r="B628" t="s">
        <v>224</v>
      </c>
      <c r="C628" t="s">
        <v>27</v>
      </c>
      <c r="D628">
        <v>90.9</v>
      </c>
      <c r="E628" t="s">
        <v>185</v>
      </c>
      <c r="F628">
        <v>6</v>
      </c>
    </row>
    <row r="629" spans="1:6">
      <c r="A629" t="s">
        <v>225</v>
      </c>
      <c r="B629" t="s">
        <v>226</v>
      </c>
      <c r="C629" t="s">
        <v>27</v>
      </c>
      <c r="D629">
        <v>91.5</v>
      </c>
      <c r="E629" t="s">
        <v>185</v>
      </c>
      <c r="F629">
        <v>6</v>
      </c>
    </row>
    <row r="630" spans="1:6">
      <c r="A630" t="s">
        <v>227</v>
      </c>
      <c r="B630" t="s">
        <v>228</v>
      </c>
      <c r="C630" t="s">
        <v>27</v>
      </c>
      <c r="D630">
        <v>91.9</v>
      </c>
      <c r="E630" t="s">
        <v>185</v>
      </c>
      <c r="F630">
        <v>6</v>
      </c>
    </row>
    <row r="631" spans="1:6">
      <c r="A631" t="s">
        <v>229</v>
      </c>
      <c r="B631" t="s">
        <v>230</v>
      </c>
      <c r="C631" t="s">
        <v>27</v>
      </c>
      <c r="D631">
        <v>91.7</v>
      </c>
      <c r="E631" t="s">
        <v>182</v>
      </c>
      <c r="F631">
        <v>6</v>
      </c>
    </row>
    <row r="632" spans="1:6">
      <c r="A632" t="s">
        <v>231</v>
      </c>
      <c r="B632" t="s">
        <v>232</v>
      </c>
      <c r="C632" t="s">
        <v>27</v>
      </c>
      <c r="D632">
        <v>92.3</v>
      </c>
      <c r="E632" t="s">
        <v>185</v>
      </c>
      <c r="F632">
        <v>6</v>
      </c>
    </row>
    <row r="633" spans="1:6">
      <c r="A633" t="s">
        <v>233</v>
      </c>
      <c r="B633" t="s">
        <v>234</v>
      </c>
      <c r="C633" t="s">
        <v>27</v>
      </c>
      <c r="D633">
        <v>92.6</v>
      </c>
      <c r="E633" t="s">
        <v>182</v>
      </c>
      <c r="F633">
        <v>6</v>
      </c>
    </row>
    <row r="634" spans="1:6">
      <c r="A634" t="s">
        <v>235</v>
      </c>
      <c r="B634" t="s">
        <v>236</v>
      </c>
      <c r="C634" t="s">
        <v>27</v>
      </c>
      <c r="D634">
        <v>93</v>
      </c>
      <c r="E634" t="s">
        <v>185</v>
      </c>
      <c r="F634">
        <v>6</v>
      </c>
    </row>
    <row r="635" spans="1:6">
      <c r="A635" t="s">
        <v>237</v>
      </c>
      <c r="B635" t="s">
        <v>238</v>
      </c>
      <c r="C635" t="s">
        <v>27</v>
      </c>
      <c r="D635">
        <v>93.8</v>
      </c>
      <c r="E635" t="s">
        <v>185</v>
      </c>
      <c r="F635">
        <v>6</v>
      </c>
    </row>
    <row r="636" spans="1:6">
      <c r="A636" t="s">
        <v>239</v>
      </c>
      <c r="B636" t="s">
        <v>240</v>
      </c>
      <c r="C636" t="s">
        <v>27</v>
      </c>
      <c r="D636">
        <v>91.9</v>
      </c>
      <c r="E636" t="s">
        <v>185</v>
      </c>
      <c r="F636">
        <v>6</v>
      </c>
    </row>
    <row r="637" spans="1:6">
      <c r="A637" t="s">
        <v>241</v>
      </c>
      <c r="B637" t="s">
        <v>242</v>
      </c>
      <c r="C637" t="s">
        <v>27</v>
      </c>
      <c r="D637">
        <v>91.5</v>
      </c>
      <c r="E637" t="s">
        <v>185</v>
      </c>
      <c r="F637">
        <v>6</v>
      </c>
    </row>
    <row r="638" spans="1:6">
      <c r="A638" t="s">
        <v>243</v>
      </c>
      <c r="B638" t="s">
        <v>244</v>
      </c>
      <c r="C638" t="s">
        <v>27</v>
      </c>
      <c r="D638">
        <v>92.3</v>
      </c>
      <c r="E638" t="s">
        <v>185</v>
      </c>
      <c r="F638">
        <v>6</v>
      </c>
    </row>
    <row r="639" spans="1:6">
      <c r="A639" t="s">
        <v>245</v>
      </c>
      <c r="B639" t="s">
        <v>246</v>
      </c>
      <c r="C639" t="s">
        <v>27</v>
      </c>
      <c r="D639">
        <v>89.7</v>
      </c>
      <c r="E639" t="s">
        <v>185</v>
      </c>
      <c r="F639">
        <v>6</v>
      </c>
    </row>
    <row r="640" spans="1:6">
      <c r="A640" t="s">
        <v>247</v>
      </c>
      <c r="B640" t="s">
        <v>248</v>
      </c>
      <c r="C640" t="s">
        <v>27</v>
      </c>
      <c r="D640">
        <v>94.4</v>
      </c>
      <c r="E640" t="s">
        <v>185</v>
      </c>
      <c r="F640">
        <v>6</v>
      </c>
    </row>
    <row r="641" spans="1:6">
      <c r="A641" t="s">
        <v>249</v>
      </c>
      <c r="B641" t="s">
        <v>250</v>
      </c>
      <c r="C641" t="s">
        <v>27</v>
      </c>
      <c r="D641">
        <v>92.6</v>
      </c>
      <c r="E641" t="s">
        <v>182</v>
      </c>
      <c r="F641">
        <v>6</v>
      </c>
    </row>
    <row r="642" spans="1:6">
      <c r="A642" t="s">
        <v>251</v>
      </c>
      <c r="B642" t="s">
        <v>252</v>
      </c>
      <c r="C642" t="s">
        <v>27</v>
      </c>
      <c r="D642">
        <v>88.8</v>
      </c>
      <c r="E642" t="s">
        <v>185</v>
      </c>
      <c r="F642">
        <v>6</v>
      </c>
    </row>
    <row r="643" spans="1:6">
      <c r="A643" t="s">
        <v>253</v>
      </c>
      <c r="B643" t="s">
        <v>254</v>
      </c>
      <c r="C643" t="s">
        <v>27</v>
      </c>
      <c r="D643">
        <v>92</v>
      </c>
      <c r="E643" t="s">
        <v>185</v>
      </c>
      <c r="F643">
        <v>6</v>
      </c>
    </row>
    <row r="644" spans="1:6">
      <c r="A644" t="s">
        <v>255</v>
      </c>
      <c r="B644" t="s">
        <v>256</v>
      </c>
      <c r="C644" t="s">
        <v>27</v>
      </c>
      <c r="D644">
        <v>92.1</v>
      </c>
      <c r="E644" t="s">
        <v>182</v>
      </c>
      <c r="F644">
        <v>6</v>
      </c>
    </row>
    <row r="645" spans="1:6">
      <c r="A645" t="s">
        <v>257</v>
      </c>
      <c r="B645" t="s">
        <v>258</v>
      </c>
      <c r="C645" t="s">
        <v>27</v>
      </c>
      <c r="D645">
        <v>91.6</v>
      </c>
      <c r="E645" t="s">
        <v>185</v>
      </c>
      <c r="F645">
        <v>6</v>
      </c>
    </row>
    <row r="646" spans="1:6">
      <c r="A646" t="s">
        <v>259</v>
      </c>
      <c r="B646" t="s">
        <v>260</v>
      </c>
      <c r="C646" t="s">
        <v>27</v>
      </c>
      <c r="D646">
        <v>93</v>
      </c>
      <c r="E646" t="s">
        <v>182</v>
      </c>
      <c r="F646">
        <v>6</v>
      </c>
    </row>
    <row r="647" spans="1:6">
      <c r="A647" t="s">
        <v>261</v>
      </c>
      <c r="B647" t="s">
        <v>262</v>
      </c>
      <c r="C647" t="s">
        <v>27</v>
      </c>
      <c r="D647">
        <v>91.9</v>
      </c>
      <c r="E647" t="s">
        <v>185</v>
      </c>
      <c r="F647">
        <v>6</v>
      </c>
    </row>
    <row r="648" spans="1:6">
      <c r="A648" t="s">
        <v>263</v>
      </c>
      <c r="B648" t="s">
        <v>264</v>
      </c>
      <c r="C648" t="s">
        <v>27</v>
      </c>
      <c r="D648">
        <v>91.5</v>
      </c>
      <c r="E648" t="s">
        <v>185</v>
      </c>
      <c r="F648">
        <v>6</v>
      </c>
    </row>
    <row r="649" spans="1:6">
      <c r="A649" t="s">
        <v>265</v>
      </c>
      <c r="B649" t="s">
        <v>266</v>
      </c>
      <c r="C649" t="s">
        <v>27</v>
      </c>
      <c r="D649">
        <v>94.2</v>
      </c>
      <c r="E649" t="s">
        <v>185</v>
      </c>
      <c r="F649">
        <v>6</v>
      </c>
    </row>
    <row r="650" spans="1:6">
      <c r="A650" t="s">
        <v>267</v>
      </c>
      <c r="B650" t="s">
        <v>268</v>
      </c>
      <c r="C650" t="s">
        <v>27</v>
      </c>
      <c r="D650">
        <v>93.3</v>
      </c>
      <c r="E650" t="s">
        <v>185</v>
      </c>
      <c r="F650">
        <v>6</v>
      </c>
    </row>
    <row r="651" spans="1:6">
      <c r="A651" t="s">
        <v>269</v>
      </c>
      <c r="B651" t="s">
        <v>270</v>
      </c>
      <c r="C651" t="s">
        <v>27</v>
      </c>
      <c r="D651">
        <v>92.8</v>
      </c>
      <c r="E651" t="s">
        <v>185</v>
      </c>
      <c r="F651">
        <v>6</v>
      </c>
    </row>
    <row r="652" spans="1:6">
      <c r="A652" t="s">
        <v>271</v>
      </c>
      <c r="B652" t="s">
        <v>272</v>
      </c>
      <c r="C652" t="s">
        <v>27</v>
      </c>
      <c r="D652">
        <v>92.2</v>
      </c>
      <c r="E652" t="s">
        <v>185</v>
      </c>
      <c r="F652">
        <v>6</v>
      </c>
    </row>
    <row r="653" spans="1:6">
      <c r="A653" t="s">
        <v>273</v>
      </c>
      <c r="B653" t="s">
        <v>274</v>
      </c>
      <c r="C653" t="s">
        <v>27</v>
      </c>
      <c r="D653">
        <v>89.2</v>
      </c>
      <c r="E653" t="s">
        <v>185</v>
      </c>
      <c r="F653">
        <v>6</v>
      </c>
    </row>
    <row r="654" spans="1:6">
      <c r="A654" t="s">
        <v>275</v>
      </c>
      <c r="B654" t="s">
        <v>276</v>
      </c>
      <c r="C654" t="s">
        <v>27</v>
      </c>
      <c r="D654">
        <v>79.2</v>
      </c>
      <c r="E654" t="s">
        <v>182</v>
      </c>
      <c r="F654">
        <v>6</v>
      </c>
    </row>
    <row r="655" spans="1:6">
      <c r="A655" t="s">
        <v>277</v>
      </c>
      <c r="B655" t="s">
        <v>278</v>
      </c>
      <c r="C655" t="s">
        <v>27</v>
      </c>
      <c r="D655">
        <v>91.2</v>
      </c>
      <c r="E655" t="s">
        <v>185</v>
      </c>
      <c r="F655">
        <v>6</v>
      </c>
    </row>
    <row r="656" spans="1:6">
      <c r="A656" t="s">
        <v>279</v>
      </c>
      <c r="B656" t="s">
        <v>280</v>
      </c>
      <c r="C656" t="s">
        <v>27</v>
      </c>
      <c r="D656">
        <v>93.7</v>
      </c>
      <c r="E656" t="s">
        <v>185</v>
      </c>
      <c r="F656">
        <v>6</v>
      </c>
    </row>
    <row r="657" spans="1:6">
      <c r="A657" t="s">
        <v>281</v>
      </c>
      <c r="B657" t="s">
        <v>282</v>
      </c>
      <c r="C657" t="s">
        <v>27</v>
      </c>
      <c r="D657">
        <v>90.7</v>
      </c>
      <c r="E657" t="s">
        <v>185</v>
      </c>
      <c r="F657">
        <v>6</v>
      </c>
    </row>
    <row r="658" spans="1:6">
      <c r="A658" t="s">
        <v>283</v>
      </c>
      <c r="B658" t="s">
        <v>284</v>
      </c>
      <c r="C658" t="s">
        <v>27</v>
      </c>
      <c r="D658">
        <v>90.4</v>
      </c>
      <c r="E658" t="s">
        <v>185</v>
      </c>
      <c r="F658">
        <v>6</v>
      </c>
    </row>
    <row r="659" spans="1:6">
      <c r="A659" t="s">
        <v>285</v>
      </c>
      <c r="B659" t="s">
        <v>286</v>
      </c>
      <c r="C659" t="s">
        <v>27</v>
      </c>
      <c r="D659">
        <v>89.1</v>
      </c>
      <c r="E659" t="s">
        <v>182</v>
      </c>
      <c r="F659">
        <v>6</v>
      </c>
    </row>
    <row r="660" spans="1:6">
      <c r="A660" t="s">
        <v>287</v>
      </c>
      <c r="B660" t="s">
        <v>288</v>
      </c>
      <c r="C660" t="s">
        <v>27</v>
      </c>
      <c r="D660">
        <v>91.4</v>
      </c>
      <c r="E660" t="s">
        <v>182</v>
      </c>
      <c r="F660">
        <v>6</v>
      </c>
    </row>
    <row r="661" spans="1:6">
      <c r="A661" t="s">
        <v>289</v>
      </c>
      <c r="B661" t="s">
        <v>290</v>
      </c>
      <c r="C661" t="s">
        <v>27</v>
      </c>
      <c r="D661">
        <v>92.4</v>
      </c>
      <c r="E661" t="s">
        <v>185</v>
      </c>
      <c r="F661">
        <v>6</v>
      </c>
    </row>
    <row r="662" spans="1:6">
      <c r="A662" t="s">
        <v>291</v>
      </c>
      <c r="B662" t="s">
        <v>292</v>
      </c>
      <c r="C662" t="s">
        <v>27</v>
      </c>
      <c r="D662">
        <v>77.099999999999994</v>
      </c>
      <c r="E662" t="s">
        <v>182</v>
      </c>
      <c r="F662">
        <v>6</v>
      </c>
    </row>
    <row r="663" spans="1:6">
      <c r="A663" t="s">
        <v>293</v>
      </c>
      <c r="B663" t="s">
        <v>294</v>
      </c>
      <c r="C663" t="s">
        <v>27</v>
      </c>
      <c r="D663">
        <v>91.3</v>
      </c>
      <c r="E663" t="s">
        <v>182</v>
      </c>
      <c r="F663">
        <v>6</v>
      </c>
    </row>
    <row r="664" spans="1:6">
      <c r="A664" t="s">
        <v>295</v>
      </c>
      <c r="B664" t="s">
        <v>296</v>
      </c>
      <c r="C664" t="s">
        <v>27</v>
      </c>
      <c r="D664">
        <v>92.8</v>
      </c>
      <c r="E664" t="s">
        <v>185</v>
      </c>
      <c r="F664">
        <v>6</v>
      </c>
    </row>
    <row r="665" spans="1:6">
      <c r="A665" t="s">
        <v>297</v>
      </c>
      <c r="B665" t="s">
        <v>298</v>
      </c>
      <c r="C665" t="s">
        <v>27</v>
      </c>
      <c r="D665">
        <v>91.2</v>
      </c>
      <c r="E665" t="s">
        <v>185</v>
      </c>
      <c r="F665">
        <v>6</v>
      </c>
    </row>
    <row r="666" spans="1:6">
      <c r="A666" t="s">
        <v>299</v>
      </c>
      <c r="B666" t="s">
        <v>300</v>
      </c>
      <c r="C666" t="s">
        <v>27</v>
      </c>
      <c r="D666">
        <v>92.1</v>
      </c>
      <c r="E666" t="s">
        <v>212</v>
      </c>
      <c r="F666">
        <v>6</v>
      </c>
    </row>
    <row r="667" spans="1:6">
      <c r="A667" t="s">
        <v>301</v>
      </c>
      <c r="B667" t="s">
        <v>302</v>
      </c>
      <c r="C667" t="s">
        <v>27</v>
      </c>
      <c r="D667">
        <v>91</v>
      </c>
      <c r="E667" t="s">
        <v>185</v>
      </c>
      <c r="F667">
        <v>6</v>
      </c>
    </row>
    <row r="668" spans="1:6">
      <c r="A668" t="s">
        <v>303</v>
      </c>
      <c r="B668" t="s">
        <v>304</v>
      </c>
      <c r="C668" t="s">
        <v>27</v>
      </c>
      <c r="D668">
        <v>91.2</v>
      </c>
      <c r="E668" t="s">
        <v>212</v>
      </c>
      <c r="F668">
        <v>6</v>
      </c>
    </row>
    <row r="669" spans="1:6">
      <c r="A669" t="s">
        <v>305</v>
      </c>
      <c r="B669" t="s">
        <v>306</v>
      </c>
      <c r="C669" t="s">
        <v>27</v>
      </c>
      <c r="D669">
        <v>91.9</v>
      </c>
      <c r="E669" t="s">
        <v>185</v>
      </c>
      <c r="F669">
        <v>6</v>
      </c>
    </row>
    <row r="670" spans="1:6">
      <c r="A670" t="s">
        <v>307</v>
      </c>
      <c r="B670" t="s">
        <v>308</v>
      </c>
      <c r="C670" t="s">
        <v>27</v>
      </c>
      <c r="D670">
        <v>94.8</v>
      </c>
      <c r="E670" t="s">
        <v>185</v>
      </c>
      <c r="F670">
        <v>6</v>
      </c>
    </row>
    <row r="671" spans="1:6">
      <c r="A671" t="s">
        <v>309</v>
      </c>
      <c r="B671" t="s">
        <v>310</v>
      </c>
      <c r="C671" t="s">
        <v>27</v>
      </c>
      <c r="D671">
        <v>91.4</v>
      </c>
      <c r="E671" t="s">
        <v>185</v>
      </c>
      <c r="F671">
        <v>6</v>
      </c>
    </row>
    <row r="672" spans="1:6">
      <c r="A672" t="s">
        <v>311</v>
      </c>
      <c r="B672" t="s">
        <v>312</v>
      </c>
      <c r="C672" t="s">
        <v>27</v>
      </c>
      <c r="D672">
        <v>93.2</v>
      </c>
      <c r="E672" t="s">
        <v>185</v>
      </c>
      <c r="F672">
        <v>6</v>
      </c>
    </row>
    <row r="673" spans="1:6">
      <c r="A673" t="s">
        <v>313</v>
      </c>
      <c r="B673" t="s">
        <v>314</v>
      </c>
      <c r="C673" t="s">
        <v>27</v>
      </c>
      <c r="D673">
        <v>91.9</v>
      </c>
      <c r="E673" t="s">
        <v>185</v>
      </c>
      <c r="F673">
        <v>6</v>
      </c>
    </row>
    <row r="674" spans="1:6">
      <c r="A674" t="s">
        <v>315</v>
      </c>
      <c r="B674" t="s">
        <v>316</v>
      </c>
      <c r="C674" t="s">
        <v>27</v>
      </c>
      <c r="D674">
        <v>90.5</v>
      </c>
      <c r="E674" t="s">
        <v>185</v>
      </c>
      <c r="F674">
        <v>6</v>
      </c>
    </row>
    <row r="675" spans="1:6">
      <c r="A675" t="s">
        <v>317</v>
      </c>
      <c r="B675" t="s">
        <v>318</v>
      </c>
      <c r="C675" t="s">
        <v>27</v>
      </c>
      <c r="D675">
        <v>92.7</v>
      </c>
      <c r="E675" t="s">
        <v>182</v>
      </c>
      <c r="F675">
        <v>6</v>
      </c>
    </row>
    <row r="676" spans="1:6">
      <c r="A676" t="s">
        <v>319</v>
      </c>
      <c r="B676" t="s">
        <v>320</v>
      </c>
      <c r="C676" t="s">
        <v>27</v>
      </c>
      <c r="D676">
        <v>92.1</v>
      </c>
      <c r="E676" t="s">
        <v>185</v>
      </c>
      <c r="F676">
        <v>6</v>
      </c>
    </row>
    <row r="677" spans="1:6">
      <c r="A677" t="s">
        <v>321</v>
      </c>
      <c r="B677" t="s">
        <v>322</v>
      </c>
      <c r="C677" t="s">
        <v>27</v>
      </c>
      <c r="D677">
        <v>92.4</v>
      </c>
      <c r="E677" t="s">
        <v>185</v>
      </c>
      <c r="F677">
        <v>6</v>
      </c>
    </row>
    <row r="678" spans="1:6">
      <c r="A678" t="s">
        <v>323</v>
      </c>
      <c r="B678" t="s">
        <v>324</v>
      </c>
      <c r="C678" t="s">
        <v>27</v>
      </c>
      <c r="D678">
        <v>92.9</v>
      </c>
      <c r="E678" t="s">
        <v>185</v>
      </c>
      <c r="F678">
        <v>6</v>
      </c>
    </row>
    <row r="679" spans="1:6">
      <c r="A679" t="s">
        <v>325</v>
      </c>
      <c r="B679" t="s">
        <v>326</v>
      </c>
      <c r="C679" t="s">
        <v>27</v>
      </c>
      <c r="D679">
        <v>91.3</v>
      </c>
      <c r="E679" t="s">
        <v>185</v>
      </c>
      <c r="F679">
        <v>6</v>
      </c>
    </row>
    <row r="680" spans="1:6">
      <c r="A680" s="14" t="s">
        <v>327</v>
      </c>
      <c r="B680" s="14" t="s">
        <v>328</v>
      </c>
      <c r="C680" s="14" t="s">
        <v>27</v>
      </c>
      <c r="D680" s="14">
        <v>92</v>
      </c>
      <c r="E680" s="14" t="s">
        <v>212</v>
      </c>
      <c r="F680">
        <v>6</v>
      </c>
    </row>
    <row r="681" spans="1:6">
      <c r="A681" t="s">
        <v>329</v>
      </c>
      <c r="B681" t="s">
        <v>330</v>
      </c>
      <c r="C681" t="s">
        <v>27</v>
      </c>
      <c r="D681">
        <v>91</v>
      </c>
      <c r="E681" t="s">
        <v>185</v>
      </c>
      <c r="F681">
        <v>6</v>
      </c>
    </row>
    <row r="682" spans="1:6">
      <c r="A682" t="s">
        <v>331</v>
      </c>
      <c r="B682" t="s">
        <v>332</v>
      </c>
      <c r="C682" t="s">
        <v>27</v>
      </c>
      <c r="D682">
        <v>91.2</v>
      </c>
      <c r="E682" t="s">
        <v>185</v>
      </c>
      <c r="F682">
        <v>6</v>
      </c>
    </row>
    <row r="683" spans="1:6">
      <c r="A683" t="s">
        <v>333</v>
      </c>
      <c r="B683" t="s">
        <v>334</v>
      </c>
      <c r="C683" t="s">
        <v>27</v>
      </c>
      <c r="D683">
        <v>92.5</v>
      </c>
      <c r="E683" t="s">
        <v>185</v>
      </c>
      <c r="F683">
        <v>6</v>
      </c>
    </row>
    <row r="684" spans="1:6">
      <c r="A684" t="s">
        <v>335</v>
      </c>
      <c r="B684" t="s">
        <v>336</v>
      </c>
      <c r="C684" t="s">
        <v>27</v>
      </c>
      <c r="D684">
        <v>91</v>
      </c>
      <c r="E684" t="s">
        <v>185</v>
      </c>
      <c r="F684">
        <v>6</v>
      </c>
    </row>
    <row r="685" spans="1:6">
      <c r="A685" t="s">
        <v>337</v>
      </c>
      <c r="B685" t="s">
        <v>338</v>
      </c>
      <c r="C685" t="s">
        <v>27</v>
      </c>
      <c r="D685">
        <v>89.5</v>
      </c>
      <c r="E685" t="s">
        <v>182</v>
      </c>
      <c r="F685">
        <v>6</v>
      </c>
    </row>
    <row r="686" spans="1:6">
      <c r="A686" t="s">
        <v>339</v>
      </c>
      <c r="B686" t="s">
        <v>340</v>
      </c>
      <c r="C686" t="s">
        <v>27</v>
      </c>
      <c r="D686">
        <v>91.7</v>
      </c>
      <c r="E686" t="s">
        <v>185</v>
      </c>
      <c r="F686">
        <v>6</v>
      </c>
    </row>
    <row r="687" spans="1:6">
      <c r="A687" t="s">
        <v>341</v>
      </c>
      <c r="B687" t="s">
        <v>342</v>
      </c>
      <c r="C687" t="s">
        <v>27</v>
      </c>
      <c r="D687">
        <v>90.2</v>
      </c>
      <c r="E687" t="s">
        <v>182</v>
      </c>
      <c r="F687">
        <v>6</v>
      </c>
    </row>
    <row r="688" spans="1:6">
      <c r="A688" t="s">
        <v>343</v>
      </c>
      <c r="B688" t="s">
        <v>344</v>
      </c>
      <c r="C688" t="s">
        <v>27</v>
      </c>
      <c r="D688">
        <v>92.6</v>
      </c>
      <c r="E688" t="s">
        <v>185</v>
      </c>
      <c r="F688">
        <v>6</v>
      </c>
    </row>
    <row r="689" spans="1:6">
      <c r="A689" t="s">
        <v>345</v>
      </c>
      <c r="B689" t="s">
        <v>346</v>
      </c>
      <c r="C689" t="s">
        <v>27</v>
      </c>
      <c r="D689">
        <v>92.1</v>
      </c>
      <c r="E689" t="s">
        <v>185</v>
      </c>
      <c r="F689">
        <v>6</v>
      </c>
    </row>
    <row r="690" spans="1:6">
      <c r="A690" t="s">
        <v>425</v>
      </c>
      <c r="B690" t="s">
        <v>348</v>
      </c>
      <c r="C690" t="s">
        <v>27</v>
      </c>
      <c r="D690">
        <v>92.7</v>
      </c>
      <c r="E690" t="s">
        <v>185</v>
      </c>
      <c r="F690">
        <v>6</v>
      </c>
    </row>
    <row r="691" spans="1:6">
      <c r="A691" t="s">
        <v>349</v>
      </c>
      <c r="B691" t="s">
        <v>350</v>
      </c>
      <c r="C691" t="s">
        <v>27</v>
      </c>
      <c r="D691">
        <v>92.1</v>
      </c>
      <c r="E691" t="s">
        <v>185</v>
      </c>
      <c r="F691">
        <v>6</v>
      </c>
    </row>
    <row r="692" spans="1:6">
      <c r="A692" t="s">
        <v>351</v>
      </c>
      <c r="B692" t="s">
        <v>352</v>
      </c>
      <c r="C692" t="s">
        <v>27</v>
      </c>
      <c r="D692">
        <v>91.9</v>
      </c>
      <c r="E692" t="s">
        <v>185</v>
      </c>
      <c r="F692">
        <v>6</v>
      </c>
    </row>
    <row r="693" spans="1:6">
      <c r="A693" t="s">
        <v>353</v>
      </c>
      <c r="B693" t="s">
        <v>354</v>
      </c>
      <c r="C693" t="s">
        <v>27</v>
      </c>
      <c r="D693">
        <v>90.6</v>
      </c>
      <c r="E693" t="s">
        <v>185</v>
      </c>
      <c r="F693">
        <v>6</v>
      </c>
    </row>
    <row r="694" spans="1:6">
      <c r="A694" t="s">
        <v>355</v>
      </c>
      <c r="B694" t="s">
        <v>356</v>
      </c>
      <c r="C694" t="s">
        <v>27</v>
      </c>
      <c r="D694">
        <v>93.6</v>
      </c>
      <c r="E694" t="s">
        <v>185</v>
      </c>
      <c r="F694">
        <v>6</v>
      </c>
    </row>
    <row r="695" spans="1:6">
      <c r="A695" t="s">
        <v>357</v>
      </c>
      <c r="B695" t="s">
        <v>358</v>
      </c>
      <c r="C695" t="s">
        <v>27</v>
      </c>
      <c r="D695">
        <v>91.5</v>
      </c>
      <c r="E695" t="s">
        <v>212</v>
      </c>
      <c r="F695">
        <v>6</v>
      </c>
    </row>
    <row r="696" spans="1:6">
      <c r="A696" t="s">
        <v>359</v>
      </c>
      <c r="B696" t="s">
        <v>360</v>
      </c>
      <c r="C696" t="s">
        <v>27</v>
      </c>
      <c r="D696">
        <v>88.2</v>
      </c>
      <c r="E696" t="s">
        <v>185</v>
      </c>
      <c r="F696">
        <v>6</v>
      </c>
    </row>
    <row r="697" spans="1:6">
      <c r="A697" t="s">
        <v>361</v>
      </c>
      <c r="B697" t="s">
        <v>362</v>
      </c>
      <c r="C697" t="s">
        <v>27</v>
      </c>
      <c r="D697">
        <v>92.1</v>
      </c>
      <c r="E697" t="s">
        <v>185</v>
      </c>
      <c r="F697">
        <v>6</v>
      </c>
    </row>
    <row r="698" spans="1:6">
      <c r="A698" t="s">
        <v>363</v>
      </c>
      <c r="B698" t="s">
        <v>364</v>
      </c>
      <c r="C698" t="s">
        <v>27</v>
      </c>
      <c r="D698">
        <v>93.4</v>
      </c>
      <c r="E698" t="s">
        <v>185</v>
      </c>
      <c r="F698">
        <v>6</v>
      </c>
    </row>
    <row r="699" spans="1:6">
      <c r="A699" t="s">
        <v>365</v>
      </c>
      <c r="B699" t="s">
        <v>366</v>
      </c>
      <c r="C699" t="s">
        <v>27</v>
      </c>
      <c r="D699">
        <v>93.1</v>
      </c>
      <c r="E699" t="s">
        <v>185</v>
      </c>
      <c r="F699">
        <v>6</v>
      </c>
    </row>
    <row r="700" spans="1:6">
      <c r="A700" t="s">
        <v>367</v>
      </c>
      <c r="B700" t="s">
        <v>368</v>
      </c>
      <c r="C700" t="s">
        <v>27</v>
      </c>
      <c r="D700">
        <v>91.7</v>
      </c>
      <c r="E700" t="s">
        <v>185</v>
      </c>
      <c r="F700">
        <v>6</v>
      </c>
    </row>
    <row r="701" spans="1:6">
      <c r="A701" t="s">
        <v>369</v>
      </c>
      <c r="B701" t="s">
        <v>370</v>
      </c>
      <c r="C701" t="s">
        <v>27</v>
      </c>
      <c r="D701">
        <v>92</v>
      </c>
      <c r="E701" t="s">
        <v>185</v>
      </c>
      <c r="F701">
        <v>6</v>
      </c>
    </row>
    <row r="702" spans="1:6">
      <c r="A702" t="s">
        <v>371</v>
      </c>
      <c r="B702" t="s">
        <v>372</v>
      </c>
      <c r="C702" t="s">
        <v>27</v>
      </c>
      <c r="D702">
        <v>92.3</v>
      </c>
      <c r="E702" t="s">
        <v>185</v>
      </c>
      <c r="F702">
        <v>6</v>
      </c>
    </row>
    <row r="703" spans="1:6">
      <c r="A703" t="s">
        <v>373</v>
      </c>
      <c r="B703" t="s">
        <v>374</v>
      </c>
      <c r="C703" t="s">
        <v>27</v>
      </c>
      <c r="D703">
        <v>91.4</v>
      </c>
      <c r="E703" t="s">
        <v>185</v>
      </c>
      <c r="F703">
        <v>6</v>
      </c>
    </row>
    <row r="704" spans="1:6">
      <c r="A704" t="s">
        <v>375</v>
      </c>
      <c r="B704" t="s">
        <v>376</v>
      </c>
      <c r="C704" t="s">
        <v>27</v>
      </c>
      <c r="D704">
        <v>92.6</v>
      </c>
      <c r="E704" t="s">
        <v>185</v>
      </c>
      <c r="F704">
        <v>6</v>
      </c>
    </row>
    <row r="705" spans="1:6">
      <c r="A705" t="s">
        <v>377</v>
      </c>
      <c r="B705" t="s">
        <v>378</v>
      </c>
      <c r="C705" t="s">
        <v>27</v>
      </c>
      <c r="D705">
        <v>90.4</v>
      </c>
      <c r="E705" t="s">
        <v>185</v>
      </c>
      <c r="F705">
        <v>6</v>
      </c>
    </row>
    <row r="706" spans="1:6">
      <c r="A706" t="s">
        <v>379</v>
      </c>
      <c r="B706" t="s">
        <v>380</v>
      </c>
      <c r="C706" t="s">
        <v>27</v>
      </c>
      <c r="D706">
        <v>91.3</v>
      </c>
      <c r="E706" t="s">
        <v>185</v>
      </c>
      <c r="F706">
        <v>6</v>
      </c>
    </row>
    <row r="707" spans="1:6">
      <c r="A707" t="s">
        <v>381</v>
      </c>
      <c r="B707" t="s">
        <v>382</v>
      </c>
      <c r="C707" t="s">
        <v>27</v>
      </c>
      <c r="D707">
        <v>89.5</v>
      </c>
      <c r="E707" t="s">
        <v>185</v>
      </c>
      <c r="F707">
        <v>6</v>
      </c>
    </row>
    <row r="708" spans="1:6">
      <c r="A708" t="s">
        <v>383</v>
      </c>
      <c r="B708" t="s">
        <v>384</v>
      </c>
      <c r="C708" t="s">
        <v>27</v>
      </c>
      <c r="D708">
        <v>88.1</v>
      </c>
      <c r="E708" t="s">
        <v>212</v>
      </c>
      <c r="F708">
        <v>6</v>
      </c>
    </row>
    <row r="709" spans="1:6">
      <c r="A709" t="s">
        <v>385</v>
      </c>
      <c r="B709" t="s">
        <v>386</v>
      </c>
      <c r="C709" t="s">
        <v>27</v>
      </c>
      <c r="D709">
        <v>91.2</v>
      </c>
      <c r="E709" t="s">
        <v>185</v>
      </c>
      <c r="F709">
        <v>6</v>
      </c>
    </row>
    <row r="710" spans="1:6">
      <c r="A710" t="s">
        <v>387</v>
      </c>
      <c r="B710" t="s">
        <v>388</v>
      </c>
      <c r="C710" t="s">
        <v>27</v>
      </c>
      <c r="D710">
        <v>90</v>
      </c>
      <c r="E710" t="s">
        <v>182</v>
      </c>
      <c r="F710">
        <v>6</v>
      </c>
    </row>
    <row r="711" spans="1:6">
      <c r="A711" t="s">
        <v>389</v>
      </c>
      <c r="B711" t="s">
        <v>390</v>
      </c>
      <c r="C711" t="s">
        <v>27</v>
      </c>
      <c r="D711">
        <v>94</v>
      </c>
      <c r="E711" t="s">
        <v>185</v>
      </c>
      <c r="F711">
        <v>6</v>
      </c>
    </row>
    <row r="712" spans="1:6">
      <c r="A712" t="s">
        <v>391</v>
      </c>
      <c r="B712" t="s">
        <v>392</v>
      </c>
      <c r="C712" t="s">
        <v>27</v>
      </c>
      <c r="D712">
        <v>90.8</v>
      </c>
      <c r="E712" t="s">
        <v>185</v>
      </c>
      <c r="F712">
        <v>6</v>
      </c>
    </row>
    <row r="713" spans="1:6">
      <c r="A713" t="s">
        <v>393</v>
      </c>
      <c r="B713" t="s">
        <v>394</v>
      </c>
      <c r="C713" t="s">
        <v>27</v>
      </c>
      <c r="D713">
        <v>90.5</v>
      </c>
      <c r="E713" t="s">
        <v>185</v>
      </c>
      <c r="F713">
        <v>6</v>
      </c>
    </row>
    <row r="714" spans="1:6">
      <c r="A714" t="s">
        <v>395</v>
      </c>
      <c r="B714" t="s">
        <v>396</v>
      </c>
      <c r="C714" t="s">
        <v>27</v>
      </c>
      <c r="D714">
        <v>91</v>
      </c>
      <c r="E714" t="s">
        <v>185</v>
      </c>
      <c r="F714">
        <v>6</v>
      </c>
    </row>
    <row r="715" spans="1:6">
      <c r="A715" t="s">
        <v>397</v>
      </c>
      <c r="B715" t="s">
        <v>398</v>
      </c>
      <c r="C715" t="s">
        <v>27</v>
      </c>
      <c r="D715">
        <v>92.3</v>
      </c>
      <c r="E715" t="s">
        <v>185</v>
      </c>
      <c r="F715">
        <v>6</v>
      </c>
    </row>
    <row r="716" spans="1:6">
      <c r="A716" t="s">
        <v>399</v>
      </c>
      <c r="B716" t="s">
        <v>400</v>
      </c>
      <c r="C716" t="s">
        <v>27</v>
      </c>
      <c r="D716">
        <v>92.4</v>
      </c>
      <c r="E716" t="s">
        <v>185</v>
      </c>
      <c r="F716">
        <v>6</v>
      </c>
    </row>
    <row r="717" spans="1:6">
      <c r="A717" t="s">
        <v>401</v>
      </c>
      <c r="B717" t="s">
        <v>402</v>
      </c>
      <c r="C717" t="s">
        <v>27</v>
      </c>
      <c r="D717">
        <v>92.8</v>
      </c>
      <c r="E717" t="s">
        <v>185</v>
      </c>
      <c r="F717">
        <v>6</v>
      </c>
    </row>
    <row r="718" spans="1:6">
      <c r="A718" t="s">
        <v>403</v>
      </c>
      <c r="B718" t="s">
        <v>404</v>
      </c>
      <c r="C718" t="s">
        <v>27</v>
      </c>
      <c r="D718">
        <v>91.6</v>
      </c>
      <c r="E718" t="s">
        <v>185</v>
      </c>
      <c r="F718">
        <v>6</v>
      </c>
    </row>
    <row r="719" spans="1:6">
      <c r="A719" t="s">
        <v>405</v>
      </c>
      <c r="B719" t="s">
        <v>406</v>
      </c>
      <c r="C719" t="s">
        <v>27</v>
      </c>
      <c r="D719">
        <v>92.9</v>
      </c>
      <c r="E719" t="s">
        <v>185</v>
      </c>
      <c r="F719">
        <v>6</v>
      </c>
    </row>
    <row r="720" spans="1:6">
      <c r="A720" t="s">
        <v>407</v>
      </c>
      <c r="B720" t="s">
        <v>408</v>
      </c>
      <c r="C720" t="s">
        <v>27</v>
      </c>
      <c r="D720">
        <v>93.3</v>
      </c>
      <c r="E720" t="s">
        <v>185</v>
      </c>
      <c r="F720">
        <v>6</v>
      </c>
    </row>
    <row r="721" spans="1:6">
      <c r="A721" t="s">
        <v>409</v>
      </c>
      <c r="B721" t="s">
        <v>410</v>
      </c>
      <c r="C721" t="s">
        <v>27</v>
      </c>
      <c r="D721">
        <v>92.7</v>
      </c>
      <c r="E721" t="s">
        <v>185</v>
      </c>
      <c r="F721">
        <v>6</v>
      </c>
    </row>
    <row r="722" spans="1:6">
      <c r="A722" t="s">
        <v>411</v>
      </c>
      <c r="B722" t="s">
        <v>412</v>
      </c>
      <c r="C722" t="s">
        <v>27</v>
      </c>
      <c r="D722">
        <v>93.1</v>
      </c>
      <c r="E722" t="s">
        <v>185</v>
      </c>
      <c r="F722">
        <v>6</v>
      </c>
    </row>
    <row r="723" spans="1:6">
      <c r="A723" t="s">
        <v>413</v>
      </c>
      <c r="B723" t="s">
        <v>414</v>
      </c>
      <c r="C723" t="s">
        <v>27</v>
      </c>
      <c r="D723">
        <v>91.7</v>
      </c>
      <c r="E723" t="s">
        <v>185</v>
      </c>
      <c r="F723">
        <v>6</v>
      </c>
    </row>
    <row r="724" spans="1:6">
      <c r="A724" t="s">
        <v>415</v>
      </c>
      <c r="B724" t="s">
        <v>416</v>
      </c>
      <c r="C724" t="s">
        <v>27</v>
      </c>
      <c r="D724">
        <v>90.9</v>
      </c>
      <c r="E724" t="s">
        <v>185</v>
      </c>
      <c r="F724">
        <v>6</v>
      </c>
    </row>
    <row r="725" spans="1:6">
      <c r="A725" t="s">
        <v>417</v>
      </c>
      <c r="B725" t="s">
        <v>418</v>
      </c>
      <c r="C725" t="s">
        <v>27</v>
      </c>
      <c r="D725">
        <v>93.5</v>
      </c>
      <c r="E725" t="s">
        <v>185</v>
      </c>
      <c r="F725">
        <v>6</v>
      </c>
    </row>
    <row r="726" spans="1:6">
      <c r="A726" t="s">
        <v>419</v>
      </c>
      <c r="B726" t="s">
        <v>420</v>
      </c>
      <c r="C726" t="s">
        <v>27</v>
      </c>
      <c r="D726">
        <v>92.1</v>
      </c>
      <c r="E726" t="s">
        <v>185</v>
      </c>
      <c r="F726">
        <v>6</v>
      </c>
    </row>
    <row r="727" spans="1:6">
      <c r="A727" t="s">
        <v>421</v>
      </c>
      <c r="B727" t="s">
        <v>422</v>
      </c>
      <c r="C727" t="s">
        <v>27</v>
      </c>
      <c r="D727">
        <v>94.3</v>
      </c>
      <c r="E727" t="s">
        <v>185</v>
      </c>
      <c r="F727">
        <v>6</v>
      </c>
    </row>
    <row r="728" spans="1:6">
      <c r="A728" t="s">
        <v>423</v>
      </c>
      <c r="B728" t="s">
        <v>424</v>
      </c>
      <c r="C728" t="s">
        <v>27</v>
      </c>
      <c r="D728">
        <v>57.2</v>
      </c>
      <c r="E728" t="s">
        <v>182</v>
      </c>
      <c r="F728">
        <v>6</v>
      </c>
    </row>
    <row r="729" spans="1:6">
      <c r="A729" t="s">
        <v>180</v>
      </c>
      <c r="B729" t="s">
        <v>181</v>
      </c>
      <c r="C729" t="s">
        <v>29</v>
      </c>
      <c r="D729" s="9">
        <v>91.1</v>
      </c>
      <c r="E729" t="s">
        <v>182</v>
      </c>
      <c r="F729">
        <v>7</v>
      </c>
    </row>
    <row r="730" spans="1:6">
      <c r="A730" t="s">
        <v>183</v>
      </c>
      <c r="B730" t="s">
        <v>184</v>
      </c>
      <c r="C730" t="s">
        <v>29</v>
      </c>
      <c r="D730" s="9">
        <v>93.2</v>
      </c>
      <c r="E730" t="s">
        <v>185</v>
      </c>
      <c r="F730">
        <v>7</v>
      </c>
    </row>
    <row r="731" spans="1:6">
      <c r="A731" t="s">
        <v>186</v>
      </c>
      <c r="B731" t="s">
        <v>187</v>
      </c>
      <c r="C731" t="s">
        <v>29</v>
      </c>
      <c r="D731" s="9">
        <v>93.2</v>
      </c>
      <c r="E731" t="s">
        <v>185</v>
      </c>
      <c r="F731">
        <v>7</v>
      </c>
    </row>
    <row r="732" spans="1:6">
      <c r="A732" t="s">
        <v>188</v>
      </c>
      <c r="B732" t="s">
        <v>189</v>
      </c>
      <c r="C732" t="s">
        <v>29</v>
      </c>
      <c r="D732" s="9">
        <v>92.6</v>
      </c>
      <c r="E732" t="s">
        <v>185</v>
      </c>
      <c r="F732">
        <v>7</v>
      </c>
    </row>
    <row r="733" spans="1:6">
      <c r="A733" t="s">
        <v>190</v>
      </c>
      <c r="B733" t="s">
        <v>191</v>
      </c>
      <c r="C733" t="s">
        <v>29</v>
      </c>
      <c r="D733" s="9">
        <v>93.4</v>
      </c>
      <c r="E733" t="s">
        <v>185</v>
      </c>
      <c r="F733">
        <v>7</v>
      </c>
    </row>
    <row r="734" spans="1:6">
      <c r="A734" t="s">
        <v>192</v>
      </c>
      <c r="B734" t="s">
        <v>193</v>
      </c>
      <c r="C734" t="s">
        <v>29</v>
      </c>
      <c r="D734" s="9">
        <v>94.1</v>
      </c>
      <c r="E734" t="s">
        <v>185</v>
      </c>
      <c r="F734">
        <v>7</v>
      </c>
    </row>
    <row r="735" spans="1:6">
      <c r="A735" t="s">
        <v>194</v>
      </c>
      <c r="B735" t="s">
        <v>195</v>
      </c>
      <c r="C735" t="s">
        <v>29</v>
      </c>
      <c r="D735" s="9">
        <v>94.3</v>
      </c>
      <c r="E735" t="s">
        <v>185</v>
      </c>
      <c r="F735">
        <v>7</v>
      </c>
    </row>
    <row r="736" spans="1:6">
      <c r="A736" t="s">
        <v>196</v>
      </c>
      <c r="B736" t="s">
        <v>197</v>
      </c>
      <c r="C736" t="s">
        <v>29</v>
      </c>
      <c r="D736" s="9">
        <v>94.2</v>
      </c>
      <c r="E736" t="s">
        <v>185</v>
      </c>
      <c r="F736">
        <v>7</v>
      </c>
    </row>
    <row r="737" spans="1:6">
      <c r="A737" t="s">
        <v>198</v>
      </c>
      <c r="B737" t="s">
        <v>199</v>
      </c>
      <c r="C737" t="s">
        <v>29</v>
      </c>
      <c r="D737" s="9">
        <v>93.2</v>
      </c>
      <c r="E737" t="s">
        <v>185</v>
      </c>
      <c r="F737">
        <v>7</v>
      </c>
    </row>
    <row r="738" spans="1:6">
      <c r="A738" t="s">
        <v>200</v>
      </c>
      <c r="B738" t="s">
        <v>201</v>
      </c>
      <c r="C738" t="s">
        <v>29</v>
      </c>
      <c r="D738" s="9">
        <v>94.5</v>
      </c>
      <c r="E738" t="s">
        <v>185</v>
      </c>
      <c r="F738">
        <v>7</v>
      </c>
    </row>
    <row r="739" spans="1:6">
      <c r="A739" t="s">
        <v>202</v>
      </c>
      <c r="B739" t="s">
        <v>203</v>
      </c>
      <c r="C739" t="s">
        <v>29</v>
      </c>
      <c r="D739" s="9">
        <v>92</v>
      </c>
      <c r="E739" t="s">
        <v>185</v>
      </c>
      <c r="F739">
        <v>7</v>
      </c>
    </row>
    <row r="740" spans="1:6">
      <c r="A740" t="s">
        <v>204</v>
      </c>
      <c r="B740" t="s">
        <v>205</v>
      </c>
      <c r="C740" t="s">
        <v>29</v>
      </c>
      <c r="D740" s="9">
        <v>91</v>
      </c>
      <c r="E740" t="s">
        <v>205</v>
      </c>
      <c r="F740">
        <v>7</v>
      </c>
    </row>
    <row r="741" spans="1:6">
      <c r="A741" t="s">
        <v>206</v>
      </c>
      <c r="B741" t="s">
        <v>207</v>
      </c>
      <c r="C741" t="s">
        <v>29</v>
      </c>
      <c r="D741" s="9">
        <v>95.7</v>
      </c>
      <c r="E741" t="s">
        <v>185</v>
      </c>
      <c r="F741">
        <v>7</v>
      </c>
    </row>
    <row r="742" spans="1:6">
      <c r="A742" t="s">
        <v>208</v>
      </c>
      <c r="B742" t="s">
        <v>209</v>
      </c>
      <c r="C742" t="s">
        <v>29</v>
      </c>
      <c r="D742" s="9">
        <v>92.3</v>
      </c>
      <c r="E742" t="s">
        <v>185</v>
      </c>
      <c r="F742">
        <v>7</v>
      </c>
    </row>
    <row r="743" spans="1:6">
      <c r="A743" t="s">
        <v>210</v>
      </c>
      <c r="B743" t="s">
        <v>211</v>
      </c>
      <c r="C743" t="s">
        <v>29</v>
      </c>
      <c r="D743" s="9">
        <v>93.5</v>
      </c>
      <c r="E743" t="s">
        <v>212</v>
      </c>
      <c r="F743">
        <v>7</v>
      </c>
    </row>
    <row r="744" spans="1:6">
      <c r="A744" t="s">
        <v>213</v>
      </c>
      <c r="B744" t="s">
        <v>214</v>
      </c>
      <c r="C744" t="s">
        <v>29</v>
      </c>
      <c r="D744" s="9">
        <v>93.6</v>
      </c>
      <c r="E744" t="s">
        <v>212</v>
      </c>
      <c r="F744">
        <v>7</v>
      </c>
    </row>
    <row r="745" spans="1:6">
      <c r="A745" t="s">
        <v>215</v>
      </c>
      <c r="B745" t="s">
        <v>216</v>
      </c>
      <c r="C745" t="s">
        <v>29</v>
      </c>
      <c r="D745" s="9">
        <v>92.2</v>
      </c>
      <c r="E745" t="s">
        <v>185</v>
      </c>
      <c r="F745">
        <v>7</v>
      </c>
    </row>
    <row r="746" spans="1:6">
      <c r="A746" t="s">
        <v>217</v>
      </c>
      <c r="B746" t="s">
        <v>218</v>
      </c>
      <c r="C746" t="s">
        <v>29</v>
      </c>
      <c r="D746" s="9">
        <v>93.3</v>
      </c>
      <c r="E746" t="s">
        <v>185</v>
      </c>
      <c r="F746">
        <v>7</v>
      </c>
    </row>
    <row r="747" spans="1:6">
      <c r="A747" t="s">
        <v>219</v>
      </c>
      <c r="B747" t="s">
        <v>220</v>
      </c>
      <c r="C747" t="s">
        <v>29</v>
      </c>
      <c r="D747" s="9">
        <v>92.3</v>
      </c>
      <c r="E747" t="s">
        <v>185</v>
      </c>
      <c r="F747">
        <v>7</v>
      </c>
    </row>
    <row r="748" spans="1:6">
      <c r="A748" t="s">
        <v>221</v>
      </c>
      <c r="B748" t="s">
        <v>222</v>
      </c>
      <c r="C748" t="s">
        <v>29</v>
      </c>
      <c r="D748" s="9">
        <v>92</v>
      </c>
      <c r="E748" t="s">
        <v>185</v>
      </c>
      <c r="F748">
        <v>7</v>
      </c>
    </row>
    <row r="749" spans="1:6">
      <c r="A749" t="s">
        <v>223</v>
      </c>
      <c r="B749" t="s">
        <v>224</v>
      </c>
      <c r="C749" t="s">
        <v>29</v>
      </c>
      <c r="D749" s="9">
        <v>92.4</v>
      </c>
      <c r="E749" t="s">
        <v>185</v>
      </c>
      <c r="F749">
        <v>7</v>
      </c>
    </row>
    <row r="750" spans="1:6">
      <c r="A750" t="s">
        <v>225</v>
      </c>
      <c r="B750" t="s">
        <v>226</v>
      </c>
      <c r="C750" t="s">
        <v>29</v>
      </c>
      <c r="D750" s="9">
        <v>91</v>
      </c>
      <c r="E750" t="s">
        <v>185</v>
      </c>
      <c r="F750">
        <v>7</v>
      </c>
    </row>
    <row r="751" spans="1:6">
      <c r="A751" t="s">
        <v>227</v>
      </c>
      <c r="B751" t="s">
        <v>228</v>
      </c>
      <c r="C751" t="s">
        <v>29</v>
      </c>
      <c r="D751" s="9">
        <v>91</v>
      </c>
      <c r="E751" t="s">
        <v>185</v>
      </c>
      <c r="F751">
        <v>7</v>
      </c>
    </row>
    <row r="752" spans="1:6">
      <c r="A752" t="s">
        <v>229</v>
      </c>
      <c r="B752" t="s">
        <v>230</v>
      </c>
      <c r="C752" t="s">
        <v>29</v>
      </c>
      <c r="D752" s="9">
        <v>91.6</v>
      </c>
      <c r="E752" t="s">
        <v>182</v>
      </c>
      <c r="F752">
        <v>7</v>
      </c>
    </row>
    <row r="753" spans="1:6">
      <c r="A753" t="s">
        <v>231</v>
      </c>
      <c r="B753" t="s">
        <v>232</v>
      </c>
      <c r="C753" t="s">
        <v>29</v>
      </c>
      <c r="D753" s="9">
        <v>93</v>
      </c>
      <c r="E753" t="s">
        <v>185</v>
      </c>
      <c r="F753">
        <v>7</v>
      </c>
    </row>
    <row r="754" spans="1:6">
      <c r="A754" t="s">
        <v>233</v>
      </c>
      <c r="B754" t="s">
        <v>234</v>
      </c>
      <c r="C754" t="s">
        <v>29</v>
      </c>
      <c r="D754" s="9">
        <v>94.4</v>
      </c>
      <c r="E754" t="s">
        <v>182</v>
      </c>
      <c r="F754">
        <v>7</v>
      </c>
    </row>
    <row r="755" spans="1:6">
      <c r="A755" t="s">
        <v>235</v>
      </c>
      <c r="B755" t="s">
        <v>236</v>
      </c>
      <c r="C755" t="s">
        <v>29</v>
      </c>
      <c r="D755" s="9">
        <v>93</v>
      </c>
      <c r="E755" t="s">
        <v>185</v>
      </c>
      <c r="F755">
        <v>7</v>
      </c>
    </row>
    <row r="756" spans="1:6">
      <c r="A756" t="s">
        <v>237</v>
      </c>
      <c r="B756" t="s">
        <v>238</v>
      </c>
      <c r="C756" t="s">
        <v>29</v>
      </c>
      <c r="D756" s="9">
        <v>94</v>
      </c>
      <c r="E756" t="s">
        <v>185</v>
      </c>
      <c r="F756">
        <v>7</v>
      </c>
    </row>
    <row r="757" spans="1:6">
      <c r="A757" t="s">
        <v>239</v>
      </c>
      <c r="B757" t="s">
        <v>240</v>
      </c>
      <c r="C757" t="s">
        <v>29</v>
      </c>
      <c r="D757" s="9">
        <v>93.2</v>
      </c>
      <c r="E757" t="s">
        <v>185</v>
      </c>
      <c r="F757">
        <v>7</v>
      </c>
    </row>
    <row r="758" spans="1:6">
      <c r="A758" t="s">
        <v>241</v>
      </c>
      <c r="B758" t="s">
        <v>242</v>
      </c>
      <c r="C758" t="s">
        <v>29</v>
      </c>
      <c r="D758" s="9">
        <v>93.7</v>
      </c>
      <c r="E758" t="s">
        <v>185</v>
      </c>
      <c r="F758">
        <v>7</v>
      </c>
    </row>
    <row r="759" spans="1:6">
      <c r="A759" t="s">
        <v>243</v>
      </c>
      <c r="B759" t="s">
        <v>244</v>
      </c>
      <c r="C759" t="s">
        <v>29</v>
      </c>
      <c r="D759" s="9">
        <v>94.8</v>
      </c>
      <c r="E759" t="s">
        <v>185</v>
      </c>
      <c r="F759">
        <v>7</v>
      </c>
    </row>
    <row r="760" spans="1:6">
      <c r="A760" t="s">
        <v>245</v>
      </c>
      <c r="B760" t="s">
        <v>246</v>
      </c>
      <c r="C760" t="s">
        <v>29</v>
      </c>
      <c r="D760" s="9">
        <v>91.8</v>
      </c>
      <c r="E760" t="s">
        <v>185</v>
      </c>
      <c r="F760">
        <v>7</v>
      </c>
    </row>
    <row r="761" spans="1:6">
      <c r="A761" t="s">
        <v>247</v>
      </c>
      <c r="B761" t="s">
        <v>248</v>
      </c>
      <c r="C761" t="s">
        <v>29</v>
      </c>
      <c r="D761" s="9">
        <v>93.7</v>
      </c>
      <c r="E761" t="s">
        <v>185</v>
      </c>
      <c r="F761">
        <v>7</v>
      </c>
    </row>
    <row r="762" spans="1:6">
      <c r="A762" t="s">
        <v>249</v>
      </c>
      <c r="B762" t="s">
        <v>250</v>
      </c>
      <c r="C762" t="s">
        <v>29</v>
      </c>
      <c r="D762" s="9">
        <v>93.3</v>
      </c>
      <c r="E762" t="s">
        <v>182</v>
      </c>
      <c r="F762">
        <v>7</v>
      </c>
    </row>
    <row r="763" spans="1:6">
      <c r="A763" t="s">
        <v>251</v>
      </c>
      <c r="B763" t="s">
        <v>252</v>
      </c>
      <c r="C763" t="s">
        <v>29</v>
      </c>
      <c r="D763" s="9">
        <v>91.3</v>
      </c>
      <c r="E763" t="s">
        <v>185</v>
      </c>
      <c r="F763">
        <v>7</v>
      </c>
    </row>
    <row r="764" spans="1:6">
      <c r="A764" t="s">
        <v>253</v>
      </c>
      <c r="B764" t="s">
        <v>254</v>
      </c>
      <c r="C764" t="s">
        <v>29</v>
      </c>
      <c r="D764" s="9">
        <v>93.1</v>
      </c>
      <c r="E764" t="s">
        <v>185</v>
      </c>
      <c r="F764">
        <v>7</v>
      </c>
    </row>
    <row r="765" spans="1:6">
      <c r="A765" t="s">
        <v>255</v>
      </c>
      <c r="B765" t="s">
        <v>256</v>
      </c>
      <c r="C765" t="s">
        <v>29</v>
      </c>
      <c r="D765" s="9">
        <v>93.5</v>
      </c>
      <c r="E765" t="s">
        <v>182</v>
      </c>
      <c r="F765">
        <v>7</v>
      </c>
    </row>
    <row r="766" spans="1:6">
      <c r="A766" t="s">
        <v>257</v>
      </c>
      <c r="B766" t="s">
        <v>258</v>
      </c>
      <c r="C766" t="s">
        <v>29</v>
      </c>
      <c r="D766" s="9">
        <v>93.7</v>
      </c>
      <c r="E766" t="s">
        <v>185</v>
      </c>
      <c r="F766">
        <v>7</v>
      </c>
    </row>
    <row r="767" spans="1:6">
      <c r="A767" t="s">
        <v>259</v>
      </c>
      <c r="B767" t="s">
        <v>260</v>
      </c>
      <c r="C767" t="s">
        <v>29</v>
      </c>
      <c r="D767" s="9">
        <v>93.2</v>
      </c>
      <c r="E767" t="s">
        <v>182</v>
      </c>
      <c r="F767">
        <v>7</v>
      </c>
    </row>
    <row r="768" spans="1:6">
      <c r="A768" t="s">
        <v>261</v>
      </c>
      <c r="B768" t="s">
        <v>262</v>
      </c>
      <c r="C768" t="s">
        <v>29</v>
      </c>
      <c r="D768" s="9">
        <v>92.2</v>
      </c>
      <c r="E768" t="s">
        <v>185</v>
      </c>
      <c r="F768">
        <v>7</v>
      </c>
    </row>
    <row r="769" spans="1:6">
      <c r="A769" t="s">
        <v>263</v>
      </c>
      <c r="B769" t="s">
        <v>264</v>
      </c>
      <c r="C769" t="s">
        <v>29</v>
      </c>
      <c r="D769" s="9">
        <v>92.2</v>
      </c>
      <c r="E769" t="s">
        <v>185</v>
      </c>
      <c r="F769">
        <v>7</v>
      </c>
    </row>
    <row r="770" spans="1:6">
      <c r="A770" t="s">
        <v>265</v>
      </c>
      <c r="B770" t="s">
        <v>266</v>
      </c>
      <c r="C770" t="s">
        <v>29</v>
      </c>
      <c r="D770" s="9">
        <v>93</v>
      </c>
      <c r="E770" t="s">
        <v>185</v>
      </c>
      <c r="F770">
        <v>7</v>
      </c>
    </row>
    <row r="771" spans="1:6">
      <c r="A771" t="s">
        <v>267</v>
      </c>
      <c r="B771" t="s">
        <v>268</v>
      </c>
      <c r="C771" t="s">
        <v>29</v>
      </c>
      <c r="D771" s="9">
        <v>92.7</v>
      </c>
      <c r="E771" t="s">
        <v>185</v>
      </c>
      <c r="F771">
        <v>7</v>
      </c>
    </row>
    <row r="772" spans="1:6">
      <c r="A772" t="s">
        <v>269</v>
      </c>
      <c r="B772" t="s">
        <v>270</v>
      </c>
      <c r="C772" t="s">
        <v>29</v>
      </c>
      <c r="D772" s="9">
        <v>94.8</v>
      </c>
      <c r="E772" t="s">
        <v>185</v>
      </c>
      <c r="F772">
        <v>7</v>
      </c>
    </row>
    <row r="773" spans="1:6">
      <c r="A773" t="s">
        <v>271</v>
      </c>
      <c r="B773" t="s">
        <v>272</v>
      </c>
      <c r="C773" t="s">
        <v>29</v>
      </c>
      <c r="D773" s="9">
        <v>93.5</v>
      </c>
      <c r="E773" t="s">
        <v>185</v>
      </c>
      <c r="F773">
        <v>7</v>
      </c>
    </row>
    <row r="774" spans="1:6">
      <c r="A774" t="s">
        <v>273</v>
      </c>
      <c r="B774" t="s">
        <v>274</v>
      </c>
      <c r="C774" t="s">
        <v>29</v>
      </c>
      <c r="D774" s="9">
        <v>91.3</v>
      </c>
      <c r="E774" t="s">
        <v>185</v>
      </c>
      <c r="F774">
        <v>7</v>
      </c>
    </row>
    <row r="775" spans="1:6">
      <c r="A775" t="s">
        <v>275</v>
      </c>
      <c r="B775" t="s">
        <v>276</v>
      </c>
      <c r="C775" t="s">
        <v>29</v>
      </c>
      <c r="D775" s="9">
        <v>68</v>
      </c>
      <c r="E775" t="s">
        <v>182</v>
      </c>
      <c r="F775">
        <v>7</v>
      </c>
    </row>
    <row r="776" spans="1:6">
      <c r="A776" t="s">
        <v>277</v>
      </c>
      <c r="B776" t="s">
        <v>278</v>
      </c>
      <c r="C776" t="s">
        <v>29</v>
      </c>
      <c r="D776" s="9">
        <v>93.3</v>
      </c>
      <c r="E776" t="s">
        <v>185</v>
      </c>
      <c r="F776">
        <v>7</v>
      </c>
    </row>
    <row r="777" spans="1:6">
      <c r="A777" t="s">
        <v>279</v>
      </c>
      <c r="B777" t="s">
        <v>280</v>
      </c>
      <c r="C777" t="s">
        <v>29</v>
      </c>
      <c r="D777" s="9">
        <v>93.2</v>
      </c>
      <c r="E777" t="s">
        <v>185</v>
      </c>
      <c r="F777">
        <v>7</v>
      </c>
    </row>
    <row r="778" spans="1:6">
      <c r="A778" t="s">
        <v>281</v>
      </c>
      <c r="B778" t="s">
        <v>282</v>
      </c>
      <c r="C778" t="s">
        <v>29</v>
      </c>
      <c r="D778" s="9">
        <v>92.4</v>
      </c>
      <c r="E778" t="s">
        <v>185</v>
      </c>
      <c r="F778">
        <v>7</v>
      </c>
    </row>
    <row r="779" spans="1:6">
      <c r="A779" t="s">
        <v>283</v>
      </c>
      <c r="B779" t="s">
        <v>284</v>
      </c>
      <c r="C779" t="s">
        <v>29</v>
      </c>
      <c r="D779" s="9">
        <v>92.2</v>
      </c>
      <c r="E779" t="s">
        <v>185</v>
      </c>
      <c r="F779">
        <v>7</v>
      </c>
    </row>
    <row r="780" spans="1:6">
      <c r="A780" t="s">
        <v>285</v>
      </c>
      <c r="B780" t="s">
        <v>286</v>
      </c>
      <c r="C780" t="s">
        <v>29</v>
      </c>
      <c r="D780" s="9">
        <v>90.5</v>
      </c>
      <c r="E780" t="s">
        <v>182</v>
      </c>
      <c r="F780">
        <v>7</v>
      </c>
    </row>
    <row r="781" spans="1:6">
      <c r="A781" t="s">
        <v>287</v>
      </c>
      <c r="B781" t="s">
        <v>288</v>
      </c>
      <c r="C781" t="s">
        <v>29</v>
      </c>
      <c r="D781" s="9">
        <v>92.1</v>
      </c>
      <c r="E781" t="s">
        <v>182</v>
      </c>
      <c r="F781">
        <v>7</v>
      </c>
    </row>
    <row r="782" spans="1:6">
      <c r="A782" t="s">
        <v>289</v>
      </c>
      <c r="B782" t="s">
        <v>290</v>
      </c>
      <c r="C782" t="s">
        <v>29</v>
      </c>
      <c r="D782" s="9">
        <v>92.3</v>
      </c>
      <c r="E782" t="s">
        <v>185</v>
      </c>
      <c r="F782">
        <v>7</v>
      </c>
    </row>
    <row r="783" spans="1:6">
      <c r="A783" t="s">
        <v>291</v>
      </c>
      <c r="B783" t="s">
        <v>292</v>
      </c>
      <c r="C783" t="s">
        <v>29</v>
      </c>
      <c r="D783" s="9">
        <v>82.9</v>
      </c>
      <c r="E783" t="s">
        <v>182</v>
      </c>
      <c r="F783">
        <v>7</v>
      </c>
    </row>
    <row r="784" spans="1:6">
      <c r="A784" t="s">
        <v>293</v>
      </c>
      <c r="B784" t="s">
        <v>294</v>
      </c>
      <c r="C784" t="s">
        <v>29</v>
      </c>
      <c r="D784" s="9">
        <v>92.9</v>
      </c>
      <c r="E784" t="s">
        <v>182</v>
      </c>
      <c r="F784">
        <v>7</v>
      </c>
    </row>
    <row r="785" spans="1:6">
      <c r="A785" t="s">
        <v>295</v>
      </c>
      <c r="B785" t="s">
        <v>296</v>
      </c>
      <c r="C785" t="s">
        <v>29</v>
      </c>
      <c r="D785" s="9">
        <v>91.2</v>
      </c>
      <c r="E785" t="s">
        <v>185</v>
      </c>
      <c r="F785">
        <v>7</v>
      </c>
    </row>
    <row r="786" spans="1:6">
      <c r="A786" t="s">
        <v>297</v>
      </c>
      <c r="B786" t="s">
        <v>298</v>
      </c>
      <c r="C786" t="s">
        <v>29</v>
      </c>
      <c r="D786" s="9">
        <v>93.2</v>
      </c>
      <c r="E786" t="s">
        <v>185</v>
      </c>
      <c r="F786">
        <v>7</v>
      </c>
    </row>
    <row r="787" spans="1:6">
      <c r="A787" t="s">
        <v>299</v>
      </c>
      <c r="B787" t="s">
        <v>300</v>
      </c>
      <c r="C787" t="s">
        <v>29</v>
      </c>
      <c r="D787" s="9">
        <v>91.7</v>
      </c>
      <c r="E787" t="s">
        <v>212</v>
      </c>
      <c r="F787">
        <v>7</v>
      </c>
    </row>
    <row r="788" spans="1:6">
      <c r="A788" t="s">
        <v>301</v>
      </c>
      <c r="B788" t="s">
        <v>302</v>
      </c>
      <c r="C788" t="s">
        <v>29</v>
      </c>
      <c r="D788" s="9">
        <v>92.3</v>
      </c>
      <c r="E788" t="s">
        <v>185</v>
      </c>
      <c r="F788">
        <v>7</v>
      </c>
    </row>
    <row r="789" spans="1:6">
      <c r="A789" t="s">
        <v>303</v>
      </c>
      <c r="B789" t="s">
        <v>304</v>
      </c>
      <c r="C789" t="s">
        <v>29</v>
      </c>
      <c r="D789" s="9">
        <v>92.6</v>
      </c>
      <c r="E789" t="s">
        <v>212</v>
      </c>
      <c r="F789">
        <v>7</v>
      </c>
    </row>
    <row r="790" spans="1:6">
      <c r="A790" t="s">
        <v>305</v>
      </c>
      <c r="B790" t="s">
        <v>306</v>
      </c>
      <c r="C790" t="s">
        <v>29</v>
      </c>
      <c r="D790" s="9">
        <v>93.7</v>
      </c>
      <c r="E790" t="s">
        <v>185</v>
      </c>
      <c r="F790">
        <v>7</v>
      </c>
    </row>
    <row r="791" spans="1:6">
      <c r="A791" t="s">
        <v>307</v>
      </c>
      <c r="B791" t="s">
        <v>308</v>
      </c>
      <c r="C791" t="s">
        <v>29</v>
      </c>
      <c r="D791" s="9">
        <v>93.5</v>
      </c>
      <c r="E791" t="s">
        <v>185</v>
      </c>
      <c r="F791">
        <v>7</v>
      </c>
    </row>
    <row r="792" spans="1:6">
      <c r="A792" t="s">
        <v>309</v>
      </c>
      <c r="B792" t="s">
        <v>310</v>
      </c>
      <c r="C792" t="s">
        <v>29</v>
      </c>
      <c r="D792" s="9">
        <v>92</v>
      </c>
      <c r="E792" t="s">
        <v>185</v>
      </c>
      <c r="F792">
        <v>7</v>
      </c>
    </row>
    <row r="793" spans="1:6">
      <c r="A793" t="s">
        <v>311</v>
      </c>
      <c r="B793" t="s">
        <v>312</v>
      </c>
      <c r="C793" t="s">
        <v>29</v>
      </c>
      <c r="D793" s="9">
        <v>92.9</v>
      </c>
      <c r="E793" t="s">
        <v>185</v>
      </c>
      <c r="F793">
        <v>7</v>
      </c>
    </row>
    <row r="794" spans="1:6">
      <c r="A794" t="s">
        <v>313</v>
      </c>
      <c r="B794" t="s">
        <v>314</v>
      </c>
      <c r="C794" t="s">
        <v>29</v>
      </c>
      <c r="D794" s="9">
        <v>92.3</v>
      </c>
      <c r="E794" t="s">
        <v>185</v>
      </c>
      <c r="F794">
        <v>7</v>
      </c>
    </row>
    <row r="795" spans="1:6">
      <c r="A795" t="s">
        <v>315</v>
      </c>
      <c r="B795" t="s">
        <v>316</v>
      </c>
      <c r="C795" t="s">
        <v>29</v>
      </c>
      <c r="D795" s="9">
        <v>92.7</v>
      </c>
      <c r="E795" t="s">
        <v>185</v>
      </c>
      <c r="F795">
        <v>7</v>
      </c>
    </row>
    <row r="796" spans="1:6">
      <c r="A796" t="s">
        <v>317</v>
      </c>
      <c r="B796" t="s">
        <v>318</v>
      </c>
      <c r="C796" t="s">
        <v>29</v>
      </c>
      <c r="D796" s="9">
        <v>92.9</v>
      </c>
      <c r="E796" t="s">
        <v>182</v>
      </c>
      <c r="F796">
        <v>7</v>
      </c>
    </row>
    <row r="797" spans="1:6">
      <c r="A797" t="s">
        <v>319</v>
      </c>
      <c r="B797" t="s">
        <v>320</v>
      </c>
      <c r="C797" t="s">
        <v>29</v>
      </c>
      <c r="D797" s="9">
        <v>91.7</v>
      </c>
      <c r="E797" t="s">
        <v>185</v>
      </c>
      <c r="F797">
        <v>7</v>
      </c>
    </row>
    <row r="798" spans="1:6">
      <c r="A798" t="s">
        <v>321</v>
      </c>
      <c r="B798" t="s">
        <v>322</v>
      </c>
      <c r="C798" t="s">
        <v>29</v>
      </c>
      <c r="D798" s="9">
        <v>93.6</v>
      </c>
      <c r="E798" t="s">
        <v>185</v>
      </c>
      <c r="F798">
        <v>7</v>
      </c>
    </row>
    <row r="799" spans="1:6">
      <c r="A799" t="s">
        <v>323</v>
      </c>
      <c r="B799" t="s">
        <v>324</v>
      </c>
      <c r="C799" t="s">
        <v>29</v>
      </c>
      <c r="D799" s="9">
        <v>93.8</v>
      </c>
      <c r="E799" t="s">
        <v>185</v>
      </c>
      <c r="F799">
        <v>7</v>
      </c>
    </row>
    <row r="800" spans="1:6">
      <c r="A800" t="s">
        <v>325</v>
      </c>
      <c r="B800" t="s">
        <v>326</v>
      </c>
      <c r="C800" t="s">
        <v>29</v>
      </c>
      <c r="D800" s="9">
        <v>92</v>
      </c>
      <c r="E800" t="s">
        <v>185</v>
      </c>
      <c r="F800">
        <v>7</v>
      </c>
    </row>
    <row r="801" spans="1:6">
      <c r="A801" s="14" t="s">
        <v>327</v>
      </c>
      <c r="B801" s="14" t="s">
        <v>328</v>
      </c>
      <c r="C801" t="s">
        <v>29</v>
      </c>
      <c r="D801" s="9">
        <v>93.8</v>
      </c>
      <c r="E801" s="14" t="s">
        <v>212</v>
      </c>
      <c r="F801">
        <v>7</v>
      </c>
    </row>
    <row r="802" spans="1:6">
      <c r="A802" t="s">
        <v>329</v>
      </c>
      <c r="B802" t="s">
        <v>330</v>
      </c>
      <c r="C802" t="s">
        <v>29</v>
      </c>
      <c r="D802" s="9">
        <v>93.5</v>
      </c>
      <c r="E802" t="s">
        <v>185</v>
      </c>
      <c r="F802">
        <v>7</v>
      </c>
    </row>
    <row r="803" spans="1:6">
      <c r="A803" t="s">
        <v>331</v>
      </c>
      <c r="B803" t="s">
        <v>332</v>
      </c>
      <c r="C803" t="s">
        <v>29</v>
      </c>
      <c r="D803" s="9">
        <v>91.8</v>
      </c>
      <c r="E803" t="s">
        <v>185</v>
      </c>
      <c r="F803">
        <v>7</v>
      </c>
    </row>
    <row r="804" spans="1:6">
      <c r="A804" t="s">
        <v>333</v>
      </c>
      <c r="B804" t="s">
        <v>334</v>
      </c>
      <c r="C804" t="s">
        <v>29</v>
      </c>
      <c r="D804" s="9">
        <v>92.3</v>
      </c>
      <c r="E804" t="s">
        <v>185</v>
      </c>
      <c r="F804">
        <v>7</v>
      </c>
    </row>
    <row r="805" spans="1:6">
      <c r="A805" t="s">
        <v>335</v>
      </c>
      <c r="B805" t="s">
        <v>336</v>
      </c>
      <c r="C805" t="s">
        <v>29</v>
      </c>
      <c r="D805" s="9">
        <v>92.6</v>
      </c>
      <c r="E805" t="s">
        <v>185</v>
      </c>
      <c r="F805">
        <v>7</v>
      </c>
    </row>
    <row r="806" spans="1:6">
      <c r="A806" t="s">
        <v>337</v>
      </c>
      <c r="B806" t="s">
        <v>338</v>
      </c>
      <c r="C806" t="s">
        <v>29</v>
      </c>
      <c r="D806" s="9">
        <v>89.5</v>
      </c>
      <c r="E806" t="s">
        <v>182</v>
      </c>
      <c r="F806">
        <v>7</v>
      </c>
    </row>
    <row r="807" spans="1:6">
      <c r="A807" t="s">
        <v>339</v>
      </c>
      <c r="B807" t="s">
        <v>340</v>
      </c>
      <c r="C807" t="s">
        <v>29</v>
      </c>
      <c r="D807" s="9">
        <v>93.3</v>
      </c>
      <c r="E807" t="s">
        <v>185</v>
      </c>
      <c r="F807">
        <v>7</v>
      </c>
    </row>
    <row r="808" spans="1:6">
      <c r="A808" t="s">
        <v>341</v>
      </c>
      <c r="B808" t="s">
        <v>342</v>
      </c>
      <c r="C808" t="s">
        <v>29</v>
      </c>
      <c r="D808" s="9">
        <v>92.8</v>
      </c>
      <c r="E808" t="s">
        <v>182</v>
      </c>
      <c r="F808">
        <v>7</v>
      </c>
    </row>
    <row r="809" spans="1:6">
      <c r="A809" t="s">
        <v>343</v>
      </c>
      <c r="B809" t="s">
        <v>344</v>
      </c>
      <c r="C809" t="s">
        <v>29</v>
      </c>
      <c r="D809" s="9">
        <v>93.6</v>
      </c>
      <c r="E809" t="s">
        <v>185</v>
      </c>
      <c r="F809">
        <v>7</v>
      </c>
    </row>
    <row r="810" spans="1:6">
      <c r="A810" t="s">
        <v>345</v>
      </c>
      <c r="B810" t="s">
        <v>346</v>
      </c>
      <c r="C810" t="s">
        <v>29</v>
      </c>
      <c r="D810" s="9">
        <v>92.6</v>
      </c>
      <c r="E810" t="s">
        <v>185</v>
      </c>
      <c r="F810">
        <v>7</v>
      </c>
    </row>
    <row r="811" spans="1:6">
      <c r="A811" t="s">
        <v>425</v>
      </c>
      <c r="B811" t="s">
        <v>348</v>
      </c>
      <c r="C811" t="s">
        <v>29</v>
      </c>
      <c r="D811" s="9">
        <v>94.9</v>
      </c>
      <c r="E811" t="s">
        <v>185</v>
      </c>
      <c r="F811">
        <v>7</v>
      </c>
    </row>
    <row r="812" spans="1:6">
      <c r="A812" t="s">
        <v>349</v>
      </c>
      <c r="B812" t="s">
        <v>350</v>
      </c>
      <c r="C812" t="s">
        <v>29</v>
      </c>
      <c r="D812" s="9">
        <v>92.1</v>
      </c>
      <c r="E812" t="s">
        <v>185</v>
      </c>
      <c r="F812">
        <v>7</v>
      </c>
    </row>
    <row r="813" spans="1:6">
      <c r="A813" t="s">
        <v>351</v>
      </c>
      <c r="B813" t="s">
        <v>352</v>
      </c>
      <c r="C813" t="s">
        <v>29</v>
      </c>
      <c r="D813" s="9">
        <v>93.1</v>
      </c>
      <c r="E813" t="s">
        <v>185</v>
      </c>
      <c r="F813">
        <v>7</v>
      </c>
    </row>
    <row r="814" spans="1:6">
      <c r="A814" t="s">
        <v>353</v>
      </c>
      <c r="B814" t="s">
        <v>354</v>
      </c>
      <c r="C814" t="s">
        <v>29</v>
      </c>
      <c r="D814" s="9">
        <v>92.8</v>
      </c>
      <c r="E814" t="s">
        <v>185</v>
      </c>
      <c r="F814">
        <v>7</v>
      </c>
    </row>
    <row r="815" spans="1:6">
      <c r="A815" t="s">
        <v>355</v>
      </c>
      <c r="B815" t="s">
        <v>356</v>
      </c>
      <c r="C815" t="s">
        <v>29</v>
      </c>
      <c r="D815" s="9">
        <v>94.2</v>
      </c>
      <c r="E815" t="s">
        <v>185</v>
      </c>
      <c r="F815">
        <v>7</v>
      </c>
    </row>
    <row r="816" spans="1:6">
      <c r="A816" t="s">
        <v>357</v>
      </c>
      <c r="B816" t="s">
        <v>358</v>
      </c>
      <c r="C816" t="s">
        <v>29</v>
      </c>
      <c r="D816" s="9">
        <v>92.6</v>
      </c>
      <c r="E816" t="s">
        <v>212</v>
      </c>
      <c r="F816">
        <v>7</v>
      </c>
    </row>
    <row r="817" spans="1:6">
      <c r="A817" t="s">
        <v>359</v>
      </c>
      <c r="B817" t="s">
        <v>360</v>
      </c>
      <c r="C817" t="s">
        <v>29</v>
      </c>
      <c r="D817" s="9">
        <v>91.4</v>
      </c>
      <c r="E817" t="s">
        <v>185</v>
      </c>
      <c r="F817">
        <v>7</v>
      </c>
    </row>
    <row r="818" spans="1:6">
      <c r="A818" t="s">
        <v>361</v>
      </c>
      <c r="B818" t="s">
        <v>362</v>
      </c>
      <c r="C818" t="s">
        <v>29</v>
      </c>
      <c r="D818" s="9">
        <v>91.7</v>
      </c>
      <c r="E818" t="s">
        <v>185</v>
      </c>
      <c r="F818">
        <v>7</v>
      </c>
    </row>
    <row r="819" spans="1:6">
      <c r="A819" t="s">
        <v>363</v>
      </c>
      <c r="B819" t="s">
        <v>364</v>
      </c>
      <c r="C819" t="s">
        <v>29</v>
      </c>
      <c r="D819" s="9">
        <v>93.5</v>
      </c>
      <c r="E819" t="s">
        <v>185</v>
      </c>
      <c r="F819">
        <v>7</v>
      </c>
    </row>
    <row r="820" spans="1:6">
      <c r="A820" t="s">
        <v>365</v>
      </c>
      <c r="B820" t="s">
        <v>366</v>
      </c>
      <c r="C820" t="s">
        <v>29</v>
      </c>
      <c r="D820" s="9">
        <v>94.2</v>
      </c>
      <c r="E820" t="s">
        <v>185</v>
      </c>
      <c r="F820">
        <v>7</v>
      </c>
    </row>
    <row r="821" spans="1:6">
      <c r="A821" t="s">
        <v>367</v>
      </c>
      <c r="B821" t="s">
        <v>368</v>
      </c>
      <c r="C821" t="s">
        <v>29</v>
      </c>
      <c r="D821" s="9">
        <v>93.3</v>
      </c>
      <c r="E821" t="s">
        <v>185</v>
      </c>
      <c r="F821">
        <v>7</v>
      </c>
    </row>
    <row r="822" spans="1:6">
      <c r="A822" t="s">
        <v>369</v>
      </c>
      <c r="B822" t="s">
        <v>370</v>
      </c>
      <c r="C822" t="s">
        <v>29</v>
      </c>
      <c r="D822" s="9">
        <v>93.6</v>
      </c>
      <c r="E822" t="s">
        <v>185</v>
      </c>
      <c r="F822">
        <v>7</v>
      </c>
    </row>
    <row r="823" spans="1:6">
      <c r="A823" t="s">
        <v>371</v>
      </c>
      <c r="B823" t="s">
        <v>372</v>
      </c>
      <c r="C823" t="s">
        <v>29</v>
      </c>
      <c r="D823" s="9">
        <v>92.6</v>
      </c>
      <c r="E823" t="s">
        <v>185</v>
      </c>
      <c r="F823">
        <v>7</v>
      </c>
    </row>
    <row r="824" spans="1:6">
      <c r="A824" t="s">
        <v>373</v>
      </c>
      <c r="B824" t="s">
        <v>374</v>
      </c>
      <c r="C824" t="s">
        <v>29</v>
      </c>
      <c r="D824" s="9">
        <v>92.6</v>
      </c>
      <c r="E824" t="s">
        <v>185</v>
      </c>
      <c r="F824">
        <v>7</v>
      </c>
    </row>
    <row r="825" spans="1:6">
      <c r="A825" t="s">
        <v>375</v>
      </c>
      <c r="B825" t="s">
        <v>376</v>
      </c>
      <c r="C825" t="s">
        <v>29</v>
      </c>
      <c r="D825" s="9">
        <v>93.9</v>
      </c>
      <c r="E825" t="s">
        <v>185</v>
      </c>
      <c r="F825">
        <v>7</v>
      </c>
    </row>
    <row r="826" spans="1:6">
      <c r="A826" t="s">
        <v>377</v>
      </c>
      <c r="B826" t="s">
        <v>378</v>
      </c>
      <c r="C826" t="s">
        <v>29</v>
      </c>
      <c r="D826" s="9">
        <v>93.1</v>
      </c>
      <c r="E826" t="s">
        <v>185</v>
      </c>
      <c r="F826">
        <v>7</v>
      </c>
    </row>
    <row r="827" spans="1:6">
      <c r="A827" t="s">
        <v>379</v>
      </c>
      <c r="B827" t="s">
        <v>380</v>
      </c>
      <c r="C827" t="s">
        <v>29</v>
      </c>
      <c r="D827" s="9">
        <v>92</v>
      </c>
      <c r="E827" t="s">
        <v>185</v>
      </c>
      <c r="F827">
        <v>7</v>
      </c>
    </row>
    <row r="828" spans="1:6">
      <c r="A828" t="s">
        <v>381</v>
      </c>
      <c r="B828" t="s">
        <v>382</v>
      </c>
      <c r="C828" t="s">
        <v>29</v>
      </c>
      <c r="D828" s="9">
        <v>91.8</v>
      </c>
      <c r="E828" t="s">
        <v>185</v>
      </c>
      <c r="F828">
        <v>7</v>
      </c>
    </row>
    <row r="829" spans="1:6">
      <c r="A829" t="s">
        <v>383</v>
      </c>
      <c r="B829" t="s">
        <v>384</v>
      </c>
      <c r="C829" t="s">
        <v>29</v>
      </c>
      <c r="D829" s="9">
        <v>91.7</v>
      </c>
      <c r="E829" t="s">
        <v>212</v>
      </c>
      <c r="F829">
        <v>7</v>
      </c>
    </row>
    <row r="830" spans="1:6">
      <c r="A830" t="s">
        <v>385</v>
      </c>
      <c r="B830" t="s">
        <v>386</v>
      </c>
      <c r="C830" t="s">
        <v>29</v>
      </c>
      <c r="D830" s="9">
        <v>92</v>
      </c>
      <c r="E830" t="s">
        <v>185</v>
      </c>
      <c r="F830">
        <v>7</v>
      </c>
    </row>
    <row r="831" spans="1:6">
      <c r="A831" t="s">
        <v>387</v>
      </c>
      <c r="B831" t="s">
        <v>388</v>
      </c>
      <c r="C831" t="s">
        <v>29</v>
      </c>
      <c r="D831" s="9">
        <v>93.8</v>
      </c>
      <c r="E831" t="s">
        <v>182</v>
      </c>
      <c r="F831">
        <v>7</v>
      </c>
    </row>
    <row r="832" spans="1:6">
      <c r="A832" t="s">
        <v>389</v>
      </c>
      <c r="B832" t="s">
        <v>390</v>
      </c>
      <c r="C832" t="s">
        <v>29</v>
      </c>
      <c r="D832" s="9">
        <v>93.8</v>
      </c>
      <c r="E832" t="s">
        <v>185</v>
      </c>
      <c r="F832">
        <v>7</v>
      </c>
    </row>
    <row r="833" spans="1:6">
      <c r="A833" t="s">
        <v>391</v>
      </c>
      <c r="B833" t="s">
        <v>392</v>
      </c>
      <c r="C833" t="s">
        <v>29</v>
      </c>
      <c r="D833" s="9">
        <v>91.4</v>
      </c>
      <c r="E833" t="s">
        <v>185</v>
      </c>
      <c r="F833">
        <v>7</v>
      </c>
    </row>
    <row r="834" spans="1:6">
      <c r="A834" t="s">
        <v>393</v>
      </c>
      <c r="B834" t="s">
        <v>394</v>
      </c>
      <c r="C834" t="s">
        <v>29</v>
      </c>
      <c r="D834" s="9">
        <v>93.3</v>
      </c>
      <c r="E834" t="s">
        <v>185</v>
      </c>
      <c r="F834">
        <v>7</v>
      </c>
    </row>
    <row r="835" spans="1:6">
      <c r="A835" t="s">
        <v>395</v>
      </c>
      <c r="B835" t="s">
        <v>396</v>
      </c>
      <c r="C835" t="s">
        <v>29</v>
      </c>
      <c r="D835" s="9">
        <v>93.3</v>
      </c>
      <c r="E835" t="s">
        <v>185</v>
      </c>
      <c r="F835">
        <v>7</v>
      </c>
    </row>
    <row r="836" spans="1:6">
      <c r="A836" t="s">
        <v>397</v>
      </c>
      <c r="B836" t="s">
        <v>398</v>
      </c>
      <c r="C836" t="s">
        <v>29</v>
      </c>
      <c r="D836" s="9">
        <v>92.9</v>
      </c>
      <c r="E836" t="s">
        <v>185</v>
      </c>
      <c r="F836">
        <v>7</v>
      </c>
    </row>
    <row r="837" spans="1:6">
      <c r="A837" t="s">
        <v>399</v>
      </c>
      <c r="B837" t="s">
        <v>400</v>
      </c>
      <c r="C837" t="s">
        <v>29</v>
      </c>
      <c r="D837" s="9">
        <v>90.9</v>
      </c>
      <c r="E837" t="s">
        <v>185</v>
      </c>
      <c r="F837">
        <v>7</v>
      </c>
    </row>
    <row r="838" spans="1:6">
      <c r="A838" t="s">
        <v>401</v>
      </c>
      <c r="B838" t="s">
        <v>402</v>
      </c>
      <c r="C838" t="s">
        <v>29</v>
      </c>
      <c r="D838" s="9">
        <v>93.1</v>
      </c>
      <c r="E838" t="s">
        <v>185</v>
      </c>
      <c r="F838">
        <v>7</v>
      </c>
    </row>
    <row r="839" spans="1:6">
      <c r="A839" t="s">
        <v>403</v>
      </c>
      <c r="B839" t="s">
        <v>404</v>
      </c>
      <c r="C839" t="s">
        <v>29</v>
      </c>
      <c r="D839" s="9">
        <v>91.3</v>
      </c>
      <c r="E839" t="s">
        <v>185</v>
      </c>
      <c r="F839">
        <v>7</v>
      </c>
    </row>
    <row r="840" spans="1:6">
      <c r="A840" t="s">
        <v>405</v>
      </c>
      <c r="B840" t="s">
        <v>406</v>
      </c>
      <c r="C840" t="s">
        <v>29</v>
      </c>
      <c r="D840" s="9">
        <v>92.8</v>
      </c>
      <c r="E840" t="s">
        <v>185</v>
      </c>
      <c r="F840">
        <v>7</v>
      </c>
    </row>
    <row r="841" spans="1:6">
      <c r="A841" t="s">
        <v>407</v>
      </c>
      <c r="B841" t="s">
        <v>408</v>
      </c>
      <c r="C841" t="s">
        <v>29</v>
      </c>
      <c r="D841" s="9">
        <v>94.2</v>
      </c>
      <c r="E841" t="s">
        <v>185</v>
      </c>
      <c r="F841">
        <v>7</v>
      </c>
    </row>
    <row r="842" spans="1:6">
      <c r="A842" t="s">
        <v>409</v>
      </c>
      <c r="B842" t="s">
        <v>410</v>
      </c>
      <c r="C842" t="s">
        <v>29</v>
      </c>
      <c r="D842" s="9">
        <v>92.1</v>
      </c>
      <c r="E842" t="s">
        <v>185</v>
      </c>
      <c r="F842">
        <v>7</v>
      </c>
    </row>
    <row r="843" spans="1:6">
      <c r="A843" t="s">
        <v>411</v>
      </c>
      <c r="B843" t="s">
        <v>412</v>
      </c>
      <c r="C843" t="s">
        <v>29</v>
      </c>
      <c r="D843" s="9">
        <v>93.6</v>
      </c>
      <c r="E843" t="s">
        <v>185</v>
      </c>
      <c r="F843">
        <v>7</v>
      </c>
    </row>
    <row r="844" spans="1:6">
      <c r="A844" t="s">
        <v>413</v>
      </c>
      <c r="B844" t="s">
        <v>414</v>
      </c>
      <c r="C844" t="s">
        <v>29</v>
      </c>
      <c r="D844" s="9">
        <v>93.1</v>
      </c>
      <c r="E844" t="s">
        <v>185</v>
      </c>
      <c r="F844">
        <v>7</v>
      </c>
    </row>
    <row r="845" spans="1:6">
      <c r="A845" t="s">
        <v>415</v>
      </c>
      <c r="B845" t="s">
        <v>416</v>
      </c>
      <c r="C845" t="s">
        <v>29</v>
      </c>
      <c r="D845" s="9">
        <v>93.8</v>
      </c>
      <c r="E845" t="s">
        <v>185</v>
      </c>
      <c r="F845">
        <v>7</v>
      </c>
    </row>
    <row r="846" spans="1:6">
      <c r="A846" t="s">
        <v>417</v>
      </c>
      <c r="B846" t="s">
        <v>418</v>
      </c>
      <c r="C846" t="s">
        <v>29</v>
      </c>
      <c r="D846" s="9">
        <v>94</v>
      </c>
      <c r="E846" t="s">
        <v>185</v>
      </c>
      <c r="F846">
        <v>7</v>
      </c>
    </row>
    <row r="847" spans="1:6">
      <c r="A847" t="s">
        <v>419</v>
      </c>
      <c r="B847" t="s">
        <v>420</v>
      </c>
      <c r="C847" t="s">
        <v>29</v>
      </c>
      <c r="D847" s="9">
        <v>93.8</v>
      </c>
      <c r="E847" t="s">
        <v>185</v>
      </c>
      <c r="F847">
        <v>7</v>
      </c>
    </row>
    <row r="848" spans="1:6">
      <c r="A848" t="s">
        <v>421</v>
      </c>
      <c r="B848" t="s">
        <v>422</v>
      </c>
      <c r="C848" t="s">
        <v>29</v>
      </c>
      <c r="D848" s="9">
        <v>93.6</v>
      </c>
      <c r="E848" t="s">
        <v>185</v>
      </c>
      <c r="F848">
        <v>7</v>
      </c>
    </row>
    <row r="849" spans="1:6">
      <c r="A849" t="s">
        <v>423</v>
      </c>
      <c r="B849" t="s">
        <v>424</v>
      </c>
      <c r="C849" t="s">
        <v>29</v>
      </c>
      <c r="D849" s="9">
        <v>63.5</v>
      </c>
      <c r="E849" t="s">
        <v>182</v>
      </c>
      <c r="F849">
        <v>7</v>
      </c>
    </row>
    <row r="850" spans="1:6">
      <c r="A850" t="s">
        <v>180</v>
      </c>
      <c r="B850" t="s">
        <v>181</v>
      </c>
      <c r="C850" t="s">
        <v>30</v>
      </c>
      <c r="D850">
        <f>'[4]RM 1C PCA'!$D$850</f>
        <v>77.8</v>
      </c>
      <c r="E850" t="s">
        <v>182</v>
      </c>
      <c r="F850">
        <v>8</v>
      </c>
    </row>
    <row r="851" spans="1:6">
      <c r="A851" t="s">
        <v>183</v>
      </c>
      <c r="B851" t="s">
        <v>184</v>
      </c>
      <c r="C851" t="s">
        <v>30</v>
      </c>
      <c r="D851">
        <f>'[4]RM 1C PCA'!$D$851</f>
        <v>78.900000000000006</v>
      </c>
      <c r="E851" t="s">
        <v>185</v>
      </c>
      <c r="F851">
        <v>8</v>
      </c>
    </row>
    <row r="852" spans="1:6">
      <c r="A852" t="s">
        <v>186</v>
      </c>
      <c r="B852" t="s">
        <v>187</v>
      </c>
      <c r="C852" t="s">
        <v>30</v>
      </c>
      <c r="D852">
        <f>'[4]RM 1C PCA'!$D$852</f>
        <v>66.099999999999994</v>
      </c>
      <c r="E852" t="s">
        <v>185</v>
      </c>
      <c r="F852">
        <v>8</v>
      </c>
    </row>
    <row r="853" spans="1:6">
      <c r="A853" t="s">
        <v>188</v>
      </c>
      <c r="B853" t="s">
        <v>189</v>
      </c>
      <c r="C853" t="s">
        <v>30</v>
      </c>
      <c r="D853">
        <f>'[4]RM 1C PCA'!$D$853</f>
        <v>78.8</v>
      </c>
      <c r="E853" t="s">
        <v>185</v>
      </c>
      <c r="F853">
        <v>8</v>
      </c>
    </row>
    <row r="854" spans="1:6">
      <c r="A854" t="s">
        <v>190</v>
      </c>
      <c r="B854" t="s">
        <v>191</v>
      </c>
      <c r="C854" t="s">
        <v>30</v>
      </c>
      <c r="D854">
        <f>'[4]RM 1C PCA'!$D$854</f>
        <v>78.2</v>
      </c>
      <c r="E854" t="s">
        <v>185</v>
      </c>
      <c r="F854">
        <v>8</v>
      </c>
    </row>
    <row r="855" spans="1:6">
      <c r="A855" t="s">
        <v>192</v>
      </c>
      <c r="B855" t="s">
        <v>193</v>
      </c>
      <c r="C855" t="s">
        <v>30</v>
      </c>
      <c r="D855">
        <f>'[4]RM 1C PCA'!$D$855</f>
        <v>79.3</v>
      </c>
      <c r="E855" t="s">
        <v>185</v>
      </c>
      <c r="F855">
        <v>8</v>
      </c>
    </row>
    <row r="856" spans="1:6">
      <c r="A856" t="s">
        <v>194</v>
      </c>
      <c r="B856" t="s">
        <v>195</v>
      </c>
      <c r="C856" t="s">
        <v>30</v>
      </c>
      <c r="D856">
        <f>'[4]RM 1C PCA'!$D$856</f>
        <v>84.8</v>
      </c>
      <c r="E856" t="s">
        <v>185</v>
      </c>
      <c r="F856">
        <v>8</v>
      </c>
    </row>
    <row r="857" spans="1:6">
      <c r="A857" t="s">
        <v>196</v>
      </c>
      <c r="B857" t="s">
        <v>197</v>
      </c>
      <c r="C857" t="s">
        <v>30</v>
      </c>
      <c r="D857">
        <f>'[4]RM 1C PCA'!$D$857</f>
        <v>85.2</v>
      </c>
      <c r="E857" t="s">
        <v>185</v>
      </c>
      <c r="F857">
        <v>8</v>
      </c>
    </row>
    <row r="858" spans="1:6">
      <c r="A858" t="s">
        <v>198</v>
      </c>
      <c r="B858" t="s">
        <v>199</v>
      </c>
      <c r="C858" t="s">
        <v>30</v>
      </c>
      <c r="D858">
        <f>'[4]RM 1C PCA'!$D$858</f>
        <v>82</v>
      </c>
      <c r="E858" t="s">
        <v>185</v>
      </c>
      <c r="F858">
        <v>8</v>
      </c>
    </row>
    <row r="859" spans="1:6">
      <c r="A859" t="s">
        <v>200</v>
      </c>
      <c r="B859" t="s">
        <v>201</v>
      </c>
      <c r="C859" t="s">
        <v>30</v>
      </c>
      <c r="D859">
        <f>'[4]RM 1C PCA'!$D$859</f>
        <v>76.5</v>
      </c>
      <c r="E859" t="s">
        <v>185</v>
      </c>
      <c r="F859">
        <v>8</v>
      </c>
    </row>
    <row r="860" spans="1:6">
      <c r="A860" t="s">
        <v>202</v>
      </c>
      <c r="B860" t="s">
        <v>203</v>
      </c>
      <c r="C860" t="s">
        <v>30</v>
      </c>
      <c r="D860">
        <f>'[4]RM 1C PCA'!$D$860</f>
        <v>71.099999999999994</v>
      </c>
      <c r="E860" t="s">
        <v>185</v>
      </c>
      <c r="F860">
        <v>8</v>
      </c>
    </row>
    <row r="861" spans="1:6">
      <c r="A861" t="s">
        <v>204</v>
      </c>
      <c r="B861" t="s">
        <v>205</v>
      </c>
      <c r="C861" t="s">
        <v>30</v>
      </c>
      <c r="D861">
        <f>'[4]RM 1C PCA'!$D$861</f>
        <v>71.599999999999994</v>
      </c>
      <c r="E861" t="s">
        <v>205</v>
      </c>
      <c r="F861">
        <v>8</v>
      </c>
    </row>
    <row r="862" spans="1:6">
      <c r="A862" t="s">
        <v>206</v>
      </c>
      <c r="B862" t="s">
        <v>207</v>
      </c>
      <c r="C862" t="s">
        <v>30</v>
      </c>
      <c r="D862" s="2">
        <f>'[4]RM 1C PCA'!$D$862</f>
        <v>82.7</v>
      </c>
      <c r="E862" t="s">
        <v>185</v>
      </c>
      <c r="F862">
        <v>8</v>
      </c>
    </row>
    <row r="863" spans="1:6">
      <c r="A863" t="s">
        <v>208</v>
      </c>
      <c r="B863" t="s">
        <v>209</v>
      </c>
      <c r="C863" t="s">
        <v>30</v>
      </c>
      <c r="D863">
        <f>'[4]RM 1C PCA'!$D$863</f>
        <v>89</v>
      </c>
      <c r="E863" t="s">
        <v>185</v>
      </c>
      <c r="F863">
        <v>8</v>
      </c>
    </row>
    <row r="864" spans="1:6">
      <c r="A864" t="s">
        <v>210</v>
      </c>
      <c r="B864" t="s">
        <v>211</v>
      </c>
      <c r="C864" t="s">
        <v>30</v>
      </c>
      <c r="D864">
        <f>'[4]RM 1C PCA'!$D$864</f>
        <v>71.3</v>
      </c>
      <c r="E864" t="s">
        <v>212</v>
      </c>
      <c r="F864">
        <v>8</v>
      </c>
    </row>
    <row r="865" spans="1:6">
      <c r="A865" t="s">
        <v>213</v>
      </c>
      <c r="B865" t="s">
        <v>214</v>
      </c>
      <c r="C865" t="s">
        <v>30</v>
      </c>
      <c r="D865">
        <f>'[4]RM 1C PCA'!$D$865</f>
        <v>80.8</v>
      </c>
      <c r="E865" t="s">
        <v>212</v>
      </c>
      <c r="F865">
        <v>8</v>
      </c>
    </row>
    <row r="866" spans="1:6">
      <c r="A866" t="s">
        <v>215</v>
      </c>
      <c r="B866" t="s">
        <v>216</v>
      </c>
      <c r="C866" t="s">
        <v>30</v>
      </c>
      <c r="D866">
        <f>'[4]RM 1C PCA'!$D$866</f>
        <v>74.5</v>
      </c>
      <c r="E866" t="s">
        <v>185</v>
      </c>
      <c r="F866">
        <v>8</v>
      </c>
    </row>
    <row r="867" spans="1:6">
      <c r="A867" t="s">
        <v>217</v>
      </c>
      <c r="B867" t="s">
        <v>218</v>
      </c>
      <c r="C867" t="s">
        <v>30</v>
      </c>
      <c r="D867">
        <f>'[4]RM 1C PCA'!$D$867</f>
        <v>67.7</v>
      </c>
      <c r="E867" t="s">
        <v>185</v>
      </c>
      <c r="F867">
        <v>8</v>
      </c>
    </row>
    <row r="868" spans="1:6">
      <c r="A868" t="s">
        <v>219</v>
      </c>
      <c r="B868" t="s">
        <v>220</v>
      </c>
      <c r="C868" t="s">
        <v>30</v>
      </c>
      <c r="D868">
        <f>'[4]RM 1C PCA'!$D$868</f>
        <v>60.1</v>
      </c>
      <c r="E868" t="s">
        <v>185</v>
      </c>
      <c r="F868">
        <v>8</v>
      </c>
    </row>
    <row r="869" spans="1:6">
      <c r="A869" t="s">
        <v>221</v>
      </c>
      <c r="B869" t="s">
        <v>222</v>
      </c>
      <c r="C869" t="s">
        <v>30</v>
      </c>
      <c r="D869">
        <f>'[4]RM 1C PCA'!$D$869</f>
        <v>61</v>
      </c>
      <c r="E869" t="s">
        <v>185</v>
      </c>
      <c r="F869">
        <v>8</v>
      </c>
    </row>
    <row r="870" spans="1:6">
      <c r="A870" t="s">
        <v>223</v>
      </c>
      <c r="B870" t="s">
        <v>224</v>
      </c>
      <c r="C870" t="s">
        <v>30</v>
      </c>
      <c r="D870">
        <f>'[4]RM 1C PCA'!$D$870</f>
        <v>78.8</v>
      </c>
      <c r="E870" t="s">
        <v>185</v>
      </c>
      <c r="F870">
        <v>8</v>
      </c>
    </row>
    <row r="871" spans="1:6">
      <c r="A871" t="s">
        <v>225</v>
      </c>
      <c r="B871" t="s">
        <v>226</v>
      </c>
      <c r="C871" t="s">
        <v>30</v>
      </c>
      <c r="D871">
        <f>'[4]RM 1C PCA'!$D$871</f>
        <v>73.5</v>
      </c>
      <c r="E871" t="s">
        <v>185</v>
      </c>
      <c r="F871">
        <v>8</v>
      </c>
    </row>
    <row r="872" spans="1:6">
      <c r="A872" t="s">
        <v>227</v>
      </c>
      <c r="B872" t="s">
        <v>228</v>
      </c>
      <c r="C872" t="s">
        <v>30</v>
      </c>
      <c r="D872">
        <f>'[4]RM 1C PCA'!$D$872</f>
        <v>62.8</v>
      </c>
      <c r="E872" t="s">
        <v>185</v>
      </c>
      <c r="F872">
        <v>8</v>
      </c>
    </row>
    <row r="873" spans="1:6">
      <c r="A873" t="s">
        <v>229</v>
      </c>
      <c r="B873" t="s">
        <v>230</v>
      </c>
      <c r="C873" t="s">
        <v>30</v>
      </c>
      <c r="D873">
        <f>'[4]RM 1C PCA'!$D$873</f>
        <v>63.8</v>
      </c>
      <c r="E873" t="s">
        <v>182</v>
      </c>
      <c r="F873">
        <v>8</v>
      </c>
    </row>
    <row r="874" spans="1:6">
      <c r="A874" t="s">
        <v>231</v>
      </c>
      <c r="B874" t="s">
        <v>232</v>
      </c>
      <c r="C874" t="s">
        <v>30</v>
      </c>
      <c r="D874">
        <f>'[4]RM 1C PCA'!$D$874</f>
        <v>79.099999999999994</v>
      </c>
      <c r="E874" t="s">
        <v>185</v>
      </c>
      <c r="F874">
        <v>8</v>
      </c>
    </row>
    <row r="875" spans="1:6">
      <c r="A875" t="s">
        <v>233</v>
      </c>
      <c r="B875" t="s">
        <v>234</v>
      </c>
      <c r="C875" t="s">
        <v>30</v>
      </c>
      <c r="D875">
        <f>'[4]RM 1C PCA'!$D$875</f>
        <v>85.7</v>
      </c>
      <c r="E875" t="s">
        <v>182</v>
      </c>
      <c r="F875">
        <v>8</v>
      </c>
    </row>
    <row r="876" spans="1:6">
      <c r="A876" t="s">
        <v>235</v>
      </c>
      <c r="B876" t="s">
        <v>236</v>
      </c>
      <c r="C876" t="s">
        <v>30</v>
      </c>
      <c r="D876">
        <f>'[4]RM 1C PCA'!$D$876</f>
        <v>62.2</v>
      </c>
      <c r="E876" t="s">
        <v>185</v>
      </c>
      <c r="F876">
        <v>8</v>
      </c>
    </row>
    <row r="877" spans="1:6">
      <c r="A877" t="s">
        <v>237</v>
      </c>
      <c r="B877" t="s">
        <v>238</v>
      </c>
      <c r="C877" t="s">
        <v>30</v>
      </c>
      <c r="D877">
        <f>'[4]RM 1C PCA'!$D$877</f>
        <v>76.900000000000006</v>
      </c>
      <c r="E877" t="s">
        <v>185</v>
      </c>
      <c r="F877">
        <v>8</v>
      </c>
    </row>
    <row r="878" spans="1:6">
      <c r="A878" t="s">
        <v>239</v>
      </c>
      <c r="B878" t="s">
        <v>240</v>
      </c>
      <c r="C878" t="s">
        <v>30</v>
      </c>
      <c r="D878">
        <f>'[4]RM 1C PCA'!$D$878</f>
        <v>83.7</v>
      </c>
      <c r="E878" t="s">
        <v>185</v>
      </c>
      <c r="F878">
        <v>8</v>
      </c>
    </row>
    <row r="879" spans="1:6">
      <c r="A879" t="s">
        <v>241</v>
      </c>
      <c r="B879" t="s">
        <v>242</v>
      </c>
      <c r="C879" t="s">
        <v>30</v>
      </c>
      <c r="D879">
        <f>'[4]RM 1C PCA'!$D$879</f>
        <v>88.7</v>
      </c>
      <c r="E879" t="s">
        <v>185</v>
      </c>
      <c r="F879">
        <v>8</v>
      </c>
    </row>
    <row r="880" spans="1:6">
      <c r="A880" t="s">
        <v>243</v>
      </c>
      <c r="B880" t="s">
        <v>244</v>
      </c>
      <c r="C880" t="s">
        <v>30</v>
      </c>
      <c r="D880">
        <f>'[4]RM 1C PCA'!$D$880</f>
        <v>79.400000000000006</v>
      </c>
      <c r="E880" t="s">
        <v>185</v>
      </c>
      <c r="F880">
        <v>8</v>
      </c>
    </row>
    <row r="881" spans="1:6">
      <c r="A881" t="s">
        <v>245</v>
      </c>
      <c r="B881" t="s">
        <v>246</v>
      </c>
      <c r="C881" t="s">
        <v>30</v>
      </c>
      <c r="D881">
        <f>'[4]RM 1C PCA'!$D$881</f>
        <v>69.599999999999994</v>
      </c>
      <c r="E881" t="s">
        <v>185</v>
      </c>
      <c r="F881">
        <v>8</v>
      </c>
    </row>
    <row r="882" spans="1:6">
      <c r="A882" t="s">
        <v>247</v>
      </c>
      <c r="B882" t="s">
        <v>248</v>
      </c>
      <c r="C882" t="s">
        <v>30</v>
      </c>
      <c r="D882">
        <f>'[4]RM 1C PCA'!$D$882</f>
        <v>87.4</v>
      </c>
      <c r="E882" t="s">
        <v>185</v>
      </c>
      <c r="F882">
        <v>8</v>
      </c>
    </row>
    <row r="883" spans="1:6">
      <c r="A883" t="s">
        <v>249</v>
      </c>
      <c r="B883" t="s">
        <v>250</v>
      </c>
      <c r="C883" t="s">
        <v>30</v>
      </c>
      <c r="D883">
        <f>'[4]RM 1C PCA'!$D$883</f>
        <v>72.2</v>
      </c>
      <c r="E883" t="s">
        <v>182</v>
      </c>
      <c r="F883">
        <v>8</v>
      </c>
    </row>
    <row r="884" spans="1:6">
      <c r="A884" t="s">
        <v>251</v>
      </c>
      <c r="B884" t="s">
        <v>252</v>
      </c>
      <c r="C884" t="s">
        <v>30</v>
      </c>
      <c r="D884">
        <f>'[4]RM 1C PCA'!$D$884</f>
        <v>66.7</v>
      </c>
      <c r="E884" t="s">
        <v>185</v>
      </c>
      <c r="F884">
        <v>8</v>
      </c>
    </row>
    <row r="885" spans="1:6">
      <c r="A885" t="s">
        <v>253</v>
      </c>
      <c r="B885" t="s">
        <v>254</v>
      </c>
      <c r="C885" t="s">
        <v>30</v>
      </c>
      <c r="D885">
        <f>'[4]RM 1C PCA'!$D$885</f>
        <v>79.2</v>
      </c>
      <c r="E885" t="s">
        <v>185</v>
      </c>
      <c r="F885">
        <v>8</v>
      </c>
    </row>
    <row r="886" spans="1:6">
      <c r="A886" t="s">
        <v>255</v>
      </c>
      <c r="B886" t="s">
        <v>256</v>
      </c>
      <c r="C886" t="s">
        <v>30</v>
      </c>
      <c r="D886">
        <f>'[4]RM 1C PCA'!$D$886</f>
        <v>69.5</v>
      </c>
      <c r="E886" t="s">
        <v>182</v>
      </c>
      <c r="F886">
        <v>8</v>
      </c>
    </row>
    <row r="887" spans="1:6">
      <c r="A887" t="s">
        <v>257</v>
      </c>
      <c r="B887" t="s">
        <v>258</v>
      </c>
      <c r="C887" t="s">
        <v>30</v>
      </c>
      <c r="D887">
        <f>'[4]RM 1C PCA'!$D$887</f>
        <v>76.7</v>
      </c>
      <c r="E887" t="s">
        <v>185</v>
      </c>
      <c r="F887">
        <v>8</v>
      </c>
    </row>
    <row r="888" spans="1:6">
      <c r="A888" t="s">
        <v>259</v>
      </c>
      <c r="B888" t="s">
        <v>260</v>
      </c>
      <c r="C888" t="s">
        <v>30</v>
      </c>
      <c r="D888">
        <f>'[4]RM 1C PCA'!$D$888</f>
        <v>72.5</v>
      </c>
      <c r="E888" t="s">
        <v>182</v>
      </c>
      <c r="F888">
        <v>8</v>
      </c>
    </row>
    <row r="889" spans="1:6">
      <c r="A889" t="s">
        <v>261</v>
      </c>
      <c r="B889" t="s">
        <v>262</v>
      </c>
      <c r="C889" t="s">
        <v>30</v>
      </c>
      <c r="D889">
        <f>'[4]RM 1C PCA'!$D$889</f>
        <v>81</v>
      </c>
      <c r="E889" t="s">
        <v>185</v>
      </c>
      <c r="F889">
        <v>8</v>
      </c>
    </row>
    <row r="890" spans="1:6">
      <c r="A890" t="s">
        <v>263</v>
      </c>
      <c r="B890" t="s">
        <v>264</v>
      </c>
      <c r="C890" t="s">
        <v>30</v>
      </c>
      <c r="D890">
        <f>'[4]RM 1C PCA'!$D$890</f>
        <v>74.5</v>
      </c>
      <c r="E890" t="s">
        <v>185</v>
      </c>
      <c r="F890">
        <v>8</v>
      </c>
    </row>
    <row r="891" spans="1:6">
      <c r="A891" t="s">
        <v>265</v>
      </c>
      <c r="B891" t="s">
        <v>266</v>
      </c>
      <c r="C891" t="s">
        <v>30</v>
      </c>
      <c r="D891">
        <f>'[4]RM 1C PCA'!$D$891</f>
        <v>81.900000000000006</v>
      </c>
      <c r="E891" t="s">
        <v>185</v>
      </c>
      <c r="F891">
        <v>8</v>
      </c>
    </row>
    <row r="892" spans="1:6">
      <c r="A892" t="s">
        <v>267</v>
      </c>
      <c r="B892" t="s">
        <v>268</v>
      </c>
      <c r="C892" t="s">
        <v>30</v>
      </c>
      <c r="D892">
        <f>'[4]RM 1C PCA'!$D$892</f>
        <v>81.8</v>
      </c>
      <c r="E892" t="s">
        <v>185</v>
      </c>
      <c r="F892">
        <v>8</v>
      </c>
    </row>
    <row r="893" spans="1:6">
      <c r="A893" t="s">
        <v>269</v>
      </c>
      <c r="B893" t="s">
        <v>270</v>
      </c>
      <c r="C893" t="s">
        <v>30</v>
      </c>
      <c r="D893">
        <f>'[4]RM 1C PCA'!$D$893</f>
        <v>83.4</v>
      </c>
      <c r="E893" t="s">
        <v>185</v>
      </c>
      <c r="F893">
        <v>8</v>
      </c>
    </row>
    <row r="894" spans="1:6">
      <c r="A894" t="s">
        <v>271</v>
      </c>
      <c r="B894" t="s">
        <v>272</v>
      </c>
      <c r="C894" t="s">
        <v>30</v>
      </c>
      <c r="D894">
        <f>'[4]RM 1C PCA'!$D$894</f>
        <v>72.599999999999994</v>
      </c>
      <c r="E894" t="s">
        <v>185</v>
      </c>
      <c r="F894">
        <v>8</v>
      </c>
    </row>
    <row r="895" spans="1:6">
      <c r="A895" t="s">
        <v>273</v>
      </c>
      <c r="B895" t="s">
        <v>274</v>
      </c>
      <c r="C895" t="s">
        <v>30</v>
      </c>
      <c r="D895">
        <f>'[4]RM 1C PCA'!$D$895</f>
        <v>69.7</v>
      </c>
      <c r="E895" t="s">
        <v>185</v>
      </c>
      <c r="F895">
        <v>8</v>
      </c>
    </row>
    <row r="896" spans="1:6">
      <c r="A896" t="s">
        <v>275</v>
      </c>
      <c r="B896" t="s">
        <v>276</v>
      </c>
      <c r="C896" t="s">
        <v>30</v>
      </c>
      <c r="D896">
        <f>'[4]RM 1C PCA'!$D$896</f>
        <v>24.5</v>
      </c>
      <c r="E896" t="s">
        <v>182</v>
      </c>
      <c r="F896">
        <v>8</v>
      </c>
    </row>
    <row r="897" spans="1:6">
      <c r="A897" t="s">
        <v>277</v>
      </c>
      <c r="B897" t="s">
        <v>278</v>
      </c>
      <c r="C897" t="s">
        <v>30</v>
      </c>
      <c r="D897">
        <f>'[4]RM 1C PCA'!$D$897</f>
        <v>78.7</v>
      </c>
      <c r="E897" t="s">
        <v>185</v>
      </c>
      <c r="F897">
        <v>8</v>
      </c>
    </row>
    <row r="898" spans="1:6">
      <c r="A898" t="s">
        <v>279</v>
      </c>
      <c r="B898" t="s">
        <v>280</v>
      </c>
      <c r="C898" t="s">
        <v>30</v>
      </c>
      <c r="D898">
        <f>'[4]RM 1C PCA'!$D$898</f>
        <v>64.099999999999994</v>
      </c>
      <c r="E898" t="s">
        <v>185</v>
      </c>
      <c r="F898">
        <v>8</v>
      </c>
    </row>
    <row r="899" spans="1:6">
      <c r="A899" t="s">
        <v>281</v>
      </c>
      <c r="B899" t="s">
        <v>282</v>
      </c>
      <c r="C899" t="s">
        <v>30</v>
      </c>
      <c r="D899">
        <f>'[4]RM 1C PCA'!$D$899</f>
        <v>65.5</v>
      </c>
      <c r="E899" t="s">
        <v>185</v>
      </c>
      <c r="F899">
        <v>8</v>
      </c>
    </row>
    <row r="900" spans="1:6">
      <c r="A900" t="s">
        <v>283</v>
      </c>
      <c r="B900" t="s">
        <v>284</v>
      </c>
      <c r="C900" t="s">
        <v>30</v>
      </c>
      <c r="D900">
        <f>'[4]RM 1C PCA'!$D$900</f>
        <v>79</v>
      </c>
      <c r="E900" t="s">
        <v>185</v>
      </c>
      <c r="F900">
        <v>8</v>
      </c>
    </row>
    <row r="901" spans="1:6">
      <c r="A901" t="s">
        <v>285</v>
      </c>
      <c r="B901" t="s">
        <v>286</v>
      </c>
      <c r="C901" t="s">
        <v>30</v>
      </c>
      <c r="D901">
        <f>'[4]RM 1C PCA'!$D$901</f>
        <v>83.4</v>
      </c>
      <c r="E901" t="s">
        <v>182</v>
      </c>
      <c r="F901">
        <v>8</v>
      </c>
    </row>
    <row r="902" spans="1:6">
      <c r="A902" t="s">
        <v>287</v>
      </c>
      <c r="B902" t="s">
        <v>288</v>
      </c>
      <c r="C902" t="s">
        <v>30</v>
      </c>
      <c r="D902">
        <f>'[4]RM 1C PCA'!$D$902</f>
        <v>71.5</v>
      </c>
      <c r="E902" t="s">
        <v>182</v>
      </c>
      <c r="F902">
        <v>8</v>
      </c>
    </row>
    <row r="903" spans="1:6">
      <c r="A903" t="s">
        <v>289</v>
      </c>
      <c r="B903" t="s">
        <v>290</v>
      </c>
      <c r="C903" t="s">
        <v>30</v>
      </c>
      <c r="D903">
        <f>'[4]RM 1C PCA'!$D$903</f>
        <v>78.099999999999994</v>
      </c>
      <c r="E903" t="s">
        <v>185</v>
      </c>
      <c r="F903">
        <v>8</v>
      </c>
    </row>
    <row r="904" spans="1:6">
      <c r="A904" t="s">
        <v>291</v>
      </c>
      <c r="B904" t="s">
        <v>292</v>
      </c>
      <c r="C904" t="s">
        <v>30</v>
      </c>
      <c r="D904">
        <f>'[4]RM 1C PCA'!$D$904</f>
        <v>51.5</v>
      </c>
      <c r="E904" t="s">
        <v>182</v>
      </c>
      <c r="F904">
        <v>8</v>
      </c>
    </row>
    <row r="905" spans="1:6">
      <c r="A905" t="s">
        <v>293</v>
      </c>
      <c r="B905" t="s">
        <v>294</v>
      </c>
      <c r="C905" t="s">
        <v>30</v>
      </c>
      <c r="D905">
        <f>'[4]RM 1C PCA'!$D$905</f>
        <v>63.8</v>
      </c>
      <c r="E905" t="s">
        <v>182</v>
      </c>
      <c r="F905">
        <v>8</v>
      </c>
    </row>
    <row r="906" spans="1:6">
      <c r="A906" t="s">
        <v>295</v>
      </c>
      <c r="B906" t="s">
        <v>296</v>
      </c>
      <c r="C906" t="s">
        <v>30</v>
      </c>
      <c r="D906">
        <f>'[4]RM 1C PCA'!$D$906</f>
        <v>59.4</v>
      </c>
      <c r="E906" t="s">
        <v>185</v>
      </c>
      <c r="F906">
        <v>8</v>
      </c>
    </row>
    <row r="907" spans="1:6">
      <c r="A907" t="s">
        <v>297</v>
      </c>
      <c r="B907" t="s">
        <v>298</v>
      </c>
      <c r="C907" t="s">
        <v>30</v>
      </c>
      <c r="D907">
        <f>'[4]RM 1C PCA'!$D$907</f>
        <v>78.7</v>
      </c>
      <c r="E907" t="s">
        <v>185</v>
      </c>
      <c r="F907">
        <v>8</v>
      </c>
    </row>
    <row r="908" spans="1:6">
      <c r="A908" t="s">
        <v>299</v>
      </c>
      <c r="B908" t="s">
        <v>300</v>
      </c>
      <c r="C908" t="s">
        <v>30</v>
      </c>
      <c r="D908">
        <f>'[4]RM 1C PCA'!$D$908</f>
        <v>85.4</v>
      </c>
      <c r="E908" t="s">
        <v>212</v>
      </c>
      <c r="F908">
        <v>8</v>
      </c>
    </row>
    <row r="909" spans="1:6">
      <c r="A909" t="s">
        <v>301</v>
      </c>
      <c r="B909" t="s">
        <v>302</v>
      </c>
      <c r="C909" t="s">
        <v>30</v>
      </c>
      <c r="D909">
        <f>'[4]RM 1C PCA'!$D$909</f>
        <v>77.099999999999994</v>
      </c>
      <c r="E909" t="s">
        <v>185</v>
      </c>
      <c r="F909">
        <v>8</v>
      </c>
    </row>
    <row r="910" spans="1:6">
      <c r="A910" t="s">
        <v>303</v>
      </c>
      <c r="B910" t="s">
        <v>304</v>
      </c>
      <c r="C910" t="s">
        <v>30</v>
      </c>
      <c r="D910">
        <f>'[4]RM 1C PCA'!$D$910</f>
        <v>83.1</v>
      </c>
      <c r="E910" t="s">
        <v>212</v>
      </c>
      <c r="F910">
        <v>8</v>
      </c>
    </row>
    <row r="911" spans="1:6">
      <c r="A911" t="s">
        <v>305</v>
      </c>
      <c r="B911" t="s">
        <v>306</v>
      </c>
      <c r="C911" t="s">
        <v>30</v>
      </c>
      <c r="D911">
        <f>'[4]RM 1C PCA'!$D$911</f>
        <v>79.5</v>
      </c>
      <c r="E911" t="s">
        <v>185</v>
      </c>
      <c r="F911">
        <v>8</v>
      </c>
    </row>
    <row r="912" spans="1:6">
      <c r="A912" t="s">
        <v>307</v>
      </c>
      <c r="B912" t="s">
        <v>308</v>
      </c>
      <c r="C912" t="s">
        <v>30</v>
      </c>
      <c r="D912">
        <f>'[4]RM 1C PCA'!$D$912</f>
        <v>74.2</v>
      </c>
      <c r="E912" t="s">
        <v>185</v>
      </c>
      <c r="F912">
        <v>8</v>
      </c>
    </row>
    <row r="913" spans="1:6">
      <c r="A913" t="s">
        <v>309</v>
      </c>
      <c r="B913" t="s">
        <v>310</v>
      </c>
      <c r="C913" t="s">
        <v>30</v>
      </c>
      <c r="D913">
        <f>'[4]RM 1C PCA'!$D$913</f>
        <v>71.2</v>
      </c>
      <c r="E913" t="s">
        <v>185</v>
      </c>
      <c r="F913">
        <v>8</v>
      </c>
    </row>
    <row r="914" spans="1:6">
      <c r="A914" t="s">
        <v>311</v>
      </c>
      <c r="B914" t="s">
        <v>312</v>
      </c>
      <c r="C914" t="s">
        <v>30</v>
      </c>
      <c r="D914">
        <f>'[4]RM 1C PCA'!$D$914</f>
        <v>74.900000000000006</v>
      </c>
      <c r="E914" t="s">
        <v>185</v>
      </c>
      <c r="F914">
        <v>8</v>
      </c>
    </row>
    <row r="915" spans="1:6">
      <c r="A915" t="s">
        <v>313</v>
      </c>
      <c r="B915" t="s">
        <v>314</v>
      </c>
      <c r="C915" t="s">
        <v>30</v>
      </c>
      <c r="D915">
        <f>'[4]RM 1C PCA'!$D$915</f>
        <v>63</v>
      </c>
      <c r="E915" t="s">
        <v>185</v>
      </c>
      <c r="F915">
        <v>8</v>
      </c>
    </row>
    <row r="916" spans="1:6">
      <c r="A916" t="s">
        <v>315</v>
      </c>
      <c r="B916" t="s">
        <v>316</v>
      </c>
      <c r="C916" t="s">
        <v>30</v>
      </c>
      <c r="D916">
        <f>'[4]RM 1C PCA'!$D$916</f>
        <v>76.099999999999994</v>
      </c>
      <c r="E916" t="s">
        <v>185</v>
      </c>
      <c r="F916">
        <v>8</v>
      </c>
    </row>
    <row r="917" spans="1:6">
      <c r="A917" t="s">
        <v>317</v>
      </c>
      <c r="B917" t="s">
        <v>318</v>
      </c>
      <c r="C917" t="s">
        <v>30</v>
      </c>
      <c r="D917">
        <f>'[4]RM 1C PCA'!$D$917</f>
        <v>64.599999999999994</v>
      </c>
      <c r="E917" t="s">
        <v>182</v>
      </c>
      <c r="F917">
        <v>8</v>
      </c>
    </row>
    <row r="918" spans="1:6">
      <c r="A918" t="s">
        <v>319</v>
      </c>
      <c r="B918" t="s">
        <v>320</v>
      </c>
      <c r="C918" t="s">
        <v>30</v>
      </c>
      <c r="D918">
        <f>'[4]RM 1C PCA'!$D$918</f>
        <v>80.7</v>
      </c>
      <c r="E918" t="s">
        <v>185</v>
      </c>
      <c r="F918">
        <v>8</v>
      </c>
    </row>
    <row r="919" spans="1:6">
      <c r="A919" t="s">
        <v>321</v>
      </c>
      <c r="B919" t="s">
        <v>322</v>
      </c>
      <c r="C919" t="s">
        <v>30</v>
      </c>
      <c r="D919">
        <f>'[4]RM 1C PCA'!$D$919</f>
        <v>73.400000000000006</v>
      </c>
      <c r="E919" t="s">
        <v>185</v>
      </c>
      <c r="F919">
        <v>8</v>
      </c>
    </row>
    <row r="920" spans="1:6">
      <c r="A920" t="s">
        <v>323</v>
      </c>
      <c r="B920" t="s">
        <v>324</v>
      </c>
      <c r="C920" t="s">
        <v>30</v>
      </c>
      <c r="D920">
        <f>'[4]RM 1C PCA'!$D$920</f>
        <v>81.400000000000006</v>
      </c>
      <c r="E920" t="s">
        <v>185</v>
      </c>
      <c r="F920">
        <v>8</v>
      </c>
    </row>
    <row r="921" spans="1:6">
      <c r="A921" t="s">
        <v>325</v>
      </c>
      <c r="B921" t="s">
        <v>326</v>
      </c>
      <c r="C921" t="s">
        <v>30</v>
      </c>
      <c r="D921">
        <f>'[4]RM 1C PCA'!$D$921</f>
        <v>77.2</v>
      </c>
      <c r="E921" t="s">
        <v>185</v>
      </c>
      <c r="F921">
        <v>8</v>
      </c>
    </row>
    <row r="922" spans="1:6">
      <c r="A922" s="14" t="s">
        <v>327</v>
      </c>
      <c r="B922" s="14" t="s">
        <v>328</v>
      </c>
      <c r="C922" t="s">
        <v>30</v>
      </c>
      <c r="D922">
        <f>'[4]RM 1C PCA'!$D$922</f>
        <v>74.8</v>
      </c>
      <c r="E922" s="14" t="s">
        <v>212</v>
      </c>
      <c r="F922">
        <v>8</v>
      </c>
    </row>
    <row r="923" spans="1:6">
      <c r="A923" t="s">
        <v>329</v>
      </c>
      <c r="B923" t="s">
        <v>330</v>
      </c>
      <c r="C923" t="s">
        <v>30</v>
      </c>
      <c r="D923">
        <f>'[4]RM 1C PCA'!$D$923</f>
        <v>85</v>
      </c>
      <c r="E923" t="s">
        <v>185</v>
      </c>
      <c r="F923">
        <v>8</v>
      </c>
    </row>
    <row r="924" spans="1:6">
      <c r="A924" t="s">
        <v>331</v>
      </c>
      <c r="B924" t="s">
        <v>332</v>
      </c>
      <c r="C924" t="s">
        <v>30</v>
      </c>
      <c r="D924">
        <f>'[4]RM 1C PCA'!$D$924</f>
        <v>76.099999999999994</v>
      </c>
      <c r="E924" t="s">
        <v>185</v>
      </c>
      <c r="F924">
        <v>8</v>
      </c>
    </row>
    <row r="925" spans="1:6">
      <c r="A925" t="s">
        <v>333</v>
      </c>
      <c r="B925" t="s">
        <v>334</v>
      </c>
      <c r="C925" t="s">
        <v>30</v>
      </c>
      <c r="D925">
        <f>'[4]RM 1C PCA'!$D$925</f>
        <v>74.900000000000006</v>
      </c>
      <c r="E925" t="s">
        <v>185</v>
      </c>
      <c r="F925">
        <v>8</v>
      </c>
    </row>
    <row r="926" spans="1:6">
      <c r="A926" t="s">
        <v>335</v>
      </c>
      <c r="B926" t="s">
        <v>336</v>
      </c>
      <c r="C926" t="s">
        <v>30</v>
      </c>
      <c r="D926">
        <f>'[4]RM 1C PCA'!$D$926</f>
        <v>66.099999999999994</v>
      </c>
      <c r="E926" t="s">
        <v>185</v>
      </c>
      <c r="F926">
        <v>8</v>
      </c>
    </row>
    <row r="927" spans="1:6">
      <c r="A927" t="s">
        <v>337</v>
      </c>
      <c r="B927" t="s">
        <v>338</v>
      </c>
      <c r="C927" t="s">
        <v>30</v>
      </c>
      <c r="D927">
        <f>'[4]RM 1C PCA'!$D$927</f>
        <v>53.3</v>
      </c>
      <c r="E927" t="s">
        <v>182</v>
      </c>
      <c r="F927">
        <v>8</v>
      </c>
    </row>
    <row r="928" spans="1:6">
      <c r="A928" t="s">
        <v>339</v>
      </c>
      <c r="B928" t="s">
        <v>340</v>
      </c>
      <c r="C928" t="s">
        <v>30</v>
      </c>
      <c r="D928">
        <f>'[4]RM 1C PCA'!$D$928</f>
        <v>88.7</v>
      </c>
      <c r="E928" t="s">
        <v>185</v>
      </c>
      <c r="F928">
        <v>8</v>
      </c>
    </row>
    <row r="929" spans="1:6">
      <c r="A929" t="s">
        <v>341</v>
      </c>
      <c r="B929" t="s">
        <v>342</v>
      </c>
      <c r="C929" t="s">
        <v>30</v>
      </c>
      <c r="D929">
        <f>'[4]RM 1C PCA'!$D$929</f>
        <v>64.7</v>
      </c>
      <c r="E929" t="s">
        <v>182</v>
      </c>
      <c r="F929">
        <v>8</v>
      </c>
    </row>
    <row r="930" spans="1:6">
      <c r="A930" t="s">
        <v>343</v>
      </c>
      <c r="B930" t="s">
        <v>344</v>
      </c>
      <c r="C930" t="s">
        <v>30</v>
      </c>
      <c r="D930">
        <f>'[4]RM 1C PCA'!$D$930</f>
        <v>89.4</v>
      </c>
      <c r="E930" t="s">
        <v>185</v>
      </c>
      <c r="F930">
        <v>8</v>
      </c>
    </row>
    <row r="931" spans="1:6">
      <c r="A931" t="s">
        <v>345</v>
      </c>
      <c r="B931" t="s">
        <v>346</v>
      </c>
      <c r="C931" t="s">
        <v>30</v>
      </c>
      <c r="D931">
        <f>'[4]RM 1C PCA'!$D$931</f>
        <v>69.400000000000006</v>
      </c>
      <c r="E931" t="s">
        <v>185</v>
      </c>
      <c r="F931">
        <v>8</v>
      </c>
    </row>
    <row r="932" spans="1:6">
      <c r="A932" t="s">
        <v>425</v>
      </c>
      <c r="B932" t="s">
        <v>348</v>
      </c>
      <c r="C932" t="s">
        <v>30</v>
      </c>
      <c r="D932">
        <f>'[4]RM 1C PCA'!$D$932</f>
        <v>83.2</v>
      </c>
      <c r="E932" t="s">
        <v>185</v>
      </c>
      <c r="F932">
        <v>8</v>
      </c>
    </row>
    <row r="933" spans="1:6">
      <c r="A933" t="s">
        <v>349</v>
      </c>
      <c r="B933" t="s">
        <v>350</v>
      </c>
      <c r="C933" t="s">
        <v>30</v>
      </c>
      <c r="D933">
        <f>'[4]RM 1C PCA'!$D$933</f>
        <v>76.7</v>
      </c>
      <c r="E933" t="s">
        <v>185</v>
      </c>
      <c r="F933">
        <v>8</v>
      </c>
    </row>
    <row r="934" spans="1:6">
      <c r="A934" t="s">
        <v>351</v>
      </c>
      <c r="B934" t="s">
        <v>352</v>
      </c>
      <c r="C934" t="s">
        <v>30</v>
      </c>
      <c r="D934">
        <f>'[4]RM 1C PCA'!$D$934</f>
        <v>82.9</v>
      </c>
      <c r="E934" t="s">
        <v>185</v>
      </c>
      <c r="F934">
        <v>8</v>
      </c>
    </row>
    <row r="935" spans="1:6">
      <c r="A935" t="s">
        <v>353</v>
      </c>
      <c r="B935" t="s">
        <v>354</v>
      </c>
      <c r="C935" t="s">
        <v>30</v>
      </c>
      <c r="D935">
        <f>'[4]RM 1C PCA'!$D$935</f>
        <v>67.2</v>
      </c>
      <c r="E935" t="s">
        <v>185</v>
      </c>
      <c r="F935">
        <v>8</v>
      </c>
    </row>
    <row r="936" spans="1:6">
      <c r="A936" t="s">
        <v>355</v>
      </c>
      <c r="B936" t="s">
        <v>356</v>
      </c>
      <c r="C936" t="s">
        <v>30</v>
      </c>
      <c r="D936">
        <f>'[4]RM 1C PCA'!$D$936</f>
        <v>76.099999999999994</v>
      </c>
      <c r="E936" t="s">
        <v>185</v>
      </c>
      <c r="F936">
        <v>8</v>
      </c>
    </row>
    <row r="937" spans="1:6">
      <c r="A937" t="s">
        <v>357</v>
      </c>
      <c r="B937" t="s">
        <v>358</v>
      </c>
      <c r="C937" t="s">
        <v>30</v>
      </c>
      <c r="D937">
        <f>'[4]RM 1C PCA'!$D$937</f>
        <v>80.900000000000006</v>
      </c>
      <c r="E937" t="s">
        <v>212</v>
      </c>
      <c r="F937">
        <v>8</v>
      </c>
    </row>
    <row r="938" spans="1:6">
      <c r="A938" t="s">
        <v>359</v>
      </c>
      <c r="B938" t="s">
        <v>360</v>
      </c>
      <c r="C938" t="s">
        <v>30</v>
      </c>
      <c r="D938">
        <f>'[4]RM 1C PCA'!$D$938</f>
        <v>71.7</v>
      </c>
      <c r="E938" t="s">
        <v>185</v>
      </c>
      <c r="F938">
        <v>8</v>
      </c>
    </row>
    <row r="939" spans="1:6">
      <c r="A939" t="s">
        <v>361</v>
      </c>
      <c r="B939" t="s">
        <v>362</v>
      </c>
      <c r="C939" t="s">
        <v>30</v>
      </c>
      <c r="D939">
        <f>'[4]RM 1C PCA'!$D$939</f>
        <v>75.5</v>
      </c>
      <c r="E939" t="s">
        <v>185</v>
      </c>
      <c r="F939">
        <v>8</v>
      </c>
    </row>
    <row r="940" spans="1:6">
      <c r="A940" t="s">
        <v>363</v>
      </c>
      <c r="B940" t="s">
        <v>364</v>
      </c>
      <c r="C940" t="s">
        <v>30</v>
      </c>
      <c r="D940">
        <f>'[4]RM 1C PCA'!$D$940</f>
        <v>77</v>
      </c>
      <c r="E940" t="s">
        <v>185</v>
      </c>
      <c r="F940">
        <v>8</v>
      </c>
    </row>
    <row r="941" spans="1:6">
      <c r="A941" t="s">
        <v>365</v>
      </c>
      <c r="B941" t="s">
        <v>366</v>
      </c>
      <c r="C941" t="s">
        <v>30</v>
      </c>
      <c r="D941">
        <f>'[4]RM 1C PCA'!$D$941</f>
        <v>74.099999999999994</v>
      </c>
      <c r="E941" t="s">
        <v>185</v>
      </c>
      <c r="F941">
        <v>8</v>
      </c>
    </row>
    <row r="942" spans="1:6">
      <c r="A942" t="s">
        <v>367</v>
      </c>
      <c r="B942" t="s">
        <v>368</v>
      </c>
      <c r="C942" t="s">
        <v>30</v>
      </c>
      <c r="D942">
        <f>'[4]RM 1C PCA'!$D$942</f>
        <v>76.599999999999994</v>
      </c>
      <c r="E942" t="s">
        <v>185</v>
      </c>
      <c r="F942">
        <v>8</v>
      </c>
    </row>
    <row r="943" spans="1:6">
      <c r="A943" t="s">
        <v>369</v>
      </c>
      <c r="B943" t="s">
        <v>370</v>
      </c>
      <c r="C943" t="s">
        <v>30</v>
      </c>
      <c r="D943">
        <f>'[4]RM 1C PCA'!$D$943</f>
        <v>69.3</v>
      </c>
      <c r="E943" t="s">
        <v>185</v>
      </c>
      <c r="F943">
        <v>8</v>
      </c>
    </row>
    <row r="944" spans="1:6">
      <c r="A944" t="s">
        <v>371</v>
      </c>
      <c r="B944" t="s">
        <v>372</v>
      </c>
      <c r="C944" t="s">
        <v>30</v>
      </c>
      <c r="D944">
        <f>'[4]RM 1C PCA'!$D$944</f>
        <v>71</v>
      </c>
      <c r="E944" t="s">
        <v>185</v>
      </c>
      <c r="F944">
        <v>8</v>
      </c>
    </row>
    <row r="945" spans="1:6">
      <c r="A945" t="s">
        <v>373</v>
      </c>
      <c r="B945" t="s">
        <v>374</v>
      </c>
      <c r="C945" t="s">
        <v>30</v>
      </c>
      <c r="D945">
        <f>'[4]RM 1C PCA'!$D$945</f>
        <v>78.7</v>
      </c>
      <c r="E945" t="s">
        <v>185</v>
      </c>
      <c r="F945">
        <v>8</v>
      </c>
    </row>
    <row r="946" spans="1:6">
      <c r="A946" t="s">
        <v>375</v>
      </c>
      <c r="B946" t="s">
        <v>376</v>
      </c>
      <c r="C946" t="s">
        <v>30</v>
      </c>
      <c r="D946">
        <f>'[4]RM 1C PCA'!$D$946</f>
        <v>71.7</v>
      </c>
      <c r="E946" t="s">
        <v>185</v>
      </c>
      <c r="F946">
        <v>8</v>
      </c>
    </row>
    <row r="947" spans="1:6">
      <c r="A947" t="s">
        <v>377</v>
      </c>
      <c r="B947" t="s">
        <v>378</v>
      </c>
      <c r="C947" t="s">
        <v>30</v>
      </c>
      <c r="D947">
        <f>'[4]RM 1C PCA'!$D$947</f>
        <v>69.599999999999994</v>
      </c>
      <c r="E947" t="s">
        <v>185</v>
      </c>
      <c r="F947">
        <v>8</v>
      </c>
    </row>
    <row r="948" spans="1:6">
      <c r="A948" t="s">
        <v>379</v>
      </c>
      <c r="B948" t="s">
        <v>380</v>
      </c>
      <c r="C948" t="s">
        <v>30</v>
      </c>
      <c r="D948">
        <f>'[4]RM 1C PCA'!$D$948</f>
        <v>74.2</v>
      </c>
      <c r="E948" t="s">
        <v>185</v>
      </c>
      <c r="F948">
        <v>8</v>
      </c>
    </row>
    <row r="949" spans="1:6">
      <c r="A949" t="s">
        <v>381</v>
      </c>
      <c r="B949" t="s">
        <v>382</v>
      </c>
      <c r="C949" t="s">
        <v>30</v>
      </c>
      <c r="D949">
        <f>'[4]RM 1C PCA'!$D$949</f>
        <v>70.599999999999994</v>
      </c>
      <c r="E949" t="s">
        <v>185</v>
      </c>
      <c r="F949">
        <v>8</v>
      </c>
    </row>
    <row r="950" spans="1:6">
      <c r="A950" t="s">
        <v>383</v>
      </c>
      <c r="B950" t="s">
        <v>384</v>
      </c>
      <c r="C950" t="s">
        <v>30</v>
      </c>
      <c r="D950">
        <f>'[4]RM 1C PCA'!$D$950</f>
        <v>78.3</v>
      </c>
      <c r="E950" t="s">
        <v>212</v>
      </c>
      <c r="F950">
        <v>8</v>
      </c>
    </row>
    <row r="951" spans="1:6">
      <c r="A951" t="s">
        <v>385</v>
      </c>
      <c r="B951" t="s">
        <v>386</v>
      </c>
      <c r="C951" t="s">
        <v>30</v>
      </c>
      <c r="D951">
        <f>'[4]RM 1C PCA'!$D$951</f>
        <v>76.900000000000006</v>
      </c>
      <c r="E951" t="s">
        <v>185</v>
      </c>
      <c r="F951">
        <v>8</v>
      </c>
    </row>
    <row r="952" spans="1:6">
      <c r="A952" t="s">
        <v>387</v>
      </c>
      <c r="B952" t="s">
        <v>388</v>
      </c>
      <c r="C952" t="s">
        <v>30</v>
      </c>
      <c r="D952">
        <f>'[4]RM 1C PCA'!$D$952</f>
        <v>70.400000000000006</v>
      </c>
      <c r="E952" t="s">
        <v>182</v>
      </c>
      <c r="F952">
        <v>8</v>
      </c>
    </row>
    <row r="953" spans="1:6">
      <c r="A953" t="s">
        <v>389</v>
      </c>
      <c r="B953" t="s">
        <v>390</v>
      </c>
      <c r="C953" t="s">
        <v>30</v>
      </c>
      <c r="D953">
        <f>'[4]RM 1C PCA'!$D$953</f>
        <v>80.8</v>
      </c>
      <c r="E953" t="s">
        <v>185</v>
      </c>
      <c r="F953">
        <v>8</v>
      </c>
    </row>
    <row r="954" spans="1:6">
      <c r="A954" t="s">
        <v>391</v>
      </c>
      <c r="B954" t="s">
        <v>392</v>
      </c>
      <c r="C954" t="s">
        <v>30</v>
      </c>
      <c r="D954">
        <f>'[4]RM 1C PCA'!$D$954</f>
        <v>69.3</v>
      </c>
      <c r="E954" t="s">
        <v>185</v>
      </c>
      <c r="F954">
        <v>8</v>
      </c>
    </row>
    <row r="955" spans="1:6">
      <c r="A955" t="s">
        <v>393</v>
      </c>
      <c r="B955" t="s">
        <v>394</v>
      </c>
      <c r="C955" t="s">
        <v>30</v>
      </c>
      <c r="D955">
        <f>'[4]RM 1C PCA'!$D$955</f>
        <v>81.400000000000006</v>
      </c>
      <c r="E955" t="s">
        <v>185</v>
      </c>
      <c r="F955">
        <v>8</v>
      </c>
    </row>
    <row r="956" spans="1:6">
      <c r="A956" t="s">
        <v>395</v>
      </c>
      <c r="B956" t="s">
        <v>396</v>
      </c>
      <c r="C956" t="s">
        <v>30</v>
      </c>
      <c r="D956">
        <f>'[4]RM 1C PCA'!$D$956</f>
        <v>84</v>
      </c>
      <c r="E956" t="s">
        <v>185</v>
      </c>
      <c r="F956">
        <v>8</v>
      </c>
    </row>
    <row r="957" spans="1:6">
      <c r="A957" t="s">
        <v>397</v>
      </c>
      <c r="B957" t="s">
        <v>398</v>
      </c>
      <c r="C957" t="s">
        <v>30</v>
      </c>
      <c r="D957">
        <f>'[4]RM 1C PCA'!$D$957</f>
        <v>68.8</v>
      </c>
      <c r="E957" t="s">
        <v>185</v>
      </c>
      <c r="F957">
        <v>8</v>
      </c>
    </row>
    <row r="958" spans="1:6">
      <c r="A958" t="s">
        <v>399</v>
      </c>
      <c r="B958" t="s">
        <v>400</v>
      </c>
      <c r="C958" t="s">
        <v>30</v>
      </c>
      <c r="D958">
        <f>'[4]RM 1C PCA'!$D$958</f>
        <v>76.400000000000006</v>
      </c>
      <c r="E958" t="s">
        <v>185</v>
      </c>
      <c r="F958">
        <v>8</v>
      </c>
    </row>
    <row r="959" spans="1:6">
      <c r="A959" t="s">
        <v>401</v>
      </c>
      <c r="B959" t="s">
        <v>402</v>
      </c>
      <c r="C959" t="s">
        <v>30</v>
      </c>
      <c r="D959">
        <f>'[4]RM 1C PCA'!$D$959</f>
        <v>82.4</v>
      </c>
      <c r="E959" t="s">
        <v>185</v>
      </c>
      <c r="F959">
        <v>8</v>
      </c>
    </row>
    <row r="960" spans="1:6">
      <c r="A960" t="s">
        <v>403</v>
      </c>
      <c r="B960" t="s">
        <v>404</v>
      </c>
      <c r="C960" t="s">
        <v>30</v>
      </c>
      <c r="D960">
        <f>'[4]RM 1C PCA'!$D$960</f>
        <v>72.2</v>
      </c>
      <c r="E960" t="s">
        <v>185</v>
      </c>
      <c r="F960">
        <v>8</v>
      </c>
    </row>
    <row r="961" spans="1:6">
      <c r="A961" t="s">
        <v>405</v>
      </c>
      <c r="B961" t="s">
        <v>406</v>
      </c>
      <c r="C961" t="s">
        <v>30</v>
      </c>
      <c r="D961">
        <f>'[4]RM 1C PCA'!$D$961</f>
        <v>71.900000000000006</v>
      </c>
      <c r="E961" t="s">
        <v>185</v>
      </c>
      <c r="F961">
        <v>8</v>
      </c>
    </row>
    <row r="962" spans="1:6">
      <c r="A962" t="s">
        <v>407</v>
      </c>
      <c r="B962" t="s">
        <v>408</v>
      </c>
      <c r="C962" t="s">
        <v>30</v>
      </c>
      <c r="D962">
        <f>'[4]RM 1C PCA'!$D$962</f>
        <v>85.8</v>
      </c>
      <c r="E962" t="s">
        <v>185</v>
      </c>
      <c r="F962">
        <v>8</v>
      </c>
    </row>
    <row r="963" spans="1:6">
      <c r="A963" t="s">
        <v>409</v>
      </c>
      <c r="B963" t="s">
        <v>410</v>
      </c>
      <c r="C963" t="s">
        <v>30</v>
      </c>
      <c r="D963">
        <f>'[4]RM 1C PCA'!$D$963</f>
        <v>64.8</v>
      </c>
      <c r="E963" t="s">
        <v>185</v>
      </c>
      <c r="F963">
        <v>8</v>
      </c>
    </row>
    <row r="964" spans="1:6">
      <c r="A964" t="s">
        <v>411</v>
      </c>
      <c r="B964" t="s">
        <v>412</v>
      </c>
      <c r="C964" t="s">
        <v>30</v>
      </c>
      <c r="D964">
        <f>'[4]RM 1C PCA'!$D$964</f>
        <v>63.8</v>
      </c>
      <c r="E964" t="s">
        <v>185</v>
      </c>
      <c r="F964">
        <v>8</v>
      </c>
    </row>
    <row r="965" spans="1:6">
      <c r="A965" t="s">
        <v>413</v>
      </c>
      <c r="B965" t="s">
        <v>414</v>
      </c>
      <c r="C965" t="s">
        <v>30</v>
      </c>
      <c r="D965">
        <f>'[4]RM 1C PCA'!$D$965</f>
        <v>75.099999999999994</v>
      </c>
      <c r="E965" t="s">
        <v>185</v>
      </c>
      <c r="F965">
        <v>8</v>
      </c>
    </row>
    <row r="966" spans="1:6">
      <c r="A966" t="s">
        <v>415</v>
      </c>
      <c r="B966" t="s">
        <v>416</v>
      </c>
      <c r="C966" t="s">
        <v>30</v>
      </c>
      <c r="D966">
        <f>'[4]RM 1C PCA'!$D$966</f>
        <v>72.5</v>
      </c>
      <c r="E966" t="s">
        <v>185</v>
      </c>
      <c r="F966">
        <v>8</v>
      </c>
    </row>
    <row r="967" spans="1:6">
      <c r="A967" t="s">
        <v>417</v>
      </c>
      <c r="B967" t="s">
        <v>418</v>
      </c>
      <c r="C967" t="s">
        <v>30</v>
      </c>
      <c r="D967">
        <f>'[4]RM 1C PCA'!$D$967</f>
        <v>77.900000000000006</v>
      </c>
      <c r="E967" t="s">
        <v>185</v>
      </c>
      <c r="F967">
        <v>8</v>
      </c>
    </row>
    <row r="968" spans="1:6">
      <c r="A968" t="s">
        <v>419</v>
      </c>
      <c r="B968" t="s">
        <v>420</v>
      </c>
      <c r="C968" t="s">
        <v>30</v>
      </c>
      <c r="D968">
        <f>'[4]RM 1C PCA'!$D$968</f>
        <v>79.7</v>
      </c>
      <c r="E968" t="s">
        <v>185</v>
      </c>
      <c r="F968">
        <v>8</v>
      </c>
    </row>
    <row r="969" spans="1:6">
      <c r="A969" t="s">
        <v>421</v>
      </c>
      <c r="B969" t="s">
        <v>422</v>
      </c>
      <c r="C969" t="s">
        <v>30</v>
      </c>
      <c r="D969">
        <f>'[4]RM 1C PCA'!$D$969</f>
        <v>76.900000000000006</v>
      </c>
      <c r="E969" t="s">
        <v>185</v>
      </c>
      <c r="F969">
        <v>8</v>
      </c>
    </row>
    <row r="970" spans="1:6">
      <c r="A970" t="s">
        <v>423</v>
      </c>
      <c r="B970" t="s">
        <v>424</v>
      </c>
      <c r="C970" t="s">
        <v>30</v>
      </c>
      <c r="D970">
        <f>'[4]RM 1C PCA'!$D$970</f>
        <v>40.299999999999997</v>
      </c>
      <c r="E970" t="s">
        <v>182</v>
      </c>
      <c r="F970">
        <v>8</v>
      </c>
    </row>
  </sheetData>
  <autoFilter ref="A1:F728" xr:uid="{F27C92B6-1B7A-435A-90B2-7F30F32F74E0}"/>
  <pageMargins left="0.7" right="0.7" top="0.75" bottom="0.75" header="0.3" footer="0.3"/>
  <pageSetup paperSize="9" orientation="portrait" r:id="rId1"/>
  <headerFooter>
    <oddHeader>&amp;L&amp;"Calibri"&amp;12&amp;K000000Classification: CONFIDENTIAL&amp;1#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5423B-C433-4D18-AA1C-08D322533C24}">
  <sheetPr>
    <tabColor theme="9" tint="0.59999389629810485"/>
  </sheetPr>
  <dimension ref="B4:E119"/>
  <sheetViews>
    <sheetView topLeftCell="A12" zoomScale="115" zoomScaleNormal="115" workbookViewId="0">
      <selection activeCell="I135" sqref="I135"/>
    </sheetView>
  </sheetViews>
  <sheetFormatPr defaultRowHeight="14.25"/>
  <cols>
    <col min="2" max="2" width="32.73046875" customWidth="1"/>
    <col min="3" max="3" width="10.1328125" customWidth="1"/>
    <col min="4" max="4" width="12.86328125" customWidth="1"/>
    <col min="5" max="5" width="22.3984375" customWidth="1"/>
    <col min="6" max="6" width="22" bestFit="1" customWidth="1"/>
    <col min="7" max="7" width="22" customWidth="1"/>
    <col min="8" max="8" width="9" customWidth="1"/>
    <col min="9" max="9" width="11.73046875" bestFit="1" customWidth="1"/>
    <col min="11" max="11" width="11" bestFit="1" customWidth="1"/>
    <col min="12" max="12" width="10.1328125" bestFit="1" customWidth="1"/>
  </cols>
  <sheetData>
    <row r="4" spans="2:5">
      <c r="B4" t="s">
        <v>426</v>
      </c>
      <c r="C4" t="s">
        <v>10</v>
      </c>
      <c r="D4" t="s">
        <v>427</v>
      </c>
      <c r="E4" t="s">
        <v>15</v>
      </c>
    </row>
    <row r="5" spans="2:5">
      <c r="B5" t="s">
        <v>428</v>
      </c>
      <c r="C5" t="s">
        <v>22</v>
      </c>
      <c r="D5">
        <v>273530</v>
      </c>
      <c r="E5">
        <v>1</v>
      </c>
    </row>
    <row r="6" spans="2:5">
      <c r="B6" t="s">
        <v>429</v>
      </c>
      <c r="C6" t="s">
        <v>22</v>
      </c>
      <c r="D6">
        <v>0</v>
      </c>
      <c r="E6">
        <v>1</v>
      </c>
    </row>
    <row r="7" spans="2:5">
      <c r="B7" t="s">
        <v>430</v>
      </c>
      <c r="C7" t="s">
        <v>22</v>
      </c>
      <c r="D7">
        <v>67708</v>
      </c>
      <c r="E7">
        <v>1</v>
      </c>
    </row>
    <row r="8" spans="2:5">
      <c r="B8" t="s">
        <v>431</v>
      </c>
      <c r="C8" t="s">
        <v>22</v>
      </c>
      <c r="D8">
        <v>91662</v>
      </c>
      <c r="E8">
        <v>1</v>
      </c>
    </row>
    <row r="9" spans="2:5">
      <c r="B9" t="s">
        <v>432</v>
      </c>
      <c r="C9" t="s">
        <v>22</v>
      </c>
      <c r="D9">
        <v>84022</v>
      </c>
      <c r="E9">
        <v>1</v>
      </c>
    </row>
    <row r="10" spans="2:5">
      <c r="B10" t="s">
        <v>433</v>
      </c>
      <c r="C10" t="s">
        <v>22</v>
      </c>
      <c r="D10">
        <v>65634</v>
      </c>
      <c r="E10">
        <v>1</v>
      </c>
    </row>
    <row r="11" spans="2:5">
      <c r="B11" t="s">
        <v>434</v>
      </c>
      <c r="C11" t="s">
        <v>22</v>
      </c>
      <c r="D11">
        <v>53782</v>
      </c>
      <c r="E11">
        <v>1</v>
      </c>
    </row>
    <row r="12" spans="2:5">
      <c r="B12" t="s">
        <v>435</v>
      </c>
      <c r="C12" t="s">
        <v>22</v>
      </c>
      <c r="D12">
        <v>39573</v>
      </c>
      <c r="E12">
        <v>1</v>
      </c>
    </row>
    <row r="13" spans="2:5">
      <c r="B13" t="s">
        <v>436</v>
      </c>
      <c r="C13" t="s">
        <v>22</v>
      </c>
      <c r="D13">
        <v>29950</v>
      </c>
      <c r="E13">
        <v>1</v>
      </c>
    </row>
    <row r="14" spans="2:5">
      <c r="B14" t="s">
        <v>437</v>
      </c>
      <c r="C14" t="s">
        <v>22</v>
      </c>
      <c r="D14">
        <v>21111</v>
      </c>
      <c r="E14">
        <v>1</v>
      </c>
    </row>
    <row r="15" spans="2:5">
      <c r="B15" t="s">
        <v>438</v>
      </c>
      <c r="C15" t="s">
        <v>22</v>
      </c>
      <c r="D15">
        <v>0</v>
      </c>
      <c r="E15">
        <v>1</v>
      </c>
    </row>
    <row r="16" spans="2:5">
      <c r="B16" t="s">
        <v>439</v>
      </c>
      <c r="C16" t="s">
        <v>22</v>
      </c>
      <c r="D16">
        <v>19006</v>
      </c>
      <c r="E16">
        <v>1</v>
      </c>
    </row>
    <row r="17" spans="2:5">
      <c r="B17" t="s">
        <v>440</v>
      </c>
      <c r="C17" t="s">
        <v>22</v>
      </c>
      <c r="D17">
        <v>0</v>
      </c>
      <c r="E17">
        <v>1</v>
      </c>
    </row>
    <row r="18" spans="2:5">
      <c r="B18" t="s">
        <v>441</v>
      </c>
      <c r="C18" t="s">
        <v>22</v>
      </c>
      <c r="D18">
        <v>131744</v>
      </c>
      <c r="E18">
        <v>1</v>
      </c>
    </row>
    <row r="19" spans="2:5">
      <c r="B19" t="s">
        <v>428</v>
      </c>
      <c r="C19" t="s">
        <v>23</v>
      </c>
      <c r="D19">
        <v>265974</v>
      </c>
      <c r="E19">
        <v>2</v>
      </c>
    </row>
    <row r="20" spans="2:5">
      <c r="B20" t="s">
        <v>429</v>
      </c>
      <c r="C20" t="s">
        <v>23</v>
      </c>
      <c r="D20">
        <v>0</v>
      </c>
      <c r="E20">
        <v>2</v>
      </c>
    </row>
    <row r="21" spans="2:5">
      <c r="B21" t="s">
        <v>430</v>
      </c>
      <c r="C21" t="s">
        <v>23</v>
      </c>
      <c r="D21">
        <v>69059</v>
      </c>
      <c r="E21">
        <v>2</v>
      </c>
    </row>
    <row r="22" spans="2:5">
      <c r="B22" t="s">
        <v>431</v>
      </c>
      <c r="C22" t="s">
        <v>23</v>
      </c>
      <c r="D22">
        <v>82212</v>
      </c>
      <c r="E22">
        <v>2</v>
      </c>
    </row>
    <row r="23" spans="2:5">
      <c r="B23" t="s">
        <v>432</v>
      </c>
      <c r="C23" t="s">
        <v>23</v>
      </c>
      <c r="D23">
        <v>80218</v>
      </c>
      <c r="E23">
        <v>2</v>
      </c>
    </row>
    <row r="24" spans="2:5">
      <c r="B24" t="s">
        <v>433</v>
      </c>
      <c r="C24" t="s">
        <v>23</v>
      </c>
      <c r="D24">
        <v>61912</v>
      </c>
      <c r="E24">
        <v>2</v>
      </c>
    </row>
    <row r="25" spans="2:5">
      <c r="B25" t="s">
        <v>434</v>
      </c>
      <c r="C25" t="s">
        <v>23</v>
      </c>
      <c r="D25">
        <v>54588</v>
      </c>
      <c r="E25">
        <v>2</v>
      </c>
    </row>
    <row r="26" spans="2:5">
      <c r="B26" t="s">
        <v>435</v>
      </c>
      <c r="C26" t="s">
        <v>23</v>
      </c>
      <c r="D26">
        <v>35021</v>
      </c>
      <c r="E26">
        <v>2</v>
      </c>
    </row>
    <row r="27" spans="2:5">
      <c r="B27" t="s">
        <v>436</v>
      </c>
      <c r="C27" t="s">
        <v>23</v>
      </c>
      <c r="D27">
        <v>30182</v>
      </c>
      <c r="E27">
        <v>2</v>
      </c>
    </row>
    <row r="28" spans="2:5">
      <c r="B28" t="s">
        <v>437</v>
      </c>
      <c r="C28" t="s">
        <v>23</v>
      </c>
      <c r="D28">
        <v>19297</v>
      </c>
      <c r="E28">
        <v>2</v>
      </c>
    </row>
    <row r="29" spans="2:5">
      <c r="B29" t="s">
        <v>438</v>
      </c>
      <c r="C29" t="s">
        <v>23</v>
      </c>
      <c r="D29">
        <v>0</v>
      </c>
      <c r="E29">
        <v>2</v>
      </c>
    </row>
    <row r="30" spans="2:5">
      <c r="B30" t="s">
        <v>439</v>
      </c>
      <c r="C30" t="s">
        <v>23</v>
      </c>
      <c r="D30">
        <v>20080</v>
      </c>
      <c r="E30">
        <v>2</v>
      </c>
    </row>
    <row r="31" spans="2:5">
      <c r="B31" t="s">
        <v>440</v>
      </c>
      <c r="C31" t="s">
        <v>23</v>
      </c>
      <c r="D31">
        <v>0</v>
      </c>
      <c r="E31">
        <v>2</v>
      </c>
    </row>
    <row r="32" spans="2:5">
      <c r="B32" t="s">
        <v>441</v>
      </c>
      <c r="C32" t="s">
        <v>23</v>
      </c>
      <c r="D32">
        <v>131067</v>
      </c>
      <c r="E32">
        <v>2</v>
      </c>
    </row>
    <row r="33" spans="2:5">
      <c r="B33" t="s">
        <v>428</v>
      </c>
      <c r="C33" t="s">
        <v>24</v>
      </c>
      <c r="D33">
        <v>294441</v>
      </c>
      <c r="E33">
        <v>3</v>
      </c>
    </row>
    <row r="34" spans="2:5">
      <c r="B34" t="s">
        <v>429</v>
      </c>
      <c r="C34" t="s">
        <v>24</v>
      </c>
      <c r="D34">
        <v>0</v>
      </c>
      <c r="E34">
        <v>3</v>
      </c>
    </row>
    <row r="35" spans="2:5">
      <c r="B35" t="s">
        <v>430</v>
      </c>
      <c r="C35" t="s">
        <v>24</v>
      </c>
      <c r="D35">
        <v>91913</v>
      </c>
      <c r="E35">
        <v>3</v>
      </c>
    </row>
    <row r="36" spans="2:5">
      <c r="B36" t="s">
        <v>431</v>
      </c>
      <c r="C36" t="s">
        <v>24</v>
      </c>
      <c r="D36">
        <v>78711</v>
      </c>
      <c r="E36">
        <v>3</v>
      </c>
    </row>
    <row r="37" spans="2:5">
      <c r="B37" t="s">
        <v>432</v>
      </c>
      <c r="C37" t="s">
        <v>24</v>
      </c>
      <c r="D37">
        <v>75547</v>
      </c>
      <c r="E37">
        <v>3</v>
      </c>
    </row>
    <row r="38" spans="2:5">
      <c r="B38" t="s">
        <v>433</v>
      </c>
      <c r="C38" t="s">
        <v>24</v>
      </c>
      <c r="D38">
        <v>63994</v>
      </c>
      <c r="E38">
        <v>3</v>
      </c>
    </row>
    <row r="39" spans="2:5">
      <c r="B39" t="s">
        <v>434</v>
      </c>
      <c r="C39" t="s">
        <v>24</v>
      </c>
      <c r="D39">
        <v>62232</v>
      </c>
      <c r="E39">
        <v>3</v>
      </c>
    </row>
    <row r="40" spans="2:5">
      <c r="B40" t="s">
        <v>435</v>
      </c>
      <c r="C40" t="s">
        <v>24</v>
      </c>
      <c r="D40">
        <v>40441</v>
      </c>
      <c r="E40">
        <v>3</v>
      </c>
    </row>
    <row r="41" spans="2:5">
      <c r="B41" t="s">
        <v>436</v>
      </c>
      <c r="C41" t="s">
        <v>24</v>
      </c>
      <c r="D41">
        <v>35135</v>
      </c>
      <c r="E41">
        <v>3</v>
      </c>
    </row>
    <row r="42" spans="2:5">
      <c r="B42" t="s">
        <v>437</v>
      </c>
      <c r="C42" t="s">
        <v>24</v>
      </c>
      <c r="D42">
        <v>0</v>
      </c>
      <c r="E42">
        <v>3</v>
      </c>
    </row>
    <row r="43" spans="2:5">
      <c r="B43" t="s">
        <v>438</v>
      </c>
      <c r="C43" t="s">
        <v>24</v>
      </c>
      <c r="D43">
        <v>22280</v>
      </c>
      <c r="E43">
        <v>3</v>
      </c>
    </row>
    <row r="44" spans="2:5">
      <c r="B44" t="s">
        <v>439</v>
      </c>
      <c r="C44" t="s">
        <v>24</v>
      </c>
      <c r="D44">
        <v>20464</v>
      </c>
      <c r="E44">
        <v>3</v>
      </c>
    </row>
    <row r="45" spans="2:5">
      <c r="B45" t="s">
        <v>440</v>
      </c>
      <c r="C45" t="s">
        <v>24</v>
      </c>
      <c r="D45">
        <v>0</v>
      </c>
      <c r="E45">
        <v>3</v>
      </c>
    </row>
    <row r="46" spans="2:5">
      <c r="B46" t="s">
        <v>441</v>
      </c>
      <c r="C46" t="s">
        <v>24</v>
      </c>
      <c r="D46">
        <v>135096</v>
      </c>
      <c r="E46">
        <v>3</v>
      </c>
    </row>
    <row r="47" spans="2:5">
      <c r="B47" t="s">
        <v>428</v>
      </c>
      <c r="C47" t="s">
        <v>25</v>
      </c>
      <c r="D47">
        <v>269584</v>
      </c>
      <c r="E47">
        <v>4</v>
      </c>
    </row>
    <row r="48" spans="2:5">
      <c r="B48" t="s">
        <v>429</v>
      </c>
      <c r="C48" t="s">
        <v>25</v>
      </c>
      <c r="D48">
        <v>89219</v>
      </c>
      <c r="E48">
        <v>4</v>
      </c>
    </row>
    <row r="49" spans="2:5">
      <c r="B49" t="s">
        <v>430</v>
      </c>
      <c r="C49" t="s">
        <v>25</v>
      </c>
      <c r="D49">
        <v>62808</v>
      </c>
      <c r="E49">
        <v>4</v>
      </c>
    </row>
    <row r="50" spans="2:5">
      <c r="B50" t="s">
        <v>431</v>
      </c>
      <c r="C50" t="s">
        <v>25</v>
      </c>
      <c r="D50">
        <v>81426</v>
      </c>
      <c r="E50">
        <v>4</v>
      </c>
    </row>
    <row r="51" spans="2:5">
      <c r="B51" t="s">
        <v>432</v>
      </c>
      <c r="C51" t="s">
        <v>25</v>
      </c>
      <c r="D51">
        <v>73285</v>
      </c>
      <c r="E51">
        <v>4</v>
      </c>
    </row>
    <row r="52" spans="2:5">
      <c r="B52" t="s">
        <v>433</v>
      </c>
      <c r="C52" t="s">
        <v>25</v>
      </c>
      <c r="D52">
        <v>61590</v>
      </c>
      <c r="E52">
        <v>4</v>
      </c>
    </row>
    <row r="53" spans="2:5">
      <c r="B53" t="s">
        <v>434</v>
      </c>
      <c r="C53" t="s">
        <v>25</v>
      </c>
      <c r="D53">
        <v>57357</v>
      </c>
      <c r="E53">
        <v>4</v>
      </c>
    </row>
    <row r="54" spans="2:5">
      <c r="B54" t="s">
        <v>435</v>
      </c>
      <c r="C54" t="s">
        <v>25</v>
      </c>
      <c r="D54">
        <v>40877</v>
      </c>
      <c r="E54">
        <v>4</v>
      </c>
    </row>
    <row r="55" spans="2:5">
      <c r="B55" t="s">
        <v>436</v>
      </c>
      <c r="C55" t="s">
        <v>25</v>
      </c>
      <c r="D55">
        <v>38378</v>
      </c>
      <c r="E55">
        <v>4</v>
      </c>
    </row>
    <row r="56" spans="2:5">
      <c r="B56" t="s">
        <v>437</v>
      </c>
      <c r="C56" t="s">
        <v>25</v>
      </c>
      <c r="D56">
        <v>0</v>
      </c>
      <c r="E56">
        <v>4</v>
      </c>
    </row>
    <row r="57" spans="2:5">
      <c r="B57" t="s">
        <v>438</v>
      </c>
      <c r="C57" t="s">
        <v>25</v>
      </c>
      <c r="D57">
        <v>24771</v>
      </c>
      <c r="E57">
        <v>4</v>
      </c>
    </row>
    <row r="58" spans="2:5">
      <c r="B58" t="s">
        <v>439</v>
      </c>
      <c r="C58" t="s">
        <v>25</v>
      </c>
      <c r="D58">
        <v>0</v>
      </c>
      <c r="E58">
        <v>4</v>
      </c>
    </row>
    <row r="59" spans="2:5">
      <c r="B59" t="s">
        <v>440</v>
      </c>
      <c r="C59" t="s">
        <v>25</v>
      </c>
      <c r="D59">
        <v>0</v>
      </c>
      <c r="E59">
        <v>4</v>
      </c>
    </row>
    <row r="60" spans="2:5">
      <c r="B60" t="s">
        <v>441</v>
      </c>
      <c r="C60" t="s">
        <v>25</v>
      </c>
      <c r="D60">
        <v>147566</v>
      </c>
      <c r="E60">
        <v>4</v>
      </c>
    </row>
    <row r="61" spans="2:5">
      <c r="B61" t="s">
        <v>442</v>
      </c>
      <c r="C61" t="s">
        <v>26</v>
      </c>
      <c r="D61">
        <v>257366</v>
      </c>
      <c r="E61">
        <v>5</v>
      </c>
    </row>
    <row r="62" spans="2:5">
      <c r="B62" t="s">
        <v>429</v>
      </c>
      <c r="C62" t="s">
        <v>26</v>
      </c>
      <c r="D62">
        <v>134712</v>
      </c>
      <c r="E62">
        <v>5</v>
      </c>
    </row>
    <row r="63" spans="2:5">
      <c r="B63" t="s">
        <v>443</v>
      </c>
      <c r="C63" t="s">
        <v>26</v>
      </c>
      <c r="D63">
        <v>67191</v>
      </c>
      <c r="E63">
        <v>5</v>
      </c>
    </row>
    <row r="64" spans="2:5">
      <c r="B64" t="s">
        <v>444</v>
      </c>
      <c r="C64" t="s">
        <v>26</v>
      </c>
      <c r="D64">
        <v>93131</v>
      </c>
      <c r="E64">
        <v>5</v>
      </c>
    </row>
    <row r="65" spans="2:5">
      <c r="B65" t="s">
        <v>445</v>
      </c>
      <c r="C65" t="s">
        <v>26</v>
      </c>
      <c r="D65">
        <v>72493</v>
      </c>
      <c r="E65">
        <v>5</v>
      </c>
    </row>
    <row r="66" spans="2:5">
      <c r="B66" t="s">
        <v>446</v>
      </c>
      <c r="C66" t="s">
        <v>26</v>
      </c>
      <c r="D66">
        <v>60757</v>
      </c>
      <c r="E66">
        <v>5</v>
      </c>
    </row>
    <row r="67" spans="2:5">
      <c r="B67" t="s">
        <v>447</v>
      </c>
      <c r="C67" t="s">
        <v>26</v>
      </c>
      <c r="D67">
        <v>65327</v>
      </c>
      <c r="E67">
        <v>5</v>
      </c>
    </row>
    <row r="68" spans="2:5">
      <c r="B68" t="s">
        <v>448</v>
      </c>
      <c r="C68" t="s">
        <v>26</v>
      </c>
      <c r="D68">
        <v>41826</v>
      </c>
      <c r="E68">
        <v>5</v>
      </c>
    </row>
    <row r="69" spans="2:5">
      <c r="B69" t="s">
        <v>449</v>
      </c>
      <c r="C69" t="s">
        <v>26</v>
      </c>
      <c r="D69">
        <v>41850</v>
      </c>
      <c r="E69">
        <v>5</v>
      </c>
    </row>
    <row r="70" spans="2:5">
      <c r="B70" t="s">
        <v>450</v>
      </c>
      <c r="C70" t="s">
        <v>26</v>
      </c>
      <c r="D70">
        <v>0</v>
      </c>
      <c r="E70">
        <v>5</v>
      </c>
    </row>
    <row r="71" spans="2:5">
      <c r="B71" t="s">
        <v>451</v>
      </c>
      <c r="C71" t="s">
        <v>26</v>
      </c>
      <c r="D71">
        <v>18723</v>
      </c>
      <c r="E71">
        <v>5</v>
      </c>
    </row>
    <row r="72" spans="2:5">
      <c r="B72" t="s">
        <v>452</v>
      </c>
      <c r="C72" t="s">
        <v>26</v>
      </c>
      <c r="D72">
        <v>0</v>
      </c>
      <c r="E72">
        <v>5</v>
      </c>
    </row>
    <row r="73" spans="2:5">
      <c r="B73" t="s">
        <v>440</v>
      </c>
      <c r="C73" t="s">
        <v>26</v>
      </c>
      <c r="D73">
        <v>22310</v>
      </c>
      <c r="E73">
        <v>5</v>
      </c>
    </row>
    <row r="74" spans="2:5">
      <c r="B74" t="s">
        <v>35</v>
      </c>
      <c r="C74" t="s">
        <v>26</v>
      </c>
      <c r="D74">
        <v>168836</v>
      </c>
      <c r="E74">
        <v>5</v>
      </c>
    </row>
    <row r="75" spans="2:5">
      <c r="B75" t="s">
        <v>442</v>
      </c>
      <c r="C75" t="s">
        <v>27</v>
      </c>
      <c r="D75">
        <v>310159</v>
      </c>
      <c r="E75">
        <v>6</v>
      </c>
    </row>
    <row r="76" spans="2:5">
      <c r="B76" t="s">
        <v>429</v>
      </c>
      <c r="C76" t="s">
        <v>27</v>
      </c>
      <c r="D76">
        <v>137499</v>
      </c>
      <c r="E76">
        <v>6</v>
      </c>
    </row>
    <row r="77" spans="2:5">
      <c r="B77" t="s">
        <v>443</v>
      </c>
      <c r="C77" t="s">
        <v>27</v>
      </c>
      <c r="D77">
        <v>71480</v>
      </c>
      <c r="E77">
        <v>6</v>
      </c>
    </row>
    <row r="78" spans="2:5">
      <c r="B78" t="s">
        <v>444</v>
      </c>
      <c r="C78" t="s">
        <v>27</v>
      </c>
      <c r="D78">
        <v>88911</v>
      </c>
      <c r="E78">
        <v>6</v>
      </c>
    </row>
    <row r="79" spans="2:5">
      <c r="B79" t="s">
        <v>445</v>
      </c>
      <c r="C79" t="s">
        <v>27</v>
      </c>
      <c r="D79">
        <v>77517</v>
      </c>
      <c r="E79">
        <v>6</v>
      </c>
    </row>
    <row r="80" spans="2:5">
      <c r="B80" t="s">
        <v>446</v>
      </c>
      <c r="C80" t="s">
        <v>27</v>
      </c>
      <c r="D80">
        <v>56104</v>
      </c>
      <c r="E80">
        <v>6</v>
      </c>
    </row>
    <row r="81" spans="2:5">
      <c r="B81" t="s">
        <v>447</v>
      </c>
      <c r="C81" t="s">
        <v>27</v>
      </c>
      <c r="D81">
        <v>66020</v>
      </c>
      <c r="E81">
        <v>6</v>
      </c>
    </row>
    <row r="82" spans="2:5">
      <c r="B82" t="s">
        <v>448</v>
      </c>
      <c r="C82" t="s">
        <v>27</v>
      </c>
      <c r="D82">
        <v>42237</v>
      </c>
      <c r="E82">
        <v>6</v>
      </c>
    </row>
    <row r="83" spans="2:5">
      <c r="B83" t="s">
        <v>449</v>
      </c>
      <c r="C83" t="s">
        <v>27</v>
      </c>
      <c r="D83">
        <v>48193</v>
      </c>
      <c r="E83">
        <v>6</v>
      </c>
    </row>
    <row r="84" spans="2:5">
      <c r="B84" t="s">
        <v>450</v>
      </c>
      <c r="C84" t="s">
        <v>27</v>
      </c>
      <c r="D84">
        <v>0</v>
      </c>
      <c r="E84">
        <v>6</v>
      </c>
    </row>
    <row r="85" spans="2:5">
      <c r="B85" t="s">
        <v>451</v>
      </c>
      <c r="C85" t="s">
        <v>27</v>
      </c>
      <c r="D85">
        <v>0</v>
      </c>
      <c r="E85">
        <v>6</v>
      </c>
    </row>
    <row r="86" spans="2:5">
      <c r="B86" t="s">
        <v>452</v>
      </c>
      <c r="C86" t="s">
        <v>27</v>
      </c>
      <c r="D86">
        <v>0</v>
      </c>
      <c r="E86">
        <v>6</v>
      </c>
    </row>
    <row r="87" spans="2:5">
      <c r="B87" t="s">
        <v>440</v>
      </c>
      <c r="C87" t="s">
        <v>27</v>
      </c>
      <c r="D87">
        <v>34044</v>
      </c>
      <c r="E87">
        <v>6</v>
      </c>
    </row>
    <row r="88" spans="2:5">
      <c r="B88" t="s">
        <v>35</v>
      </c>
      <c r="C88" t="s">
        <v>27</v>
      </c>
      <c r="D88">
        <v>188395</v>
      </c>
      <c r="E88">
        <v>6</v>
      </c>
    </row>
    <row r="89" spans="2:5">
      <c r="B89" t="s">
        <v>442</v>
      </c>
      <c r="C89" t="s">
        <v>29</v>
      </c>
      <c r="D89" s="4">
        <v>338307</v>
      </c>
      <c r="E89">
        <v>7</v>
      </c>
    </row>
    <row r="90" spans="2:5">
      <c r="B90" t="s">
        <v>429</v>
      </c>
      <c r="C90" t="s">
        <v>29</v>
      </c>
      <c r="D90" s="4">
        <v>140930</v>
      </c>
      <c r="E90">
        <v>7</v>
      </c>
    </row>
    <row r="91" spans="2:5">
      <c r="B91" t="s">
        <v>443</v>
      </c>
      <c r="C91" t="s">
        <v>29</v>
      </c>
      <c r="D91" s="4">
        <v>64042</v>
      </c>
      <c r="E91">
        <v>7</v>
      </c>
    </row>
    <row r="92" spans="2:5">
      <c r="B92" t="s">
        <v>444</v>
      </c>
      <c r="C92" t="s">
        <v>29</v>
      </c>
      <c r="D92" s="4">
        <v>80596</v>
      </c>
      <c r="E92">
        <v>7</v>
      </c>
    </row>
    <row r="93" spans="2:5">
      <c r="B93" t="s">
        <v>445</v>
      </c>
      <c r="C93" t="s">
        <v>29</v>
      </c>
      <c r="D93" s="4">
        <v>64727</v>
      </c>
      <c r="E93">
        <v>7</v>
      </c>
    </row>
    <row r="94" spans="2:5">
      <c r="B94" t="s">
        <v>446</v>
      </c>
      <c r="C94" t="s">
        <v>29</v>
      </c>
      <c r="D94" s="4">
        <v>50845</v>
      </c>
      <c r="E94">
        <v>7</v>
      </c>
    </row>
    <row r="95" spans="2:5">
      <c r="B95" t="s">
        <v>447</v>
      </c>
      <c r="C95" t="s">
        <v>29</v>
      </c>
      <c r="D95" s="4">
        <v>64034</v>
      </c>
      <c r="E95">
        <v>7</v>
      </c>
    </row>
    <row r="96" spans="2:5">
      <c r="B96" t="s">
        <v>448</v>
      </c>
      <c r="C96" t="s">
        <v>29</v>
      </c>
      <c r="D96" s="4">
        <v>34039</v>
      </c>
      <c r="E96">
        <v>7</v>
      </c>
    </row>
    <row r="97" spans="2:5">
      <c r="B97" t="s">
        <v>449</v>
      </c>
      <c r="C97" t="s">
        <v>29</v>
      </c>
      <c r="D97" s="4">
        <v>50312</v>
      </c>
      <c r="E97">
        <v>7</v>
      </c>
    </row>
    <row r="98" spans="2:5">
      <c r="B98" t="s">
        <v>450</v>
      </c>
      <c r="C98" t="s">
        <v>29</v>
      </c>
      <c r="D98" s="4">
        <v>0</v>
      </c>
      <c r="E98">
        <v>7</v>
      </c>
    </row>
    <row r="99" spans="2:5">
      <c r="B99" t="s">
        <v>451</v>
      </c>
      <c r="C99" t="s">
        <v>29</v>
      </c>
      <c r="D99" s="4">
        <v>0</v>
      </c>
      <c r="E99">
        <v>7</v>
      </c>
    </row>
    <row r="100" spans="2:5">
      <c r="B100" t="s">
        <v>452</v>
      </c>
      <c r="C100" t="s">
        <v>29</v>
      </c>
      <c r="D100" s="4">
        <v>27924</v>
      </c>
      <c r="E100">
        <v>7</v>
      </c>
    </row>
    <row r="101" spans="2:5">
      <c r="B101" t="s">
        <v>440</v>
      </c>
      <c r="C101" t="s">
        <v>29</v>
      </c>
      <c r="D101" s="4">
        <v>0</v>
      </c>
      <c r="E101">
        <v>7</v>
      </c>
    </row>
    <row r="102" spans="2:5">
      <c r="B102" t="s">
        <v>35</v>
      </c>
      <c r="C102" t="s">
        <v>29</v>
      </c>
      <c r="D102" s="4">
        <v>167223</v>
      </c>
      <c r="E102">
        <v>7</v>
      </c>
    </row>
    <row r="103" spans="2:5">
      <c r="B103" t="s">
        <v>442</v>
      </c>
      <c r="C103" t="s">
        <v>30</v>
      </c>
      <c r="D103" s="4">
        <f>'[4]RM Complaints'!$D$103</f>
        <v>665669</v>
      </c>
      <c r="E103">
        <v>8</v>
      </c>
    </row>
    <row r="104" spans="2:5">
      <c r="B104" t="s">
        <v>429</v>
      </c>
      <c r="C104" t="s">
        <v>30</v>
      </c>
      <c r="D104" s="4">
        <f>'[4]RM Complaints'!$D$104</f>
        <v>161305</v>
      </c>
      <c r="E104">
        <v>8</v>
      </c>
    </row>
    <row r="105" spans="2:5">
      <c r="B105" t="s">
        <v>443</v>
      </c>
      <c r="C105" t="s">
        <v>30</v>
      </c>
      <c r="D105" s="4">
        <f>'[4]RM Complaints'!$D$105</f>
        <v>102060</v>
      </c>
      <c r="E105">
        <v>8</v>
      </c>
    </row>
    <row r="106" spans="2:5">
      <c r="B106" t="s">
        <v>444</v>
      </c>
      <c r="C106" t="s">
        <v>30</v>
      </c>
      <c r="D106" s="4">
        <f>'[4]RM Complaints'!$D$106</f>
        <v>45776</v>
      </c>
      <c r="E106">
        <v>8</v>
      </c>
    </row>
    <row r="107" spans="2:5">
      <c r="B107" t="s">
        <v>445</v>
      </c>
      <c r="C107" t="s">
        <v>30</v>
      </c>
      <c r="D107" s="4">
        <f>'[4]RM Complaints'!$D$107</f>
        <v>75058</v>
      </c>
      <c r="E107">
        <v>8</v>
      </c>
    </row>
    <row r="108" spans="2:5">
      <c r="B108" t="s">
        <v>446</v>
      </c>
      <c r="C108" t="s">
        <v>30</v>
      </c>
      <c r="D108" s="4">
        <f>'[4]RM Complaints'!$D$108</f>
        <v>38537</v>
      </c>
      <c r="E108">
        <v>8</v>
      </c>
    </row>
    <row r="109" spans="2:5">
      <c r="B109" t="s">
        <v>447</v>
      </c>
      <c r="C109" t="s">
        <v>30</v>
      </c>
      <c r="D109" s="4">
        <f>'[4]RM Complaints'!$D$109</f>
        <v>55288</v>
      </c>
      <c r="E109">
        <v>8</v>
      </c>
    </row>
    <row r="110" spans="2:5">
      <c r="B110" t="s">
        <v>448</v>
      </c>
      <c r="C110" t="s">
        <v>30</v>
      </c>
      <c r="D110" s="4">
        <f>'[4]RM Complaints'!$D$110</f>
        <v>0</v>
      </c>
      <c r="E110">
        <v>8</v>
      </c>
    </row>
    <row r="111" spans="2:5">
      <c r="B111" t="s">
        <v>449</v>
      </c>
      <c r="C111" t="s">
        <v>30</v>
      </c>
      <c r="D111" s="4">
        <f>'[4]RM Complaints'!$D$111</f>
        <v>85856</v>
      </c>
      <c r="E111">
        <v>8</v>
      </c>
    </row>
    <row r="112" spans="2:5">
      <c r="B112" t="s">
        <v>450</v>
      </c>
      <c r="C112" t="s">
        <v>30</v>
      </c>
      <c r="D112" s="4">
        <f>'[4]RM Complaints'!$D$112</f>
        <v>0</v>
      </c>
      <c r="E112">
        <v>8</v>
      </c>
    </row>
    <row r="113" spans="2:5">
      <c r="B113" t="s">
        <v>451</v>
      </c>
      <c r="C113" t="s">
        <v>30</v>
      </c>
      <c r="D113" s="4">
        <f>'[4]RM Complaints'!$D$113</f>
        <v>0</v>
      </c>
      <c r="E113">
        <v>8</v>
      </c>
    </row>
    <row r="114" spans="2:5">
      <c r="B114" t="s">
        <v>452</v>
      </c>
      <c r="C114" t="s">
        <v>30</v>
      </c>
      <c r="D114" s="4">
        <f>'[4]RM Complaints'!$D$114</f>
        <v>39767</v>
      </c>
      <c r="E114">
        <v>8</v>
      </c>
    </row>
    <row r="115" spans="2:5">
      <c r="B115" t="s">
        <v>453</v>
      </c>
      <c r="C115" t="s">
        <v>30</v>
      </c>
      <c r="D115" s="4">
        <f>'[4]RM Complaints'!$D$115</f>
        <v>99773</v>
      </c>
      <c r="E115">
        <v>8</v>
      </c>
    </row>
    <row r="116" spans="2:5">
      <c r="B116" t="s">
        <v>440</v>
      </c>
      <c r="C116" t="s">
        <v>30</v>
      </c>
      <c r="D116" s="4">
        <f>'[4]RM Complaints'!$D$116</f>
        <v>0</v>
      </c>
      <c r="E116">
        <v>8</v>
      </c>
    </row>
    <row r="117" spans="2:5">
      <c r="B117" t="s">
        <v>35</v>
      </c>
      <c r="C117" t="s">
        <v>30</v>
      </c>
      <c r="D117" s="4">
        <f>'[4]RM Complaints'!$D$117</f>
        <v>230504</v>
      </c>
      <c r="E117">
        <v>8</v>
      </c>
    </row>
    <row r="118" spans="2:5">
      <c r="D118" s="4"/>
    </row>
    <row r="119" spans="2:5" ht="15.75">
      <c r="B119" s="70" t="s">
        <v>454</v>
      </c>
      <c r="C119" s="12">
        <f>SUMIF(C5:C117, "2020-21", D5:D117)</f>
        <v>1599593</v>
      </c>
      <c r="D119" s="12">
        <f>SUMIF(C5:C117, "2014/15", D5:D117)</f>
        <v>0</v>
      </c>
      <c r="E119" s="13">
        <f>SUMIF(C5:C117, "2015/16", D5:D117)</f>
        <v>0</v>
      </c>
    </row>
  </sheetData>
  <pageMargins left="0.7" right="0.7" top="0.75" bottom="0.75" header="0.3" footer="0.3"/>
  <pageSetup paperSize="9" orientation="portrait" r:id="rId1"/>
  <headerFooter>
    <oddHeader>&amp;L&amp;"Calibri"&amp;12&amp;K000000Classification: CONFIDENTIAL&amp;1#</oddHeader>
  </headerFooter>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693B3-B245-4FAA-AF76-F3BD14564317}">
  <sheetPr>
    <tabColor theme="9" tint="0.59999389629810485"/>
  </sheetPr>
  <dimension ref="A1:G155"/>
  <sheetViews>
    <sheetView topLeftCell="A127" zoomScale="87" workbookViewId="0">
      <selection activeCell="J143" sqref="J143"/>
    </sheetView>
  </sheetViews>
  <sheetFormatPr defaultRowHeight="14.25"/>
  <cols>
    <col min="1" max="1" width="10.73046875" bestFit="1" customWidth="1"/>
    <col min="2" max="2" width="13.265625" customWidth="1"/>
    <col min="3" max="3" width="33.265625" bestFit="1" customWidth="1"/>
    <col min="4" max="4" width="32.59765625" bestFit="1" customWidth="1"/>
  </cols>
  <sheetData>
    <row r="1" spans="1:7" s="1" customFormat="1">
      <c r="A1" s="1" t="s">
        <v>31</v>
      </c>
      <c r="B1" s="1" t="s">
        <v>455</v>
      </c>
      <c r="C1" s="1" t="s">
        <v>456</v>
      </c>
      <c r="D1" s="1" t="s">
        <v>457</v>
      </c>
      <c r="E1" s="1" t="s">
        <v>458</v>
      </c>
      <c r="F1" s="1" t="s">
        <v>459</v>
      </c>
      <c r="G1" s="1" t="s">
        <v>15</v>
      </c>
    </row>
    <row r="2" spans="1:7">
      <c r="A2" s="41" t="s">
        <v>460</v>
      </c>
      <c r="B2" s="27" t="s">
        <v>461</v>
      </c>
      <c r="C2" t="s">
        <v>462</v>
      </c>
      <c r="D2" t="s">
        <v>463</v>
      </c>
      <c r="E2" s="9">
        <v>85</v>
      </c>
      <c r="F2" s="9"/>
      <c r="G2">
        <v>1</v>
      </c>
    </row>
    <row r="3" spans="1:7">
      <c r="A3" s="41" t="s">
        <v>460</v>
      </c>
      <c r="B3" s="27" t="s">
        <v>464</v>
      </c>
      <c r="C3" t="s">
        <v>462</v>
      </c>
      <c r="D3" t="s">
        <v>465</v>
      </c>
      <c r="E3" s="9">
        <v>93</v>
      </c>
      <c r="F3" s="9"/>
      <c r="G3">
        <v>1</v>
      </c>
    </row>
    <row r="4" spans="1:7">
      <c r="A4" s="41" t="s">
        <v>460</v>
      </c>
      <c r="B4" s="27" t="s">
        <v>461</v>
      </c>
      <c r="C4" t="s">
        <v>466</v>
      </c>
      <c r="D4" t="s">
        <v>467</v>
      </c>
      <c r="E4" s="9">
        <v>99</v>
      </c>
      <c r="F4" s="9"/>
      <c r="G4">
        <v>1</v>
      </c>
    </row>
    <row r="5" spans="1:7">
      <c r="A5" s="41" t="s">
        <v>460</v>
      </c>
      <c r="B5" s="27" t="s">
        <v>464</v>
      </c>
      <c r="C5" t="s">
        <v>466</v>
      </c>
      <c r="D5" t="s">
        <v>468</v>
      </c>
      <c r="E5" s="9">
        <v>97.8</v>
      </c>
      <c r="F5" s="9" t="s">
        <v>469</v>
      </c>
      <c r="G5">
        <v>1</v>
      </c>
    </row>
    <row r="6" spans="1:7">
      <c r="A6" s="41" t="s">
        <v>460</v>
      </c>
      <c r="B6" s="27" t="s">
        <v>461</v>
      </c>
      <c r="C6" t="s">
        <v>470</v>
      </c>
      <c r="D6" t="s">
        <v>471</v>
      </c>
      <c r="E6" s="9">
        <v>99.9</v>
      </c>
      <c r="F6" s="9"/>
      <c r="G6">
        <v>1</v>
      </c>
    </row>
    <row r="7" spans="1:7">
      <c r="A7" s="41" t="s">
        <v>460</v>
      </c>
      <c r="B7" s="27" t="s">
        <v>464</v>
      </c>
      <c r="C7" t="s">
        <v>470</v>
      </c>
      <c r="D7" t="s">
        <v>472</v>
      </c>
      <c r="E7" s="9">
        <v>99.64</v>
      </c>
      <c r="F7" s="9" t="s">
        <v>469</v>
      </c>
      <c r="G7">
        <v>1</v>
      </c>
    </row>
    <row r="8" spans="1:7">
      <c r="A8" s="41" t="s">
        <v>460</v>
      </c>
      <c r="B8" s="27" t="s">
        <v>461</v>
      </c>
      <c r="C8" t="s">
        <v>473</v>
      </c>
      <c r="D8" t="s">
        <v>474</v>
      </c>
      <c r="E8" s="9">
        <v>99.9</v>
      </c>
      <c r="F8" s="9"/>
      <c r="G8">
        <v>1</v>
      </c>
    </row>
    <row r="9" spans="1:7">
      <c r="A9" s="41" t="s">
        <v>460</v>
      </c>
      <c r="B9" s="27" t="s">
        <v>464</v>
      </c>
      <c r="C9" t="s">
        <v>473</v>
      </c>
      <c r="D9" t="s">
        <v>475</v>
      </c>
      <c r="E9" s="9">
        <v>99.39</v>
      </c>
      <c r="F9" s="9" t="s">
        <v>469</v>
      </c>
      <c r="G9">
        <v>1</v>
      </c>
    </row>
    <row r="10" spans="1:7">
      <c r="A10" s="41" t="s">
        <v>460</v>
      </c>
      <c r="B10" s="27" t="s">
        <v>461</v>
      </c>
      <c r="C10" t="s">
        <v>476</v>
      </c>
      <c r="D10" t="s">
        <v>477</v>
      </c>
      <c r="E10" s="9">
        <v>99.5</v>
      </c>
      <c r="F10" s="9"/>
      <c r="G10">
        <v>1</v>
      </c>
    </row>
    <row r="11" spans="1:7">
      <c r="A11" s="41" t="s">
        <v>460</v>
      </c>
      <c r="B11" s="27" t="s">
        <v>464</v>
      </c>
      <c r="C11" t="s">
        <v>476</v>
      </c>
      <c r="D11" t="s">
        <v>478</v>
      </c>
      <c r="E11" s="9">
        <v>99.66</v>
      </c>
      <c r="F11" s="9" t="s">
        <v>479</v>
      </c>
      <c r="G11">
        <v>1</v>
      </c>
    </row>
    <row r="12" spans="1:7">
      <c r="A12" s="41" t="s">
        <v>460</v>
      </c>
      <c r="B12" t="s">
        <v>464</v>
      </c>
      <c r="C12" s="27" t="s">
        <v>63</v>
      </c>
      <c r="D12" t="s">
        <v>480</v>
      </c>
      <c r="E12" s="9">
        <v>91.4</v>
      </c>
      <c r="F12" s="9" t="s">
        <v>469</v>
      </c>
      <c r="G12">
        <v>1</v>
      </c>
    </row>
    <row r="13" spans="1:7">
      <c r="A13" s="41" t="s">
        <v>460</v>
      </c>
      <c r="B13" s="27" t="s">
        <v>461</v>
      </c>
      <c r="C13" s="27" t="s">
        <v>63</v>
      </c>
      <c r="D13" t="s">
        <v>481</v>
      </c>
      <c r="E13" s="9">
        <v>93</v>
      </c>
      <c r="F13" s="9"/>
      <c r="G13">
        <v>1</v>
      </c>
    </row>
    <row r="14" spans="1:7">
      <c r="A14" s="41" t="s">
        <v>460</v>
      </c>
      <c r="B14" s="27" t="s">
        <v>464</v>
      </c>
      <c r="C14" s="27" t="s">
        <v>68</v>
      </c>
      <c r="D14" t="s">
        <v>482</v>
      </c>
      <c r="E14" s="9">
        <v>98.2</v>
      </c>
      <c r="F14" s="9" t="s">
        <v>469</v>
      </c>
      <c r="G14">
        <v>1</v>
      </c>
    </row>
    <row r="15" spans="1:7">
      <c r="A15" s="41" t="s">
        <v>460</v>
      </c>
      <c r="B15" s="27" t="s">
        <v>461</v>
      </c>
      <c r="C15" s="27" t="s">
        <v>68</v>
      </c>
      <c r="D15" t="s">
        <v>483</v>
      </c>
      <c r="E15" s="9">
        <v>98.5</v>
      </c>
      <c r="F15" s="9"/>
      <c r="G15">
        <v>1</v>
      </c>
    </row>
    <row r="16" spans="1:7">
      <c r="A16" s="41" t="s">
        <v>16</v>
      </c>
      <c r="B16" s="27" t="s">
        <v>461</v>
      </c>
      <c r="C16" t="s">
        <v>462</v>
      </c>
      <c r="D16" t="s">
        <v>463</v>
      </c>
      <c r="E16" s="9">
        <v>85</v>
      </c>
      <c r="F16" s="9"/>
      <c r="G16">
        <v>2</v>
      </c>
    </row>
    <row r="17" spans="1:7">
      <c r="A17" s="41" t="s">
        <v>16</v>
      </c>
      <c r="B17" s="27" t="s">
        <v>464</v>
      </c>
      <c r="C17" t="s">
        <v>462</v>
      </c>
      <c r="D17" t="s">
        <v>465</v>
      </c>
      <c r="E17" s="9">
        <v>95</v>
      </c>
      <c r="F17" s="9" t="s">
        <v>479</v>
      </c>
      <c r="G17">
        <v>2</v>
      </c>
    </row>
    <row r="18" spans="1:7">
      <c r="A18" s="41" t="s">
        <v>16</v>
      </c>
      <c r="B18" s="27" t="s">
        <v>461</v>
      </c>
      <c r="C18" t="s">
        <v>466</v>
      </c>
      <c r="D18" t="s">
        <v>467</v>
      </c>
      <c r="E18" s="9">
        <v>99</v>
      </c>
      <c r="F18" s="9"/>
      <c r="G18">
        <v>2</v>
      </c>
    </row>
    <row r="19" spans="1:7">
      <c r="A19" s="41" t="s">
        <v>16</v>
      </c>
      <c r="B19" s="27" t="s">
        <v>464</v>
      </c>
      <c r="C19" t="s">
        <v>466</v>
      </c>
      <c r="D19" t="s">
        <v>468</v>
      </c>
      <c r="E19" s="9">
        <v>98.2</v>
      </c>
      <c r="F19" s="9" t="s">
        <v>469</v>
      </c>
      <c r="G19">
        <v>2</v>
      </c>
    </row>
    <row r="20" spans="1:7">
      <c r="A20" s="41" t="s">
        <v>16</v>
      </c>
      <c r="B20" s="27" t="s">
        <v>461</v>
      </c>
      <c r="C20" t="s">
        <v>470</v>
      </c>
      <c r="D20" t="s">
        <v>471</v>
      </c>
      <c r="E20" s="9">
        <v>99.9</v>
      </c>
      <c r="F20" s="9"/>
      <c r="G20">
        <v>2</v>
      </c>
    </row>
    <row r="21" spans="1:7">
      <c r="A21" s="41" t="s">
        <v>16</v>
      </c>
      <c r="B21" s="27" t="s">
        <v>464</v>
      </c>
      <c r="C21" t="s">
        <v>470</v>
      </c>
      <c r="D21" t="s">
        <v>472</v>
      </c>
      <c r="E21" s="9">
        <v>99.9</v>
      </c>
      <c r="F21" s="9" t="s">
        <v>479</v>
      </c>
      <c r="G21">
        <v>2</v>
      </c>
    </row>
    <row r="22" spans="1:7">
      <c r="A22" s="41" t="s">
        <v>16</v>
      </c>
      <c r="B22" s="27" t="s">
        <v>461</v>
      </c>
      <c r="C22" t="s">
        <v>473</v>
      </c>
      <c r="D22" t="s">
        <v>474</v>
      </c>
      <c r="E22" s="9">
        <v>99.9</v>
      </c>
      <c r="F22" s="9"/>
      <c r="G22">
        <v>2</v>
      </c>
    </row>
    <row r="23" spans="1:7">
      <c r="A23" s="41" t="s">
        <v>16</v>
      </c>
      <c r="B23" s="27" t="s">
        <v>464</v>
      </c>
      <c r="C23" t="s">
        <v>473</v>
      </c>
      <c r="D23" t="s">
        <v>475</v>
      </c>
      <c r="E23" s="9">
        <v>99.83</v>
      </c>
      <c r="F23" s="9" t="s">
        <v>469</v>
      </c>
      <c r="G23">
        <v>2</v>
      </c>
    </row>
    <row r="24" spans="1:7">
      <c r="A24" s="41" t="s">
        <v>16</v>
      </c>
      <c r="B24" s="27" t="s">
        <v>461</v>
      </c>
      <c r="C24" t="s">
        <v>476</v>
      </c>
      <c r="D24" t="s">
        <v>477</v>
      </c>
      <c r="E24" s="9">
        <v>99.5</v>
      </c>
      <c r="F24" s="9"/>
      <c r="G24">
        <v>2</v>
      </c>
    </row>
    <row r="25" spans="1:7">
      <c r="A25" s="41" t="s">
        <v>16</v>
      </c>
      <c r="B25" s="27" t="s">
        <v>464</v>
      </c>
      <c r="C25" t="s">
        <v>476</v>
      </c>
      <c r="D25" t="s">
        <v>478</v>
      </c>
      <c r="E25" s="9">
        <v>99.7</v>
      </c>
      <c r="F25" s="9" t="s">
        <v>479</v>
      </c>
      <c r="G25">
        <v>2</v>
      </c>
    </row>
    <row r="26" spans="1:7">
      <c r="A26" s="41" t="s">
        <v>16</v>
      </c>
      <c r="B26" t="s">
        <v>464</v>
      </c>
      <c r="C26" s="27" t="s">
        <v>63</v>
      </c>
      <c r="D26" t="s">
        <v>480</v>
      </c>
      <c r="E26" s="9">
        <v>92.7</v>
      </c>
      <c r="F26" s="9" t="s">
        <v>469</v>
      </c>
      <c r="G26">
        <v>2</v>
      </c>
    </row>
    <row r="27" spans="1:7">
      <c r="A27" s="41" t="s">
        <v>16</v>
      </c>
      <c r="B27" s="27" t="s">
        <v>461</v>
      </c>
      <c r="C27" s="27" t="s">
        <v>63</v>
      </c>
      <c r="D27" t="s">
        <v>481</v>
      </c>
      <c r="E27" s="9">
        <v>93</v>
      </c>
      <c r="F27" s="9"/>
      <c r="G27">
        <v>2</v>
      </c>
    </row>
    <row r="28" spans="1:7">
      <c r="A28" s="41" t="s">
        <v>16</v>
      </c>
      <c r="B28" s="27" t="s">
        <v>464</v>
      </c>
      <c r="C28" s="27" t="s">
        <v>68</v>
      </c>
      <c r="D28" t="s">
        <v>482</v>
      </c>
      <c r="E28" s="9">
        <v>98.7</v>
      </c>
      <c r="F28" s="9" t="s">
        <v>479</v>
      </c>
      <c r="G28">
        <v>2</v>
      </c>
    </row>
    <row r="29" spans="1:7">
      <c r="A29" s="41" t="s">
        <v>16</v>
      </c>
      <c r="B29" s="27" t="s">
        <v>461</v>
      </c>
      <c r="C29" s="27" t="s">
        <v>68</v>
      </c>
      <c r="D29" t="s">
        <v>483</v>
      </c>
      <c r="E29" s="9">
        <v>98.5</v>
      </c>
      <c r="F29" s="9"/>
      <c r="G29">
        <v>2</v>
      </c>
    </row>
    <row r="30" spans="1:7">
      <c r="A30" s="41" t="s">
        <v>21</v>
      </c>
      <c r="B30" s="27" t="s">
        <v>461</v>
      </c>
      <c r="C30" t="s">
        <v>462</v>
      </c>
      <c r="D30" t="s">
        <v>463</v>
      </c>
      <c r="E30" s="9">
        <v>85</v>
      </c>
      <c r="F30" s="9"/>
      <c r="G30">
        <v>3</v>
      </c>
    </row>
    <row r="31" spans="1:7">
      <c r="A31" s="41" t="s">
        <v>21</v>
      </c>
      <c r="B31" s="27" t="s">
        <v>464</v>
      </c>
      <c r="C31" t="s">
        <v>462</v>
      </c>
      <c r="D31" t="s">
        <v>465</v>
      </c>
      <c r="E31" s="9">
        <v>92</v>
      </c>
      <c r="F31" s="9" t="s">
        <v>479</v>
      </c>
      <c r="G31">
        <v>3</v>
      </c>
    </row>
    <row r="32" spans="1:7">
      <c r="A32" s="41" t="s">
        <v>21</v>
      </c>
      <c r="B32" s="27" t="s">
        <v>461</v>
      </c>
      <c r="C32" t="s">
        <v>466</v>
      </c>
      <c r="D32" t="s">
        <v>467</v>
      </c>
      <c r="E32" s="9">
        <v>99</v>
      </c>
      <c r="F32" s="9"/>
      <c r="G32">
        <v>3</v>
      </c>
    </row>
    <row r="33" spans="1:7">
      <c r="A33" s="41" t="s">
        <v>21</v>
      </c>
      <c r="B33" s="27" t="s">
        <v>464</v>
      </c>
      <c r="C33" t="s">
        <v>466</v>
      </c>
      <c r="D33" t="s">
        <v>468</v>
      </c>
      <c r="E33" s="9">
        <v>98.2</v>
      </c>
      <c r="F33" s="9" t="s">
        <v>469</v>
      </c>
      <c r="G33">
        <v>3</v>
      </c>
    </row>
    <row r="34" spans="1:7">
      <c r="A34" s="41" t="s">
        <v>21</v>
      </c>
      <c r="B34" s="27" t="s">
        <v>461</v>
      </c>
      <c r="C34" t="s">
        <v>470</v>
      </c>
      <c r="D34" t="s">
        <v>471</v>
      </c>
      <c r="E34" s="9">
        <v>99.9</v>
      </c>
      <c r="F34" s="9"/>
      <c r="G34">
        <v>3</v>
      </c>
    </row>
    <row r="35" spans="1:7">
      <c r="A35" s="41" t="s">
        <v>21</v>
      </c>
      <c r="B35" s="27" t="s">
        <v>464</v>
      </c>
      <c r="C35" t="s">
        <v>470</v>
      </c>
      <c r="D35" t="s">
        <v>472</v>
      </c>
      <c r="E35" s="9">
        <v>99.57</v>
      </c>
      <c r="F35" s="9" t="s">
        <v>469</v>
      </c>
      <c r="G35">
        <v>3</v>
      </c>
    </row>
    <row r="36" spans="1:7">
      <c r="A36" s="41" t="s">
        <v>21</v>
      </c>
      <c r="B36" s="27" t="s">
        <v>461</v>
      </c>
      <c r="C36" t="s">
        <v>473</v>
      </c>
      <c r="D36" t="s">
        <v>474</v>
      </c>
      <c r="E36" s="9">
        <v>99.9</v>
      </c>
      <c r="F36" s="9"/>
      <c r="G36">
        <v>3</v>
      </c>
    </row>
    <row r="37" spans="1:7">
      <c r="A37" s="41" t="s">
        <v>21</v>
      </c>
      <c r="B37" s="27" t="s">
        <v>464</v>
      </c>
      <c r="C37" t="s">
        <v>473</v>
      </c>
      <c r="D37" t="s">
        <v>475</v>
      </c>
      <c r="E37" s="9">
        <v>99.28</v>
      </c>
      <c r="F37" s="9" t="s">
        <v>469</v>
      </c>
      <c r="G37">
        <v>3</v>
      </c>
    </row>
    <row r="38" spans="1:7">
      <c r="A38" s="41" t="s">
        <v>21</v>
      </c>
      <c r="B38" s="27" t="s">
        <v>461</v>
      </c>
      <c r="C38" t="s">
        <v>476</v>
      </c>
      <c r="D38" t="s">
        <v>477</v>
      </c>
      <c r="E38" s="9">
        <v>99.5</v>
      </c>
      <c r="F38" s="9"/>
      <c r="G38">
        <v>3</v>
      </c>
    </row>
    <row r="39" spans="1:7">
      <c r="A39" s="41" t="s">
        <v>21</v>
      </c>
      <c r="B39" s="27" t="s">
        <v>464</v>
      </c>
      <c r="C39" t="s">
        <v>476</v>
      </c>
      <c r="D39" t="s">
        <v>478</v>
      </c>
      <c r="E39" s="9">
        <v>99.73</v>
      </c>
      <c r="F39" s="9" t="s">
        <v>479</v>
      </c>
      <c r="G39">
        <v>3</v>
      </c>
    </row>
    <row r="40" spans="1:7">
      <c r="A40" s="41" t="s">
        <v>21</v>
      </c>
      <c r="B40" t="s">
        <v>464</v>
      </c>
      <c r="C40" s="27" t="s">
        <v>63</v>
      </c>
      <c r="D40" t="s">
        <v>480</v>
      </c>
      <c r="E40" s="9">
        <v>91.7</v>
      </c>
      <c r="F40" s="9" t="s">
        <v>469</v>
      </c>
      <c r="G40">
        <v>3</v>
      </c>
    </row>
    <row r="41" spans="1:7">
      <c r="A41" s="41" t="s">
        <v>21</v>
      </c>
      <c r="B41" s="27" t="s">
        <v>461</v>
      </c>
      <c r="C41" s="27" t="s">
        <v>63</v>
      </c>
      <c r="D41" t="s">
        <v>481</v>
      </c>
      <c r="E41" s="9">
        <v>93</v>
      </c>
      <c r="F41" s="9"/>
      <c r="G41">
        <v>3</v>
      </c>
    </row>
    <row r="42" spans="1:7">
      <c r="A42" s="41" t="s">
        <v>21</v>
      </c>
      <c r="B42" s="27" t="s">
        <v>464</v>
      </c>
      <c r="C42" s="27" t="s">
        <v>68</v>
      </c>
      <c r="D42" t="s">
        <v>482</v>
      </c>
      <c r="E42" s="9">
        <v>98.5</v>
      </c>
      <c r="F42" s="9" t="s">
        <v>479</v>
      </c>
      <c r="G42">
        <v>3</v>
      </c>
    </row>
    <row r="43" spans="1:7">
      <c r="A43" s="41" t="s">
        <v>21</v>
      </c>
      <c r="B43" s="27" t="s">
        <v>461</v>
      </c>
      <c r="C43" s="27" t="s">
        <v>68</v>
      </c>
      <c r="D43" t="s">
        <v>483</v>
      </c>
      <c r="E43" s="9">
        <v>98.5</v>
      </c>
      <c r="F43" s="9"/>
      <c r="G43">
        <v>3</v>
      </c>
    </row>
    <row r="44" spans="1:7">
      <c r="A44" s="41" t="s">
        <v>22</v>
      </c>
      <c r="B44" s="27" t="s">
        <v>461</v>
      </c>
      <c r="C44" t="s">
        <v>462</v>
      </c>
      <c r="D44" t="s">
        <v>463</v>
      </c>
      <c r="E44" s="9">
        <v>85</v>
      </c>
      <c r="F44" s="9"/>
      <c r="G44">
        <v>4</v>
      </c>
    </row>
    <row r="45" spans="1:7">
      <c r="A45" s="41" t="s">
        <v>22</v>
      </c>
      <c r="B45" s="27" t="s">
        <v>464</v>
      </c>
      <c r="C45" t="s">
        <v>462</v>
      </c>
      <c r="D45" t="s">
        <v>465</v>
      </c>
      <c r="E45" s="9">
        <v>90</v>
      </c>
      <c r="F45" s="9" t="s">
        <v>479</v>
      </c>
      <c r="G45">
        <v>4</v>
      </c>
    </row>
    <row r="46" spans="1:7">
      <c r="A46" s="41" t="s">
        <v>22</v>
      </c>
      <c r="B46" s="27" t="s">
        <v>461</v>
      </c>
      <c r="C46" t="s">
        <v>466</v>
      </c>
      <c r="D46" t="s">
        <v>467</v>
      </c>
      <c r="E46" s="9">
        <v>99</v>
      </c>
      <c r="F46" s="9"/>
      <c r="G46">
        <v>4</v>
      </c>
    </row>
    <row r="47" spans="1:7">
      <c r="A47" s="41" t="s">
        <v>22</v>
      </c>
      <c r="B47" s="27" t="s">
        <v>464</v>
      </c>
      <c r="C47" t="s">
        <v>466</v>
      </c>
      <c r="D47" t="s">
        <v>468</v>
      </c>
      <c r="E47" s="9">
        <v>98.6</v>
      </c>
      <c r="F47" s="9" t="s">
        <v>469</v>
      </c>
      <c r="G47">
        <v>4</v>
      </c>
    </row>
    <row r="48" spans="1:7">
      <c r="A48" s="41" t="s">
        <v>22</v>
      </c>
      <c r="B48" s="27" t="s">
        <v>461</v>
      </c>
      <c r="C48" t="s">
        <v>470</v>
      </c>
      <c r="D48" t="s">
        <v>471</v>
      </c>
      <c r="E48" s="9">
        <v>99.9</v>
      </c>
      <c r="F48" s="9"/>
      <c r="G48">
        <v>4</v>
      </c>
    </row>
    <row r="49" spans="1:7">
      <c r="A49" s="41" t="s">
        <v>22</v>
      </c>
      <c r="B49" s="27" t="s">
        <v>464</v>
      </c>
      <c r="C49" t="s">
        <v>470</v>
      </c>
      <c r="D49" t="s">
        <v>472</v>
      </c>
      <c r="E49" s="9">
        <v>99.91</v>
      </c>
      <c r="F49" s="9" t="s">
        <v>479</v>
      </c>
      <c r="G49">
        <v>4</v>
      </c>
    </row>
    <row r="50" spans="1:7">
      <c r="A50" s="41" t="s">
        <v>22</v>
      </c>
      <c r="B50" s="27" t="s">
        <v>461</v>
      </c>
      <c r="C50" t="s">
        <v>473</v>
      </c>
      <c r="D50" t="s">
        <v>474</v>
      </c>
      <c r="E50" s="9">
        <v>99.9</v>
      </c>
      <c r="F50" s="9"/>
      <c r="G50">
        <v>4</v>
      </c>
    </row>
    <row r="51" spans="1:7">
      <c r="A51" s="41" t="s">
        <v>22</v>
      </c>
      <c r="B51" s="27" t="s">
        <v>464</v>
      </c>
      <c r="C51" t="s">
        <v>473</v>
      </c>
      <c r="D51" t="s">
        <v>475</v>
      </c>
      <c r="E51" s="9">
        <v>99.82</v>
      </c>
      <c r="F51" s="9" t="s">
        <v>469</v>
      </c>
      <c r="G51">
        <v>4</v>
      </c>
    </row>
    <row r="52" spans="1:7">
      <c r="A52" s="41" t="s">
        <v>22</v>
      </c>
      <c r="B52" s="27" t="s">
        <v>461</v>
      </c>
      <c r="C52" t="s">
        <v>476</v>
      </c>
      <c r="D52" t="s">
        <v>477</v>
      </c>
      <c r="E52" s="9">
        <v>99.5</v>
      </c>
      <c r="F52" s="9"/>
      <c r="G52">
        <v>4</v>
      </c>
    </row>
    <row r="53" spans="1:7">
      <c r="A53" s="41" t="s">
        <v>22</v>
      </c>
      <c r="B53" s="27" t="s">
        <v>464</v>
      </c>
      <c r="C53" t="s">
        <v>476</v>
      </c>
      <c r="D53" t="s">
        <v>478</v>
      </c>
      <c r="E53" s="9">
        <v>99.76</v>
      </c>
      <c r="F53" s="9" t="s">
        <v>479</v>
      </c>
      <c r="G53">
        <v>4</v>
      </c>
    </row>
    <row r="54" spans="1:7">
      <c r="A54" s="41" t="s">
        <v>22</v>
      </c>
      <c r="B54" t="s">
        <v>464</v>
      </c>
      <c r="C54" s="27" t="s">
        <v>63</v>
      </c>
      <c r="D54" t="s">
        <v>480</v>
      </c>
      <c r="E54" s="9">
        <v>93.2</v>
      </c>
      <c r="F54" s="9" t="s">
        <v>479</v>
      </c>
      <c r="G54">
        <v>4</v>
      </c>
    </row>
    <row r="55" spans="1:7">
      <c r="A55" s="41" t="s">
        <v>22</v>
      </c>
      <c r="B55" s="27" t="s">
        <v>461</v>
      </c>
      <c r="C55" s="27" t="s">
        <v>63</v>
      </c>
      <c r="D55" t="s">
        <v>481</v>
      </c>
      <c r="E55" s="9">
        <v>93</v>
      </c>
      <c r="F55" s="9"/>
      <c r="G55">
        <v>4</v>
      </c>
    </row>
    <row r="56" spans="1:7">
      <c r="A56" s="41" t="s">
        <v>22</v>
      </c>
      <c r="B56" s="27" t="s">
        <v>464</v>
      </c>
      <c r="C56" s="27" t="s">
        <v>68</v>
      </c>
      <c r="D56" t="s">
        <v>482</v>
      </c>
      <c r="E56" s="9">
        <v>98.9</v>
      </c>
      <c r="F56" s="9" t="s">
        <v>479</v>
      </c>
      <c r="G56">
        <v>4</v>
      </c>
    </row>
    <row r="57" spans="1:7">
      <c r="A57" s="41" t="s">
        <v>22</v>
      </c>
      <c r="B57" s="27" t="s">
        <v>461</v>
      </c>
      <c r="C57" s="27" t="s">
        <v>68</v>
      </c>
      <c r="D57" t="s">
        <v>483</v>
      </c>
      <c r="E57" s="9">
        <v>98.5</v>
      </c>
      <c r="F57" s="9"/>
      <c r="G57">
        <v>4</v>
      </c>
    </row>
    <row r="58" spans="1:7">
      <c r="A58" s="41" t="s">
        <v>23</v>
      </c>
      <c r="B58" s="27" t="s">
        <v>461</v>
      </c>
      <c r="C58" t="s">
        <v>462</v>
      </c>
      <c r="D58" t="s">
        <v>463</v>
      </c>
      <c r="E58" s="9">
        <v>85</v>
      </c>
      <c r="F58" s="9"/>
      <c r="G58">
        <v>5</v>
      </c>
    </row>
    <row r="59" spans="1:7">
      <c r="A59" s="41" t="s">
        <v>23</v>
      </c>
      <c r="B59" s="27" t="s">
        <v>464</v>
      </c>
      <c r="C59" t="s">
        <v>462</v>
      </c>
      <c r="D59" t="s">
        <v>465</v>
      </c>
      <c r="E59" s="9">
        <v>89</v>
      </c>
      <c r="F59" s="9" t="s">
        <v>479</v>
      </c>
      <c r="G59">
        <v>5</v>
      </c>
    </row>
    <row r="60" spans="1:7">
      <c r="A60" s="41" t="s">
        <v>23</v>
      </c>
      <c r="B60" s="27" t="s">
        <v>461</v>
      </c>
      <c r="C60" t="s">
        <v>466</v>
      </c>
      <c r="D60" t="s">
        <v>467</v>
      </c>
      <c r="E60" s="9">
        <v>99</v>
      </c>
      <c r="F60" s="9"/>
      <c r="G60">
        <v>5</v>
      </c>
    </row>
    <row r="61" spans="1:7">
      <c r="A61" s="41" t="s">
        <v>23</v>
      </c>
      <c r="B61" s="27" t="s">
        <v>464</v>
      </c>
      <c r="C61" t="s">
        <v>466</v>
      </c>
      <c r="D61" t="s">
        <v>468</v>
      </c>
      <c r="E61" s="9">
        <v>98.7</v>
      </c>
      <c r="F61" s="9" t="s">
        <v>469</v>
      </c>
      <c r="G61">
        <v>5</v>
      </c>
    </row>
    <row r="62" spans="1:7">
      <c r="A62" s="41" t="s">
        <v>23</v>
      </c>
      <c r="B62" s="27" t="s">
        <v>461</v>
      </c>
      <c r="C62" t="s">
        <v>470</v>
      </c>
      <c r="D62" t="s">
        <v>471</v>
      </c>
      <c r="E62" s="9">
        <v>99.9</v>
      </c>
      <c r="F62" s="9"/>
      <c r="G62">
        <v>5</v>
      </c>
    </row>
    <row r="63" spans="1:7">
      <c r="A63" s="41" t="s">
        <v>23</v>
      </c>
      <c r="B63" s="27" t="s">
        <v>464</v>
      </c>
      <c r="C63" t="s">
        <v>470</v>
      </c>
      <c r="D63" t="s">
        <v>472</v>
      </c>
      <c r="E63" s="9">
        <v>99.91</v>
      </c>
      <c r="F63" s="9" t="s">
        <v>479</v>
      </c>
      <c r="G63">
        <v>5</v>
      </c>
    </row>
    <row r="64" spans="1:7">
      <c r="A64" s="41" t="s">
        <v>23</v>
      </c>
      <c r="B64" s="27" t="s">
        <v>461</v>
      </c>
      <c r="C64" t="s">
        <v>473</v>
      </c>
      <c r="D64" t="s">
        <v>474</v>
      </c>
      <c r="E64" s="9">
        <v>99.9</v>
      </c>
      <c r="F64" s="9"/>
      <c r="G64">
        <v>5</v>
      </c>
    </row>
    <row r="65" spans="1:7">
      <c r="A65" s="41" t="s">
        <v>23</v>
      </c>
      <c r="B65" s="27" t="s">
        <v>464</v>
      </c>
      <c r="C65" t="s">
        <v>473</v>
      </c>
      <c r="D65" t="s">
        <v>475</v>
      </c>
      <c r="E65" s="9">
        <v>99.77</v>
      </c>
      <c r="F65" s="9" t="s">
        <v>469</v>
      </c>
      <c r="G65">
        <v>5</v>
      </c>
    </row>
    <row r="66" spans="1:7">
      <c r="A66" s="41" t="s">
        <v>23</v>
      </c>
      <c r="B66" s="27" t="s">
        <v>461</v>
      </c>
      <c r="C66" t="s">
        <v>476</v>
      </c>
      <c r="D66" t="s">
        <v>477</v>
      </c>
      <c r="E66" s="9">
        <v>99.5</v>
      </c>
      <c r="F66" s="9"/>
      <c r="G66">
        <v>5</v>
      </c>
    </row>
    <row r="67" spans="1:7">
      <c r="A67" s="41" t="s">
        <v>23</v>
      </c>
      <c r="B67" s="27" t="s">
        <v>464</v>
      </c>
      <c r="C67" t="s">
        <v>476</v>
      </c>
      <c r="D67" t="s">
        <v>478</v>
      </c>
      <c r="E67" s="9">
        <v>99.76</v>
      </c>
      <c r="F67" s="9" t="s">
        <v>479</v>
      </c>
      <c r="G67">
        <v>5</v>
      </c>
    </row>
    <row r="68" spans="1:7">
      <c r="A68" s="41" t="s">
        <v>23</v>
      </c>
      <c r="B68" t="s">
        <v>464</v>
      </c>
      <c r="C68" s="27" t="s">
        <v>63</v>
      </c>
      <c r="D68" t="s">
        <v>480</v>
      </c>
      <c r="E68" s="9">
        <v>93</v>
      </c>
      <c r="F68" s="9" t="s">
        <v>479</v>
      </c>
      <c r="G68">
        <v>5</v>
      </c>
    </row>
    <row r="69" spans="1:7">
      <c r="A69" s="41" t="s">
        <v>23</v>
      </c>
      <c r="B69" s="27" t="s">
        <v>461</v>
      </c>
      <c r="C69" s="27" t="s">
        <v>63</v>
      </c>
      <c r="D69" t="s">
        <v>481</v>
      </c>
      <c r="E69" s="9">
        <v>93</v>
      </c>
      <c r="F69" s="9"/>
      <c r="G69">
        <v>5</v>
      </c>
    </row>
    <row r="70" spans="1:7">
      <c r="A70" s="41" t="s">
        <v>23</v>
      </c>
      <c r="B70" s="27" t="s">
        <v>464</v>
      </c>
      <c r="C70" s="27" t="s">
        <v>68</v>
      </c>
      <c r="D70" t="s">
        <v>482</v>
      </c>
      <c r="E70" s="9">
        <v>98.9</v>
      </c>
      <c r="F70" s="9" t="s">
        <v>479</v>
      </c>
      <c r="G70">
        <v>5</v>
      </c>
    </row>
    <row r="71" spans="1:7">
      <c r="A71" s="41" t="s">
        <v>23</v>
      </c>
      <c r="B71" s="27" t="s">
        <v>461</v>
      </c>
      <c r="C71" s="27" t="s">
        <v>68</v>
      </c>
      <c r="D71" t="s">
        <v>483</v>
      </c>
      <c r="E71" s="9">
        <v>98.5</v>
      </c>
      <c r="F71" s="9"/>
      <c r="G71">
        <v>5</v>
      </c>
    </row>
    <row r="72" spans="1:7">
      <c r="A72" s="41" t="s">
        <v>24</v>
      </c>
      <c r="B72" s="27" t="s">
        <v>461</v>
      </c>
      <c r="C72" t="s">
        <v>462</v>
      </c>
      <c r="D72" t="s">
        <v>463</v>
      </c>
      <c r="E72" s="49">
        <v>85</v>
      </c>
      <c r="F72" s="49"/>
      <c r="G72">
        <v>6</v>
      </c>
    </row>
    <row r="73" spans="1:7">
      <c r="A73" s="41" t="s">
        <v>24</v>
      </c>
      <c r="B73" s="27" t="s">
        <v>464</v>
      </c>
      <c r="C73" t="s">
        <v>462</v>
      </c>
      <c r="D73" t="s">
        <v>465</v>
      </c>
      <c r="E73" s="49">
        <v>87.5</v>
      </c>
      <c r="F73" s="48" t="s">
        <v>479</v>
      </c>
      <c r="G73">
        <v>6</v>
      </c>
    </row>
    <row r="74" spans="1:7">
      <c r="A74" s="41" t="s">
        <v>24</v>
      </c>
      <c r="B74" s="27" t="s">
        <v>461</v>
      </c>
      <c r="C74" t="s">
        <v>466</v>
      </c>
      <c r="D74" t="s">
        <v>467</v>
      </c>
      <c r="E74" s="9">
        <v>99</v>
      </c>
      <c r="F74" s="9"/>
      <c r="G74">
        <v>6</v>
      </c>
    </row>
    <row r="75" spans="1:7">
      <c r="A75" s="41" t="s">
        <v>24</v>
      </c>
      <c r="B75" s="27" t="s">
        <v>464</v>
      </c>
      <c r="C75" t="s">
        <v>466</v>
      </c>
      <c r="D75" t="s">
        <v>468</v>
      </c>
      <c r="E75" s="49">
        <v>98.5</v>
      </c>
      <c r="F75" s="9" t="s">
        <v>469</v>
      </c>
      <c r="G75">
        <v>6</v>
      </c>
    </row>
    <row r="76" spans="1:7">
      <c r="A76" s="41" t="s">
        <v>24</v>
      </c>
      <c r="B76" s="27" t="s">
        <v>461</v>
      </c>
      <c r="C76" t="s">
        <v>470</v>
      </c>
      <c r="D76" t="s">
        <v>471</v>
      </c>
      <c r="E76" s="9">
        <v>99.9</v>
      </c>
      <c r="F76" s="9"/>
      <c r="G76">
        <v>6</v>
      </c>
    </row>
    <row r="77" spans="1:7">
      <c r="A77" s="41" t="s">
        <v>24</v>
      </c>
      <c r="B77" s="27" t="s">
        <v>464</v>
      </c>
      <c r="C77" t="s">
        <v>470</v>
      </c>
      <c r="D77" t="s">
        <v>472</v>
      </c>
      <c r="E77" s="9">
        <v>99.9</v>
      </c>
      <c r="F77" s="9" t="s">
        <v>479</v>
      </c>
      <c r="G77">
        <v>6</v>
      </c>
    </row>
    <row r="78" spans="1:7">
      <c r="A78" s="41" t="s">
        <v>24</v>
      </c>
      <c r="B78" s="27" t="s">
        <v>461</v>
      </c>
      <c r="C78" t="s">
        <v>473</v>
      </c>
      <c r="D78" t="s">
        <v>474</v>
      </c>
      <c r="E78" s="9">
        <v>99.9</v>
      </c>
      <c r="F78" s="9"/>
      <c r="G78">
        <v>6</v>
      </c>
    </row>
    <row r="79" spans="1:7" ht="15" customHeight="1">
      <c r="A79" s="41" t="s">
        <v>24</v>
      </c>
      <c r="B79" s="27" t="s">
        <v>464</v>
      </c>
      <c r="C79" t="s">
        <v>473</v>
      </c>
      <c r="D79" t="s">
        <v>475</v>
      </c>
      <c r="E79" s="9">
        <v>99.8</v>
      </c>
      <c r="F79" s="9" t="s">
        <v>469</v>
      </c>
      <c r="G79">
        <v>6</v>
      </c>
    </row>
    <row r="80" spans="1:7" ht="15" customHeight="1">
      <c r="A80" s="41" t="s">
        <v>24</v>
      </c>
      <c r="B80" s="27" t="s">
        <v>461</v>
      </c>
      <c r="C80" t="s">
        <v>476</v>
      </c>
      <c r="D80" t="s">
        <v>477</v>
      </c>
      <c r="E80" s="9">
        <v>99.5</v>
      </c>
      <c r="F80" s="9"/>
      <c r="G80">
        <v>6</v>
      </c>
    </row>
    <row r="81" spans="1:7" ht="15" customHeight="1">
      <c r="A81" s="41" t="s">
        <v>24</v>
      </c>
      <c r="B81" s="27" t="s">
        <v>464</v>
      </c>
      <c r="C81" t="s">
        <v>476</v>
      </c>
      <c r="D81" t="s">
        <v>478</v>
      </c>
      <c r="E81" s="9">
        <v>99.74</v>
      </c>
      <c r="F81" s="9" t="s">
        <v>479</v>
      </c>
      <c r="G81">
        <v>6</v>
      </c>
    </row>
    <row r="82" spans="1:7" ht="15" customHeight="1">
      <c r="A82" s="41" t="s">
        <v>24</v>
      </c>
      <c r="B82" t="s">
        <v>464</v>
      </c>
      <c r="C82" s="27" t="s">
        <v>63</v>
      </c>
      <c r="D82" t="s">
        <v>480</v>
      </c>
      <c r="E82" s="9">
        <v>92.5</v>
      </c>
      <c r="F82" s="9" t="s">
        <v>469</v>
      </c>
      <c r="G82">
        <v>6</v>
      </c>
    </row>
    <row r="83" spans="1:7">
      <c r="A83" s="41" t="s">
        <v>24</v>
      </c>
      <c r="B83" s="27" t="s">
        <v>461</v>
      </c>
      <c r="C83" s="27" t="s">
        <v>63</v>
      </c>
      <c r="D83" t="s">
        <v>481</v>
      </c>
      <c r="E83" s="9">
        <v>93</v>
      </c>
      <c r="F83" s="9"/>
      <c r="G83">
        <v>6</v>
      </c>
    </row>
    <row r="84" spans="1:7">
      <c r="A84" s="41" t="s">
        <v>24</v>
      </c>
      <c r="B84" s="27" t="s">
        <v>464</v>
      </c>
      <c r="C84" s="27" t="s">
        <v>68</v>
      </c>
      <c r="D84" t="s">
        <v>482</v>
      </c>
      <c r="E84" s="9">
        <v>98.8</v>
      </c>
      <c r="F84" s="9" t="s">
        <v>479</v>
      </c>
      <c r="G84">
        <v>6</v>
      </c>
    </row>
    <row r="85" spans="1:7">
      <c r="A85" s="41" t="s">
        <v>24</v>
      </c>
      <c r="B85" s="27" t="s">
        <v>461</v>
      </c>
      <c r="C85" s="27" t="s">
        <v>68</v>
      </c>
      <c r="D85" t="s">
        <v>483</v>
      </c>
      <c r="E85" s="9">
        <v>98.5</v>
      </c>
      <c r="F85" s="9"/>
      <c r="G85">
        <v>6</v>
      </c>
    </row>
    <row r="86" spans="1:7">
      <c r="A86" s="41" t="s">
        <v>25</v>
      </c>
      <c r="B86" s="27" t="s">
        <v>461</v>
      </c>
      <c r="C86" t="s">
        <v>462</v>
      </c>
      <c r="D86" t="s">
        <v>463</v>
      </c>
      <c r="E86" s="49">
        <v>85</v>
      </c>
      <c r="F86" s="49"/>
      <c r="G86">
        <v>7</v>
      </c>
    </row>
    <row r="87" spans="1:7">
      <c r="A87" s="41" t="s">
        <v>25</v>
      </c>
      <c r="B87" s="27" t="s">
        <v>464</v>
      </c>
      <c r="C87" t="s">
        <v>462</v>
      </c>
      <c r="D87" t="s">
        <v>465</v>
      </c>
      <c r="E87" s="49">
        <v>86.1</v>
      </c>
      <c r="F87" s="48" t="s">
        <v>479</v>
      </c>
      <c r="G87">
        <v>7</v>
      </c>
    </row>
    <row r="88" spans="1:7">
      <c r="A88" s="41" t="s">
        <v>25</v>
      </c>
      <c r="B88" s="27" t="s">
        <v>461</v>
      </c>
      <c r="C88" t="s">
        <v>466</v>
      </c>
      <c r="D88" t="s">
        <v>467</v>
      </c>
      <c r="E88" s="9">
        <v>99</v>
      </c>
      <c r="F88" s="9"/>
      <c r="G88">
        <v>7</v>
      </c>
    </row>
    <row r="89" spans="1:7">
      <c r="A89" s="41" t="s">
        <v>25</v>
      </c>
      <c r="B89" s="27" t="s">
        <v>464</v>
      </c>
      <c r="C89" t="s">
        <v>466</v>
      </c>
      <c r="D89" t="s">
        <v>468</v>
      </c>
      <c r="E89" s="49">
        <v>98.5</v>
      </c>
      <c r="F89" s="9" t="s">
        <v>469</v>
      </c>
      <c r="G89">
        <v>7</v>
      </c>
    </row>
    <row r="90" spans="1:7">
      <c r="A90" s="41" t="s">
        <v>25</v>
      </c>
      <c r="B90" s="27" t="s">
        <v>461</v>
      </c>
      <c r="C90" t="s">
        <v>470</v>
      </c>
      <c r="D90" t="s">
        <v>471</v>
      </c>
      <c r="E90" s="9">
        <v>99.9</v>
      </c>
      <c r="F90" s="9"/>
      <c r="G90">
        <v>7</v>
      </c>
    </row>
    <row r="91" spans="1:7">
      <c r="A91" s="41" t="s">
        <v>25</v>
      </c>
      <c r="B91" s="27" t="s">
        <v>464</v>
      </c>
      <c r="C91" t="s">
        <v>470</v>
      </c>
      <c r="D91" t="s">
        <v>472</v>
      </c>
      <c r="E91" s="9">
        <v>99.9</v>
      </c>
      <c r="F91" s="9" t="s">
        <v>479</v>
      </c>
      <c r="G91">
        <v>7</v>
      </c>
    </row>
    <row r="92" spans="1:7">
      <c r="A92" s="41" t="s">
        <v>25</v>
      </c>
      <c r="B92" s="27" t="s">
        <v>461</v>
      </c>
      <c r="C92" t="s">
        <v>473</v>
      </c>
      <c r="D92" t="s">
        <v>474</v>
      </c>
      <c r="E92" s="9">
        <v>99.9</v>
      </c>
      <c r="F92" s="9"/>
      <c r="G92">
        <v>7</v>
      </c>
    </row>
    <row r="93" spans="1:7">
      <c r="A93" s="41" t="s">
        <v>25</v>
      </c>
      <c r="B93" s="27" t="s">
        <v>464</v>
      </c>
      <c r="C93" t="s">
        <v>473</v>
      </c>
      <c r="D93" t="s">
        <v>475</v>
      </c>
      <c r="E93" s="9">
        <v>99.8</v>
      </c>
      <c r="F93" s="9" t="s">
        <v>469</v>
      </c>
      <c r="G93">
        <v>7</v>
      </c>
    </row>
    <row r="94" spans="1:7">
      <c r="A94" s="41" t="s">
        <v>25</v>
      </c>
      <c r="B94" s="27" t="s">
        <v>461</v>
      </c>
      <c r="C94" t="s">
        <v>476</v>
      </c>
      <c r="D94" t="s">
        <v>477</v>
      </c>
      <c r="E94" s="9">
        <v>99.5</v>
      </c>
      <c r="F94" s="9"/>
      <c r="G94">
        <v>7</v>
      </c>
    </row>
    <row r="95" spans="1:7">
      <c r="A95" s="41" t="s">
        <v>25</v>
      </c>
      <c r="B95" s="27" t="s">
        <v>464</v>
      </c>
      <c r="C95" t="s">
        <v>476</v>
      </c>
      <c r="D95" t="s">
        <v>478</v>
      </c>
      <c r="E95" s="9">
        <v>99.76</v>
      </c>
      <c r="F95" s="9" t="s">
        <v>479</v>
      </c>
      <c r="G95">
        <v>7</v>
      </c>
    </row>
    <row r="96" spans="1:7">
      <c r="A96" s="41" t="s">
        <v>25</v>
      </c>
      <c r="B96" t="s">
        <v>464</v>
      </c>
      <c r="C96" s="27" t="s">
        <v>63</v>
      </c>
      <c r="D96" t="s">
        <v>480</v>
      </c>
      <c r="E96" s="9">
        <v>93.1</v>
      </c>
      <c r="F96" s="9" t="s">
        <v>479</v>
      </c>
      <c r="G96">
        <v>7</v>
      </c>
    </row>
    <row r="97" spans="1:7">
      <c r="A97" s="41" t="s">
        <v>25</v>
      </c>
      <c r="B97" s="27" t="s">
        <v>461</v>
      </c>
      <c r="C97" s="27" t="s">
        <v>63</v>
      </c>
      <c r="D97" t="s">
        <v>481</v>
      </c>
      <c r="E97" s="9">
        <v>93</v>
      </c>
      <c r="F97" s="9"/>
      <c r="G97">
        <v>7</v>
      </c>
    </row>
    <row r="98" spans="1:7">
      <c r="A98" s="41" t="s">
        <v>25</v>
      </c>
      <c r="B98" s="27" t="s">
        <v>464</v>
      </c>
      <c r="C98" s="27" t="s">
        <v>68</v>
      </c>
      <c r="D98" t="s">
        <v>482</v>
      </c>
      <c r="E98" s="9">
        <v>98.9</v>
      </c>
      <c r="F98" s="9" t="s">
        <v>479</v>
      </c>
      <c r="G98">
        <v>7</v>
      </c>
    </row>
    <row r="99" spans="1:7">
      <c r="A99" s="41" t="s">
        <v>25</v>
      </c>
      <c r="B99" s="27" t="s">
        <v>461</v>
      </c>
      <c r="C99" s="27" t="s">
        <v>68</v>
      </c>
      <c r="D99" t="s">
        <v>483</v>
      </c>
      <c r="E99" s="9">
        <v>98.5</v>
      </c>
      <c r="F99" s="9"/>
      <c r="G99">
        <v>7</v>
      </c>
    </row>
    <row r="100" spans="1:7">
      <c r="A100" s="47" t="s">
        <v>26</v>
      </c>
      <c r="B100" s="27" t="s">
        <v>461</v>
      </c>
      <c r="C100" s="27" t="s">
        <v>462</v>
      </c>
      <c r="D100" t="s">
        <v>463</v>
      </c>
      <c r="E100" s="49">
        <v>85</v>
      </c>
      <c r="F100" s="49"/>
      <c r="G100">
        <v>8</v>
      </c>
    </row>
    <row r="101" spans="1:7">
      <c r="A101" s="47" t="s">
        <v>26</v>
      </c>
      <c r="B101" s="27" t="s">
        <v>464</v>
      </c>
      <c r="C101" s="27" t="s">
        <v>462</v>
      </c>
      <c r="D101" t="s">
        <v>465</v>
      </c>
      <c r="E101" s="49">
        <v>85.2</v>
      </c>
      <c r="F101" s="48" t="s">
        <v>479</v>
      </c>
      <c r="G101">
        <v>8</v>
      </c>
    </row>
    <row r="102" spans="1:7">
      <c r="A102" s="47" t="s">
        <v>26</v>
      </c>
      <c r="B102" s="27" t="s">
        <v>461</v>
      </c>
      <c r="C102" s="27" t="s">
        <v>466</v>
      </c>
      <c r="D102" t="s">
        <v>467</v>
      </c>
      <c r="E102" s="9">
        <v>99</v>
      </c>
      <c r="F102" s="9"/>
      <c r="G102">
        <v>8</v>
      </c>
    </row>
    <row r="103" spans="1:7">
      <c r="A103" s="47" t="s">
        <v>26</v>
      </c>
      <c r="B103" s="27" t="s">
        <v>464</v>
      </c>
      <c r="C103" s="27" t="s">
        <v>466</v>
      </c>
      <c r="D103" t="s">
        <v>468</v>
      </c>
      <c r="E103" s="49">
        <v>98.1</v>
      </c>
      <c r="F103" s="9" t="s">
        <v>469</v>
      </c>
      <c r="G103">
        <v>8</v>
      </c>
    </row>
    <row r="104" spans="1:7">
      <c r="A104" s="47" t="s">
        <v>26</v>
      </c>
      <c r="B104" s="27" t="s">
        <v>461</v>
      </c>
      <c r="C104" s="27" t="s">
        <v>470</v>
      </c>
      <c r="D104" t="s">
        <v>471</v>
      </c>
      <c r="E104" s="9">
        <v>99.9</v>
      </c>
      <c r="F104" s="9"/>
      <c r="G104">
        <v>8</v>
      </c>
    </row>
    <row r="105" spans="1:7">
      <c r="A105" s="47" t="s">
        <v>26</v>
      </c>
      <c r="B105" s="27" t="s">
        <v>464</v>
      </c>
      <c r="C105" s="27" t="s">
        <v>470</v>
      </c>
      <c r="D105" t="s">
        <v>472</v>
      </c>
      <c r="E105" s="9">
        <v>99.4</v>
      </c>
      <c r="F105" s="9" t="s">
        <v>469</v>
      </c>
      <c r="G105">
        <v>8</v>
      </c>
    </row>
    <row r="106" spans="1:7">
      <c r="A106" s="47" t="s">
        <v>26</v>
      </c>
      <c r="B106" s="27" t="s">
        <v>461</v>
      </c>
      <c r="C106" s="27" t="s">
        <v>473</v>
      </c>
      <c r="D106" t="s">
        <v>474</v>
      </c>
      <c r="E106" s="9">
        <v>99.9</v>
      </c>
      <c r="F106" s="9"/>
      <c r="G106">
        <v>8</v>
      </c>
    </row>
    <row r="107" spans="1:7">
      <c r="A107" s="47" t="s">
        <v>26</v>
      </c>
      <c r="B107" s="27" t="s">
        <v>464</v>
      </c>
      <c r="C107" s="27" t="s">
        <v>473</v>
      </c>
      <c r="D107" t="s">
        <v>475</v>
      </c>
      <c r="E107" s="9">
        <v>99.9</v>
      </c>
      <c r="F107" s="9" t="s">
        <v>479</v>
      </c>
      <c r="G107">
        <v>8</v>
      </c>
    </row>
    <row r="108" spans="1:7">
      <c r="A108" s="47" t="s">
        <v>26</v>
      </c>
      <c r="B108" s="27" t="s">
        <v>461</v>
      </c>
      <c r="C108" s="27" t="s">
        <v>476</v>
      </c>
      <c r="D108" t="s">
        <v>477</v>
      </c>
      <c r="E108" s="9">
        <v>99.5</v>
      </c>
      <c r="F108" s="9"/>
      <c r="G108">
        <v>8</v>
      </c>
    </row>
    <row r="109" spans="1:7">
      <c r="A109" s="47" t="s">
        <v>26</v>
      </c>
      <c r="B109" s="27" t="s">
        <v>464</v>
      </c>
      <c r="C109" s="27" t="s">
        <v>476</v>
      </c>
      <c r="D109" t="s">
        <v>478</v>
      </c>
      <c r="E109" s="9">
        <v>99.7</v>
      </c>
      <c r="F109" s="9" t="s">
        <v>479</v>
      </c>
      <c r="G109">
        <v>8</v>
      </c>
    </row>
    <row r="110" spans="1:7">
      <c r="A110" s="47" t="s">
        <v>26</v>
      </c>
      <c r="B110" s="27" t="s">
        <v>464</v>
      </c>
      <c r="C110" s="27" t="s">
        <v>63</v>
      </c>
      <c r="D110" t="s">
        <v>480</v>
      </c>
      <c r="E110" s="9">
        <v>91.6</v>
      </c>
      <c r="F110" s="9" t="s">
        <v>469</v>
      </c>
      <c r="G110">
        <v>8</v>
      </c>
    </row>
    <row r="111" spans="1:7">
      <c r="A111" s="47" t="s">
        <v>26</v>
      </c>
      <c r="B111" s="27" t="s">
        <v>461</v>
      </c>
      <c r="C111" s="27" t="s">
        <v>63</v>
      </c>
      <c r="D111" t="s">
        <v>481</v>
      </c>
      <c r="E111" s="9">
        <v>93</v>
      </c>
      <c r="F111" s="9"/>
      <c r="G111">
        <v>8</v>
      </c>
    </row>
    <row r="112" spans="1:7">
      <c r="A112" s="47" t="s">
        <v>26</v>
      </c>
      <c r="B112" s="27" t="s">
        <v>464</v>
      </c>
      <c r="C112" s="27" t="s">
        <v>68</v>
      </c>
      <c r="D112" t="s">
        <v>482</v>
      </c>
      <c r="E112" s="9">
        <v>98.4</v>
      </c>
      <c r="F112" s="9" t="s">
        <v>469</v>
      </c>
      <c r="G112">
        <v>8</v>
      </c>
    </row>
    <row r="113" spans="1:7">
      <c r="A113" s="7" t="s">
        <v>26</v>
      </c>
      <c r="B113" s="27" t="s">
        <v>461</v>
      </c>
      <c r="C113" s="27" t="s">
        <v>68</v>
      </c>
      <c r="D113" t="s">
        <v>483</v>
      </c>
      <c r="E113" s="9">
        <v>98.5</v>
      </c>
      <c r="F113" s="9"/>
      <c r="G113">
        <v>8</v>
      </c>
    </row>
    <row r="114" spans="1:7">
      <c r="A114" s="47" t="s">
        <v>27</v>
      </c>
      <c r="B114" s="27" t="s">
        <v>461</v>
      </c>
      <c r="C114" s="27" t="s">
        <v>462</v>
      </c>
      <c r="D114" t="s">
        <v>463</v>
      </c>
      <c r="E114" s="46">
        <v>85</v>
      </c>
      <c r="F114" s="49"/>
      <c r="G114">
        <v>9</v>
      </c>
    </row>
    <row r="115" spans="1:7">
      <c r="A115" s="47" t="s">
        <v>27</v>
      </c>
      <c r="B115" s="27" t="s">
        <v>464</v>
      </c>
      <c r="C115" s="27" t="s">
        <v>462</v>
      </c>
      <c r="D115" t="s">
        <v>465</v>
      </c>
      <c r="E115" s="46">
        <v>86.6</v>
      </c>
      <c r="F115" s="48" t="s">
        <v>479</v>
      </c>
      <c r="G115">
        <v>9</v>
      </c>
    </row>
    <row r="116" spans="1:7">
      <c r="A116" s="47" t="s">
        <v>27</v>
      </c>
      <c r="B116" s="27" t="s">
        <v>461</v>
      </c>
      <c r="C116" s="27" t="s">
        <v>466</v>
      </c>
      <c r="D116" t="s">
        <v>467</v>
      </c>
      <c r="E116" s="9">
        <v>99</v>
      </c>
      <c r="F116" s="9"/>
      <c r="G116">
        <v>9</v>
      </c>
    </row>
    <row r="117" spans="1:7">
      <c r="A117" s="47" t="s">
        <v>27</v>
      </c>
      <c r="B117" s="27" t="s">
        <v>464</v>
      </c>
      <c r="C117" s="27" t="s">
        <v>466</v>
      </c>
      <c r="D117" t="s">
        <v>468</v>
      </c>
      <c r="E117" s="46">
        <v>98.2</v>
      </c>
      <c r="F117" s="9" t="s">
        <v>469</v>
      </c>
      <c r="G117">
        <v>9</v>
      </c>
    </row>
    <row r="118" spans="1:7">
      <c r="A118" s="47" t="s">
        <v>27</v>
      </c>
      <c r="B118" s="27" t="s">
        <v>461</v>
      </c>
      <c r="C118" s="27" t="s">
        <v>470</v>
      </c>
      <c r="D118" t="s">
        <v>471</v>
      </c>
      <c r="E118" s="9">
        <v>99.9</v>
      </c>
      <c r="F118" s="9"/>
      <c r="G118">
        <v>9</v>
      </c>
    </row>
    <row r="119" spans="1:7">
      <c r="A119" s="47" t="s">
        <v>27</v>
      </c>
      <c r="B119" s="27" t="s">
        <v>464</v>
      </c>
      <c r="C119" s="27" t="s">
        <v>470</v>
      </c>
      <c r="D119" t="s">
        <v>472</v>
      </c>
      <c r="E119" s="16">
        <v>99.85</v>
      </c>
      <c r="F119" s="17" t="s">
        <v>469</v>
      </c>
      <c r="G119">
        <v>9</v>
      </c>
    </row>
    <row r="120" spans="1:7">
      <c r="A120" s="47" t="s">
        <v>27</v>
      </c>
      <c r="B120" s="27" t="s">
        <v>461</v>
      </c>
      <c r="C120" s="27" t="s">
        <v>473</v>
      </c>
      <c r="D120" t="s">
        <v>474</v>
      </c>
      <c r="E120" s="9">
        <v>99.9</v>
      </c>
      <c r="F120" s="9"/>
      <c r="G120">
        <v>9</v>
      </c>
    </row>
    <row r="121" spans="1:7">
      <c r="A121" s="47" t="s">
        <v>27</v>
      </c>
      <c r="B121" s="27" t="s">
        <v>464</v>
      </c>
      <c r="C121" s="27" t="s">
        <v>473</v>
      </c>
      <c r="D121" t="s">
        <v>475</v>
      </c>
      <c r="E121" s="2">
        <v>99.55</v>
      </c>
      <c r="F121" s="9" t="s">
        <v>469</v>
      </c>
      <c r="G121">
        <v>9</v>
      </c>
    </row>
    <row r="122" spans="1:7">
      <c r="A122" s="47" t="s">
        <v>27</v>
      </c>
      <c r="B122" s="27" t="s">
        <v>461</v>
      </c>
      <c r="C122" s="27" t="s">
        <v>476</v>
      </c>
      <c r="D122" t="s">
        <v>477</v>
      </c>
      <c r="E122" s="9">
        <v>99.5</v>
      </c>
      <c r="F122" s="9"/>
      <c r="G122">
        <v>9</v>
      </c>
    </row>
    <row r="123" spans="1:7">
      <c r="A123" s="47" t="s">
        <v>27</v>
      </c>
      <c r="B123" s="27" t="s">
        <v>464</v>
      </c>
      <c r="C123" s="27" t="s">
        <v>476</v>
      </c>
      <c r="D123" t="s">
        <v>478</v>
      </c>
      <c r="E123" s="2">
        <v>99.76</v>
      </c>
      <c r="F123" s="9" t="s">
        <v>479</v>
      </c>
      <c r="G123">
        <v>9</v>
      </c>
    </row>
    <row r="124" spans="1:7">
      <c r="A124" s="47" t="s">
        <v>27</v>
      </c>
      <c r="B124" s="27" t="s">
        <v>464</v>
      </c>
      <c r="C124" s="27" t="s">
        <v>63</v>
      </c>
      <c r="D124" t="s">
        <v>480</v>
      </c>
      <c r="E124" s="9">
        <v>91.5</v>
      </c>
      <c r="F124" s="9" t="s">
        <v>469</v>
      </c>
      <c r="G124">
        <v>9</v>
      </c>
    </row>
    <row r="125" spans="1:7">
      <c r="A125" s="47" t="s">
        <v>27</v>
      </c>
      <c r="B125" s="27" t="s">
        <v>461</v>
      </c>
      <c r="C125" s="27" t="s">
        <v>63</v>
      </c>
      <c r="D125" t="s">
        <v>481</v>
      </c>
      <c r="E125" s="9">
        <v>93</v>
      </c>
      <c r="F125" s="9"/>
      <c r="G125">
        <v>9</v>
      </c>
    </row>
    <row r="126" spans="1:7">
      <c r="A126" s="47" t="s">
        <v>27</v>
      </c>
      <c r="B126" s="27" t="s">
        <v>464</v>
      </c>
      <c r="C126" s="27" t="s">
        <v>68</v>
      </c>
      <c r="D126" t="s">
        <v>482</v>
      </c>
      <c r="E126" s="9">
        <v>98.6</v>
      </c>
      <c r="F126" s="9" t="s">
        <v>479</v>
      </c>
      <c r="G126">
        <v>9</v>
      </c>
    </row>
    <row r="127" spans="1:7">
      <c r="A127" s="7" t="s">
        <v>27</v>
      </c>
      <c r="B127" s="27" t="s">
        <v>461</v>
      </c>
      <c r="C127" s="27" t="s">
        <v>68</v>
      </c>
      <c r="D127" t="s">
        <v>483</v>
      </c>
      <c r="E127" s="9">
        <v>98.5</v>
      </c>
      <c r="G127">
        <v>9</v>
      </c>
    </row>
    <row r="128" spans="1:7">
      <c r="A128" s="7" t="s">
        <v>29</v>
      </c>
      <c r="B128" s="27" t="s">
        <v>461</v>
      </c>
      <c r="C128" s="27" t="s">
        <v>462</v>
      </c>
      <c r="D128" t="s">
        <v>463</v>
      </c>
      <c r="E128" s="46">
        <v>85</v>
      </c>
      <c r="G128">
        <v>10</v>
      </c>
    </row>
    <row r="129" spans="1:7">
      <c r="A129" s="7" t="s">
        <v>29</v>
      </c>
      <c r="B129" s="27" t="s">
        <v>464</v>
      </c>
      <c r="C129" s="27" t="s">
        <v>462</v>
      </c>
      <c r="D129" t="s">
        <v>465</v>
      </c>
      <c r="E129" s="9">
        <v>86</v>
      </c>
      <c r="F129" t="s">
        <v>479</v>
      </c>
      <c r="G129">
        <v>10</v>
      </c>
    </row>
    <row r="130" spans="1:7">
      <c r="A130" s="7" t="s">
        <v>29</v>
      </c>
      <c r="B130" s="27" t="s">
        <v>461</v>
      </c>
      <c r="C130" s="27" t="s">
        <v>466</v>
      </c>
      <c r="D130" t="s">
        <v>467</v>
      </c>
      <c r="E130" s="9">
        <v>99</v>
      </c>
      <c r="G130">
        <v>10</v>
      </c>
    </row>
    <row r="131" spans="1:7">
      <c r="A131" s="7" t="s">
        <v>29</v>
      </c>
      <c r="B131" s="27" t="s">
        <v>464</v>
      </c>
      <c r="C131" s="27" t="s">
        <v>466</v>
      </c>
      <c r="D131" t="s">
        <v>468</v>
      </c>
      <c r="E131" s="9">
        <v>98.5</v>
      </c>
      <c r="F131" t="s">
        <v>469</v>
      </c>
      <c r="G131">
        <v>10</v>
      </c>
    </row>
    <row r="132" spans="1:7">
      <c r="A132" s="7" t="s">
        <v>29</v>
      </c>
      <c r="B132" s="27" t="s">
        <v>461</v>
      </c>
      <c r="C132" s="27" t="s">
        <v>470</v>
      </c>
      <c r="D132" t="s">
        <v>471</v>
      </c>
      <c r="E132" s="9">
        <v>99.9</v>
      </c>
      <c r="G132">
        <v>10</v>
      </c>
    </row>
    <row r="133" spans="1:7">
      <c r="A133" s="7" t="s">
        <v>29</v>
      </c>
      <c r="B133" s="27" t="s">
        <v>464</v>
      </c>
      <c r="C133" s="27" t="s">
        <v>470</v>
      </c>
      <c r="D133" t="s">
        <v>472</v>
      </c>
      <c r="E133" s="2">
        <v>99.9</v>
      </c>
      <c r="F133" t="s">
        <v>479</v>
      </c>
      <c r="G133">
        <v>10</v>
      </c>
    </row>
    <row r="134" spans="1:7">
      <c r="A134" s="7" t="s">
        <v>29</v>
      </c>
      <c r="B134" s="27" t="s">
        <v>461</v>
      </c>
      <c r="C134" s="27" t="s">
        <v>473</v>
      </c>
      <c r="D134" t="s">
        <v>474</v>
      </c>
      <c r="E134" s="9">
        <v>99.9</v>
      </c>
      <c r="G134">
        <v>10</v>
      </c>
    </row>
    <row r="135" spans="1:7">
      <c r="A135" s="7" t="s">
        <v>29</v>
      </c>
      <c r="B135" s="27" t="s">
        <v>464</v>
      </c>
      <c r="C135" s="27" t="s">
        <v>473</v>
      </c>
      <c r="D135" t="s">
        <v>475</v>
      </c>
      <c r="E135" s="2">
        <v>99.52</v>
      </c>
      <c r="F135" t="s">
        <v>469</v>
      </c>
      <c r="G135">
        <v>10</v>
      </c>
    </row>
    <row r="136" spans="1:7">
      <c r="A136" s="7" t="s">
        <v>29</v>
      </c>
      <c r="B136" s="27" t="s">
        <v>461</v>
      </c>
      <c r="C136" s="27" t="s">
        <v>476</v>
      </c>
      <c r="D136" t="s">
        <v>477</v>
      </c>
      <c r="E136" s="9">
        <v>99.5</v>
      </c>
      <c r="G136">
        <v>10</v>
      </c>
    </row>
    <row r="137" spans="1:7">
      <c r="A137" s="7" t="s">
        <v>29</v>
      </c>
      <c r="B137" s="27" t="s">
        <v>464</v>
      </c>
      <c r="C137" s="27" t="s">
        <v>476</v>
      </c>
      <c r="D137" t="s">
        <v>478</v>
      </c>
      <c r="E137" s="9">
        <v>99.7</v>
      </c>
      <c r="F137" t="s">
        <v>479</v>
      </c>
      <c r="G137">
        <v>10</v>
      </c>
    </row>
    <row r="138" spans="1:7">
      <c r="A138" s="7" t="s">
        <v>29</v>
      </c>
      <c r="B138" s="27" t="s">
        <v>461</v>
      </c>
      <c r="C138" s="27" t="s">
        <v>63</v>
      </c>
      <c r="D138" t="s">
        <v>481</v>
      </c>
      <c r="E138" s="9">
        <v>93</v>
      </c>
      <c r="G138">
        <v>10</v>
      </c>
    </row>
    <row r="139" spans="1:7">
      <c r="A139" s="7" t="s">
        <v>29</v>
      </c>
      <c r="B139" s="27" t="s">
        <v>464</v>
      </c>
      <c r="C139" s="27" t="s">
        <v>63</v>
      </c>
      <c r="D139" t="s">
        <v>480</v>
      </c>
      <c r="E139" s="9">
        <v>92.6</v>
      </c>
      <c r="F139" t="s">
        <v>469</v>
      </c>
      <c r="G139">
        <v>10</v>
      </c>
    </row>
    <row r="140" spans="1:7">
      <c r="A140" s="7" t="s">
        <v>29</v>
      </c>
      <c r="B140" s="27" t="s">
        <v>461</v>
      </c>
      <c r="C140" s="27" t="s">
        <v>68</v>
      </c>
      <c r="D140" t="s">
        <v>483</v>
      </c>
      <c r="E140" s="9">
        <v>98.5</v>
      </c>
      <c r="G140">
        <v>10</v>
      </c>
    </row>
    <row r="141" spans="1:7">
      <c r="A141" s="7" t="s">
        <v>29</v>
      </c>
      <c r="B141" s="27" t="s">
        <v>464</v>
      </c>
      <c r="C141" s="27" t="s">
        <v>68</v>
      </c>
      <c r="D141" t="s">
        <v>482</v>
      </c>
      <c r="E141" s="9">
        <v>98.7</v>
      </c>
      <c r="F141" t="s">
        <v>479</v>
      </c>
      <c r="G141">
        <v>10</v>
      </c>
    </row>
    <row r="142" spans="1:7">
      <c r="A142" s="7" t="s">
        <v>30</v>
      </c>
      <c r="B142" s="27" t="s">
        <v>461</v>
      </c>
      <c r="C142" s="27" t="s">
        <v>462</v>
      </c>
      <c r="D142" t="s">
        <v>463</v>
      </c>
      <c r="E142" s="9">
        <f>'[4]RM National QoS'!$E$142</f>
        <v>85</v>
      </c>
      <c r="G142">
        <v>11</v>
      </c>
    </row>
    <row r="143" spans="1:7">
      <c r="A143" s="7" t="s">
        <v>30</v>
      </c>
      <c r="B143" s="27" t="s">
        <v>464</v>
      </c>
      <c r="C143" s="27" t="s">
        <v>462</v>
      </c>
      <c r="D143" t="s">
        <v>465</v>
      </c>
      <c r="E143" s="9">
        <f>'[4]RM National QoS'!$E$143</f>
        <v>71</v>
      </c>
      <c r="F143" t="s">
        <v>469</v>
      </c>
      <c r="G143">
        <v>11</v>
      </c>
    </row>
    <row r="144" spans="1:7">
      <c r="A144" s="7" t="s">
        <v>30</v>
      </c>
      <c r="B144" s="27" t="s">
        <v>461</v>
      </c>
      <c r="C144" s="27" t="s">
        <v>466</v>
      </c>
      <c r="D144" t="s">
        <v>467</v>
      </c>
      <c r="E144" s="9">
        <f>'[4]RM National QoS'!$E$144</f>
        <v>99</v>
      </c>
      <c r="G144">
        <v>11</v>
      </c>
    </row>
    <row r="145" spans="1:7">
      <c r="A145" s="7" t="s">
        <v>30</v>
      </c>
      <c r="B145" s="27" t="s">
        <v>464</v>
      </c>
      <c r="C145" s="27" t="s">
        <v>466</v>
      </c>
      <c r="D145" t="s">
        <v>468</v>
      </c>
      <c r="E145" s="9">
        <f>'[4]RM National QoS'!$E$145</f>
        <v>87.7</v>
      </c>
      <c r="F145" t="s">
        <v>469</v>
      </c>
      <c r="G145">
        <v>11</v>
      </c>
    </row>
    <row r="146" spans="1:7">
      <c r="A146" s="7" t="s">
        <v>30</v>
      </c>
      <c r="B146" s="27" t="s">
        <v>461</v>
      </c>
      <c r="C146" s="27" t="s">
        <v>470</v>
      </c>
      <c r="D146" t="s">
        <v>471</v>
      </c>
      <c r="E146" s="9">
        <f>'[4]RM National QoS'!$E$146</f>
        <v>99.9</v>
      </c>
      <c r="G146">
        <v>11</v>
      </c>
    </row>
    <row r="147" spans="1:7">
      <c r="A147" s="7" t="s">
        <v>30</v>
      </c>
      <c r="B147" s="27" t="s">
        <v>464</v>
      </c>
      <c r="C147" s="27" t="s">
        <v>470</v>
      </c>
      <c r="D147" t="s">
        <v>472</v>
      </c>
      <c r="E147" s="9">
        <f>'[4]RM National QoS'!$E$147</f>
        <v>99.73</v>
      </c>
      <c r="F147" t="s">
        <v>469</v>
      </c>
      <c r="G147">
        <v>11</v>
      </c>
    </row>
    <row r="148" spans="1:7">
      <c r="A148" s="7" t="s">
        <v>30</v>
      </c>
      <c r="B148" s="27" t="s">
        <v>461</v>
      </c>
      <c r="C148" s="27" t="s">
        <v>473</v>
      </c>
      <c r="D148" t="s">
        <v>474</v>
      </c>
      <c r="E148" s="9">
        <f>'[4]RM National QoS'!$E$148</f>
        <v>99.9</v>
      </c>
      <c r="G148">
        <v>11</v>
      </c>
    </row>
    <row r="149" spans="1:7">
      <c r="A149" s="7" t="s">
        <v>30</v>
      </c>
      <c r="B149" s="27" t="s">
        <v>464</v>
      </c>
      <c r="C149" s="27" t="s">
        <v>473</v>
      </c>
      <c r="D149" t="s">
        <v>475</v>
      </c>
      <c r="E149" s="9">
        <f>'[4]RM National QoS'!$E$149</f>
        <v>91.57</v>
      </c>
      <c r="F149" t="s">
        <v>469</v>
      </c>
      <c r="G149">
        <v>11</v>
      </c>
    </row>
    <row r="150" spans="1:7">
      <c r="A150" s="7" t="s">
        <v>30</v>
      </c>
      <c r="B150" s="27" t="s">
        <v>461</v>
      </c>
      <c r="C150" s="27" t="s">
        <v>476</v>
      </c>
      <c r="D150" t="s">
        <v>477</v>
      </c>
      <c r="E150" s="9">
        <f>'[4]RM National QoS'!$E$150</f>
        <v>99.5</v>
      </c>
      <c r="G150">
        <v>11</v>
      </c>
    </row>
    <row r="151" spans="1:7">
      <c r="A151" s="7" t="s">
        <v>30</v>
      </c>
      <c r="B151" s="27" t="s">
        <v>464</v>
      </c>
      <c r="C151" s="27" t="s">
        <v>476</v>
      </c>
      <c r="D151" t="s">
        <v>478</v>
      </c>
      <c r="E151" s="9">
        <f>'[4]RM National QoS'!$E$151</f>
        <v>99.7</v>
      </c>
      <c r="F151" t="s">
        <v>479</v>
      </c>
      <c r="G151">
        <v>11</v>
      </c>
    </row>
    <row r="152" spans="1:7">
      <c r="A152" s="7" t="s">
        <v>30</v>
      </c>
      <c r="B152" s="27" t="s">
        <v>461</v>
      </c>
      <c r="C152" s="27" t="s">
        <v>63</v>
      </c>
      <c r="D152" t="s">
        <v>481</v>
      </c>
      <c r="E152" s="9">
        <f>'[4]RM National QoS'!$E$152</f>
        <v>93</v>
      </c>
      <c r="G152">
        <v>11</v>
      </c>
    </row>
    <row r="153" spans="1:7">
      <c r="A153" s="7" t="s">
        <v>30</v>
      </c>
      <c r="B153" s="27" t="s">
        <v>464</v>
      </c>
      <c r="C153" s="27" t="s">
        <v>63</v>
      </c>
      <c r="D153" t="s">
        <v>480</v>
      </c>
      <c r="E153" s="9">
        <f>'[4]RM National QoS'!$E$153</f>
        <v>74.7</v>
      </c>
      <c r="F153" t="s">
        <v>469</v>
      </c>
      <c r="G153">
        <v>11</v>
      </c>
    </row>
    <row r="154" spans="1:7">
      <c r="A154" s="7" t="s">
        <v>30</v>
      </c>
      <c r="B154" s="27" t="s">
        <v>461</v>
      </c>
      <c r="C154" s="27" t="s">
        <v>68</v>
      </c>
      <c r="D154" t="s">
        <v>483</v>
      </c>
      <c r="E154" s="9">
        <f>'[4]RM National QoS'!$E$154</f>
        <v>98.5</v>
      </c>
      <c r="G154">
        <v>11</v>
      </c>
    </row>
    <row r="155" spans="1:7">
      <c r="A155" s="7" t="s">
        <v>30</v>
      </c>
      <c r="B155" s="27" t="s">
        <v>464</v>
      </c>
      <c r="C155" s="27" t="s">
        <v>68</v>
      </c>
      <c r="D155" t="s">
        <v>482</v>
      </c>
      <c r="E155" s="9">
        <f>'[4]RM National QoS'!$E$155</f>
        <v>93.7</v>
      </c>
      <c r="F155" t="s">
        <v>469</v>
      </c>
      <c r="G155">
        <v>11</v>
      </c>
    </row>
  </sheetData>
  <phoneticPr fontId="29" type="noConversion"/>
  <pageMargins left="0.7" right="0.7" top="0.75" bottom="0.75" header="0.3" footer="0.3"/>
  <pageSetup paperSize="9" orientation="portrait" r:id="rId1"/>
  <headerFooter>
    <oddHeader>&amp;L&amp;"Calibri"&amp;12&amp;K000000Classification: CONFIDENTIAL&amp;1#</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15430-A941-4F4B-AE33-02DE26394DBC}">
  <sheetPr>
    <tabColor theme="9" tint="0.59999389629810485"/>
  </sheetPr>
  <dimension ref="A1:G39"/>
  <sheetViews>
    <sheetView workbookViewId="0">
      <selection activeCell="D31" sqref="D31"/>
    </sheetView>
  </sheetViews>
  <sheetFormatPr defaultRowHeight="14.25"/>
  <cols>
    <col min="1" max="1" width="14.1328125" customWidth="1"/>
    <col min="2" max="2" width="43.73046875" customWidth="1"/>
    <col min="3" max="3" width="15.59765625" customWidth="1"/>
    <col min="4" max="4" width="13.73046875" customWidth="1"/>
    <col min="5" max="5" width="8.3984375" bestFit="1" customWidth="1"/>
  </cols>
  <sheetData>
    <row r="1" spans="1:7">
      <c r="A1" t="s">
        <v>10</v>
      </c>
      <c r="B1" t="s">
        <v>11</v>
      </c>
      <c r="C1" s="43" t="s">
        <v>12</v>
      </c>
      <c r="D1" s="43" t="s">
        <v>13</v>
      </c>
      <c r="E1" t="s">
        <v>14</v>
      </c>
      <c r="F1" t="s">
        <v>15</v>
      </c>
    </row>
    <row r="2" spans="1:7" s="1" customFormat="1">
      <c r="A2" s="61" t="s">
        <v>16</v>
      </c>
      <c r="B2" s="60" t="s">
        <v>17</v>
      </c>
      <c r="C2" s="1">
        <f>19501*10^6</f>
        <v>19501000000</v>
      </c>
      <c r="D2" s="1">
        <f>6841*10^6</f>
        <v>6841000000</v>
      </c>
      <c r="E2" s="1">
        <v>1</v>
      </c>
      <c r="F2" s="1">
        <v>1</v>
      </c>
      <c r="G2" s="1" t="s">
        <v>18</v>
      </c>
    </row>
    <row r="3" spans="1:7">
      <c r="A3" s="41" t="s">
        <v>16</v>
      </c>
      <c r="B3" s="54" t="s">
        <v>19</v>
      </c>
      <c r="C3">
        <f>4514*10^6</f>
        <v>4514000000</v>
      </c>
      <c r="D3">
        <f>2953*10^6</f>
        <v>2953000000</v>
      </c>
      <c r="E3" s="1">
        <v>2</v>
      </c>
      <c r="F3" s="1">
        <v>1</v>
      </c>
    </row>
    <row r="4" spans="1:7">
      <c r="A4" s="41" t="s">
        <v>16</v>
      </c>
      <c r="B4" s="54" t="s">
        <v>20</v>
      </c>
      <c r="C4">
        <f>14987*10^6</f>
        <v>14987000000</v>
      </c>
      <c r="D4">
        <f>3888*10^6</f>
        <v>3888000000</v>
      </c>
      <c r="E4" s="1">
        <v>3</v>
      </c>
      <c r="F4" s="1">
        <v>1</v>
      </c>
    </row>
    <row r="5" spans="1:7" s="1" customFormat="1">
      <c r="A5" s="61" t="s">
        <v>21</v>
      </c>
      <c r="B5" s="60" t="s">
        <v>17</v>
      </c>
      <c r="C5" s="1">
        <f>18479*10^6</f>
        <v>18479000000</v>
      </c>
      <c r="D5" s="1">
        <f>7241*10^6</f>
        <v>7241000000</v>
      </c>
      <c r="E5" s="1">
        <v>1</v>
      </c>
      <c r="F5" s="1">
        <v>2</v>
      </c>
    </row>
    <row r="6" spans="1:7">
      <c r="A6" s="41" t="s">
        <v>21</v>
      </c>
      <c r="B6" s="54" t="s">
        <v>19</v>
      </c>
      <c r="C6">
        <f>3831*10^6</f>
        <v>3831000000</v>
      </c>
      <c r="D6">
        <f>3070*10^6</f>
        <v>3070000000</v>
      </c>
      <c r="E6" s="1">
        <v>2</v>
      </c>
      <c r="F6" s="1">
        <v>2</v>
      </c>
    </row>
    <row r="7" spans="1:7">
      <c r="A7" s="41" t="s">
        <v>21</v>
      </c>
      <c r="B7" s="54" t="s">
        <v>20</v>
      </c>
      <c r="C7">
        <f>14648*10^6</f>
        <v>14648000000</v>
      </c>
      <c r="D7">
        <f>4171*10^6</f>
        <v>4171000000</v>
      </c>
      <c r="E7" s="1">
        <v>3</v>
      </c>
      <c r="F7" s="1">
        <v>2</v>
      </c>
    </row>
    <row r="8" spans="1:7" s="1" customFormat="1">
      <c r="A8" s="61" t="s">
        <v>22</v>
      </c>
      <c r="B8" s="60" t="s">
        <v>17</v>
      </c>
      <c r="C8" s="1">
        <f>17680*10^6</f>
        <v>17680000000</v>
      </c>
      <c r="D8" s="1">
        <f>7372*10^6</f>
        <v>7372000000</v>
      </c>
      <c r="E8" s="1">
        <v>1</v>
      </c>
      <c r="F8" s="1">
        <v>3</v>
      </c>
    </row>
    <row r="9" spans="1:7">
      <c r="A9" s="41" t="s">
        <v>22</v>
      </c>
      <c r="B9" s="54" t="s">
        <v>19</v>
      </c>
      <c r="C9">
        <f>3534*10^6</f>
        <v>3534000000</v>
      </c>
      <c r="D9">
        <f>3146*10^6</f>
        <v>3146000000</v>
      </c>
      <c r="E9" s="1">
        <v>2</v>
      </c>
      <c r="F9" s="1">
        <v>3</v>
      </c>
    </row>
    <row r="10" spans="1:7">
      <c r="A10" s="41" t="s">
        <v>22</v>
      </c>
      <c r="B10" s="54" t="s">
        <v>20</v>
      </c>
      <c r="C10">
        <f>14146*10^6</f>
        <v>14146000000</v>
      </c>
      <c r="D10">
        <f>4226*10^6</f>
        <v>4226000000</v>
      </c>
      <c r="E10" s="1">
        <v>3</v>
      </c>
      <c r="F10" s="1">
        <v>3</v>
      </c>
    </row>
    <row r="11" spans="1:7" s="1" customFormat="1">
      <c r="A11" s="61" t="s">
        <v>23</v>
      </c>
      <c r="B11" s="60" t="s">
        <v>17</v>
      </c>
      <c r="C11" s="1">
        <f>17387*10^6</f>
        <v>17387000000</v>
      </c>
      <c r="D11" s="1">
        <f>7327*10^6</f>
        <v>7327000000</v>
      </c>
      <c r="E11" s="1">
        <v>1</v>
      </c>
      <c r="F11" s="1">
        <v>4</v>
      </c>
    </row>
    <row r="12" spans="1:7">
      <c r="A12" s="41" t="s">
        <v>23</v>
      </c>
      <c r="B12" s="54" t="s">
        <v>19</v>
      </c>
      <c r="C12">
        <f>3363*10^6</f>
        <v>3363000000</v>
      </c>
      <c r="D12">
        <f>3083*10^6</f>
        <v>3083000000</v>
      </c>
      <c r="E12" s="1">
        <v>2</v>
      </c>
      <c r="F12" s="1">
        <v>4</v>
      </c>
    </row>
    <row r="13" spans="1:7">
      <c r="A13" s="41" t="s">
        <v>23</v>
      </c>
      <c r="B13" s="54" t="s">
        <v>20</v>
      </c>
      <c r="C13">
        <f>14024*10^6</f>
        <v>14024000000</v>
      </c>
      <c r="D13">
        <f>4244*10^6</f>
        <v>4244000000</v>
      </c>
      <c r="E13" s="1">
        <v>3</v>
      </c>
      <c r="F13" s="1">
        <v>4</v>
      </c>
    </row>
    <row r="14" spans="1:7" s="1" customFormat="1">
      <c r="A14" s="61" t="s">
        <v>24</v>
      </c>
      <c r="B14" s="60" t="s">
        <v>17</v>
      </c>
      <c r="C14" s="1">
        <f>16802*10^6</f>
        <v>16802000000</v>
      </c>
      <c r="D14" s="1">
        <f>7220*10^6</f>
        <v>7220000000</v>
      </c>
      <c r="E14" s="1">
        <v>1</v>
      </c>
      <c r="F14" s="1">
        <v>5</v>
      </c>
    </row>
    <row r="15" spans="1:7">
      <c r="A15" s="41" t="s">
        <v>24</v>
      </c>
      <c r="B15" s="54" t="s">
        <v>19</v>
      </c>
      <c r="C15">
        <f>3194*10^6</f>
        <v>3194000000</v>
      </c>
      <c r="D15">
        <f>2969*10^6</f>
        <v>2969000000</v>
      </c>
      <c r="E15" s="1">
        <v>2</v>
      </c>
      <c r="F15" s="1">
        <v>5</v>
      </c>
    </row>
    <row r="16" spans="1:7">
      <c r="A16" s="41" t="s">
        <v>24</v>
      </c>
      <c r="B16" s="54" t="s">
        <v>20</v>
      </c>
      <c r="C16">
        <f>13608*10^6</f>
        <v>13608000000</v>
      </c>
      <c r="D16">
        <f>4251*10^6</f>
        <v>4251000000</v>
      </c>
      <c r="E16" s="1">
        <v>3</v>
      </c>
      <c r="F16" s="1">
        <v>5</v>
      </c>
    </row>
    <row r="17" spans="1:7" s="1" customFormat="1">
      <c r="A17" s="61" t="s">
        <v>25</v>
      </c>
      <c r="B17" s="60" t="s">
        <v>17</v>
      </c>
      <c r="C17" s="1">
        <f>16110*10^6</f>
        <v>16110000000</v>
      </c>
      <c r="D17" s="1">
        <f>7182*10^6</f>
        <v>7182000000</v>
      </c>
      <c r="E17" s="1">
        <v>1</v>
      </c>
      <c r="F17" s="1">
        <v>6</v>
      </c>
    </row>
    <row r="18" spans="1:7">
      <c r="A18" s="41" t="s">
        <v>25</v>
      </c>
      <c r="B18" s="54" t="s">
        <v>19</v>
      </c>
      <c r="C18">
        <f>2976*10^6</f>
        <v>2976000000</v>
      </c>
      <c r="D18">
        <f>2923*10^6</f>
        <v>2923000000</v>
      </c>
      <c r="E18" s="1">
        <v>2</v>
      </c>
      <c r="F18" s="1">
        <v>6</v>
      </c>
    </row>
    <row r="19" spans="1:7">
      <c r="A19" s="41" t="s">
        <v>25</v>
      </c>
      <c r="B19" s="54" t="s">
        <v>20</v>
      </c>
      <c r="C19">
        <f>13134*10^6</f>
        <v>13134000000</v>
      </c>
      <c r="D19">
        <f>4259*10^6</f>
        <v>4259000000</v>
      </c>
      <c r="E19" s="1">
        <v>3</v>
      </c>
      <c r="F19" s="1">
        <v>6</v>
      </c>
    </row>
    <row r="20" spans="1:7" s="1" customFormat="1">
      <c r="A20" s="52" t="s">
        <v>26</v>
      </c>
      <c r="B20" s="60" t="s">
        <v>17</v>
      </c>
      <c r="C20" s="1">
        <f>15665*10^6</f>
        <v>15665000000</v>
      </c>
      <c r="D20" s="1">
        <f>7121*10^6</f>
        <v>7121000000</v>
      </c>
      <c r="E20" s="1">
        <v>1</v>
      </c>
      <c r="F20" s="1">
        <v>7</v>
      </c>
    </row>
    <row r="21" spans="1:7">
      <c r="A21" s="53" t="s">
        <v>26</v>
      </c>
      <c r="B21" s="54" t="s">
        <v>19</v>
      </c>
      <c r="C21">
        <f>2726*10^6</f>
        <v>2726000000</v>
      </c>
      <c r="D21">
        <f>2824*10^6</f>
        <v>2824000000</v>
      </c>
      <c r="E21" s="1">
        <v>2</v>
      </c>
      <c r="F21" s="1">
        <v>7</v>
      </c>
    </row>
    <row r="22" spans="1:7">
      <c r="A22" s="53" t="s">
        <v>26</v>
      </c>
      <c r="B22" s="54" t="s">
        <v>20</v>
      </c>
      <c r="C22">
        <f>12939*10^6</f>
        <v>12939000000</v>
      </c>
      <c r="D22">
        <f>4297*10^6</f>
        <v>4297000000</v>
      </c>
      <c r="E22" s="1">
        <v>3</v>
      </c>
      <c r="F22" s="1">
        <v>7</v>
      </c>
    </row>
    <row r="23" spans="1:7" s="1" customFormat="1">
      <c r="A23" s="52" t="s">
        <v>27</v>
      </c>
      <c r="B23" s="60" t="s">
        <v>17</v>
      </c>
      <c r="C23" s="1">
        <f>'[2]Vol (USO v Non)'!$I$10*10^6</f>
        <v>14704000000</v>
      </c>
      <c r="D23" s="1">
        <f>'[2]Rev (USO v Non)'!$I$9*10^6</f>
        <v>7105000000</v>
      </c>
      <c r="E23" s="1">
        <v>1</v>
      </c>
      <c r="F23" s="1">
        <v>8</v>
      </c>
      <c r="G23" s="1" t="s">
        <v>28</v>
      </c>
    </row>
    <row r="24" spans="1:7">
      <c r="A24" s="53" t="s">
        <v>27</v>
      </c>
      <c r="B24" s="54" t="s">
        <v>19</v>
      </c>
      <c r="C24">
        <f>'[2]Vol (USO v Non)'!$I$6*10^6</f>
        <v>2666679343.4747796</v>
      </c>
      <c r="D24">
        <f>'[2]Rev (USO v Non)'!$I$6*10^6</f>
        <v>2776971519.4248586</v>
      </c>
      <c r="E24" s="1">
        <v>2</v>
      </c>
      <c r="F24" s="1">
        <v>8</v>
      </c>
    </row>
    <row r="25" spans="1:7">
      <c r="A25" s="53" t="s">
        <v>27</v>
      </c>
      <c r="B25" s="54" t="s">
        <v>20</v>
      </c>
      <c r="C25">
        <f>('[2]Vol (USO v Non)'!$I$7+'[2]Vol (USO v Non)'!$I$9)*10^6</f>
        <v>12037320656.525223</v>
      </c>
      <c r="D25">
        <f>('[2]Rev (USO v Non)'!$I$7+'[2]Rev (USO v Non)'!$I$8)*10^6</f>
        <v>4328028480.5751419</v>
      </c>
      <c r="E25" s="1">
        <v>3</v>
      </c>
      <c r="F25" s="1">
        <v>8</v>
      </c>
    </row>
    <row r="26" spans="1:7" s="1" customFormat="1">
      <c r="A26" s="52" t="s">
        <v>29</v>
      </c>
      <c r="B26" s="60" t="s">
        <v>17</v>
      </c>
      <c r="C26" s="1">
        <f>'[2]Vol (USO v Non)'!$J$10*10^6</f>
        <v>13990000000</v>
      </c>
      <c r="D26" s="1">
        <f>'[2]Rev (USO v Non)'!$J$9*10^6</f>
        <v>7231000000</v>
      </c>
      <c r="E26" s="1">
        <v>1</v>
      </c>
      <c r="F26" s="1">
        <v>9</v>
      </c>
    </row>
    <row r="27" spans="1:7">
      <c r="A27" s="53" t="s">
        <v>29</v>
      </c>
      <c r="B27" s="54" t="s">
        <v>19</v>
      </c>
      <c r="C27">
        <f>'[2]Vol (USO v Non)'!$J$6*10^6</f>
        <v>2384000000</v>
      </c>
      <c r="D27">
        <f>'[2]Rev (USO v Non)'!$J$6*10^6</f>
        <v>2668000000</v>
      </c>
      <c r="E27" s="1">
        <v>2</v>
      </c>
      <c r="F27" s="1">
        <v>9</v>
      </c>
    </row>
    <row r="28" spans="1:7">
      <c r="A28" s="53" t="s">
        <v>29</v>
      </c>
      <c r="B28" t="s">
        <v>20</v>
      </c>
      <c r="C28">
        <f>('[2]Vol (USO v Non)'!$J$7+'[2]Vol (USO v Non)'!$J$9)*10^6</f>
        <v>11606000000</v>
      </c>
      <c r="D28">
        <f>('[2]Rev (USO v Non)'!$J$7+'[2]Rev (USO v Non)'!$J$8)*10^6</f>
        <v>4563000000</v>
      </c>
      <c r="E28" s="1">
        <v>3</v>
      </c>
      <c r="F28" s="1">
        <v>9</v>
      </c>
    </row>
    <row r="29" spans="1:7" s="1" customFormat="1">
      <c r="A29" s="52" t="s">
        <v>30</v>
      </c>
      <c r="B29" s="1" t="s">
        <v>17</v>
      </c>
      <c r="C29" s="62">
        <f>'[3]Vol (USO v Non)'!$K$10*10^6</f>
        <v>11256675758.000002</v>
      </c>
      <c r="D29" s="62">
        <f>'[3]Rev (USO v Non)'!$K$9*10^6</f>
        <v>8012247438.8627377</v>
      </c>
      <c r="E29" s="1">
        <v>1</v>
      </c>
      <c r="F29" s="1">
        <v>10</v>
      </c>
    </row>
    <row r="30" spans="1:7">
      <c r="A30" s="53" t="s">
        <v>30</v>
      </c>
      <c r="B30" t="s">
        <v>19</v>
      </c>
      <c r="C30" s="4">
        <f>'[3]Vol (USO v Non)'!$K$6*10^6</f>
        <v>2093563927.0000002</v>
      </c>
      <c r="D30" s="4">
        <f>'[3]Rev (USO v Non)'!$K$6*10^6</f>
        <v>2900967367.2988787</v>
      </c>
      <c r="E30">
        <v>2</v>
      </c>
      <c r="F30">
        <v>10</v>
      </c>
    </row>
    <row r="31" spans="1:7">
      <c r="A31" s="53" t="s">
        <v>30</v>
      </c>
      <c r="B31" t="s">
        <v>20</v>
      </c>
      <c r="C31" s="4">
        <f>('[3]Vol (USO v Non)'!$K$7+'[3]Vol (USO v Non)'!$K$9)*10^6</f>
        <v>9163111831</v>
      </c>
      <c r="D31" s="4">
        <f>('[3]Rev (USO v Non)'!$K$7+'[3]Rev (USO v Non)'!$K$8)*10^6</f>
        <v>5111280071.563859</v>
      </c>
      <c r="E31">
        <v>3</v>
      </c>
      <c r="F31">
        <v>10</v>
      </c>
    </row>
    <row r="32" spans="1:7">
      <c r="A32" s="41"/>
      <c r="C32" s="4"/>
      <c r="D32" s="4"/>
    </row>
    <row r="33" spans="1:4">
      <c r="A33" s="41"/>
      <c r="C33" s="4"/>
      <c r="D33" s="4"/>
    </row>
    <row r="34" spans="1:4">
      <c r="A34" s="53"/>
      <c r="C34" s="4"/>
      <c r="D34" s="4"/>
    </row>
    <row r="35" spans="1:4">
      <c r="A35" s="52"/>
      <c r="C35" s="4"/>
      <c r="D35" s="4"/>
    </row>
    <row r="36" spans="1:4">
      <c r="A36" s="52"/>
      <c r="C36" s="4"/>
      <c r="D36" s="4"/>
    </row>
    <row r="37" spans="1:4">
      <c r="A37" s="52"/>
      <c r="C37" s="4"/>
      <c r="D37" s="4"/>
    </row>
    <row r="38" spans="1:4">
      <c r="A38" s="52"/>
      <c r="C38" s="4"/>
      <c r="D38" s="4"/>
    </row>
    <row r="39" spans="1:4">
      <c r="A39" s="52"/>
      <c r="C39" s="4"/>
      <c r="D39" s="4"/>
    </row>
  </sheetData>
  <phoneticPr fontId="29" type="noConversion"/>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44840-9DBB-47AB-A6D7-818CB05D7CB9}">
  <sheetPr>
    <tabColor theme="9" tint="0.59999389629810485"/>
  </sheetPr>
  <dimension ref="A1:O41"/>
  <sheetViews>
    <sheetView workbookViewId="0">
      <selection activeCell="D41" sqref="D41"/>
    </sheetView>
  </sheetViews>
  <sheetFormatPr defaultRowHeight="14.25"/>
  <cols>
    <col min="1" max="1" width="13.73046875" bestFit="1" customWidth="1"/>
    <col min="2" max="2" width="43" bestFit="1" customWidth="1"/>
    <col min="3" max="3" width="16.59765625" style="4" bestFit="1" customWidth="1"/>
    <col min="4" max="4" width="15.86328125" style="4" bestFit="1" customWidth="1"/>
    <col min="5" max="6" width="10.73046875" bestFit="1" customWidth="1"/>
    <col min="7" max="7" width="9.59765625" customWidth="1"/>
  </cols>
  <sheetData>
    <row r="1" spans="1:10">
      <c r="A1" t="s">
        <v>31</v>
      </c>
      <c r="B1" t="s">
        <v>11</v>
      </c>
      <c r="C1" s="45" t="s">
        <v>12</v>
      </c>
      <c r="D1" s="43" t="s">
        <v>13</v>
      </c>
      <c r="E1" t="s">
        <v>14</v>
      </c>
      <c r="F1" t="s">
        <v>15</v>
      </c>
      <c r="G1" s="4" t="s">
        <v>32</v>
      </c>
    </row>
    <row r="2" spans="1:10" s="1" customFormat="1">
      <c r="A2" s="41" t="s">
        <v>16</v>
      </c>
      <c r="B2" s="33" t="s">
        <v>33</v>
      </c>
      <c r="C2" s="4">
        <f>3308*10^6</f>
        <v>3308000000</v>
      </c>
      <c r="D2" s="4">
        <f>1872*10^6</f>
        <v>1872000000</v>
      </c>
      <c r="E2" s="1">
        <v>3</v>
      </c>
      <c r="F2" s="1">
        <v>1</v>
      </c>
      <c r="G2" t="s">
        <v>34</v>
      </c>
    </row>
    <row r="3" spans="1:10">
      <c r="A3" s="41" t="s">
        <v>16</v>
      </c>
      <c r="B3" t="s">
        <v>35</v>
      </c>
      <c r="C3" s="4">
        <f>4468.041257146*10^6</f>
        <v>4468041257.1459999</v>
      </c>
      <c r="D3" s="4">
        <f>1493.16081469423*10^6</f>
        <v>1493160814.6942301</v>
      </c>
      <c r="E3" s="1">
        <v>4</v>
      </c>
      <c r="F3" s="1">
        <v>1</v>
      </c>
      <c r="G3" s="1"/>
      <c r="H3" s="1"/>
      <c r="I3" s="1"/>
      <c r="J3" s="1"/>
    </row>
    <row r="4" spans="1:10">
      <c r="A4" s="41" t="s">
        <v>16</v>
      </c>
      <c r="B4" s="40" t="s">
        <v>36</v>
      </c>
      <c r="C4" s="4">
        <f>4531.906641074*10^6</f>
        <v>4531906641.0739994</v>
      </c>
      <c r="D4" s="4">
        <f>2154.25472716946*10^6</f>
        <v>2154254727.1694598</v>
      </c>
      <c r="E4" s="1">
        <v>2</v>
      </c>
      <c r="F4" s="1">
        <v>1</v>
      </c>
      <c r="G4" s="1"/>
      <c r="H4" s="1"/>
      <c r="I4" s="1"/>
      <c r="J4" s="1"/>
    </row>
    <row r="5" spans="1:10">
      <c r="A5" s="41" t="s">
        <v>16</v>
      </c>
      <c r="B5" s="40" t="s">
        <v>37</v>
      </c>
      <c r="C5" s="4">
        <f>7193.262446925*10^6</f>
        <v>7193262446.9250002</v>
      </c>
      <c r="D5" s="4">
        <f>1321.32284028119*10^6</f>
        <v>1321322840.2811902</v>
      </c>
      <c r="E5" s="1">
        <v>1</v>
      </c>
      <c r="F5" s="1">
        <v>1</v>
      </c>
      <c r="G5" s="1"/>
      <c r="H5" s="1"/>
      <c r="I5" s="1"/>
      <c r="J5" s="1"/>
    </row>
    <row r="6" spans="1:10">
      <c r="A6" s="41" t="s">
        <v>21</v>
      </c>
      <c r="B6" s="33" t="s">
        <v>33</v>
      </c>
      <c r="C6" s="4">
        <f>2956*10^6</f>
        <v>2956000000</v>
      </c>
      <c r="D6" s="4">
        <f>1948*10^6</f>
        <v>1948000000</v>
      </c>
      <c r="E6" s="1">
        <v>3</v>
      </c>
      <c r="F6" s="1">
        <v>2</v>
      </c>
      <c r="G6" s="1"/>
      <c r="H6" s="1"/>
      <c r="I6" s="1"/>
      <c r="J6" s="1"/>
    </row>
    <row r="7" spans="1:10">
      <c r="A7" s="41" t="s">
        <v>21</v>
      </c>
      <c r="B7" t="s">
        <v>35</v>
      </c>
      <c r="C7" s="4">
        <f>4485.82535495894*10^6</f>
        <v>4485825354.9589396</v>
      </c>
      <c r="D7" s="4">
        <f>1607.67925208052*10^6</f>
        <v>1607679252.0805199</v>
      </c>
      <c r="E7" s="1">
        <v>4</v>
      </c>
      <c r="F7" s="1">
        <v>2</v>
      </c>
      <c r="G7" s="1"/>
      <c r="H7" s="1"/>
      <c r="I7" s="1"/>
      <c r="J7" s="1"/>
    </row>
    <row r="8" spans="1:10">
      <c r="A8" s="41" t="s">
        <v>21</v>
      </c>
      <c r="B8" s="40" t="s">
        <v>36</v>
      </c>
      <c r="C8" s="4">
        <f>3798.13898444981*10^6</f>
        <v>3798138984.44981</v>
      </c>
      <c r="D8" s="4">
        <f>2199.25686661094*10^6</f>
        <v>2199256866.61094</v>
      </c>
      <c r="E8" s="1">
        <v>2</v>
      </c>
      <c r="F8" s="1">
        <v>2</v>
      </c>
      <c r="G8" s="1"/>
      <c r="H8" s="1"/>
      <c r="I8" s="1"/>
      <c r="J8" s="1"/>
    </row>
    <row r="9" spans="1:10">
      <c r="A9" s="41" t="s">
        <v>21</v>
      </c>
      <c r="B9" s="40" t="s">
        <v>37</v>
      </c>
      <c r="C9" s="4">
        <f>7239*10^6</f>
        <v>7239000000</v>
      </c>
      <c r="D9" s="4">
        <f>1486*10^6</f>
        <v>1486000000</v>
      </c>
      <c r="E9" s="1">
        <v>1</v>
      </c>
      <c r="F9" s="1">
        <v>2</v>
      </c>
      <c r="G9" s="1"/>
      <c r="H9" s="1"/>
      <c r="I9" s="1"/>
      <c r="J9" s="1"/>
    </row>
    <row r="10" spans="1:10">
      <c r="A10" s="41" t="s">
        <v>22</v>
      </c>
      <c r="B10" s="33" t="s">
        <v>33</v>
      </c>
      <c r="C10" s="4">
        <f>2836*10^6</f>
        <v>2836000000</v>
      </c>
      <c r="D10" s="4">
        <f>2059*10^6</f>
        <v>2059000000</v>
      </c>
      <c r="E10" s="1">
        <v>3</v>
      </c>
      <c r="F10" s="1">
        <v>3</v>
      </c>
      <c r="G10" s="1"/>
      <c r="H10" s="1"/>
      <c r="I10" s="1"/>
      <c r="J10" s="1"/>
    </row>
    <row r="11" spans="1:10">
      <c r="A11" s="41" t="s">
        <v>22</v>
      </c>
      <c r="B11" t="s">
        <v>35</v>
      </c>
      <c r="C11" s="4">
        <f>4166.842133272*10^6</f>
        <v>4166842133.2719998</v>
      </c>
      <c r="D11" s="4">
        <f>1637.86649693*10^6</f>
        <v>1637866496.9300001</v>
      </c>
      <c r="E11" s="1">
        <v>4</v>
      </c>
      <c r="F11" s="1">
        <v>3</v>
      </c>
      <c r="G11" s="1"/>
      <c r="H11" s="1"/>
      <c r="I11" s="1"/>
      <c r="J11" s="1"/>
    </row>
    <row r="12" spans="1:10">
      <c r="A12" s="41" t="s">
        <v>22</v>
      </c>
      <c r="B12" s="40" t="s">
        <v>36</v>
      </c>
      <c r="C12" s="4">
        <f>3510.284552113*10^6</f>
        <v>3510284552.1129999</v>
      </c>
      <c r="D12" s="4">
        <f>2177.08069847*10^6</f>
        <v>2177080698.4699998</v>
      </c>
      <c r="E12" s="1">
        <v>2</v>
      </c>
      <c r="F12" s="1">
        <v>3</v>
      </c>
      <c r="G12" s="1"/>
      <c r="H12" s="1"/>
      <c r="I12" s="1"/>
      <c r="J12" s="1"/>
    </row>
    <row r="13" spans="1:10">
      <c r="A13" s="41" t="s">
        <v>22</v>
      </c>
      <c r="B13" s="40" t="s">
        <v>37</v>
      </c>
      <c r="C13" s="4">
        <f>7166.965143*10^6</f>
        <v>7166965143</v>
      </c>
      <c r="D13" s="4">
        <f>1498.11677415*10^6</f>
        <v>1498116774.1500001</v>
      </c>
      <c r="E13" s="1">
        <v>1</v>
      </c>
      <c r="F13" s="1">
        <v>3</v>
      </c>
      <c r="G13" s="1"/>
      <c r="H13" s="1"/>
      <c r="I13" s="1"/>
      <c r="J13" s="1"/>
    </row>
    <row r="14" spans="1:10">
      <c r="A14" s="41" t="s">
        <v>23</v>
      </c>
      <c r="B14" s="33" t="s">
        <v>33</v>
      </c>
      <c r="C14" s="4">
        <f>2696*10^6</f>
        <v>2696000000</v>
      </c>
      <c r="D14" s="4">
        <f>1977*10^6</f>
        <v>1977000000</v>
      </c>
      <c r="E14" s="1">
        <v>3</v>
      </c>
      <c r="F14" s="1">
        <v>4</v>
      </c>
      <c r="G14" s="1"/>
      <c r="H14" s="1"/>
      <c r="I14" s="1"/>
      <c r="J14" s="1"/>
    </row>
    <row r="15" spans="1:10">
      <c r="A15" s="41" t="s">
        <v>23</v>
      </c>
      <c r="B15" t="s">
        <v>35</v>
      </c>
      <c r="C15" s="4">
        <f>4331.888074469*10^6</f>
        <v>4331888074.4689999</v>
      </c>
      <c r="D15" s="4">
        <f>1662.72845954*10^6</f>
        <v>1662728459.54</v>
      </c>
      <c r="E15" s="1">
        <v>4</v>
      </c>
      <c r="F15" s="1">
        <v>4</v>
      </c>
      <c r="G15" s="1"/>
      <c r="H15" s="1"/>
      <c r="I15" s="1"/>
      <c r="J15" s="1"/>
    </row>
    <row r="16" spans="1:10">
      <c r="A16" s="41" t="s">
        <v>23</v>
      </c>
      <c r="B16" s="40" t="s">
        <v>36</v>
      </c>
      <c r="C16" s="4">
        <f>3284.213905172*10^6</f>
        <v>3284213905.1719999</v>
      </c>
      <c r="D16" s="4">
        <f>2169.86318151*10^6</f>
        <v>2169863181.5099998</v>
      </c>
      <c r="E16" s="1">
        <v>2</v>
      </c>
      <c r="F16" s="1">
        <v>4</v>
      </c>
      <c r="G16" s="1"/>
      <c r="H16" s="1"/>
      <c r="I16" s="1"/>
      <c r="J16" s="1"/>
    </row>
    <row r="17" spans="1:15">
      <c r="A17" s="41" t="s">
        <v>23</v>
      </c>
      <c r="B17" s="40" t="s">
        <v>37</v>
      </c>
      <c r="C17" s="4">
        <f>7075.326717*10^6</f>
        <v>7075326717</v>
      </c>
      <c r="D17" s="4">
        <f>1517.09193045*10^6</f>
        <v>1517091930.45</v>
      </c>
      <c r="E17" s="1">
        <v>1</v>
      </c>
      <c r="F17" s="1">
        <v>4</v>
      </c>
      <c r="G17" s="1"/>
      <c r="H17" s="1"/>
      <c r="I17" s="1"/>
      <c r="J17" s="1"/>
    </row>
    <row r="18" spans="1:15">
      <c r="A18" s="41" t="s">
        <v>24</v>
      </c>
      <c r="B18" s="33" t="s">
        <v>33</v>
      </c>
      <c r="C18" s="4">
        <f>2523*10^6</f>
        <v>2523000000</v>
      </c>
      <c r="D18" s="4">
        <f>1895*10^6</f>
        <v>1895000000</v>
      </c>
      <c r="E18" s="1">
        <v>3</v>
      </c>
      <c r="F18" s="1">
        <v>5</v>
      </c>
      <c r="G18" s="1"/>
      <c r="H18" s="1"/>
      <c r="I18" s="1"/>
      <c r="J18" s="1"/>
    </row>
    <row r="19" spans="1:15">
      <c r="A19" s="41" t="s">
        <v>24</v>
      </c>
      <c r="B19" t="s">
        <v>35</v>
      </c>
      <c r="C19" s="4">
        <f>4117.887847464*10^6</f>
        <v>4117887847.4639997</v>
      </c>
      <c r="D19" s="4">
        <f>1627.51709121*10^6</f>
        <v>1627517091.21</v>
      </c>
      <c r="E19" s="1">
        <v>4</v>
      </c>
      <c r="F19" s="1">
        <v>5</v>
      </c>
      <c r="G19" s="1"/>
      <c r="H19" s="1"/>
      <c r="I19" s="1"/>
      <c r="J19" s="1"/>
    </row>
    <row r="20" spans="1:15">
      <c r="A20" s="41" t="s">
        <v>24</v>
      </c>
      <c r="B20" s="40" t="s">
        <v>36</v>
      </c>
      <c r="C20" s="4">
        <f>3043.140875065*10^6</f>
        <v>3043140875.0649996</v>
      </c>
      <c r="D20" s="4">
        <f>2149.89030866*10^6</f>
        <v>2149890308.6599998</v>
      </c>
      <c r="E20" s="1">
        <v>2</v>
      </c>
      <c r="F20" s="1">
        <v>5</v>
      </c>
      <c r="G20" s="1"/>
      <c r="H20" s="1"/>
      <c r="I20" s="1"/>
      <c r="J20" s="1"/>
    </row>
    <row r="21" spans="1:15">
      <c r="A21" s="41" t="s">
        <v>24</v>
      </c>
      <c r="B21" s="40" t="s">
        <v>37</v>
      </c>
      <c r="C21" s="4">
        <f>7118.419178*10^6</f>
        <v>7118419178</v>
      </c>
      <c r="D21" s="4">
        <f>1547.74636945*10^6</f>
        <v>1547746369.45</v>
      </c>
      <c r="E21" s="1">
        <v>1</v>
      </c>
      <c r="F21" s="1">
        <v>5</v>
      </c>
      <c r="G21" s="1"/>
      <c r="H21" s="1"/>
      <c r="I21" s="1"/>
      <c r="J21" s="1"/>
    </row>
    <row r="22" spans="1:15">
      <c r="A22" s="41" t="s">
        <v>25</v>
      </c>
      <c r="B22" s="33" t="s">
        <v>33</v>
      </c>
      <c r="C22" s="4">
        <f>2339*10^6</f>
        <v>2339000000</v>
      </c>
      <c r="D22" s="4">
        <f>1848*10^6</f>
        <v>1848000000</v>
      </c>
      <c r="E22" s="1">
        <v>3</v>
      </c>
      <c r="F22" s="1">
        <v>6</v>
      </c>
      <c r="G22" s="1"/>
      <c r="H22" s="1"/>
      <c r="I22" s="1"/>
      <c r="J22" s="1"/>
    </row>
    <row r="23" spans="1:15">
      <c r="A23" s="41" t="s">
        <v>25</v>
      </c>
      <c r="B23" t="s">
        <v>35</v>
      </c>
      <c r="C23" s="4">
        <f>3991.927*10^6</f>
        <v>3991927000</v>
      </c>
      <c r="D23" s="4">
        <f>1677.782*10^6</f>
        <v>1677782000</v>
      </c>
      <c r="E23" s="1">
        <v>4</v>
      </c>
      <c r="F23" s="1">
        <v>6</v>
      </c>
      <c r="G23" s="1"/>
      <c r="H23" s="1"/>
      <c r="I23" s="1"/>
      <c r="J23" s="1"/>
    </row>
    <row r="24" spans="1:15">
      <c r="A24" s="41" t="s">
        <v>25</v>
      </c>
      <c r="B24" s="40" t="s">
        <v>36</v>
      </c>
      <c r="C24" s="4">
        <f>2697.937*10^6</f>
        <v>2697937000</v>
      </c>
      <c r="D24" s="4">
        <f>2109.3087*10^6</f>
        <v>2109308700</v>
      </c>
      <c r="E24" s="1">
        <v>2</v>
      </c>
      <c r="F24" s="1">
        <v>6</v>
      </c>
      <c r="G24" s="1"/>
      <c r="H24" s="1"/>
      <c r="I24" s="1"/>
      <c r="J24" s="1"/>
    </row>
    <row r="25" spans="1:15">
      <c r="A25" s="41" t="s">
        <v>25</v>
      </c>
      <c r="B25" s="40" t="s">
        <v>37</v>
      </c>
      <c r="C25" s="4">
        <f>7080.656*10^6</f>
        <v>7080656000</v>
      </c>
      <c r="D25" s="4">
        <f>1546.9896*10^6</f>
        <v>1546989600</v>
      </c>
      <c r="E25" s="1">
        <v>1</v>
      </c>
      <c r="F25" s="1">
        <v>6</v>
      </c>
      <c r="G25" s="1"/>
      <c r="H25" s="1"/>
      <c r="I25" s="1"/>
      <c r="J25" s="1"/>
    </row>
    <row r="26" spans="1:15">
      <c r="A26" s="44" t="s">
        <v>26</v>
      </c>
      <c r="B26" s="33" t="s">
        <v>33</v>
      </c>
      <c r="C26" s="4">
        <f>'[2]4 Revenue and Volume Summary'!$H$18*10^6</f>
        <v>2184473984.4229999</v>
      </c>
      <c r="D26" s="4">
        <f>'[2]4 Revenue and Volume Summary'!$H$25*10^6</f>
        <v>2157259280.1799998</v>
      </c>
      <c r="E26" s="1">
        <v>3</v>
      </c>
      <c r="F26" s="1">
        <v>7</v>
      </c>
      <c r="G26" s="1"/>
      <c r="H26" s="1"/>
      <c r="I26" s="1"/>
      <c r="J26" s="1"/>
    </row>
    <row r="27" spans="1:15">
      <c r="A27" s="44" t="s">
        <v>26</v>
      </c>
      <c r="B27" t="s">
        <v>35</v>
      </c>
      <c r="C27" s="4">
        <f>'[2]4 Revenue and Volume Summary'!$H$21*10^6</f>
        <v>4066990459.5799999</v>
      </c>
      <c r="D27" s="4">
        <f>'[2]4 Revenue and Volume Summary'!$H$28*10^6</f>
        <v>1548806225.8200006</v>
      </c>
      <c r="E27" s="1">
        <v>4</v>
      </c>
      <c r="F27" s="1">
        <v>7</v>
      </c>
      <c r="G27" s="1"/>
      <c r="H27" s="1"/>
      <c r="I27" s="1"/>
      <c r="J27" s="1"/>
      <c r="O27" s="4"/>
    </row>
    <row r="28" spans="1:15">
      <c r="A28" s="44" t="s">
        <v>26</v>
      </c>
      <c r="B28" s="40" t="s">
        <v>36</v>
      </c>
      <c r="C28" s="4">
        <f>'[2]4 Revenue and Volume Summary'!$H$19*10^6</f>
        <v>2421042740.9969997</v>
      </c>
      <c r="D28" s="4">
        <f>'[2]4 Revenue and Volume Summary'!$H$26*10^6</f>
        <v>1868703153.3300002</v>
      </c>
      <c r="E28" s="1">
        <v>2</v>
      </c>
      <c r="F28" s="1">
        <v>7</v>
      </c>
      <c r="G28" s="1"/>
      <c r="H28" s="1"/>
      <c r="I28" s="1"/>
      <c r="J28" s="1"/>
    </row>
    <row r="29" spans="1:15">
      <c r="A29" s="44" t="s">
        <v>26</v>
      </c>
      <c r="B29" s="40" t="s">
        <v>37</v>
      </c>
      <c r="C29" s="4">
        <f>'[2]4 Revenue and Volume Summary'!$H$20*10^6</f>
        <v>6992492815.000001</v>
      </c>
      <c r="D29" s="4">
        <f>'[2]4 Revenue and Volume Summary'!$H$27*10^6</f>
        <v>1546231340.6699998</v>
      </c>
      <c r="E29" s="1">
        <v>1</v>
      </c>
      <c r="F29" s="1">
        <v>7</v>
      </c>
      <c r="G29" s="1"/>
      <c r="H29" s="1"/>
      <c r="I29" s="1"/>
      <c r="J29" s="1"/>
    </row>
    <row r="30" spans="1:15">
      <c r="A30" s="44" t="s">
        <v>27</v>
      </c>
      <c r="B30" s="33" t="s">
        <v>33</v>
      </c>
      <c r="C30" s="4">
        <f>'[2]4 Revenue and Volume Summary'!$I$18*10^6</f>
        <v>2155746995.4985595</v>
      </c>
      <c r="D30" s="4">
        <f>'[2]4 Revenue and Volume Summary'!$I$25*10^6</f>
        <v>2094779233.9124913</v>
      </c>
      <c r="E30" s="1">
        <v>3</v>
      </c>
      <c r="F30" s="1">
        <v>8</v>
      </c>
      <c r="G30" s="1"/>
      <c r="H30" s="1"/>
      <c r="I30" s="1"/>
      <c r="J30" s="1"/>
    </row>
    <row r="31" spans="1:15">
      <c r="A31" s="44" t="s">
        <v>27</v>
      </c>
      <c r="B31" t="s">
        <v>35</v>
      </c>
      <c r="C31" s="4">
        <f>'[2]4 Revenue and Volume Summary'!$I$21*10^6</f>
        <v>3680176418.8883319</v>
      </c>
      <c r="D31" s="4">
        <f>'[2]4 Revenue and Volume Summary'!$I$28*10^6</f>
        <v>1570599075.8535326</v>
      </c>
      <c r="E31" s="1">
        <v>4</v>
      </c>
      <c r="F31" s="1">
        <v>8</v>
      </c>
      <c r="G31" s="1"/>
      <c r="H31" s="1"/>
      <c r="I31" s="1"/>
      <c r="J31" s="1"/>
    </row>
    <row r="32" spans="1:15">
      <c r="A32" s="44" t="s">
        <v>27</v>
      </c>
      <c r="B32" s="40" t="s">
        <v>36</v>
      </c>
      <c r="C32" s="4">
        <f>'[2]4 Revenue and Volume Summary'!$I$19*10^6</f>
        <v>2285264893.0593805</v>
      </c>
      <c r="D32" s="4">
        <f>'[2]4 Revenue and Volume Summary'!$I$26*10^6</f>
        <v>1922511150.7139845</v>
      </c>
      <c r="E32" s="1">
        <v>2</v>
      </c>
      <c r="F32" s="1">
        <v>8</v>
      </c>
      <c r="G32" s="1"/>
      <c r="H32" s="1"/>
      <c r="I32" s="1"/>
      <c r="J32" s="1"/>
    </row>
    <row r="33" spans="1:10">
      <c r="A33" s="44" t="s">
        <v>27</v>
      </c>
      <c r="B33" s="40" t="s">
        <v>37</v>
      </c>
      <c r="C33" s="4">
        <f>'[2]4 Revenue and Volume Summary'!$I$20*10^6</f>
        <v>6582811692.553731</v>
      </c>
      <c r="D33" s="4">
        <f>'[2]4 Revenue and Volume Summary'!$I$27*10^6</f>
        <v>1517110539.5199919</v>
      </c>
      <c r="E33" s="1">
        <v>1</v>
      </c>
      <c r="F33" s="1">
        <v>8</v>
      </c>
      <c r="G33" t="s">
        <v>28</v>
      </c>
      <c r="H33" s="1"/>
      <c r="I33" s="1"/>
      <c r="J33" s="1"/>
    </row>
    <row r="34" spans="1:10">
      <c r="A34" s="44" t="s">
        <v>29</v>
      </c>
      <c r="B34" s="33" t="s">
        <v>33</v>
      </c>
      <c r="C34" s="4">
        <f>'[2]4 Revenue and Volume Summary'!$J$18*10^6</f>
        <v>1945174325.6860001</v>
      </c>
      <c r="D34" s="4">
        <f>'[2]4 Revenue and Volume Summary'!$J$25*10^6</f>
        <v>2037198501.97</v>
      </c>
      <c r="E34" s="1">
        <v>3</v>
      </c>
      <c r="F34" s="1">
        <v>9</v>
      </c>
      <c r="G34" s="1"/>
      <c r="H34" s="1"/>
      <c r="I34" s="1"/>
      <c r="J34" s="1"/>
    </row>
    <row r="35" spans="1:10">
      <c r="A35" s="44" t="s">
        <v>29</v>
      </c>
      <c r="B35" t="s">
        <v>35</v>
      </c>
      <c r="C35" s="4">
        <f>'[2]4 Revenue and Volume Summary'!$J$21*10^6</f>
        <v>3670062462.3129988</v>
      </c>
      <c r="D35" s="4">
        <f>'[2]4 Revenue and Volume Summary'!$J$28*10^6</f>
        <v>1645099946.6599996</v>
      </c>
      <c r="E35" s="1">
        <v>4</v>
      </c>
      <c r="F35" s="1">
        <v>9</v>
      </c>
      <c r="G35" s="1"/>
      <c r="H35" s="1"/>
      <c r="I35" s="1"/>
      <c r="J35" s="1"/>
    </row>
    <row r="36" spans="1:10">
      <c r="A36" s="44" t="s">
        <v>29</v>
      </c>
      <c r="B36" s="40" t="s">
        <v>36</v>
      </c>
      <c r="C36" s="4">
        <f>'[2]4 Revenue and Volume Summary'!$J$19*10^6</f>
        <v>2012663854.0009995</v>
      </c>
      <c r="D36" s="4">
        <f>'[2]4 Revenue and Volume Summary'!$J$26*10^6</f>
        <v>1997794297.0899999</v>
      </c>
      <c r="E36" s="1">
        <v>2</v>
      </c>
      <c r="F36" s="1">
        <v>9</v>
      </c>
      <c r="H36" s="1"/>
      <c r="I36" s="1"/>
      <c r="J36" s="1"/>
    </row>
    <row r="37" spans="1:10">
      <c r="A37" s="44" t="s">
        <v>29</v>
      </c>
      <c r="B37" s="40" t="s">
        <v>37</v>
      </c>
      <c r="C37" s="4">
        <f>'[2]4 Revenue and Volume Summary'!$J$20*10^6</f>
        <v>6362099358</v>
      </c>
      <c r="D37" s="4">
        <f>'[2]4 Revenue and Volume Summary'!$J$27*10^6</f>
        <v>1550907254.2800002</v>
      </c>
      <c r="E37" s="1">
        <v>1</v>
      </c>
      <c r="F37" s="1">
        <v>9</v>
      </c>
      <c r="H37" s="1"/>
      <c r="I37" s="1"/>
      <c r="J37" s="1"/>
    </row>
    <row r="38" spans="1:10">
      <c r="A38" s="44" t="s">
        <v>30</v>
      </c>
      <c r="B38" s="33" t="s">
        <v>33</v>
      </c>
      <c r="C38" s="4">
        <f>'[3]4 Revenue and Volume Summary'!$K$18*10^6</f>
        <v>1730682476.4189994</v>
      </c>
      <c r="D38" s="4">
        <f>'[3]4 Revenue and Volume Summary'!$K$25*10^6</f>
        <v>2258720820.02</v>
      </c>
      <c r="E38" s="1">
        <v>3</v>
      </c>
      <c r="F38">
        <v>10</v>
      </c>
      <c r="G38" s="1"/>
      <c r="H38" s="1"/>
      <c r="I38" s="1"/>
      <c r="J38" s="1"/>
    </row>
    <row r="39" spans="1:10">
      <c r="A39" s="44" t="s">
        <v>30</v>
      </c>
      <c r="B39" t="s">
        <v>35</v>
      </c>
      <c r="C39" s="4">
        <f>'[3]4 Revenue and Volume Summary'!$K$21*10^6</f>
        <v>2447945547.4690022</v>
      </c>
      <c r="D39" s="4">
        <f>'[3]4 Revenue and Volume Summary'!$K$28*10^6</f>
        <v>1749031065.592737</v>
      </c>
      <c r="E39" s="1">
        <v>4</v>
      </c>
      <c r="F39">
        <v>10</v>
      </c>
      <c r="G39" s="1"/>
      <c r="H39" s="1"/>
      <c r="I39" s="1"/>
      <c r="J39" s="1"/>
    </row>
    <row r="40" spans="1:10">
      <c r="A40" s="44" t="s">
        <v>30</v>
      </c>
      <c r="B40" s="40" t="s">
        <v>36</v>
      </c>
      <c r="C40" s="4">
        <f>'[3]4 Revenue and Volume Summary'!$K$19*10^6</f>
        <v>2065441508.1119995</v>
      </c>
      <c r="D40" s="4">
        <f>'[3]4 Revenue and Volume Summary'!$K$26*10^6</f>
        <v>2683711538.1199999</v>
      </c>
      <c r="E40" s="1">
        <v>2</v>
      </c>
      <c r="F40">
        <v>10</v>
      </c>
      <c r="G40" s="1"/>
      <c r="H40" s="1"/>
      <c r="I40" s="1"/>
      <c r="J40" s="1"/>
    </row>
    <row r="41" spans="1:10">
      <c r="A41" s="44" t="s">
        <v>30</v>
      </c>
      <c r="B41" s="40" t="s">
        <v>37</v>
      </c>
      <c r="C41" s="4">
        <f>'[3]4 Revenue and Volume Summary'!$K$20*10^6</f>
        <v>5012606226</v>
      </c>
      <c r="D41" s="4">
        <f>'[3]4 Revenue and Volume Summary'!$K$27*10^6</f>
        <v>1320784015.1300001</v>
      </c>
      <c r="E41" s="1">
        <v>1</v>
      </c>
      <c r="F41">
        <v>10</v>
      </c>
    </row>
  </sheetData>
  <phoneticPr fontId="29" type="noConversion"/>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CA4BE-0E39-4281-B9A2-798AD105B842}">
  <sheetPr>
    <tabColor theme="9" tint="0.59999389629810485"/>
  </sheetPr>
  <dimension ref="A1:G31"/>
  <sheetViews>
    <sheetView workbookViewId="0">
      <selection activeCell="I9" sqref="I9"/>
    </sheetView>
  </sheetViews>
  <sheetFormatPr defaultRowHeight="14.25"/>
  <cols>
    <col min="1" max="1" width="9.73046875" bestFit="1" customWidth="1"/>
    <col min="2" max="2" width="17.59765625" style="8" bestFit="1" customWidth="1"/>
    <col min="3" max="3" width="17.59765625" style="4" customWidth="1"/>
    <col min="4" max="4" width="21.1328125" style="4" bestFit="1" customWidth="1"/>
    <col min="5" max="6" width="10.59765625" bestFit="1" customWidth="1"/>
    <col min="9" max="9" width="14.73046875" bestFit="1" customWidth="1"/>
    <col min="11" max="11" width="12" bestFit="1" customWidth="1"/>
    <col min="12" max="16" width="10.59765625" bestFit="1" customWidth="1"/>
  </cols>
  <sheetData>
    <row r="1" spans="1:7">
      <c r="A1" s="33" t="s">
        <v>31</v>
      </c>
      <c r="B1" s="40" t="s">
        <v>38</v>
      </c>
      <c r="C1" s="43" t="s">
        <v>12</v>
      </c>
      <c r="D1" s="43" t="s">
        <v>13</v>
      </c>
      <c r="E1" t="s">
        <v>14</v>
      </c>
      <c r="F1" t="s">
        <v>15</v>
      </c>
    </row>
    <row r="2" spans="1:7">
      <c r="A2" s="41" t="s">
        <v>16</v>
      </c>
      <c r="B2" s="40" t="s">
        <v>39</v>
      </c>
      <c r="C2" s="4">
        <f>14330.330251388*10^6</f>
        <v>14330330251.388</v>
      </c>
      <c r="D2" s="4">
        <f>3914.26366121*10^6</f>
        <v>3914263661.21</v>
      </c>
      <c r="E2">
        <v>1</v>
      </c>
      <c r="F2">
        <v>1</v>
      </c>
      <c r="G2" t="s">
        <v>18</v>
      </c>
    </row>
    <row r="3" spans="1:7">
      <c r="A3" s="41" t="s">
        <v>16</v>
      </c>
      <c r="B3" s="40" t="s">
        <v>40</v>
      </c>
      <c r="C3" s="4">
        <f>784.325762016*10^6</f>
        <v>784325762.01600003</v>
      </c>
      <c r="D3" s="4">
        <f>1700.63893506*10^6</f>
        <v>1700638935.0599999</v>
      </c>
      <c r="E3">
        <v>2</v>
      </c>
      <c r="F3">
        <v>1</v>
      </c>
    </row>
    <row r="4" spans="1:7">
      <c r="A4" s="41" t="s">
        <v>16</v>
      </c>
      <c r="B4" s="40" t="s">
        <v>41</v>
      </c>
      <c r="C4" s="4">
        <f>4386.343986596*10^6</f>
        <v>4386343986.5959997</v>
      </c>
      <c r="D4" s="4">
        <f>1226.2342123256*10^6</f>
        <v>1226234212.3256001</v>
      </c>
      <c r="E4">
        <v>3</v>
      </c>
      <c r="F4">
        <v>1</v>
      </c>
    </row>
    <row r="5" spans="1:7">
      <c r="A5" s="41" t="s">
        <v>21</v>
      </c>
      <c r="B5" s="40" t="s">
        <v>39</v>
      </c>
      <c r="C5" s="4">
        <f>13172.001157609*10^6</f>
        <v>13172001157.608999</v>
      </c>
      <c r="D5" s="4">
        <f>4019.79335753216*10^6</f>
        <v>4019793357.5321598</v>
      </c>
      <c r="E5">
        <v>1</v>
      </c>
      <c r="F5">
        <v>2</v>
      </c>
    </row>
    <row r="6" spans="1:7">
      <c r="A6" s="41" t="s">
        <v>21</v>
      </c>
      <c r="B6" s="40" t="s">
        <v>40</v>
      </c>
      <c r="C6" s="4">
        <f>836.275151214653*10^6</f>
        <v>836275151.21465302</v>
      </c>
      <c r="D6" s="4">
        <f>1944.17759252405*10^6</f>
        <v>1944177592.52405</v>
      </c>
      <c r="E6">
        <v>2</v>
      </c>
      <c r="F6">
        <v>2</v>
      </c>
    </row>
    <row r="7" spans="1:7">
      <c r="A7" s="42" t="s">
        <v>21</v>
      </c>
      <c r="B7" s="40" t="s">
        <v>41</v>
      </c>
      <c r="C7" s="4">
        <f>4470.72369117635*10^6</f>
        <v>4470723691.1763506</v>
      </c>
      <c r="D7" s="4">
        <f>1277.02904994379*10^6</f>
        <v>1277029049.94379</v>
      </c>
      <c r="E7">
        <v>3</v>
      </c>
      <c r="F7">
        <v>2</v>
      </c>
    </row>
    <row r="8" spans="1:7">
      <c r="A8" s="41" t="s">
        <v>22</v>
      </c>
      <c r="B8" s="40" t="s">
        <v>39</v>
      </c>
      <c r="C8" s="4">
        <f>12699.105095963*10^6</f>
        <v>12699105095.962999</v>
      </c>
      <c r="D8" s="4">
        <f>4076.13826952*10^6</f>
        <v>4076138269.52</v>
      </c>
      <c r="E8">
        <v>1</v>
      </c>
      <c r="F8">
        <v>3</v>
      </c>
    </row>
    <row r="9" spans="1:7">
      <c r="A9" s="41" t="s">
        <v>22</v>
      </c>
      <c r="B9" s="40" t="s">
        <v>40</v>
      </c>
      <c r="C9" s="4">
        <f>826.100659765*10^6</f>
        <v>826100659.7650001</v>
      </c>
      <c r="D9" s="4">
        <f>2088.95535478*10^6</f>
        <v>2088955354.7800002</v>
      </c>
      <c r="E9">
        <v>2</v>
      </c>
      <c r="F9">
        <v>3</v>
      </c>
    </row>
    <row r="10" spans="1:7">
      <c r="A10" s="41" t="s">
        <v>22</v>
      </c>
      <c r="B10" s="40" t="s">
        <v>41</v>
      </c>
      <c r="C10" s="4">
        <f>4154.794244272*10^6</f>
        <v>4154794244.2719994</v>
      </c>
      <c r="D10" s="4">
        <f>1206.9063757*10^6</f>
        <v>1206906375.6999998</v>
      </c>
      <c r="E10">
        <v>3</v>
      </c>
      <c r="F10">
        <v>3</v>
      </c>
    </row>
    <row r="11" spans="1:7">
      <c r="A11" s="41" t="s">
        <v>23</v>
      </c>
      <c r="B11" s="40" t="s">
        <v>39</v>
      </c>
      <c r="C11" s="4">
        <f>12463.67605795*10^6</f>
        <v>12463676057.950001</v>
      </c>
      <c r="D11" s="4">
        <f>4048.55670163*10^6</f>
        <v>4048556701.6300001</v>
      </c>
      <c r="E11">
        <v>1</v>
      </c>
      <c r="F11">
        <v>4</v>
      </c>
    </row>
    <row r="12" spans="1:7">
      <c r="A12" s="41" t="s">
        <v>23</v>
      </c>
      <c r="B12" s="40" t="s">
        <v>40</v>
      </c>
      <c r="C12" s="4">
        <f>816.855253572*10^6</f>
        <v>816855253.57200003</v>
      </c>
      <c r="D12" s="4">
        <f>2053.80766814*10^6</f>
        <v>2053807668.1399999</v>
      </c>
      <c r="E12">
        <v>2</v>
      </c>
      <c r="F12">
        <v>4</v>
      </c>
    </row>
    <row r="13" spans="1:7">
      <c r="A13" s="41" t="s">
        <v>23</v>
      </c>
      <c r="B13" s="40" t="s">
        <v>41</v>
      </c>
      <c r="C13" s="4">
        <f>4106.468688469*10^6</f>
        <v>4106468688.4689999</v>
      </c>
      <c r="D13" s="4">
        <f>1224.63563023*10^6</f>
        <v>1224635630.23</v>
      </c>
      <c r="E13">
        <v>3</v>
      </c>
      <c r="F13">
        <v>4</v>
      </c>
    </row>
    <row r="14" spans="1:7">
      <c r="A14" s="41" t="s">
        <v>24</v>
      </c>
      <c r="B14" s="40" t="s">
        <v>39</v>
      </c>
      <c r="C14" s="4">
        <f>12037.147979223*10^6</f>
        <v>12037147979.223</v>
      </c>
      <c r="D14" s="4">
        <f>3968.94702447*10^6</f>
        <v>3968947024.4700003</v>
      </c>
      <c r="E14">
        <v>1</v>
      </c>
      <c r="F14">
        <v>5</v>
      </c>
    </row>
    <row r="15" spans="1:7">
      <c r="A15" s="42" t="s">
        <v>24</v>
      </c>
      <c r="B15" s="40" t="s">
        <v>40</v>
      </c>
      <c r="C15" s="4">
        <f>822.012240313*10^6</f>
        <v>822012240.31299996</v>
      </c>
      <c r="D15" s="4">
        <f>2059.30361584*10^6</f>
        <v>2059303615.8399999</v>
      </c>
      <c r="E15">
        <v>2</v>
      </c>
      <c r="F15">
        <v>5</v>
      </c>
    </row>
    <row r="16" spans="1:7">
      <c r="A16" s="41" t="s">
        <v>24</v>
      </c>
      <c r="B16" s="40" t="s">
        <v>41</v>
      </c>
      <c r="C16" s="4">
        <f>3942.839780464*10^6</f>
        <v>3942839780.4639997</v>
      </c>
      <c r="D16" s="4">
        <f>1191.74935969*10^6</f>
        <v>1191749359.6899998</v>
      </c>
      <c r="E16">
        <v>3</v>
      </c>
      <c r="F16">
        <v>5</v>
      </c>
    </row>
    <row r="17" spans="1:7">
      <c r="A17" s="41" t="s">
        <v>25</v>
      </c>
      <c r="B17" s="40" t="s">
        <v>39</v>
      </c>
      <c r="C17" s="4">
        <f>11432.12*10^6</f>
        <v>11432120000</v>
      </c>
      <c r="D17" s="4">
        <f>3835.86*10^6</f>
        <v>3835860000</v>
      </c>
      <c r="E17">
        <v>1</v>
      </c>
      <c r="F17">
        <v>6</v>
      </c>
    </row>
    <row r="18" spans="1:7">
      <c r="A18" s="41" t="s">
        <v>25</v>
      </c>
      <c r="B18" s="40" t="s">
        <v>40</v>
      </c>
      <c r="C18" s="4">
        <f>857.22*10^6</f>
        <v>857220000</v>
      </c>
      <c r="D18" s="4">
        <f>2149.26*10^6</f>
        <v>2149260000</v>
      </c>
      <c r="E18">
        <v>2</v>
      </c>
      <c r="F18">
        <v>6</v>
      </c>
    </row>
    <row r="19" spans="1:7">
      <c r="A19" s="41" t="s">
        <v>25</v>
      </c>
      <c r="B19" s="40" t="s">
        <v>41</v>
      </c>
      <c r="C19" s="4">
        <f>3820.66*10^6</f>
        <v>3820660000</v>
      </c>
      <c r="D19" s="4">
        <f>1196.88*10^6</f>
        <v>1196880000</v>
      </c>
      <c r="E19">
        <v>3</v>
      </c>
      <c r="F19">
        <v>6</v>
      </c>
    </row>
    <row r="20" spans="1:7">
      <c r="A20" s="41" t="s">
        <v>26</v>
      </c>
      <c r="B20" s="40" t="s">
        <v>39</v>
      </c>
      <c r="C20" s="4">
        <f>10851*10^6</f>
        <v>10851000000</v>
      </c>
      <c r="D20" s="4">
        <f>3698*10^6</f>
        <v>3698000000</v>
      </c>
      <c r="E20">
        <v>1</v>
      </c>
      <c r="F20">
        <v>7</v>
      </c>
    </row>
    <row r="21" spans="1:7">
      <c r="A21" s="41" t="s">
        <v>26</v>
      </c>
      <c r="B21" s="40" t="s">
        <v>40</v>
      </c>
      <c r="C21" s="4">
        <f>892*10^6</f>
        <v>892000000</v>
      </c>
      <c r="D21" s="4">
        <f>2235*10^6</f>
        <v>2235000000</v>
      </c>
      <c r="E21">
        <v>2</v>
      </c>
      <c r="F21">
        <v>7</v>
      </c>
    </row>
    <row r="22" spans="1:7">
      <c r="A22" s="41" t="s">
        <v>26</v>
      </c>
      <c r="B22" s="40" t="s">
        <v>41</v>
      </c>
      <c r="C22" s="4">
        <f>3922*10^6</f>
        <v>3922000000</v>
      </c>
      <c r="D22" s="4">
        <f>1168*10^6</f>
        <v>1168000000</v>
      </c>
      <c r="E22">
        <v>3</v>
      </c>
      <c r="F22">
        <v>7</v>
      </c>
    </row>
    <row r="23" spans="1:7">
      <c r="A23" s="42" t="s">
        <v>27</v>
      </c>
      <c r="B23" s="40" t="s">
        <v>39</v>
      </c>
      <c r="C23" s="4">
        <f>'[2]4 Revenue and Volume Summary'!$I$34*10^6</f>
        <v>10123981716.16643</v>
      </c>
      <c r="D23" s="4">
        <f>'[2]4 Revenue and Volume Summary'!$I$40*10^6</f>
        <v>3624450105.760818</v>
      </c>
      <c r="E23">
        <v>1</v>
      </c>
      <c r="F23">
        <v>8</v>
      </c>
    </row>
    <row r="24" spans="1:7">
      <c r="A24" s="41" t="s">
        <v>27</v>
      </c>
      <c r="B24" s="40" t="s">
        <v>42</v>
      </c>
      <c r="C24" s="4">
        <f>'[2]4 Revenue and Volume Summary'!$I$35*10^6</f>
        <v>918357942.87291217</v>
      </c>
      <c r="D24" s="4">
        <f>'[2]4 Revenue and Volume Summary'!$I$41*10^6</f>
        <v>2243014080.7592149</v>
      </c>
      <c r="E24">
        <v>2</v>
      </c>
      <c r="F24">
        <v>8</v>
      </c>
    </row>
    <row r="25" spans="1:7">
      <c r="A25" s="41" t="s">
        <v>27</v>
      </c>
      <c r="B25" s="40" t="s">
        <v>41</v>
      </c>
      <c r="C25" s="4">
        <f>'[2]4 Revenue and Volume Summary'!$I$36*10^6</f>
        <v>3661660340.9606614</v>
      </c>
      <c r="D25" s="4">
        <f>'[2]4 Revenue and Volume Summary'!$I$42*10^6</f>
        <v>1237535813.4799671</v>
      </c>
      <c r="E25">
        <v>3</v>
      </c>
      <c r="F25">
        <v>8</v>
      </c>
      <c r="G25" t="s">
        <v>43</v>
      </c>
    </row>
    <row r="26" spans="1:7">
      <c r="A26" s="41" t="s">
        <v>29</v>
      </c>
      <c r="B26" s="40" t="s">
        <v>39</v>
      </c>
      <c r="C26" s="4">
        <f>'[2]4 Revenue and Volume Summary'!$J$34*10^6</f>
        <v>9720141827.1000004</v>
      </c>
      <c r="D26" s="4">
        <f>'[2]4 Revenue and Volume Summary'!$J$40*10^6</f>
        <v>3608838767.1500006</v>
      </c>
      <c r="E26">
        <v>1</v>
      </c>
      <c r="F26">
        <v>9</v>
      </c>
    </row>
    <row r="27" spans="1:7">
      <c r="A27" s="41" t="s">
        <v>29</v>
      </c>
      <c r="B27" s="40" t="s">
        <v>42</v>
      </c>
      <c r="C27" s="4">
        <f>'[2]4 Revenue and Volume Summary'!$J$35*10^6</f>
        <v>953144089.21700013</v>
      </c>
      <c r="D27" s="4">
        <f>'[2]4 Revenue and Volume Summary'!$J$41*10^6</f>
        <v>2379000312.6100001</v>
      </c>
      <c r="E27">
        <v>2</v>
      </c>
      <c r="F27">
        <v>9</v>
      </c>
    </row>
    <row r="28" spans="1:7">
      <c r="A28" s="41" t="s">
        <v>29</v>
      </c>
      <c r="B28" s="40" t="s">
        <v>41</v>
      </c>
      <c r="C28" s="4">
        <f>'[2]4 Revenue and Volume Summary'!$J$36*10^6</f>
        <v>3316714083.6830006</v>
      </c>
      <c r="D28" s="4">
        <f>'[2]4 Revenue and Volume Summary'!$J$42*10^6</f>
        <v>1243160920.2399995</v>
      </c>
      <c r="E28">
        <v>3</v>
      </c>
      <c r="F28">
        <v>9</v>
      </c>
    </row>
    <row r="29" spans="1:7">
      <c r="A29" s="41" t="s">
        <v>30</v>
      </c>
      <c r="B29" s="40" t="s">
        <v>39</v>
      </c>
      <c r="C29" s="64">
        <f>'[3]4 Revenue and Volume Summary'!$K$34*10^6</f>
        <v>7442988276.8549995</v>
      </c>
      <c r="D29" s="64">
        <f>'[3]4 Revenue and Volume Summary'!$K$40*10^6</f>
        <v>3155165873.5900002</v>
      </c>
      <c r="E29">
        <v>1</v>
      </c>
      <c r="F29">
        <v>10</v>
      </c>
    </row>
    <row r="30" spans="1:7">
      <c r="A30" s="41" t="s">
        <v>30</v>
      </c>
      <c r="B30" s="40" t="s">
        <v>42</v>
      </c>
      <c r="C30" s="64">
        <f>'[3]4 Revenue and Volume Summary'!$K$35*10^6</f>
        <v>1378924462.4449997</v>
      </c>
      <c r="D30" s="64">
        <f>'[3]4 Revenue and Volume Summary'!$K$41*10^6</f>
        <v>3529097139.9399996</v>
      </c>
      <c r="E30">
        <v>2</v>
      </c>
      <c r="F30">
        <v>10</v>
      </c>
    </row>
    <row r="31" spans="1:7">
      <c r="A31" s="41" t="s">
        <v>30</v>
      </c>
      <c r="B31" s="40" t="s">
        <v>41</v>
      </c>
      <c r="C31" s="64">
        <f>'[3]4 Revenue and Volume Summary'!$K$36*10^6</f>
        <v>2434763018.7000012</v>
      </c>
      <c r="D31" s="64">
        <f>'[3]4 Revenue and Volume Summary'!$K$42*10^6</f>
        <v>1327984425.3327384</v>
      </c>
      <c r="E31">
        <v>3</v>
      </c>
      <c r="F31">
        <v>10</v>
      </c>
    </row>
  </sheetData>
  <phoneticPr fontId="29" type="noConversion"/>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74D09-B17C-47AD-A472-437BE54643A6}">
  <sheetPr>
    <tabColor theme="9" tint="0.59999389629810485"/>
  </sheetPr>
  <dimension ref="A1:F41"/>
  <sheetViews>
    <sheetView workbookViewId="0">
      <selection activeCell="C41" sqref="C41"/>
    </sheetView>
  </sheetViews>
  <sheetFormatPr defaultRowHeight="14.25"/>
  <cols>
    <col min="1" max="1" width="22" customWidth="1"/>
    <col min="2" max="3" width="19" customWidth="1"/>
    <col min="4" max="5" width="15.73046875" customWidth="1"/>
    <col min="6" max="6" width="16.3984375" customWidth="1"/>
  </cols>
  <sheetData>
    <row r="1" spans="1:6">
      <c r="A1" t="s">
        <v>10</v>
      </c>
      <c r="B1" t="s">
        <v>44</v>
      </c>
      <c r="C1" s="43" t="s">
        <v>45</v>
      </c>
      <c r="D1" t="s">
        <v>14</v>
      </c>
      <c r="E1" t="s">
        <v>15</v>
      </c>
    </row>
    <row r="2" spans="1:6">
      <c r="A2" s="41" t="s">
        <v>16</v>
      </c>
      <c r="B2" s="55" t="s">
        <v>46</v>
      </c>
      <c r="C2">
        <f>6928*10^6</f>
        <v>6928000000</v>
      </c>
      <c r="D2">
        <v>1</v>
      </c>
      <c r="E2">
        <v>1</v>
      </c>
      <c r="F2" t="s">
        <v>47</v>
      </c>
    </row>
    <row r="3" spans="1:6">
      <c r="A3" s="44" t="s">
        <v>16</v>
      </c>
      <c r="B3" t="s">
        <v>48</v>
      </c>
      <c r="C3">
        <f>4300.7*10^6</f>
        <v>4300700000</v>
      </c>
      <c r="D3">
        <v>2</v>
      </c>
      <c r="E3">
        <v>1</v>
      </c>
    </row>
    <row r="4" spans="1:6">
      <c r="A4" s="44" t="s">
        <v>16</v>
      </c>
      <c r="B4" t="s">
        <v>49</v>
      </c>
      <c r="C4">
        <f>2400*10^6</f>
        <v>2400000000</v>
      </c>
      <c r="D4">
        <v>3</v>
      </c>
      <c r="E4">
        <v>1</v>
      </c>
    </row>
    <row r="5" spans="1:6">
      <c r="A5" s="44" t="s">
        <v>16</v>
      </c>
      <c r="B5" t="s">
        <v>50</v>
      </c>
      <c r="C5">
        <f>227*10^6</f>
        <v>227000000</v>
      </c>
      <c r="D5">
        <v>4</v>
      </c>
      <c r="E5">
        <v>1</v>
      </c>
    </row>
    <row r="6" spans="1:6">
      <c r="A6" s="41" t="s">
        <v>21</v>
      </c>
      <c r="B6" s="55" t="s">
        <v>46</v>
      </c>
      <c r="C6">
        <f>7031*10^6</f>
        <v>7031000000</v>
      </c>
      <c r="D6">
        <v>1</v>
      </c>
      <c r="E6">
        <v>2</v>
      </c>
    </row>
    <row r="7" spans="1:6">
      <c r="A7" s="44" t="s">
        <v>21</v>
      </c>
      <c r="B7" t="s">
        <v>48</v>
      </c>
      <c r="C7">
        <f>4401.3*10^6</f>
        <v>4401300000</v>
      </c>
      <c r="D7">
        <v>2</v>
      </c>
      <c r="E7">
        <v>2</v>
      </c>
    </row>
    <row r="8" spans="1:6">
      <c r="A8" s="44" t="s">
        <v>21</v>
      </c>
      <c r="B8" t="s">
        <v>49</v>
      </c>
      <c r="C8">
        <f>2427*10^6</f>
        <v>2427000000</v>
      </c>
      <c r="D8">
        <v>3</v>
      </c>
      <c r="E8">
        <v>2</v>
      </c>
    </row>
    <row r="9" spans="1:6">
      <c r="A9" s="44" t="s">
        <v>21</v>
      </c>
      <c r="B9" t="s">
        <v>50</v>
      </c>
      <c r="C9">
        <f>203*10^6</f>
        <v>203000000</v>
      </c>
      <c r="D9">
        <v>4</v>
      </c>
      <c r="E9">
        <v>2</v>
      </c>
    </row>
    <row r="10" spans="1:6" s="1" customFormat="1">
      <c r="A10" s="61" t="s">
        <v>22</v>
      </c>
      <c r="B10" s="59" t="s">
        <v>46</v>
      </c>
      <c r="C10" s="1">
        <f>7087*10^6</f>
        <v>7087000000</v>
      </c>
      <c r="D10" s="1">
        <v>1</v>
      </c>
      <c r="E10" s="1">
        <v>3</v>
      </c>
    </row>
    <row r="11" spans="1:6">
      <c r="A11" s="44" t="s">
        <v>22</v>
      </c>
      <c r="B11" t="s">
        <v>48</v>
      </c>
      <c r="C11">
        <f>4441.4*10^6</f>
        <v>4441400000</v>
      </c>
      <c r="D11">
        <v>2</v>
      </c>
      <c r="E11">
        <v>3</v>
      </c>
    </row>
    <row r="12" spans="1:6">
      <c r="A12" s="44" t="s">
        <v>22</v>
      </c>
      <c r="B12" t="s">
        <v>49</v>
      </c>
      <c r="C12">
        <f>2294*10^6</f>
        <v>2294000000</v>
      </c>
      <c r="D12">
        <v>3</v>
      </c>
      <c r="E12">
        <v>3</v>
      </c>
    </row>
    <row r="13" spans="1:6">
      <c r="A13" s="44" t="s">
        <v>22</v>
      </c>
      <c r="B13" t="s">
        <v>50</v>
      </c>
      <c r="C13">
        <f>242*10^6</f>
        <v>242000000</v>
      </c>
      <c r="D13">
        <v>4</v>
      </c>
      <c r="E13">
        <v>3</v>
      </c>
    </row>
    <row r="14" spans="1:6" s="1" customFormat="1">
      <c r="A14" s="61" t="s">
        <v>23</v>
      </c>
      <c r="B14" s="59" t="s">
        <v>46</v>
      </c>
      <c r="C14" s="1">
        <f>6919*10^6</f>
        <v>6919000000</v>
      </c>
      <c r="D14" s="1">
        <v>1</v>
      </c>
      <c r="E14" s="1">
        <v>4</v>
      </c>
    </row>
    <row r="15" spans="1:6">
      <c r="A15" s="44" t="s">
        <v>23</v>
      </c>
      <c r="B15" t="s">
        <v>48</v>
      </c>
      <c r="C15">
        <f>4562*10^6</f>
        <v>4562000000</v>
      </c>
      <c r="D15">
        <v>2</v>
      </c>
      <c r="E15">
        <v>4</v>
      </c>
    </row>
    <row r="16" spans="1:6">
      <c r="A16" s="44" t="s">
        <v>23</v>
      </c>
      <c r="B16" t="s">
        <v>49</v>
      </c>
      <c r="C16">
        <f>2212*10^6</f>
        <v>2212000000</v>
      </c>
      <c r="D16">
        <v>3</v>
      </c>
      <c r="E16">
        <v>4</v>
      </c>
    </row>
    <row r="17" spans="1:6">
      <c r="A17" s="44" t="s">
        <v>23</v>
      </c>
      <c r="B17" t="s">
        <v>50</v>
      </c>
      <c r="C17">
        <f>145*10^6</f>
        <v>145000000</v>
      </c>
      <c r="D17">
        <v>4</v>
      </c>
      <c r="E17">
        <v>4</v>
      </c>
    </row>
    <row r="18" spans="1:6" s="1" customFormat="1">
      <c r="A18" s="61" t="s">
        <v>24</v>
      </c>
      <c r="B18" s="59" t="s">
        <v>46</v>
      </c>
      <c r="C18" s="1">
        <f>6860*10^6</f>
        <v>6860000000</v>
      </c>
      <c r="D18" s="1">
        <v>1</v>
      </c>
      <c r="E18" s="1">
        <v>5</v>
      </c>
    </row>
    <row r="19" spans="1:6">
      <c r="A19" s="44" t="s">
        <v>24</v>
      </c>
      <c r="B19" t="s">
        <v>48</v>
      </c>
      <c r="C19">
        <f>4563*10^6</f>
        <v>4563000000</v>
      </c>
      <c r="D19">
        <v>2</v>
      </c>
      <c r="E19">
        <v>5</v>
      </c>
    </row>
    <row r="20" spans="1:6">
      <c r="A20" s="44" t="s">
        <v>24</v>
      </c>
      <c r="B20" t="s">
        <v>49</v>
      </c>
      <c r="C20">
        <f>2158*10^6</f>
        <v>2158000000</v>
      </c>
      <c r="D20">
        <v>3</v>
      </c>
      <c r="E20">
        <v>5</v>
      </c>
    </row>
    <row r="21" spans="1:6">
      <c r="A21" s="44" t="s">
        <v>24</v>
      </c>
      <c r="B21" t="s">
        <v>50</v>
      </c>
      <c r="C21">
        <f>185*10^6</f>
        <v>185000000</v>
      </c>
      <c r="D21">
        <v>4</v>
      </c>
      <c r="E21">
        <v>5</v>
      </c>
    </row>
    <row r="22" spans="1:6" s="1" customFormat="1">
      <c r="A22" s="61" t="s">
        <v>25</v>
      </c>
      <c r="B22" s="59" t="s">
        <v>46</v>
      </c>
      <c r="C22" s="1">
        <f>6851*10^6</f>
        <v>6851000000</v>
      </c>
      <c r="D22" s="1">
        <v>1</v>
      </c>
      <c r="E22" s="1">
        <v>6</v>
      </c>
    </row>
    <row r="23" spans="1:6">
      <c r="A23" s="44" t="s">
        <v>25</v>
      </c>
      <c r="B23" t="s">
        <v>48</v>
      </c>
      <c r="C23">
        <f>4553*10^6</f>
        <v>4553000000</v>
      </c>
      <c r="D23">
        <v>2</v>
      </c>
      <c r="E23">
        <v>6</v>
      </c>
    </row>
    <row r="24" spans="1:6">
      <c r="A24" s="44" t="s">
        <v>25</v>
      </c>
      <c r="B24" t="s">
        <v>49</v>
      </c>
      <c r="C24">
        <f>2175*10^6</f>
        <v>2175000000</v>
      </c>
      <c r="D24">
        <v>3</v>
      </c>
      <c r="E24">
        <v>6</v>
      </c>
    </row>
    <row r="25" spans="1:6">
      <c r="A25" s="44" t="s">
        <v>25</v>
      </c>
      <c r="B25" t="s">
        <v>50</v>
      </c>
      <c r="C25">
        <f>132*10^6</f>
        <v>132000000</v>
      </c>
      <c r="D25">
        <v>4</v>
      </c>
      <c r="E25">
        <v>6</v>
      </c>
    </row>
    <row r="26" spans="1:6" s="1" customFormat="1">
      <c r="A26" s="63" t="s">
        <v>26</v>
      </c>
      <c r="B26" s="59" t="s">
        <v>46</v>
      </c>
      <c r="C26" s="1">
        <f>6809*10^6</f>
        <v>6809000000</v>
      </c>
      <c r="D26" s="1">
        <v>1</v>
      </c>
      <c r="E26" s="1">
        <v>7</v>
      </c>
    </row>
    <row r="27" spans="1:6">
      <c r="A27" s="44" t="s">
        <v>26</v>
      </c>
      <c r="B27" t="s">
        <v>48</v>
      </c>
      <c r="C27">
        <f>4574*10^6</f>
        <v>4574000000</v>
      </c>
      <c r="D27">
        <v>2</v>
      </c>
      <c r="E27">
        <v>7</v>
      </c>
    </row>
    <row r="28" spans="1:6">
      <c r="A28" s="44" t="s">
        <v>26</v>
      </c>
      <c r="B28" t="s">
        <v>49</v>
      </c>
      <c r="C28">
        <f>2129*10^6</f>
        <v>2129000000</v>
      </c>
      <c r="D28">
        <v>3</v>
      </c>
      <c r="E28">
        <v>7</v>
      </c>
    </row>
    <row r="29" spans="1:6">
      <c r="A29" s="44" t="s">
        <v>26</v>
      </c>
      <c r="B29" t="s">
        <v>50</v>
      </c>
      <c r="C29">
        <f>106*10^6</f>
        <v>106000000</v>
      </c>
      <c r="D29">
        <v>4</v>
      </c>
      <c r="E29">
        <v>7</v>
      </c>
    </row>
    <row r="30" spans="1:6" s="1" customFormat="1">
      <c r="A30" s="63" t="s">
        <v>27</v>
      </c>
      <c r="B30" s="59" t="s">
        <v>46</v>
      </c>
      <c r="C30" s="1">
        <f>'[2]6 RB costs'!$I$8*10^6</f>
        <v>6988000000</v>
      </c>
      <c r="D30" s="1">
        <v>1</v>
      </c>
      <c r="E30" s="1">
        <v>8</v>
      </c>
    </row>
    <row r="31" spans="1:6">
      <c r="A31" s="44" t="s">
        <v>27</v>
      </c>
      <c r="B31" t="s">
        <v>48</v>
      </c>
      <c r="C31">
        <f>'[2]6 RB costs'!$I$5*10^6</f>
        <v>4628000000</v>
      </c>
      <c r="D31">
        <v>2</v>
      </c>
      <c r="E31">
        <v>8</v>
      </c>
      <c r="F31" t="s">
        <v>51</v>
      </c>
    </row>
    <row r="32" spans="1:6">
      <c r="A32" s="44" t="s">
        <v>27</v>
      </c>
      <c r="B32" t="s">
        <v>49</v>
      </c>
      <c r="C32">
        <f>'[2]6 RB costs'!$I$6*10^6</f>
        <v>2234000000</v>
      </c>
      <c r="D32">
        <v>3</v>
      </c>
      <c r="E32">
        <v>8</v>
      </c>
    </row>
    <row r="33" spans="1:5">
      <c r="A33" s="44" t="s">
        <v>27</v>
      </c>
      <c r="B33" t="s">
        <v>50</v>
      </c>
      <c r="C33">
        <f>'[2]6 RB costs'!$I$7*10^6</f>
        <v>126000000</v>
      </c>
      <c r="D33">
        <v>4</v>
      </c>
      <c r="E33">
        <v>8</v>
      </c>
    </row>
    <row r="34" spans="1:5" s="1" customFormat="1">
      <c r="A34" s="63" t="s">
        <v>29</v>
      </c>
      <c r="B34" s="59" t="s">
        <v>46</v>
      </c>
      <c r="C34" s="1">
        <f>'[2]6 RB costs'!$J$8*10^6</f>
        <v>7204000000</v>
      </c>
      <c r="D34" s="1">
        <v>1</v>
      </c>
      <c r="E34" s="1">
        <v>9</v>
      </c>
    </row>
    <row r="35" spans="1:5">
      <c r="A35" s="44" t="s">
        <v>29</v>
      </c>
      <c r="B35" t="s">
        <v>48</v>
      </c>
      <c r="C35">
        <f>'[2]6 RB costs'!$J$5*10^6</f>
        <v>4812000000</v>
      </c>
      <c r="D35">
        <v>2</v>
      </c>
      <c r="E35">
        <v>9</v>
      </c>
    </row>
    <row r="36" spans="1:5">
      <c r="A36" s="44" t="s">
        <v>29</v>
      </c>
      <c r="B36" t="s">
        <v>49</v>
      </c>
      <c r="C36">
        <f>'[2]6 RB costs'!$J$6*10^6</f>
        <v>2268000000</v>
      </c>
      <c r="D36">
        <v>3</v>
      </c>
      <c r="E36">
        <v>9</v>
      </c>
    </row>
    <row r="37" spans="1:5">
      <c r="A37" s="44" t="s">
        <v>29</v>
      </c>
      <c r="B37" t="s">
        <v>50</v>
      </c>
      <c r="C37">
        <f>'[2]6 RB costs'!$J$7*10^6</f>
        <v>124000000</v>
      </c>
      <c r="D37">
        <v>4</v>
      </c>
      <c r="E37">
        <v>9</v>
      </c>
    </row>
    <row r="38" spans="1:5" s="1" customFormat="1">
      <c r="A38" s="63" t="s">
        <v>30</v>
      </c>
      <c r="B38" s="59" t="s">
        <v>46</v>
      </c>
      <c r="C38" s="62">
        <f>'[3]6 RB costs'!$K$8*10^6</f>
        <v>7794951230.0237579</v>
      </c>
      <c r="D38" s="1">
        <v>1</v>
      </c>
      <c r="E38" s="1">
        <v>10</v>
      </c>
    </row>
    <row r="39" spans="1:5">
      <c r="A39" s="44" t="s">
        <v>30</v>
      </c>
      <c r="B39" t="s">
        <v>48</v>
      </c>
      <c r="C39" s="4">
        <f>'[3]6 RB costs'!$K$5*10^6</f>
        <v>5084251648.2427435</v>
      </c>
      <c r="D39">
        <v>2</v>
      </c>
      <c r="E39">
        <v>10</v>
      </c>
    </row>
    <row r="40" spans="1:5">
      <c r="A40" s="44" t="s">
        <v>30</v>
      </c>
      <c r="B40" t="s">
        <v>49</v>
      </c>
      <c r="C40" s="4">
        <f>'[3]6 RB costs'!$K$6*10^6</f>
        <v>2532427245.6073413</v>
      </c>
      <c r="D40">
        <v>3</v>
      </c>
      <c r="E40">
        <v>10</v>
      </c>
    </row>
    <row r="41" spans="1:5">
      <c r="A41" s="44" t="s">
        <v>30</v>
      </c>
      <c r="B41" t="s">
        <v>50</v>
      </c>
      <c r="C41" s="4">
        <f>'[3]6 RB costs'!$K$7*10^6</f>
        <v>179272336.17367291</v>
      </c>
      <c r="D41">
        <v>4</v>
      </c>
      <c r="E41">
        <v>10</v>
      </c>
    </row>
  </sheetData>
  <phoneticPr fontId="29" type="noConversion"/>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1C1DE-7803-4DA1-8F51-C27604782B22}">
  <sheetPr>
    <tabColor theme="9" tint="0.59999389629810485"/>
  </sheetPr>
  <dimension ref="A1:L105"/>
  <sheetViews>
    <sheetView zoomScale="90" zoomScaleNormal="90" workbookViewId="0">
      <selection activeCell="B30" sqref="B30"/>
    </sheetView>
  </sheetViews>
  <sheetFormatPr defaultColWidth="9" defaultRowHeight="14.25"/>
  <cols>
    <col min="1" max="1" width="13.3984375" bestFit="1" customWidth="1"/>
    <col min="2" max="2" width="15.73046875" bestFit="1" customWidth="1"/>
    <col min="3" max="3" width="36.3984375" customWidth="1"/>
    <col min="4" max="4" width="17.59765625" customWidth="1"/>
    <col min="5" max="5" width="10.59765625" customWidth="1"/>
    <col min="6" max="6" width="14" bestFit="1" customWidth="1"/>
    <col min="7" max="7" width="10.59765625" style="2" bestFit="1" customWidth="1"/>
    <col min="8" max="8" width="13.59765625" customWidth="1"/>
    <col min="9" max="9" width="11" bestFit="1" customWidth="1"/>
    <col min="10" max="10" width="13.73046875" style="9" customWidth="1"/>
    <col min="11" max="11" width="10.59765625" bestFit="1" customWidth="1"/>
  </cols>
  <sheetData>
    <row r="1" spans="1:12" s="1" customFormat="1">
      <c r="A1" s="20" t="s">
        <v>52</v>
      </c>
      <c r="B1" s="1" t="s">
        <v>53</v>
      </c>
      <c r="C1" s="1" t="s">
        <v>44</v>
      </c>
      <c r="D1" s="1" t="s">
        <v>54</v>
      </c>
      <c r="E1" s="1" t="s">
        <v>55</v>
      </c>
      <c r="F1" s="1" t="s">
        <v>56</v>
      </c>
      <c r="G1" s="19" t="s">
        <v>57</v>
      </c>
      <c r="H1" s="1" t="s">
        <v>58</v>
      </c>
      <c r="I1" s="1" t="s">
        <v>59</v>
      </c>
      <c r="J1" s="18" t="s">
        <v>60</v>
      </c>
      <c r="K1" s="1" t="s">
        <v>61</v>
      </c>
    </row>
    <row r="2" spans="1:12" s="1" customFormat="1">
      <c r="A2">
        <f>YEAR(letterprices23[[#This Row],[Calendar Year v.2]])</f>
        <v>2009</v>
      </c>
      <c r="B2" s="7">
        <v>39909</v>
      </c>
      <c r="C2" t="s">
        <v>1</v>
      </c>
      <c r="D2" t="s">
        <v>62</v>
      </c>
      <c r="E2" t="s">
        <v>63</v>
      </c>
      <c r="F2" t="s">
        <v>64</v>
      </c>
      <c r="G2" s="2">
        <v>0.495</v>
      </c>
      <c r="H2" s="2">
        <f>letterprices23[[#This Row],[Price (£)]]</f>
        <v>0.495</v>
      </c>
      <c r="I2">
        <f>letterprices23[[#This Row],[Price (£)]]-letterprices23[[#This Row],[2007 value]]</f>
        <v>0</v>
      </c>
      <c r="J2" s="9">
        <f>(letterprices23[[#This Row],[Workings]]/letterprices23[[#This Row],[2007 value]])*100</f>
        <v>0</v>
      </c>
      <c r="K2">
        <v>1</v>
      </c>
      <c r="L2" s="1" t="s">
        <v>65</v>
      </c>
    </row>
    <row r="3" spans="1:12" s="1" customFormat="1">
      <c r="A3">
        <f>YEAR(letterprices23[[#This Row],[Calendar Year v.2]])</f>
        <v>2010</v>
      </c>
      <c r="B3" s="7">
        <v>40274</v>
      </c>
      <c r="C3" t="s">
        <v>1</v>
      </c>
      <c r="D3" t="s">
        <v>62</v>
      </c>
      <c r="E3" t="s">
        <v>63</v>
      </c>
      <c r="F3" t="s">
        <v>64</v>
      </c>
      <c r="G3" s="2">
        <v>0.50800000000000001</v>
      </c>
      <c r="H3" s="2">
        <f>G2</f>
        <v>0.495</v>
      </c>
      <c r="I3">
        <f>letterprices23[[#This Row],[Price (£)]]-letterprices23[[#This Row],[2007 value]]</f>
        <v>1.3000000000000012E-2</v>
      </c>
      <c r="J3" s="9">
        <f>(letterprices23[[#This Row],[Workings]]/letterprices23[[#This Row],[2007 value]])*100</f>
        <v>2.6262626262626285</v>
      </c>
      <c r="K3">
        <v>1</v>
      </c>
    </row>
    <row r="4" spans="1:12">
      <c r="A4">
        <f>YEAR(letterprices23[[#This Row],[Calendar Year v.2]])</f>
        <v>2011</v>
      </c>
      <c r="B4" s="7">
        <v>40637</v>
      </c>
      <c r="C4" t="s">
        <v>1</v>
      </c>
      <c r="D4" t="s">
        <v>62</v>
      </c>
      <c r="E4" t="s">
        <v>63</v>
      </c>
      <c r="F4" t="s">
        <v>64</v>
      </c>
      <c r="G4" s="2">
        <v>0.55100000000000005</v>
      </c>
      <c r="H4" s="2">
        <f>G2</f>
        <v>0.495</v>
      </c>
      <c r="I4">
        <f>letterprices23[[#This Row],[Price (£)]]-letterprices23[[#This Row],[2007 value]]</f>
        <v>5.600000000000005E-2</v>
      </c>
      <c r="J4" s="9">
        <f>(letterprices23[[#This Row],[Workings]]/letterprices23[[#This Row],[2007 value]])*100</f>
        <v>11.313131313131324</v>
      </c>
      <c r="K4">
        <v>1</v>
      </c>
    </row>
    <row r="5" spans="1:12">
      <c r="A5">
        <f>YEAR(letterprices23[[#This Row],[Calendar Year v.2]])</f>
        <v>2012</v>
      </c>
      <c r="B5" s="7">
        <v>41029</v>
      </c>
      <c r="C5" t="s">
        <v>1</v>
      </c>
      <c r="D5" t="s">
        <v>62</v>
      </c>
      <c r="E5" t="s">
        <v>63</v>
      </c>
      <c r="F5" t="s">
        <v>64</v>
      </c>
      <c r="G5" s="2">
        <v>0.68899999999999995</v>
      </c>
      <c r="H5" s="2">
        <f>G2</f>
        <v>0.495</v>
      </c>
      <c r="I5">
        <f>letterprices23[[#This Row],[Price (£)]]-letterprices23[[#This Row],[2007 value]]</f>
        <v>0.19399999999999995</v>
      </c>
      <c r="J5" s="9">
        <f>(letterprices23[[#This Row],[Workings]]/letterprices23[[#This Row],[2007 value]])*100</f>
        <v>39.191919191919183</v>
      </c>
      <c r="K5">
        <v>1</v>
      </c>
    </row>
    <row r="6" spans="1:12">
      <c r="A6">
        <f>YEAR(letterprices23[[#This Row],[Calendar Year v.2]])</f>
        <v>2013</v>
      </c>
      <c r="B6" s="7">
        <v>41365</v>
      </c>
      <c r="C6" t="s">
        <v>1</v>
      </c>
      <c r="D6" t="s">
        <v>62</v>
      </c>
      <c r="E6" t="s">
        <v>63</v>
      </c>
      <c r="F6" t="s">
        <v>64</v>
      </c>
      <c r="G6" s="2">
        <v>0.67200000000000004</v>
      </c>
      <c r="H6" s="2">
        <f>G2</f>
        <v>0.495</v>
      </c>
      <c r="I6">
        <f>letterprices23[[#This Row],[Price (£)]]-letterprices23[[#This Row],[2007 value]]</f>
        <v>0.17700000000000005</v>
      </c>
      <c r="J6" s="9">
        <f>(letterprices23[[#This Row],[Workings]]/letterprices23[[#This Row],[2007 value]])*100</f>
        <v>35.757575757575765</v>
      </c>
      <c r="K6">
        <v>1</v>
      </c>
    </row>
    <row r="7" spans="1:12">
      <c r="A7">
        <f>YEAR(letterprices23[[#This Row],[Calendar Year v.2]])</f>
        <v>2014</v>
      </c>
      <c r="B7" s="7">
        <v>41729</v>
      </c>
      <c r="C7" t="s">
        <v>1</v>
      </c>
      <c r="D7" t="s">
        <v>62</v>
      </c>
      <c r="E7" t="s">
        <v>63</v>
      </c>
      <c r="F7" t="s">
        <v>64</v>
      </c>
      <c r="G7" s="2">
        <v>0.67800000000000005</v>
      </c>
      <c r="H7" s="2">
        <f>G2</f>
        <v>0.495</v>
      </c>
      <c r="I7">
        <f>letterprices23[[#This Row],[Price (£)]]-letterprices23[[#This Row],[2007 value]]</f>
        <v>0.18300000000000005</v>
      </c>
      <c r="J7" s="9">
        <f>(letterprices23[[#This Row],[Workings]]/letterprices23[[#This Row],[2007 value]])*100</f>
        <v>36.969696969696983</v>
      </c>
      <c r="K7">
        <v>1</v>
      </c>
    </row>
    <row r="8" spans="1:12">
      <c r="A8">
        <f>YEAR(letterprices23[[#This Row],[Calendar Year v.2]])</f>
        <v>2015</v>
      </c>
      <c r="B8" s="7">
        <v>42093</v>
      </c>
      <c r="C8" t="s">
        <v>1</v>
      </c>
      <c r="D8" t="s">
        <v>62</v>
      </c>
      <c r="E8" t="s">
        <v>63</v>
      </c>
      <c r="F8" t="s">
        <v>64</v>
      </c>
      <c r="G8" s="2">
        <v>0.68200000000000005</v>
      </c>
      <c r="H8" s="2">
        <f>G2</f>
        <v>0.495</v>
      </c>
      <c r="I8">
        <f>letterprices23[[#This Row],[Price (£)]]-letterprices23[[#This Row],[2007 value]]</f>
        <v>0.18700000000000006</v>
      </c>
      <c r="J8" s="9">
        <f>(letterprices23[[#This Row],[Workings]]/letterprices23[[#This Row],[2007 value]])*100</f>
        <v>37.777777777777786</v>
      </c>
      <c r="K8">
        <v>1</v>
      </c>
    </row>
    <row r="9" spans="1:12">
      <c r="A9">
        <f>YEAR(letterprices23[[#This Row],[Calendar Year v.2]])</f>
        <v>2016</v>
      </c>
      <c r="B9" s="7">
        <v>42458</v>
      </c>
      <c r="C9" t="s">
        <v>1</v>
      </c>
      <c r="D9" t="s">
        <v>62</v>
      </c>
      <c r="E9" t="s">
        <v>63</v>
      </c>
      <c r="F9" t="s">
        <v>64</v>
      </c>
      <c r="G9" s="2">
        <v>0.69199999999999995</v>
      </c>
      <c r="H9" s="2">
        <f>G2</f>
        <v>0.495</v>
      </c>
      <c r="I9">
        <f>letterprices23[[#This Row],[Price (£)]]-letterprices23[[#This Row],[2007 value]]</f>
        <v>0.19699999999999995</v>
      </c>
      <c r="J9" s="9">
        <f>(letterprices23[[#This Row],[Workings]]/letterprices23[[#This Row],[2007 value]])*100</f>
        <v>39.797979797979785</v>
      </c>
      <c r="K9">
        <v>1</v>
      </c>
    </row>
    <row r="10" spans="1:12">
      <c r="A10">
        <f>YEAR(letterprices23[[#This Row],[Calendar Year v.2]])</f>
        <v>2017</v>
      </c>
      <c r="B10" s="7">
        <v>42821</v>
      </c>
      <c r="C10" t="s">
        <v>1</v>
      </c>
      <c r="D10" t="s">
        <v>62</v>
      </c>
      <c r="E10" t="s">
        <v>63</v>
      </c>
      <c r="F10" t="s">
        <v>64</v>
      </c>
      <c r="G10" s="2">
        <v>0.69499999999999995</v>
      </c>
      <c r="H10" s="2">
        <f>G2</f>
        <v>0.495</v>
      </c>
      <c r="I10">
        <f>letterprices23[[#This Row],[Price (£)]]-letterprices23[[#This Row],[2007 value]]</f>
        <v>0.19999999999999996</v>
      </c>
      <c r="J10" s="9">
        <f>(letterprices23[[#This Row],[Workings]]/letterprices23[[#This Row],[2007 value]])*100</f>
        <v>40.404040404040401</v>
      </c>
      <c r="K10">
        <v>1</v>
      </c>
    </row>
    <row r="11" spans="1:12">
      <c r="A11">
        <f>YEAR(letterprices23[[#This Row],[Calendar Year v.2]])</f>
        <v>2018</v>
      </c>
      <c r="B11" s="7">
        <v>43185</v>
      </c>
      <c r="C11" t="s">
        <v>1</v>
      </c>
      <c r="D11" t="s">
        <v>62</v>
      </c>
      <c r="E11" t="s">
        <v>63</v>
      </c>
      <c r="F11" t="s">
        <v>64</v>
      </c>
      <c r="G11" s="2">
        <v>0.69699999999999995</v>
      </c>
      <c r="H11" s="2">
        <f>G2</f>
        <v>0.495</v>
      </c>
      <c r="I11">
        <f>letterprices23[[#This Row],[Price (£)]]-letterprices23[[#This Row],[2007 value]]</f>
        <v>0.20199999999999996</v>
      </c>
      <c r="J11" s="9">
        <f>(letterprices23[[#This Row],[Workings]]/letterprices23[[#This Row],[2007 value]])*100</f>
        <v>40.808080808080796</v>
      </c>
      <c r="K11">
        <v>1</v>
      </c>
    </row>
    <row r="12" spans="1:12">
      <c r="A12">
        <f>YEAR(letterprices23[[#This Row],[Calendar Year v.2]])</f>
        <v>2019</v>
      </c>
      <c r="B12" s="7">
        <v>43549</v>
      </c>
      <c r="C12" t="s">
        <v>1</v>
      </c>
      <c r="D12" t="s">
        <v>62</v>
      </c>
      <c r="E12" t="s">
        <v>63</v>
      </c>
      <c r="F12" t="s">
        <v>64</v>
      </c>
      <c r="G12" s="2">
        <v>0.71199999999999997</v>
      </c>
      <c r="H12" s="2">
        <f>G2</f>
        <v>0.495</v>
      </c>
      <c r="I12">
        <f>letterprices23[[#This Row],[Price (£)]]-letterprices23[[#This Row],[2007 value]]</f>
        <v>0.21699999999999997</v>
      </c>
      <c r="J12" s="9">
        <f>(letterprices23[[#This Row],[Workings]]/letterprices23[[#This Row],[2007 value]])*100</f>
        <v>43.838383838383834</v>
      </c>
      <c r="K12">
        <v>1</v>
      </c>
    </row>
    <row r="13" spans="1:12">
      <c r="A13">
        <f>YEAR(letterprices23[[#This Row],[Calendar Year v.2]])</f>
        <v>2020</v>
      </c>
      <c r="B13" s="7">
        <v>43913</v>
      </c>
      <c r="C13" t="s">
        <v>1</v>
      </c>
      <c r="D13" t="s">
        <v>62</v>
      </c>
      <c r="E13" t="s">
        <v>63</v>
      </c>
      <c r="F13" t="s">
        <v>64</v>
      </c>
      <c r="G13" s="2">
        <v>0.76</v>
      </c>
      <c r="H13" s="2">
        <f>G2</f>
        <v>0.495</v>
      </c>
      <c r="I13">
        <f>letterprices23[[#This Row],[Price (£)]]-letterprices23[[#This Row],[2007 value]]</f>
        <v>0.26500000000000001</v>
      </c>
      <c r="J13" s="9">
        <f>(letterprices23[[#This Row],[Workings]]/letterprices23[[#This Row],[2007 value]])*100</f>
        <v>53.535353535353536</v>
      </c>
      <c r="K13">
        <v>1</v>
      </c>
    </row>
    <row r="14" spans="1:12">
      <c r="A14">
        <v>2021</v>
      </c>
      <c r="B14" s="7">
        <v>44284</v>
      </c>
      <c r="C14" t="s">
        <v>1</v>
      </c>
      <c r="D14" t="s">
        <v>62</v>
      </c>
      <c r="E14" t="s">
        <v>63</v>
      </c>
      <c r="F14" t="s">
        <v>64</v>
      </c>
      <c r="G14" s="2">
        <f>'[1]Standard Letter Prices'!$R$19*10^-2</f>
        <v>0.85</v>
      </c>
      <c r="H14" s="2">
        <f>G2</f>
        <v>0.495</v>
      </c>
      <c r="I14">
        <f>letterprices23[[#This Row],[Price (£)]]-letterprices23[[#This Row],[2007 value]]</f>
        <v>0.35499999999999998</v>
      </c>
      <c r="J14" s="9">
        <f>(letterprices23[[#This Row],[Workings]]/letterprices23[[#This Row],[2007 value]])*100</f>
        <v>71.717171717171709</v>
      </c>
      <c r="K14">
        <v>1</v>
      </c>
    </row>
    <row r="15" spans="1:12">
      <c r="A15">
        <f>YEAR(letterprices23[[#This Row],[Calendar Year v.2]])</f>
        <v>2009</v>
      </c>
      <c r="B15" s="7">
        <v>39909</v>
      </c>
      <c r="C15" t="s">
        <v>66</v>
      </c>
      <c r="D15" t="s">
        <v>62</v>
      </c>
      <c r="E15" t="s">
        <v>63</v>
      </c>
      <c r="F15" t="s">
        <v>67</v>
      </c>
      <c r="G15" s="2">
        <v>0.45700000000000002</v>
      </c>
      <c r="H15" s="2">
        <f>letterprices23[[#This Row],[Price (£)]]</f>
        <v>0.45700000000000002</v>
      </c>
      <c r="I15">
        <f>letterprices23[[#This Row],[Price (£)]]-letterprices23[[#This Row],[2007 value]]</f>
        <v>0</v>
      </c>
      <c r="J15" s="9">
        <f>(letterprices23[[#This Row],[Workings]]/letterprices23[[#This Row],[2007 value]])*100</f>
        <v>0</v>
      </c>
      <c r="K15">
        <v>3</v>
      </c>
    </row>
    <row r="16" spans="1:12">
      <c r="A16">
        <f>YEAR(letterprices23[[#This Row],[Calendar Year v.2]])</f>
        <v>2010</v>
      </c>
      <c r="B16" s="7">
        <v>40274</v>
      </c>
      <c r="C16" t="s">
        <v>66</v>
      </c>
      <c r="D16" t="s">
        <v>62</v>
      </c>
      <c r="E16" t="s">
        <v>63</v>
      </c>
      <c r="F16" t="s">
        <v>67</v>
      </c>
      <c r="G16" s="2">
        <v>0.44600000000000001</v>
      </c>
      <c r="H16" s="2">
        <f>G15</f>
        <v>0.45700000000000002</v>
      </c>
      <c r="I16">
        <f>letterprices23[[#This Row],[Price (£)]]-letterprices23[[#This Row],[2007 value]]</f>
        <v>-1.100000000000001E-2</v>
      </c>
      <c r="J16" s="9">
        <f>(letterprices23[[#This Row],[Workings]]/letterprices23[[#This Row],[2007 value]])*100</f>
        <v>-2.4070021881838097</v>
      </c>
      <c r="K16">
        <v>3</v>
      </c>
    </row>
    <row r="17" spans="1:11">
      <c r="A17">
        <f>YEAR(letterprices23[[#This Row],[Calendar Year v.2]])</f>
        <v>2011</v>
      </c>
      <c r="B17" s="7">
        <v>40637</v>
      </c>
      <c r="C17" t="s">
        <v>66</v>
      </c>
      <c r="D17" t="s">
        <v>62</v>
      </c>
      <c r="E17" t="s">
        <v>63</v>
      </c>
      <c r="F17" t="s">
        <v>67</v>
      </c>
      <c r="G17" s="2">
        <v>0.46700000000000003</v>
      </c>
      <c r="H17" s="2">
        <f>G15</f>
        <v>0.45700000000000002</v>
      </c>
      <c r="I17">
        <f>letterprices23[[#This Row],[Price (£)]]-letterprices23[[#This Row],[2007 value]]</f>
        <v>1.0000000000000009E-2</v>
      </c>
      <c r="J17" s="9">
        <f>(letterprices23[[#This Row],[Workings]]/letterprices23[[#This Row],[2007 value]])*100</f>
        <v>2.188183807439827</v>
      </c>
      <c r="K17">
        <v>3</v>
      </c>
    </row>
    <row r="18" spans="1:11">
      <c r="A18">
        <f>YEAR(letterprices23[[#This Row],[Calendar Year v.2]])</f>
        <v>2012</v>
      </c>
      <c r="B18" s="7">
        <v>41029</v>
      </c>
      <c r="C18" t="s">
        <v>66</v>
      </c>
      <c r="D18" t="s">
        <v>62</v>
      </c>
      <c r="E18" t="s">
        <v>63</v>
      </c>
      <c r="F18" t="s">
        <v>67</v>
      </c>
      <c r="G18" s="2">
        <v>0.505</v>
      </c>
      <c r="H18" s="2">
        <f>G15</f>
        <v>0.45700000000000002</v>
      </c>
      <c r="I18">
        <f>letterprices23[[#This Row],[Price (£)]]-letterprices23[[#This Row],[2007 value]]</f>
        <v>4.7999999999999987E-2</v>
      </c>
      <c r="J18" s="9">
        <f>(letterprices23[[#This Row],[Workings]]/letterprices23[[#This Row],[2007 value]])*100</f>
        <v>10.503282275711157</v>
      </c>
      <c r="K18">
        <v>3</v>
      </c>
    </row>
    <row r="19" spans="1:11">
      <c r="A19">
        <f>YEAR(letterprices23[[#This Row],[Calendar Year v.2]])</f>
        <v>2013</v>
      </c>
      <c r="B19" s="7">
        <v>41365</v>
      </c>
      <c r="C19" t="s">
        <v>66</v>
      </c>
      <c r="D19" t="s">
        <v>62</v>
      </c>
      <c r="E19" t="s">
        <v>63</v>
      </c>
      <c r="F19" t="s">
        <v>67</v>
      </c>
      <c r="G19" s="2">
        <v>0.52600000000000002</v>
      </c>
      <c r="H19" s="2">
        <f>G15</f>
        <v>0.45700000000000002</v>
      </c>
      <c r="I19">
        <f>letterprices23[[#This Row],[Price (£)]]-letterprices23[[#This Row],[2007 value]]</f>
        <v>6.9000000000000006E-2</v>
      </c>
      <c r="J19" s="9">
        <f>(letterprices23[[#This Row],[Workings]]/letterprices23[[#This Row],[2007 value]])*100</f>
        <v>15.098468271334792</v>
      </c>
      <c r="K19">
        <v>3</v>
      </c>
    </row>
    <row r="20" spans="1:11">
      <c r="A20">
        <f>YEAR(letterprices23[[#This Row],[Calendar Year v.2]])</f>
        <v>2014</v>
      </c>
      <c r="B20" s="7">
        <v>41729</v>
      </c>
      <c r="C20" t="s">
        <v>66</v>
      </c>
      <c r="D20" t="s">
        <v>62</v>
      </c>
      <c r="E20" t="s">
        <v>63</v>
      </c>
      <c r="F20" t="s">
        <v>67</v>
      </c>
      <c r="G20" s="2">
        <v>0.54700000000000004</v>
      </c>
      <c r="H20" s="2">
        <f>G15</f>
        <v>0.45700000000000002</v>
      </c>
      <c r="I20">
        <f>letterprices23[[#This Row],[Price (£)]]-letterprices23[[#This Row],[2007 value]]</f>
        <v>9.0000000000000024E-2</v>
      </c>
      <c r="J20" s="9">
        <f>(letterprices23[[#This Row],[Workings]]/letterprices23[[#This Row],[2007 value]])*100</f>
        <v>19.693654266958429</v>
      </c>
      <c r="K20">
        <v>3</v>
      </c>
    </row>
    <row r="21" spans="1:11">
      <c r="A21">
        <f>YEAR(letterprices23[[#This Row],[Calendar Year v.2]])</f>
        <v>2015</v>
      </c>
      <c r="B21" s="7">
        <v>42093</v>
      </c>
      <c r="C21" t="s">
        <v>66</v>
      </c>
      <c r="D21" t="s">
        <v>62</v>
      </c>
      <c r="E21" t="s">
        <v>63</v>
      </c>
      <c r="F21" t="s">
        <v>67</v>
      </c>
      <c r="G21" s="2">
        <v>0.56299999999999994</v>
      </c>
      <c r="H21" s="2">
        <f>G15</f>
        <v>0.45700000000000002</v>
      </c>
      <c r="I21">
        <f>letterprices23[[#This Row],[Price (£)]]-letterprices23[[#This Row],[2007 value]]</f>
        <v>0.10599999999999993</v>
      </c>
      <c r="J21" s="9">
        <f>(letterprices23[[#This Row],[Workings]]/letterprices23[[#This Row],[2007 value]])*100</f>
        <v>23.194748358862128</v>
      </c>
      <c r="K21">
        <v>3</v>
      </c>
    </row>
    <row r="22" spans="1:11">
      <c r="A22">
        <f>YEAR(letterprices23[[#This Row],[Calendar Year v.2]])</f>
        <v>2016</v>
      </c>
      <c r="B22" s="7">
        <v>42458</v>
      </c>
      <c r="C22" t="s">
        <v>66</v>
      </c>
      <c r="D22" t="s">
        <v>62</v>
      </c>
      <c r="E22" t="s">
        <v>63</v>
      </c>
      <c r="F22" t="s">
        <v>67</v>
      </c>
      <c r="G22" s="2">
        <v>0.57299999999999995</v>
      </c>
      <c r="H22" s="2">
        <f>G15</f>
        <v>0.45700000000000002</v>
      </c>
      <c r="I22">
        <f>letterprices23[[#This Row],[Price (£)]]-letterprices23[[#This Row],[2007 value]]</f>
        <v>0.11599999999999994</v>
      </c>
      <c r="J22" s="9">
        <f>(letterprices23[[#This Row],[Workings]]/letterprices23[[#This Row],[2007 value]])*100</f>
        <v>25.382932166301952</v>
      </c>
      <c r="K22">
        <v>3</v>
      </c>
    </row>
    <row r="23" spans="1:11">
      <c r="A23">
        <f>YEAR(letterprices23[[#This Row],[Calendar Year v.2]])</f>
        <v>2017</v>
      </c>
      <c r="B23" s="7">
        <v>42821</v>
      </c>
      <c r="C23" t="s">
        <v>66</v>
      </c>
      <c r="D23" t="s">
        <v>62</v>
      </c>
      <c r="E23" t="s">
        <v>63</v>
      </c>
      <c r="F23" t="s">
        <v>67</v>
      </c>
      <c r="G23" s="2">
        <v>0.61</v>
      </c>
      <c r="H23" s="2">
        <f>G15</f>
        <v>0.45700000000000002</v>
      </c>
      <c r="I23">
        <f>letterprices23[[#This Row],[Price (£)]]-letterprices23[[#This Row],[2007 value]]</f>
        <v>0.15299999999999997</v>
      </c>
      <c r="J23" s="9">
        <f>(letterprices23[[#This Row],[Workings]]/letterprices23[[#This Row],[2007 value]])*100</f>
        <v>33.479212253829317</v>
      </c>
      <c r="K23">
        <v>3</v>
      </c>
    </row>
    <row r="24" spans="1:11">
      <c r="A24">
        <f>YEAR(letterprices23[[#This Row],[Calendar Year v.2]])</f>
        <v>2018</v>
      </c>
      <c r="B24" s="7">
        <v>43185</v>
      </c>
      <c r="C24" t="s">
        <v>66</v>
      </c>
      <c r="D24" t="s">
        <v>62</v>
      </c>
      <c r="E24" t="s">
        <v>63</v>
      </c>
      <c r="F24" t="s">
        <v>67</v>
      </c>
      <c r="G24" s="2">
        <v>0.624</v>
      </c>
      <c r="H24" s="2">
        <f>G15</f>
        <v>0.45700000000000002</v>
      </c>
      <c r="I24">
        <f>letterprices23[[#This Row],[Price (£)]]-letterprices23[[#This Row],[2007 value]]</f>
        <v>0.16699999999999998</v>
      </c>
      <c r="J24" s="9">
        <f>(letterprices23[[#This Row],[Workings]]/letterprices23[[#This Row],[2007 value]])*100</f>
        <v>36.542669584245068</v>
      </c>
      <c r="K24">
        <v>3</v>
      </c>
    </row>
    <row r="25" spans="1:11">
      <c r="A25">
        <f>YEAR(letterprices23[[#This Row],[Calendar Year v.2]])</f>
        <v>2019</v>
      </c>
      <c r="B25" s="7">
        <v>43549</v>
      </c>
      <c r="C25" t="s">
        <v>66</v>
      </c>
      <c r="D25" t="s">
        <v>62</v>
      </c>
      <c r="E25" t="s">
        <v>63</v>
      </c>
      <c r="F25" t="s">
        <v>67</v>
      </c>
      <c r="G25" s="2">
        <v>0.65100000000000002</v>
      </c>
      <c r="H25" s="2">
        <f>G15</f>
        <v>0.45700000000000002</v>
      </c>
      <c r="I25">
        <f>letterprices23[[#This Row],[Price (£)]]-letterprices23[[#This Row],[2007 value]]</f>
        <v>0.19400000000000001</v>
      </c>
      <c r="J25" s="9">
        <f>(letterprices23[[#This Row],[Workings]]/letterprices23[[#This Row],[2007 value]])*100</f>
        <v>42.450765864332602</v>
      </c>
      <c r="K25">
        <v>3</v>
      </c>
    </row>
    <row r="26" spans="1:11">
      <c r="A26">
        <f>YEAR(letterprices23[[#This Row],[Calendar Year v.2]])</f>
        <v>2020</v>
      </c>
      <c r="B26" s="7">
        <v>43913</v>
      </c>
      <c r="C26" t="s">
        <v>66</v>
      </c>
      <c r="D26" t="s">
        <v>62</v>
      </c>
      <c r="E26" t="s">
        <v>63</v>
      </c>
      <c r="F26" t="s">
        <v>67</v>
      </c>
      <c r="G26" s="2">
        <v>0.69</v>
      </c>
      <c r="H26" s="2">
        <f>G15</f>
        <v>0.45700000000000002</v>
      </c>
      <c r="I26">
        <f>letterprices23[[#This Row],[Price (£)]]-letterprices23[[#This Row],[2007 value]]</f>
        <v>0.23299999999999993</v>
      </c>
      <c r="J26" s="9">
        <f>(letterprices23[[#This Row],[Workings]]/letterprices23[[#This Row],[2007 value]])*100</f>
        <v>50.984682713347908</v>
      </c>
      <c r="K26">
        <v>3</v>
      </c>
    </row>
    <row r="27" spans="1:11">
      <c r="A27">
        <v>2021</v>
      </c>
      <c r="B27" s="7">
        <v>44284</v>
      </c>
      <c r="C27" t="s">
        <v>66</v>
      </c>
      <c r="D27" t="s">
        <v>62</v>
      </c>
      <c r="E27" t="s">
        <v>63</v>
      </c>
      <c r="F27" t="s">
        <v>67</v>
      </c>
      <c r="G27" s="2">
        <f>'[1]Standard Letter Prices'!$R$20*10^-2</f>
        <v>0.77</v>
      </c>
      <c r="H27" s="2">
        <f>G15</f>
        <v>0.45700000000000002</v>
      </c>
      <c r="I27">
        <f>letterprices23[[#This Row],[Price (£)]]-letterprices23[[#This Row],[2007 value]]</f>
        <v>0.313</v>
      </c>
      <c r="J27" s="9">
        <f>(letterprices23[[#This Row],[Workings]]/letterprices23[[#This Row],[2007 value]])*100</f>
        <v>68.490153172866513</v>
      </c>
      <c r="K27">
        <v>3</v>
      </c>
    </row>
    <row r="28" spans="1:11">
      <c r="A28">
        <f>YEAR(letterprices23[[#This Row],[Calendar Year v.2]])</f>
        <v>2009</v>
      </c>
      <c r="B28" s="7">
        <v>39909</v>
      </c>
      <c r="C28" t="s">
        <v>2</v>
      </c>
      <c r="D28" t="s">
        <v>62</v>
      </c>
      <c r="E28" t="s">
        <v>68</v>
      </c>
      <c r="F28" t="s">
        <v>64</v>
      </c>
      <c r="G28" s="2">
        <v>0.38</v>
      </c>
      <c r="H28" s="2">
        <f>letterprices23[[#This Row],[Price (£)]]</f>
        <v>0.38</v>
      </c>
      <c r="I28">
        <f>letterprices23[[#This Row],[Price (£)]]-letterprices23[[#This Row],[2007 value]]</f>
        <v>0</v>
      </c>
      <c r="J28" s="9">
        <f>(letterprices23[[#This Row],[Workings]]/letterprices23[[#This Row],[2007 value]])*100</f>
        <v>0</v>
      </c>
      <c r="K28">
        <v>2</v>
      </c>
    </row>
    <row r="29" spans="1:11">
      <c r="A29">
        <f>YEAR(letterprices23[[#This Row],[Calendar Year v.2]])</f>
        <v>2010</v>
      </c>
      <c r="B29" s="7">
        <v>40274</v>
      </c>
      <c r="C29" t="s">
        <v>2</v>
      </c>
      <c r="D29" t="s">
        <v>62</v>
      </c>
      <c r="E29" t="s">
        <v>68</v>
      </c>
      <c r="F29" t="s">
        <v>64</v>
      </c>
      <c r="G29" s="2">
        <v>0.39700000000000002</v>
      </c>
      <c r="H29" s="2">
        <f>G28</f>
        <v>0.38</v>
      </c>
      <c r="I29">
        <f>letterprices23[[#This Row],[Price (£)]]-letterprices23[[#This Row],[2007 value]]</f>
        <v>1.7000000000000015E-2</v>
      </c>
      <c r="J29" s="9">
        <f>(letterprices23[[#This Row],[Workings]]/letterprices23[[#This Row],[2007 value]])*100</f>
        <v>4.4736842105263204</v>
      </c>
      <c r="K29">
        <v>2</v>
      </c>
    </row>
    <row r="30" spans="1:11">
      <c r="A30">
        <f>YEAR(letterprices23[[#This Row],[Calendar Year v.2]])</f>
        <v>2011</v>
      </c>
      <c r="B30" s="7">
        <v>40637</v>
      </c>
      <c r="C30" t="s">
        <v>2</v>
      </c>
      <c r="D30" t="s">
        <v>62</v>
      </c>
      <c r="E30" t="s">
        <v>68</v>
      </c>
      <c r="F30" t="s">
        <v>64</v>
      </c>
      <c r="G30" s="2">
        <v>0.43099999999999999</v>
      </c>
      <c r="H30" s="2">
        <f>G28</f>
        <v>0.38</v>
      </c>
      <c r="I30">
        <f>letterprices23[[#This Row],[Price (£)]]-letterprices23[[#This Row],[2007 value]]</f>
        <v>5.099999999999999E-2</v>
      </c>
      <c r="J30" s="9">
        <f>(letterprices23[[#This Row],[Workings]]/letterprices23[[#This Row],[2007 value]])*100</f>
        <v>13.421052631578945</v>
      </c>
      <c r="K30">
        <v>2</v>
      </c>
    </row>
    <row r="31" spans="1:11">
      <c r="A31">
        <f>YEAR(letterprices23[[#This Row],[Calendar Year v.2]])</f>
        <v>2012</v>
      </c>
      <c r="B31" s="7">
        <v>41029</v>
      </c>
      <c r="C31" t="s">
        <v>2</v>
      </c>
      <c r="D31" t="s">
        <v>62</v>
      </c>
      <c r="E31" t="s">
        <v>68</v>
      </c>
      <c r="F31" t="s">
        <v>64</v>
      </c>
      <c r="G31" s="2">
        <v>0.57399999999999995</v>
      </c>
      <c r="H31" s="2">
        <f>G28</f>
        <v>0.38</v>
      </c>
      <c r="I31">
        <f>letterprices23[[#This Row],[Price (£)]]-letterprices23[[#This Row],[2007 value]]</f>
        <v>0.19399999999999995</v>
      </c>
      <c r="J31" s="9">
        <f>(letterprices23[[#This Row],[Workings]]/letterprices23[[#This Row],[2007 value]])*100</f>
        <v>51.052631578947349</v>
      </c>
      <c r="K31">
        <v>2</v>
      </c>
    </row>
    <row r="32" spans="1:11">
      <c r="A32">
        <f>YEAR(letterprices23[[#This Row],[Calendar Year v.2]])</f>
        <v>2013</v>
      </c>
      <c r="B32" s="7">
        <v>41365</v>
      </c>
      <c r="C32" t="s">
        <v>2</v>
      </c>
      <c r="D32" t="s">
        <v>62</v>
      </c>
      <c r="E32" t="s">
        <v>68</v>
      </c>
      <c r="F32" t="s">
        <v>64</v>
      </c>
      <c r="G32" s="2">
        <v>0.56000000000000005</v>
      </c>
      <c r="H32" s="2">
        <f>G28</f>
        <v>0.38</v>
      </c>
      <c r="I32">
        <f>letterprices23[[#This Row],[Price (£)]]-letterprices23[[#This Row],[2007 value]]</f>
        <v>0.18000000000000005</v>
      </c>
      <c r="J32" s="9">
        <f>(letterprices23[[#This Row],[Workings]]/letterprices23[[#This Row],[2007 value]])*100</f>
        <v>47.368421052631589</v>
      </c>
      <c r="K32">
        <v>2</v>
      </c>
    </row>
    <row r="33" spans="1:11">
      <c r="A33">
        <f>YEAR(letterprices23[[#This Row],[Calendar Year v.2]])</f>
        <v>2014</v>
      </c>
      <c r="B33" s="7">
        <v>41729</v>
      </c>
      <c r="C33" t="s">
        <v>2</v>
      </c>
      <c r="D33" t="s">
        <v>62</v>
      </c>
      <c r="E33" t="s">
        <v>68</v>
      </c>
      <c r="F33" t="s">
        <v>64</v>
      </c>
      <c r="G33" s="2">
        <v>0.57999999999999996</v>
      </c>
      <c r="H33" s="2">
        <f>G28</f>
        <v>0.38</v>
      </c>
      <c r="I33">
        <f>letterprices23[[#This Row],[Price (£)]]-letterprices23[[#This Row],[2007 value]]</f>
        <v>0.19999999999999996</v>
      </c>
      <c r="J33" s="9">
        <f>(letterprices23[[#This Row],[Workings]]/letterprices23[[#This Row],[2007 value]])*100</f>
        <v>52.631578947368411</v>
      </c>
      <c r="K33">
        <v>2</v>
      </c>
    </row>
    <row r="34" spans="1:11">
      <c r="A34">
        <f>YEAR(letterprices23[[#This Row],[Calendar Year v.2]])</f>
        <v>2015</v>
      </c>
      <c r="B34" s="7">
        <v>42093</v>
      </c>
      <c r="C34" t="s">
        <v>2</v>
      </c>
      <c r="D34" t="s">
        <v>62</v>
      </c>
      <c r="E34" t="s">
        <v>68</v>
      </c>
      <c r="F34" t="s">
        <v>64</v>
      </c>
      <c r="G34" s="2">
        <v>0.58499999999999996</v>
      </c>
      <c r="H34" s="2">
        <f>G28</f>
        <v>0.38</v>
      </c>
      <c r="I34">
        <f>letterprices23[[#This Row],[Price (£)]]-letterprices23[[#This Row],[2007 value]]</f>
        <v>0.20499999999999996</v>
      </c>
      <c r="J34" s="9">
        <f>(letterprices23[[#This Row],[Workings]]/letterprices23[[#This Row],[2007 value]])*100</f>
        <v>53.947368421052623</v>
      </c>
      <c r="K34">
        <v>2</v>
      </c>
    </row>
    <row r="35" spans="1:11">
      <c r="A35">
        <f>YEAR(letterprices23[[#This Row],[Calendar Year v.2]])</f>
        <v>2016</v>
      </c>
      <c r="B35" s="7">
        <v>42458</v>
      </c>
      <c r="C35" t="s">
        <v>2</v>
      </c>
      <c r="D35" t="s">
        <v>62</v>
      </c>
      <c r="E35" t="s">
        <v>68</v>
      </c>
      <c r="F35" t="s">
        <v>64</v>
      </c>
      <c r="G35" s="2">
        <v>0.59499999999999997</v>
      </c>
      <c r="H35" s="2">
        <f>G28</f>
        <v>0.38</v>
      </c>
      <c r="I35">
        <f>letterprices23[[#This Row],[Price (£)]]-letterprices23[[#This Row],[2007 value]]</f>
        <v>0.21499999999999997</v>
      </c>
      <c r="J35" s="9">
        <f>(letterprices23[[#This Row],[Workings]]/letterprices23[[#This Row],[2007 value]])*100</f>
        <v>56.578947368421041</v>
      </c>
      <c r="K35">
        <v>2</v>
      </c>
    </row>
    <row r="36" spans="1:11">
      <c r="A36">
        <f>YEAR(letterprices23[[#This Row],[Calendar Year v.2]])</f>
        <v>2017</v>
      </c>
      <c r="B36" s="7">
        <v>42821</v>
      </c>
      <c r="C36" t="s">
        <v>2</v>
      </c>
      <c r="D36" t="s">
        <v>62</v>
      </c>
      <c r="E36" t="s">
        <v>68</v>
      </c>
      <c r="F36" t="s">
        <v>64</v>
      </c>
      <c r="G36" s="2">
        <v>0.59899999999999998</v>
      </c>
      <c r="H36" s="2">
        <f>G28</f>
        <v>0.38</v>
      </c>
      <c r="I36">
        <f>letterprices23[[#This Row],[Price (£)]]-letterprices23[[#This Row],[2007 value]]</f>
        <v>0.21899999999999997</v>
      </c>
      <c r="J36" s="9">
        <f>(letterprices23[[#This Row],[Workings]]/letterprices23[[#This Row],[2007 value]])*100</f>
        <v>57.631578947368411</v>
      </c>
      <c r="K36">
        <v>2</v>
      </c>
    </row>
    <row r="37" spans="1:11">
      <c r="A37">
        <f>YEAR(letterprices23[[#This Row],[Calendar Year v.2]])</f>
        <v>2018</v>
      </c>
      <c r="B37" s="7">
        <v>43185</v>
      </c>
      <c r="C37" t="s">
        <v>2</v>
      </c>
      <c r="D37" t="s">
        <v>62</v>
      </c>
      <c r="E37" t="s">
        <v>68</v>
      </c>
      <c r="F37" t="s">
        <v>64</v>
      </c>
      <c r="G37" s="2">
        <v>0.60299999999999998</v>
      </c>
      <c r="H37" s="2">
        <f>G28</f>
        <v>0.38</v>
      </c>
      <c r="I37">
        <f>letterprices23[[#This Row],[Price (£)]]-letterprices23[[#This Row],[2007 value]]</f>
        <v>0.22299999999999998</v>
      </c>
      <c r="J37" s="9">
        <f>(letterprices23[[#This Row],[Workings]]/letterprices23[[#This Row],[2007 value]])*100</f>
        <v>58.68421052631578</v>
      </c>
      <c r="K37">
        <v>2</v>
      </c>
    </row>
    <row r="38" spans="1:11">
      <c r="A38">
        <f>YEAR(letterprices23[[#This Row],[Calendar Year v.2]])</f>
        <v>2019</v>
      </c>
      <c r="B38" s="7">
        <v>43549</v>
      </c>
      <c r="C38" t="s">
        <v>2</v>
      </c>
      <c r="D38" t="s">
        <v>62</v>
      </c>
      <c r="E38" t="s">
        <v>68</v>
      </c>
      <c r="F38" t="s">
        <v>64</v>
      </c>
      <c r="G38" s="2">
        <v>0.621</v>
      </c>
      <c r="H38" s="2">
        <f>G28</f>
        <v>0.38</v>
      </c>
      <c r="I38">
        <f>letterprices23[[#This Row],[Price (£)]]-letterprices23[[#This Row],[2007 value]]</f>
        <v>0.24099999999999999</v>
      </c>
      <c r="J38" s="9">
        <f>(letterprices23[[#This Row],[Workings]]/letterprices23[[#This Row],[2007 value]])*100</f>
        <v>63.421052631578945</v>
      </c>
      <c r="K38">
        <v>2</v>
      </c>
    </row>
    <row r="39" spans="1:11">
      <c r="A39">
        <f>YEAR(letterprices23[[#This Row],[Calendar Year v.2]])</f>
        <v>2020</v>
      </c>
      <c r="B39" s="7">
        <v>43913</v>
      </c>
      <c r="C39" t="s">
        <v>2</v>
      </c>
      <c r="D39" t="s">
        <v>62</v>
      </c>
      <c r="E39" t="s">
        <v>68</v>
      </c>
      <c r="F39" t="s">
        <v>64</v>
      </c>
      <c r="G39" s="2">
        <v>0.65</v>
      </c>
      <c r="H39" s="2">
        <f>G28</f>
        <v>0.38</v>
      </c>
      <c r="I39">
        <f>letterprices23[[#This Row],[Price (£)]]-letterprices23[[#This Row],[2007 value]]</f>
        <v>0.27</v>
      </c>
      <c r="J39" s="9">
        <f>(letterprices23[[#This Row],[Workings]]/letterprices23[[#This Row],[2007 value]])*100</f>
        <v>71.05263157894737</v>
      </c>
      <c r="K39">
        <v>2</v>
      </c>
    </row>
    <row r="40" spans="1:11">
      <c r="A40">
        <v>2021</v>
      </c>
      <c r="B40" s="7">
        <v>44284</v>
      </c>
      <c r="C40" t="s">
        <v>2</v>
      </c>
      <c r="D40" t="s">
        <v>62</v>
      </c>
      <c r="E40" t="s">
        <v>68</v>
      </c>
      <c r="F40" t="s">
        <v>64</v>
      </c>
      <c r="G40" s="2">
        <f>'[1]Standard Letter Prices'!$R$21*10^-2</f>
        <v>0.66</v>
      </c>
      <c r="H40" s="2">
        <f>G28</f>
        <v>0.38</v>
      </c>
      <c r="I40">
        <f>letterprices23[[#This Row],[Price (£)]]-letterprices23[[#This Row],[2007 value]]</f>
        <v>0.28000000000000003</v>
      </c>
      <c r="J40" s="9">
        <f>(letterprices23[[#This Row],[Workings]]/letterprices23[[#This Row],[2007 value]])*100</f>
        <v>73.684210526315795</v>
      </c>
      <c r="K40">
        <v>2</v>
      </c>
    </row>
    <row r="41" spans="1:11">
      <c r="A41">
        <f>YEAR(letterprices23[[#This Row],[Calendar Year v.2]])</f>
        <v>2009</v>
      </c>
      <c r="B41" s="7">
        <v>39909</v>
      </c>
      <c r="C41" t="s">
        <v>69</v>
      </c>
      <c r="D41" t="s">
        <v>62</v>
      </c>
      <c r="E41" t="s">
        <v>68</v>
      </c>
      <c r="F41" t="s">
        <v>67</v>
      </c>
      <c r="G41" s="2">
        <v>0.317</v>
      </c>
      <c r="H41" s="2">
        <f>letterprices23[[#This Row],[Price (£)]]</f>
        <v>0.317</v>
      </c>
      <c r="I41">
        <f>letterprices23[[#This Row],[Price (£)]]-letterprices23[[#This Row],[2007 value]]</f>
        <v>0</v>
      </c>
      <c r="J41" s="9">
        <f>(letterprices23[[#This Row],[Workings]]/letterprices23[[#This Row],[2007 value]])*100</f>
        <v>0</v>
      </c>
      <c r="K41">
        <v>4</v>
      </c>
    </row>
    <row r="42" spans="1:11">
      <c r="A42">
        <f>YEAR(letterprices23[[#This Row],[Calendar Year v.2]])</f>
        <v>2010</v>
      </c>
      <c r="B42" s="7">
        <v>40274</v>
      </c>
      <c r="C42" t="s">
        <v>69</v>
      </c>
      <c r="D42" t="s">
        <v>62</v>
      </c>
      <c r="E42" t="s">
        <v>68</v>
      </c>
      <c r="F42" t="s">
        <v>67</v>
      </c>
      <c r="G42" s="2">
        <v>0.31</v>
      </c>
      <c r="H42" s="2">
        <f>G41</f>
        <v>0.317</v>
      </c>
      <c r="I42">
        <f>letterprices23[[#This Row],[Price (£)]]-letterprices23[[#This Row],[2007 value]]</f>
        <v>-7.0000000000000062E-3</v>
      </c>
      <c r="J42" s="9">
        <f>(letterprices23[[#This Row],[Workings]]/letterprices23[[#This Row],[2007 value]])*100</f>
        <v>-2.2082018927444813</v>
      </c>
      <c r="K42">
        <v>4</v>
      </c>
    </row>
    <row r="43" spans="1:11">
      <c r="A43">
        <f>YEAR(letterprices23[[#This Row],[Calendar Year v.2]])</f>
        <v>2011</v>
      </c>
      <c r="B43" s="7">
        <v>40637</v>
      </c>
      <c r="C43" t="s">
        <v>69</v>
      </c>
      <c r="D43" t="s">
        <v>62</v>
      </c>
      <c r="E43" t="s">
        <v>68</v>
      </c>
      <c r="F43" t="s">
        <v>67</v>
      </c>
      <c r="G43" s="2">
        <v>0.33600000000000002</v>
      </c>
      <c r="H43" s="2">
        <f>G41</f>
        <v>0.317</v>
      </c>
      <c r="I43">
        <f>letterprices23[[#This Row],[Price (£)]]-letterprices23[[#This Row],[2007 value]]</f>
        <v>1.9000000000000017E-2</v>
      </c>
      <c r="J43" s="9">
        <f>(letterprices23[[#This Row],[Workings]]/letterprices23[[#This Row],[2007 value]])*100</f>
        <v>5.9936908517350211</v>
      </c>
      <c r="K43">
        <v>4</v>
      </c>
    </row>
    <row r="44" spans="1:11">
      <c r="A44">
        <f>YEAR(letterprices23[[#This Row],[Calendar Year v.2]])</f>
        <v>2012</v>
      </c>
      <c r="B44" s="7">
        <v>41029</v>
      </c>
      <c r="C44" t="s">
        <v>69</v>
      </c>
      <c r="D44" t="s">
        <v>62</v>
      </c>
      <c r="E44" t="s">
        <v>68</v>
      </c>
      <c r="F44" t="s">
        <v>67</v>
      </c>
      <c r="G44" s="2">
        <v>0.35599999999999998</v>
      </c>
      <c r="H44" s="2">
        <f>G41</f>
        <v>0.317</v>
      </c>
      <c r="I44">
        <f>letterprices23[[#This Row],[Price (£)]]-letterprices23[[#This Row],[2007 value]]</f>
        <v>3.8999999999999979E-2</v>
      </c>
      <c r="J44" s="9">
        <f>(letterprices23[[#This Row],[Workings]]/letterprices23[[#This Row],[2007 value]])*100</f>
        <v>12.302839116719236</v>
      </c>
      <c r="K44">
        <v>4</v>
      </c>
    </row>
    <row r="45" spans="1:11">
      <c r="A45">
        <f>YEAR(letterprices23[[#This Row],[Calendar Year v.2]])</f>
        <v>2013</v>
      </c>
      <c r="B45" s="7">
        <v>41365</v>
      </c>
      <c r="C45" t="s">
        <v>69</v>
      </c>
      <c r="D45" t="s">
        <v>62</v>
      </c>
      <c r="E45" t="s">
        <v>68</v>
      </c>
      <c r="F45" t="s">
        <v>67</v>
      </c>
      <c r="G45" s="2">
        <v>0.36899999999999999</v>
      </c>
      <c r="H45" s="2">
        <f>G41</f>
        <v>0.317</v>
      </c>
      <c r="I45">
        <f>letterprices23[[#This Row],[Price (£)]]-letterprices23[[#This Row],[2007 value]]</f>
        <v>5.1999999999999991E-2</v>
      </c>
      <c r="J45" s="9">
        <f>(letterprices23[[#This Row],[Workings]]/letterprices23[[#This Row],[2007 value]])*100</f>
        <v>16.403785488958988</v>
      </c>
      <c r="K45">
        <v>4</v>
      </c>
    </row>
    <row r="46" spans="1:11">
      <c r="A46">
        <f>YEAR(letterprices23[[#This Row],[Calendar Year v.2]])</f>
        <v>2014</v>
      </c>
      <c r="B46" s="7">
        <v>41729</v>
      </c>
      <c r="C46" t="s">
        <v>69</v>
      </c>
      <c r="D46" t="s">
        <v>62</v>
      </c>
      <c r="E46" t="s">
        <v>68</v>
      </c>
      <c r="F46" t="s">
        <v>67</v>
      </c>
      <c r="G46" s="2">
        <v>0.40500000000000003</v>
      </c>
      <c r="H46" s="2">
        <f>G41</f>
        <v>0.317</v>
      </c>
      <c r="I46">
        <f>letterprices23[[#This Row],[Price (£)]]-letterprices23[[#This Row],[2007 value]]</f>
        <v>8.8000000000000023E-2</v>
      </c>
      <c r="J46" s="9">
        <f>(letterprices23[[#This Row],[Workings]]/letterprices23[[#This Row],[2007 value]])*100</f>
        <v>27.760252365930604</v>
      </c>
      <c r="K46">
        <v>4</v>
      </c>
    </row>
    <row r="47" spans="1:11">
      <c r="A47">
        <f>YEAR(letterprices23[[#This Row],[Calendar Year v.2]])</f>
        <v>2015</v>
      </c>
      <c r="B47" s="7">
        <v>42093</v>
      </c>
      <c r="C47" t="s">
        <v>69</v>
      </c>
      <c r="D47" t="s">
        <v>62</v>
      </c>
      <c r="E47" t="s">
        <v>68</v>
      </c>
      <c r="F47" t="s">
        <v>67</v>
      </c>
      <c r="G47" s="2">
        <v>0.42199999999999999</v>
      </c>
      <c r="H47" s="2">
        <f>G41</f>
        <v>0.317</v>
      </c>
      <c r="I47">
        <f>letterprices23[[#This Row],[Price (£)]]-letterprices23[[#This Row],[2007 value]]</f>
        <v>0.10499999999999998</v>
      </c>
      <c r="J47" s="9">
        <f>(letterprices23[[#This Row],[Workings]]/letterprices23[[#This Row],[2007 value]])*100</f>
        <v>33.123028391167189</v>
      </c>
      <c r="K47">
        <v>4</v>
      </c>
    </row>
    <row r="48" spans="1:11">
      <c r="A48">
        <f>YEAR(letterprices23[[#This Row],[Calendar Year v.2]])</f>
        <v>2016</v>
      </c>
      <c r="B48" s="7">
        <v>42458</v>
      </c>
      <c r="C48" t="s">
        <v>69</v>
      </c>
      <c r="D48" t="s">
        <v>62</v>
      </c>
      <c r="E48" t="s">
        <v>68</v>
      </c>
      <c r="F48" t="s">
        <v>67</v>
      </c>
      <c r="G48" s="2">
        <v>0.433</v>
      </c>
      <c r="H48" s="2">
        <f>G41</f>
        <v>0.317</v>
      </c>
      <c r="I48">
        <f>letterprices23[[#This Row],[Price (£)]]-letterprices23[[#This Row],[2007 value]]</f>
        <v>0.11599999999999999</v>
      </c>
      <c r="J48" s="9">
        <f>(letterprices23[[#This Row],[Workings]]/letterprices23[[#This Row],[2007 value]])*100</f>
        <v>36.59305993690851</v>
      </c>
      <c r="K48">
        <v>4</v>
      </c>
    </row>
    <row r="49" spans="1:11">
      <c r="A49">
        <f>YEAR(letterprices23[[#This Row],[Calendar Year v.2]])</f>
        <v>2017</v>
      </c>
      <c r="B49" s="7">
        <v>42821</v>
      </c>
      <c r="C49" t="s">
        <v>69</v>
      </c>
      <c r="D49" t="s">
        <v>62</v>
      </c>
      <c r="E49" t="s">
        <v>68</v>
      </c>
      <c r="F49" t="s">
        <v>67</v>
      </c>
      <c r="G49" s="2">
        <v>0.439</v>
      </c>
      <c r="H49" s="2">
        <f>G41</f>
        <v>0.317</v>
      </c>
      <c r="I49">
        <f>letterprices23[[#This Row],[Price (£)]]-letterprices23[[#This Row],[2007 value]]</f>
        <v>0.122</v>
      </c>
      <c r="J49" s="9">
        <f>(letterprices23[[#This Row],[Workings]]/letterprices23[[#This Row],[2007 value]])*100</f>
        <v>38.485804416403788</v>
      </c>
      <c r="K49">
        <v>4</v>
      </c>
    </row>
    <row r="50" spans="1:11">
      <c r="A50">
        <f>YEAR(letterprices23[[#This Row],[Calendar Year v.2]])</f>
        <v>2018</v>
      </c>
      <c r="B50" s="7">
        <v>43185</v>
      </c>
      <c r="C50" t="s">
        <v>69</v>
      </c>
      <c r="D50" t="s">
        <v>62</v>
      </c>
      <c r="E50" t="s">
        <v>68</v>
      </c>
      <c r="F50" t="s">
        <v>67</v>
      </c>
      <c r="G50" s="2">
        <v>0.45800000000000002</v>
      </c>
      <c r="H50" s="2">
        <f>G41</f>
        <v>0.317</v>
      </c>
      <c r="I50">
        <f>letterprices23[[#This Row],[Price (£)]]-letterprices23[[#This Row],[2007 value]]</f>
        <v>0.14100000000000001</v>
      </c>
      <c r="J50" s="9">
        <f>(letterprices23[[#This Row],[Workings]]/letterprices23[[#This Row],[2007 value]])*100</f>
        <v>44.479495268138805</v>
      </c>
      <c r="K50">
        <v>4</v>
      </c>
    </row>
    <row r="51" spans="1:11">
      <c r="A51">
        <f>YEAR(letterprices23[[#This Row],[Calendar Year v.2]])</f>
        <v>2019</v>
      </c>
      <c r="B51" s="7">
        <v>43549</v>
      </c>
      <c r="C51" t="s">
        <v>69</v>
      </c>
      <c r="D51" t="s">
        <v>62</v>
      </c>
      <c r="E51" t="s">
        <v>68</v>
      </c>
      <c r="F51" t="s">
        <v>67</v>
      </c>
      <c r="G51" s="2">
        <v>0.47799999999999998</v>
      </c>
      <c r="H51" s="2">
        <f>G41</f>
        <v>0.317</v>
      </c>
      <c r="I51">
        <f>letterprices23[[#This Row],[Price (£)]]-letterprices23[[#This Row],[2007 value]]</f>
        <v>0.16099999999999998</v>
      </c>
      <c r="J51" s="9">
        <f>(letterprices23[[#This Row],[Workings]]/letterprices23[[#This Row],[2007 value]])*100</f>
        <v>50.788643533123022</v>
      </c>
      <c r="K51">
        <v>4</v>
      </c>
    </row>
    <row r="52" spans="1:11">
      <c r="A52">
        <f>YEAR(letterprices23[[#This Row],[Calendar Year v.2]])</f>
        <v>2020</v>
      </c>
      <c r="B52" s="7">
        <v>43913</v>
      </c>
      <c r="C52" t="s">
        <v>69</v>
      </c>
      <c r="D52" t="s">
        <v>62</v>
      </c>
      <c r="E52" t="s">
        <v>68</v>
      </c>
      <c r="F52" t="s">
        <v>67</v>
      </c>
      <c r="G52" s="2">
        <v>0.5</v>
      </c>
      <c r="H52" s="2">
        <f>G41</f>
        <v>0.317</v>
      </c>
      <c r="I52">
        <f>letterprices23[[#This Row],[Price (£)]]-letterprices23[[#This Row],[2007 value]]</f>
        <v>0.183</v>
      </c>
      <c r="J52" s="9">
        <f>(letterprices23[[#This Row],[Workings]]/letterprices23[[#This Row],[2007 value]])*100</f>
        <v>57.728706624605678</v>
      </c>
      <c r="K52">
        <v>4</v>
      </c>
    </row>
    <row r="53" spans="1:11">
      <c r="A53">
        <v>2021</v>
      </c>
      <c r="B53" s="7">
        <v>44197</v>
      </c>
      <c r="C53" t="s">
        <v>69</v>
      </c>
      <c r="D53" t="s">
        <v>62</v>
      </c>
      <c r="E53" t="s">
        <v>68</v>
      </c>
      <c r="F53" t="s">
        <v>67</v>
      </c>
      <c r="G53" s="2">
        <f>'[1]Standard Letter Prices'!$R$22*10^-2</f>
        <v>0.55000000000000004</v>
      </c>
      <c r="H53" s="2">
        <f>G41</f>
        <v>0.317</v>
      </c>
      <c r="I53">
        <f>letterprices23[[#This Row],[Price (£)]]-letterprices23[[#This Row],[2007 value]]</f>
        <v>0.23300000000000004</v>
      </c>
      <c r="J53" s="9">
        <f>(letterprices23[[#This Row],[Workings]]/letterprices23[[#This Row],[2007 value]])*100</f>
        <v>73.501577287066254</v>
      </c>
      <c r="K53">
        <v>4</v>
      </c>
    </row>
    <row r="54" spans="1:11">
      <c r="A54">
        <f>YEAR(letterprices23[[#This Row],[Calendar Year v.2]])</f>
        <v>2009</v>
      </c>
      <c r="B54" s="7">
        <v>39909</v>
      </c>
      <c r="C54" t="s">
        <v>3</v>
      </c>
      <c r="D54" t="s">
        <v>70</v>
      </c>
      <c r="E54" t="s">
        <v>63</v>
      </c>
      <c r="F54" t="s">
        <v>64</v>
      </c>
      <c r="G54" s="2">
        <v>0.93</v>
      </c>
      <c r="H54" s="2">
        <f>letterprices23[[#This Row],[Price (£)]]</f>
        <v>0.93</v>
      </c>
      <c r="I54">
        <f>letterprices23[[#This Row],[Price (£)]]-letterprices23[[#This Row],[2007 value]]</f>
        <v>0</v>
      </c>
      <c r="J54" s="9">
        <f>(letterprices23[[#This Row],[Workings]]/letterprices23[[#This Row],[2007 value]])*100</f>
        <v>0</v>
      </c>
      <c r="K54">
        <v>5</v>
      </c>
    </row>
    <row r="55" spans="1:11">
      <c r="A55">
        <f>YEAR(letterprices23[[#This Row],[Calendar Year v.2]])</f>
        <v>2010</v>
      </c>
      <c r="B55" s="7">
        <v>40274</v>
      </c>
      <c r="C55" t="s">
        <v>3</v>
      </c>
      <c r="D55" t="s">
        <v>70</v>
      </c>
      <c r="E55" t="s">
        <v>63</v>
      </c>
      <c r="F55" t="s">
        <v>64</v>
      </c>
      <c r="G55" s="2">
        <v>0.98</v>
      </c>
      <c r="H55" s="2">
        <f>G54</f>
        <v>0.93</v>
      </c>
      <c r="I55">
        <f>letterprices23[[#This Row],[Price (£)]]-letterprices23[[#This Row],[2007 value]]</f>
        <v>4.9999999999999933E-2</v>
      </c>
      <c r="J55" s="9">
        <f>(letterprices23[[#This Row],[Workings]]/letterprices23[[#This Row],[2007 value]])*100</f>
        <v>5.3763440860214979</v>
      </c>
      <c r="K55">
        <v>5</v>
      </c>
    </row>
    <row r="56" spans="1:11">
      <c r="A56">
        <f>YEAR(letterprices23[[#This Row],[Calendar Year v.2]])</f>
        <v>2011</v>
      </c>
      <c r="B56" s="7">
        <v>40637</v>
      </c>
      <c r="C56" t="s">
        <v>3</v>
      </c>
      <c r="D56" t="s">
        <v>70</v>
      </c>
      <c r="E56" t="s">
        <v>63</v>
      </c>
      <c r="F56" t="s">
        <v>64</v>
      </c>
      <c r="G56" s="2">
        <v>1.07</v>
      </c>
      <c r="H56" s="2">
        <f>G54</f>
        <v>0.93</v>
      </c>
      <c r="I56">
        <f>letterprices23[[#This Row],[Price (£)]]-letterprices23[[#This Row],[2007 value]]</f>
        <v>0.14000000000000001</v>
      </c>
      <c r="J56" s="9">
        <f>(letterprices23[[#This Row],[Workings]]/letterprices23[[#This Row],[2007 value]])*100</f>
        <v>15.053763440860216</v>
      </c>
      <c r="K56">
        <v>5</v>
      </c>
    </row>
    <row r="57" spans="1:11">
      <c r="A57">
        <f>YEAR(letterprices23[[#This Row],[Calendar Year v.2]])</f>
        <v>2012</v>
      </c>
      <c r="B57" s="7">
        <v>41029</v>
      </c>
      <c r="C57" t="s">
        <v>3</v>
      </c>
      <c r="D57" t="s">
        <v>70</v>
      </c>
      <c r="E57" t="s">
        <v>63</v>
      </c>
      <c r="F57" t="s">
        <v>64</v>
      </c>
      <c r="G57" s="2">
        <v>1.19</v>
      </c>
      <c r="H57" s="2">
        <f>G54</f>
        <v>0.93</v>
      </c>
      <c r="I57">
        <f>letterprices23[[#This Row],[Price (£)]]-letterprices23[[#This Row],[2007 value]]</f>
        <v>0.2599999999999999</v>
      </c>
      <c r="J57" s="9">
        <f>(letterprices23[[#This Row],[Workings]]/letterprices23[[#This Row],[2007 value]])*100</f>
        <v>27.956989247311814</v>
      </c>
      <c r="K57">
        <v>5</v>
      </c>
    </row>
    <row r="58" spans="1:11">
      <c r="A58">
        <f>YEAR(letterprices23[[#This Row],[Calendar Year v.2]])</f>
        <v>2013</v>
      </c>
      <c r="B58" s="7">
        <v>41365</v>
      </c>
      <c r="C58" t="s">
        <v>3</v>
      </c>
      <c r="D58" t="s">
        <v>70</v>
      </c>
      <c r="E58" t="s">
        <v>63</v>
      </c>
      <c r="F58" t="s">
        <v>64</v>
      </c>
      <c r="G58" s="2">
        <v>1.1599999999999999</v>
      </c>
      <c r="H58" s="2">
        <f>G54</f>
        <v>0.93</v>
      </c>
      <c r="I58">
        <f>letterprices23[[#This Row],[Price (£)]]-letterprices23[[#This Row],[2007 value]]</f>
        <v>0.22999999999999987</v>
      </c>
      <c r="J58" s="9">
        <f>(letterprices23[[#This Row],[Workings]]/letterprices23[[#This Row],[2007 value]])*100</f>
        <v>24.73118279569891</v>
      </c>
      <c r="K58">
        <v>5</v>
      </c>
    </row>
    <row r="59" spans="1:11">
      <c r="A59">
        <f>YEAR(letterprices23[[#This Row],[Calendar Year v.2]])</f>
        <v>2014</v>
      </c>
      <c r="B59" s="7">
        <v>41729</v>
      </c>
      <c r="C59" t="s">
        <v>3</v>
      </c>
      <c r="D59" t="s">
        <v>70</v>
      </c>
      <c r="E59" t="s">
        <v>63</v>
      </c>
      <c r="F59" t="s">
        <v>64</v>
      </c>
      <c r="G59" s="2">
        <v>1.17</v>
      </c>
      <c r="H59" s="2">
        <f>G54</f>
        <v>0.93</v>
      </c>
      <c r="I59">
        <f>letterprices23[[#This Row],[Price (£)]]-letterprices23[[#This Row],[2007 value]]</f>
        <v>0.23999999999999988</v>
      </c>
      <c r="J59" s="9">
        <f>(letterprices23[[#This Row],[Workings]]/letterprices23[[#This Row],[2007 value]])*100</f>
        <v>25.806451612903214</v>
      </c>
      <c r="K59">
        <v>5</v>
      </c>
    </row>
    <row r="60" spans="1:11">
      <c r="A60">
        <f>YEAR(letterprices23[[#This Row],[Calendar Year v.2]])</f>
        <v>2015</v>
      </c>
      <c r="B60" s="7">
        <v>42093</v>
      </c>
      <c r="C60" t="s">
        <v>3</v>
      </c>
      <c r="D60" t="s">
        <v>70</v>
      </c>
      <c r="E60" t="s">
        <v>63</v>
      </c>
      <c r="F60" t="s">
        <v>64</v>
      </c>
      <c r="G60" s="2">
        <v>1.18</v>
      </c>
      <c r="H60" s="2">
        <f>G54</f>
        <v>0.93</v>
      </c>
      <c r="I60">
        <f>letterprices23[[#This Row],[Price (£)]]-letterprices23[[#This Row],[2007 value]]</f>
        <v>0.24999999999999989</v>
      </c>
      <c r="J60" s="9">
        <f>(letterprices23[[#This Row],[Workings]]/letterprices23[[#This Row],[2007 value]])*100</f>
        <v>26.881720430107514</v>
      </c>
      <c r="K60">
        <v>5</v>
      </c>
    </row>
    <row r="61" spans="1:11">
      <c r="A61">
        <f>YEAR(letterprices23[[#This Row],[Calendar Year v.2]])</f>
        <v>2016</v>
      </c>
      <c r="B61" s="7">
        <v>42458</v>
      </c>
      <c r="C61" t="s">
        <v>3</v>
      </c>
      <c r="D61" t="s">
        <v>70</v>
      </c>
      <c r="E61" t="s">
        <v>63</v>
      </c>
      <c r="F61" t="s">
        <v>64</v>
      </c>
      <c r="G61" s="2">
        <v>1.19</v>
      </c>
      <c r="H61" s="2">
        <f>G54</f>
        <v>0.93</v>
      </c>
      <c r="I61">
        <f>letterprices23[[#This Row],[Price (£)]]-letterprices23[[#This Row],[2007 value]]</f>
        <v>0.2599999999999999</v>
      </c>
      <c r="J61" s="9">
        <f>(letterprices23[[#This Row],[Workings]]/letterprices23[[#This Row],[2007 value]])*100</f>
        <v>27.956989247311814</v>
      </c>
      <c r="K61">
        <v>5</v>
      </c>
    </row>
    <row r="62" spans="1:11">
      <c r="A62">
        <f>YEAR(letterprices23[[#This Row],[Calendar Year v.2]])</f>
        <v>2017</v>
      </c>
      <c r="B62" s="7">
        <v>42821</v>
      </c>
      <c r="C62" t="s">
        <v>3</v>
      </c>
      <c r="D62" t="s">
        <v>70</v>
      </c>
      <c r="E62" t="s">
        <v>63</v>
      </c>
      <c r="F62" t="s">
        <v>64</v>
      </c>
      <c r="G62" s="2">
        <v>1.2</v>
      </c>
      <c r="H62" s="2">
        <f>G54</f>
        <v>0.93</v>
      </c>
      <c r="I62">
        <f>letterprices23[[#This Row],[Price (£)]]-letterprices23[[#This Row],[2007 value]]</f>
        <v>0.26999999999999991</v>
      </c>
      <c r="J62" s="9">
        <f>(letterprices23[[#This Row],[Workings]]/letterprices23[[#This Row],[2007 value]])*100</f>
        <v>29.032258064516121</v>
      </c>
      <c r="K62">
        <v>5</v>
      </c>
    </row>
    <row r="63" spans="1:11">
      <c r="A63">
        <f>YEAR(letterprices23[[#This Row],[Calendar Year v.2]])</f>
        <v>2018</v>
      </c>
      <c r="B63" s="7">
        <v>43185</v>
      </c>
      <c r="C63" t="s">
        <v>3</v>
      </c>
      <c r="D63" t="s">
        <v>70</v>
      </c>
      <c r="E63" t="s">
        <v>63</v>
      </c>
      <c r="F63" t="s">
        <v>64</v>
      </c>
      <c r="G63" s="66">
        <v>1.23</v>
      </c>
      <c r="H63" s="2">
        <f>G54</f>
        <v>0.93</v>
      </c>
      <c r="I63">
        <f>letterprices23[[#This Row],[Price (£)]]-letterprices23[[#This Row],[2007 value]]</f>
        <v>0.29999999999999993</v>
      </c>
      <c r="J63" s="9">
        <f>(letterprices23[[#This Row],[Workings]]/letterprices23[[#This Row],[2007 value]])*100</f>
        <v>32.258064516129025</v>
      </c>
      <c r="K63">
        <v>5</v>
      </c>
    </row>
    <row r="64" spans="1:11">
      <c r="A64">
        <f>YEAR(letterprices23[[#This Row],[Calendar Year v.2]])</f>
        <v>2019</v>
      </c>
      <c r="B64" s="7">
        <v>43549</v>
      </c>
      <c r="C64" t="s">
        <v>3</v>
      </c>
      <c r="D64" t="s">
        <v>70</v>
      </c>
      <c r="E64" t="s">
        <v>63</v>
      </c>
      <c r="F64" t="s">
        <v>64</v>
      </c>
      <c r="G64" s="66">
        <v>1.27</v>
      </c>
      <c r="H64" s="2">
        <f>G54</f>
        <v>0.93</v>
      </c>
      <c r="I64">
        <f>letterprices23[[#This Row],[Price (£)]]-letterprices23[[#This Row],[2007 value]]</f>
        <v>0.33999999999999997</v>
      </c>
      <c r="J64" s="9">
        <f>(letterprices23[[#This Row],[Workings]]/letterprices23[[#This Row],[2007 value]])*100</f>
        <v>36.559139784946233</v>
      </c>
      <c r="K64">
        <v>5</v>
      </c>
    </row>
    <row r="65" spans="1:11">
      <c r="A65">
        <f>YEAR(letterprices23[[#This Row],[Calendar Year v.2]])</f>
        <v>2020</v>
      </c>
      <c r="B65" s="7">
        <v>43913</v>
      </c>
      <c r="C65" t="s">
        <v>3</v>
      </c>
      <c r="D65" t="s">
        <v>70</v>
      </c>
      <c r="E65" t="s">
        <v>63</v>
      </c>
      <c r="F65" t="s">
        <v>64</v>
      </c>
      <c r="G65" s="66">
        <v>1.36</v>
      </c>
      <c r="H65" s="2">
        <f>G54</f>
        <v>0.93</v>
      </c>
      <c r="I65">
        <f>letterprices23[[#This Row],[Price (£)]]-letterprices23[[#This Row],[2007 value]]</f>
        <v>0.43000000000000005</v>
      </c>
      <c r="J65" s="9">
        <f>(letterprices23[[#This Row],[Workings]]/letterprices23[[#This Row],[2007 value]])*100</f>
        <v>46.236559139784951</v>
      </c>
      <c r="K65">
        <v>5</v>
      </c>
    </row>
    <row r="66" spans="1:11">
      <c r="A66">
        <v>2021</v>
      </c>
      <c r="B66" s="7">
        <v>44284</v>
      </c>
      <c r="C66" t="s">
        <v>3</v>
      </c>
      <c r="D66" t="s">
        <v>70</v>
      </c>
      <c r="E66" t="s">
        <v>63</v>
      </c>
      <c r="F66" t="s">
        <v>64</v>
      </c>
      <c r="G66" s="66">
        <f>'[1]Average L Letter Prices'!$AN$11</f>
        <v>1.5053951074677407</v>
      </c>
      <c r="H66" s="2">
        <f>G54</f>
        <v>0.93</v>
      </c>
      <c r="I66">
        <f>letterprices23[[#This Row],[Price (£)]]-letterprices23[[#This Row],[2007 value]]</f>
        <v>0.5753951074677407</v>
      </c>
      <c r="J66" s="9">
        <f>(letterprices23[[#This Row],[Workings]]/letterprices23[[#This Row],[2007 value]])*100</f>
        <v>61.870441663197916</v>
      </c>
      <c r="K66">
        <v>5</v>
      </c>
    </row>
    <row r="67" spans="1:11">
      <c r="A67">
        <f>YEAR(letterprices23[[#This Row],[Calendar Year v.2]])</f>
        <v>2009</v>
      </c>
      <c r="B67" s="7">
        <v>39909</v>
      </c>
      <c r="C67" t="s">
        <v>4</v>
      </c>
      <c r="D67" t="s">
        <v>70</v>
      </c>
      <c r="E67" t="s">
        <v>68</v>
      </c>
      <c r="F67" t="s">
        <v>64</v>
      </c>
      <c r="G67" s="2">
        <v>0.73</v>
      </c>
      <c r="H67" s="2">
        <f>letterprices23[[#This Row],[Price (£)]]</f>
        <v>0.73</v>
      </c>
      <c r="I67">
        <f>letterprices23[[#This Row],[Price (£)]]-letterprices23[[#This Row],[2007 value]]</f>
        <v>0</v>
      </c>
      <c r="J67" s="9">
        <f>(letterprices23[[#This Row],[Workings]]/letterprices23[[#This Row],[2007 value]])*100</f>
        <v>0</v>
      </c>
      <c r="K67">
        <v>6</v>
      </c>
    </row>
    <row r="68" spans="1:11">
      <c r="A68">
        <f>YEAR(letterprices23[[#This Row],[Calendar Year v.2]])</f>
        <v>2010</v>
      </c>
      <c r="B68" s="7">
        <v>40274</v>
      </c>
      <c r="C68" t="s">
        <v>4</v>
      </c>
      <c r="D68" t="s">
        <v>70</v>
      </c>
      <c r="E68" t="s">
        <v>68</v>
      </c>
      <c r="F68" t="s">
        <v>64</v>
      </c>
      <c r="G68" s="2">
        <v>0.76</v>
      </c>
      <c r="H68" s="2">
        <f>G67</f>
        <v>0.73</v>
      </c>
      <c r="I68">
        <f>letterprices23[[#This Row],[Price (£)]]-letterprices23[[#This Row],[2007 value]]</f>
        <v>3.0000000000000027E-2</v>
      </c>
      <c r="J68" s="9">
        <f>(letterprices23[[#This Row],[Workings]]/letterprices23[[#This Row],[2007 value]])*100</f>
        <v>4.1095890410958944</v>
      </c>
      <c r="K68">
        <v>6</v>
      </c>
    </row>
    <row r="69" spans="1:11">
      <c r="A69">
        <f>YEAR(letterprices23[[#This Row],[Calendar Year v.2]])</f>
        <v>2011</v>
      </c>
      <c r="B69" s="7">
        <v>40637</v>
      </c>
      <c r="C69" t="s">
        <v>4</v>
      </c>
      <c r="D69" t="s">
        <v>70</v>
      </c>
      <c r="E69" t="s">
        <v>68</v>
      </c>
      <c r="F69" t="s">
        <v>64</v>
      </c>
      <c r="G69" s="2">
        <v>0.84</v>
      </c>
      <c r="H69" s="2">
        <f>G67</f>
        <v>0.73</v>
      </c>
      <c r="I69">
        <f>letterprices23[[#This Row],[Price (£)]]-letterprices23[[#This Row],[2007 value]]</f>
        <v>0.10999999999999999</v>
      </c>
      <c r="J69" s="9">
        <f>(letterprices23[[#This Row],[Workings]]/letterprices23[[#This Row],[2007 value]])*100</f>
        <v>15.068493150684931</v>
      </c>
      <c r="K69">
        <v>6</v>
      </c>
    </row>
    <row r="70" spans="1:11">
      <c r="A70">
        <f>YEAR(letterprices23[[#This Row],[Calendar Year v.2]])</f>
        <v>2012</v>
      </c>
      <c r="B70" s="7">
        <v>41029</v>
      </c>
      <c r="C70" t="s">
        <v>4</v>
      </c>
      <c r="D70" t="s">
        <v>70</v>
      </c>
      <c r="E70" t="s">
        <v>68</v>
      </c>
      <c r="F70" t="s">
        <v>64</v>
      </c>
      <c r="G70" s="2">
        <v>0.9</v>
      </c>
      <c r="H70" s="2">
        <f>G67</f>
        <v>0.73</v>
      </c>
      <c r="I70">
        <f>letterprices23[[#This Row],[Price (£)]]-letterprices23[[#This Row],[2007 value]]</f>
        <v>0.17000000000000004</v>
      </c>
      <c r="J70" s="9">
        <f>(letterprices23[[#This Row],[Workings]]/letterprices23[[#This Row],[2007 value]])*100</f>
        <v>23.287671232876718</v>
      </c>
      <c r="K70">
        <v>6</v>
      </c>
    </row>
    <row r="71" spans="1:11">
      <c r="A71">
        <f>YEAR(letterprices23[[#This Row],[Calendar Year v.2]])</f>
        <v>2013</v>
      </c>
      <c r="B71" s="7">
        <v>41365</v>
      </c>
      <c r="C71" t="s">
        <v>4</v>
      </c>
      <c r="D71" t="s">
        <v>70</v>
      </c>
      <c r="E71" t="s">
        <v>68</v>
      </c>
      <c r="F71" t="s">
        <v>64</v>
      </c>
      <c r="G71" s="2">
        <v>0.93</v>
      </c>
      <c r="H71" s="2">
        <f>G67</f>
        <v>0.73</v>
      </c>
      <c r="I71">
        <f>letterprices23[[#This Row],[Price (£)]]-letterprices23[[#This Row],[2007 value]]</f>
        <v>0.20000000000000007</v>
      </c>
      <c r="J71" s="9">
        <f>(letterprices23[[#This Row],[Workings]]/letterprices23[[#This Row],[2007 value]])*100</f>
        <v>27.397260273972613</v>
      </c>
      <c r="K71">
        <v>6</v>
      </c>
    </row>
    <row r="72" spans="1:11">
      <c r="A72">
        <f>YEAR(letterprices23[[#This Row],[Calendar Year v.2]])</f>
        <v>2014</v>
      </c>
      <c r="B72" s="7">
        <v>41729</v>
      </c>
      <c r="C72" t="s">
        <v>4</v>
      </c>
      <c r="D72" t="s">
        <v>70</v>
      </c>
      <c r="E72" t="s">
        <v>68</v>
      </c>
      <c r="F72" t="s">
        <v>64</v>
      </c>
      <c r="G72" s="2">
        <v>0.96</v>
      </c>
      <c r="H72" s="2">
        <f>G67</f>
        <v>0.73</v>
      </c>
      <c r="I72">
        <f>letterprices23[[#This Row],[Price (£)]]-letterprices23[[#This Row],[2007 value]]</f>
        <v>0.22999999999999998</v>
      </c>
      <c r="J72" s="9">
        <f>(letterprices23[[#This Row],[Workings]]/letterprices23[[#This Row],[2007 value]])*100</f>
        <v>31.506849315068493</v>
      </c>
      <c r="K72">
        <v>6</v>
      </c>
    </row>
    <row r="73" spans="1:11">
      <c r="A73">
        <f>YEAR(letterprices23[[#This Row],[Calendar Year v.2]])</f>
        <v>2015</v>
      </c>
      <c r="B73" s="7">
        <v>42093</v>
      </c>
      <c r="C73" t="s">
        <v>4</v>
      </c>
      <c r="D73" t="s">
        <v>70</v>
      </c>
      <c r="E73" t="s">
        <v>68</v>
      </c>
      <c r="F73" t="s">
        <v>64</v>
      </c>
      <c r="G73" s="2">
        <v>0.96</v>
      </c>
      <c r="H73" s="2">
        <f>G67</f>
        <v>0.73</v>
      </c>
      <c r="I73">
        <f>letterprices23[[#This Row],[Price (£)]]-letterprices23[[#This Row],[2007 value]]</f>
        <v>0.22999999999999998</v>
      </c>
      <c r="J73" s="9">
        <f>(letterprices23[[#This Row],[Workings]]/letterprices23[[#This Row],[2007 value]])*100</f>
        <v>31.506849315068493</v>
      </c>
      <c r="K73">
        <v>6</v>
      </c>
    </row>
    <row r="74" spans="1:11">
      <c r="A74">
        <f>YEAR(letterprices23[[#This Row],[Calendar Year v.2]])</f>
        <v>2016</v>
      </c>
      <c r="B74" s="7">
        <v>42458</v>
      </c>
      <c r="C74" t="s">
        <v>4</v>
      </c>
      <c r="D74" t="s">
        <v>70</v>
      </c>
      <c r="E74" t="s">
        <v>68</v>
      </c>
      <c r="F74" t="s">
        <v>64</v>
      </c>
      <c r="G74" s="2">
        <v>0.97</v>
      </c>
      <c r="H74" s="2">
        <f>G67</f>
        <v>0.73</v>
      </c>
      <c r="I74">
        <f>letterprices23[[#This Row],[Price (£)]]-letterprices23[[#This Row],[2007 value]]</f>
        <v>0.24</v>
      </c>
      <c r="J74" s="9">
        <f>(letterprices23[[#This Row],[Workings]]/letterprices23[[#This Row],[2007 value]])*100</f>
        <v>32.87671232876712</v>
      </c>
      <c r="K74">
        <v>6</v>
      </c>
    </row>
    <row r="75" spans="1:11">
      <c r="A75">
        <f>YEAR(letterprices23[[#This Row],[Calendar Year v.2]])</f>
        <v>2017</v>
      </c>
      <c r="B75" s="7">
        <v>42821</v>
      </c>
      <c r="C75" t="s">
        <v>4</v>
      </c>
      <c r="D75" t="s">
        <v>70</v>
      </c>
      <c r="E75" t="s">
        <v>68</v>
      </c>
      <c r="F75" t="s">
        <v>64</v>
      </c>
      <c r="G75" s="2">
        <v>0.98</v>
      </c>
      <c r="H75" s="2">
        <f>G67</f>
        <v>0.73</v>
      </c>
      <c r="I75">
        <f>letterprices23[[#This Row],[Price (£)]]-letterprices23[[#This Row],[2007 value]]</f>
        <v>0.25</v>
      </c>
      <c r="J75" s="9">
        <f>(letterprices23[[#This Row],[Workings]]/letterprices23[[#This Row],[2007 value]])*100</f>
        <v>34.246575342465754</v>
      </c>
      <c r="K75">
        <v>6</v>
      </c>
    </row>
    <row r="76" spans="1:11">
      <c r="A76">
        <f>YEAR(letterprices23[[#This Row],[Calendar Year v.2]])</f>
        <v>2018</v>
      </c>
      <c r="B76" s="7">
        <v>43185</v>
      </c>
      <c r="C76" t="s">
        <v>4</v>
      </c>
      <c r="D76" t="s">
        <v>70</v>
      </c>
      <c r="E76" t="s">
        <v>68</v>
      </c>
      <c r="F76" t="s">
        <v>64</v>
      </c>
      <c r="G76" s="66">
        <v>0.99</v>
      </c>
      <c r="H76" s="2">
        <f>G67</f>
        <v>0.73</v>
      </c>
      <c r="I76">
        <f>letterprices23[[#This Row],[Price (£)]]-letterprices23[[#This Row],[2007 value]]</f>
        <v>0.26</v>
      </c>
      <c r="J76" s="9">
        <f>(letterprices23[[#This Row],[Workings]]/letterprices23[[#This Row],[2007 value]])*100</f>
        <v>35.616438356164387</v>
      </c>
      <c r="K76">
        <v>6</v>
      </c>
    </row>
    <row r="77" spans="1:11">
      <c r="A77">
        <f>YEAR(letterprices23[[#This Row],[Calendar Year v.2]])</f>
        <v>2019</v>
      </c>
      <c r="B77" s="7">
        <v>43549</v>
      </c>
      <c r="C77" t="s">
        <v>4</v>
      </c>
      <c r="D77" t="s">
        <v>70</v>
      </c>
      <c r="E77" t="s">
        <v>68</v>
      </c>
      <c r="F77" t="s">
        <v>64</v>
      </c>
      <c r="G77" s="66">
        <v>1.01</v>
      </c>
      <c r="H77" s="2">
        <f>G67</f>
        <v>0.73</v>
      </c>
      <c r="I77">
        <f>letterprices23[[#This Row],[Price (£)]]-letterprices23[[#This Row],[2007 value]]</f>
        <v>0.28000000000000003</v>
      </c>
      <c r="J77" s="9">
        <f>(letterprices23[[#This Row],[Workings]]/letterprices23[[#This Row],[2007 value]])*100</f>
        <v>38.356164383561648</v>
      </c>
      <c r="K77">
        <v>6</v>
      </c>
    </row>
    <row r="78" spans="1:11">
      <c r="A78">
        <f>YEAR(letterprices23[[#This Row],[Calendar Year v.2]])</f>
        <v>2020</v>
      </c>
      <c r="B78" s="7">
        <v>43913</v>
      </c>
      <c r="C78" t="s">
        <v>4</v>
      </c>
      <c r="D78" t="s">
        <v>70</v>
      </c>
      <c r="E78" t="s">
        <v>68</v>
      </c>
      <c r="F78" t="s">
        <v>64</v>
      </c>
      <c r="G78" s="66">
        <v>1.06</v>
      </c>
      <c r="H78" s="2">
        <f>G67</f>
        <v>0.73</v>
      </c>
      <c r="I78">
        <f>letterprices23[[#This Row],[Price (£)]]-letterprices23[[#This Row],[2007 value]]</f>
        <v>0.33000000000000007</v>
      </c>
      <c r="J78" s="9">
        <f>(letterprices23[[#This Row],[Workings]]/letterprices23[[#This Row],[2007 value]])*100</f>
        <v>45.205479452054803</v>
      </c>
      <c r="K78">
        <v>6</v>
      </c>
    </row>
    <row r="79" spans="1:11">
      <c r="A79">
        <v>2021</v>
      </c>
      <c r="B79" s="7">
        <v>44284</v>
      </c>
      <c r="C79" t="s">
        <v>4</v>
      </c>
      <c r="D79" t="s">
        <v>70</v>
      </c>
      <c r="E79" t="s">
        <v>68</v>
      </c>
      <c r="F79" t="s">
        <v>64</v>
      </c>
      <c r="G79" s="66">
        <f>'[1]Average L Letter Prices'!$AN$20</f>
        <v>1.1822180709355763</v>
      </c>
      <c r="H79" s="2">
        <f>G67</f>
        <v>0.73</v>
      </c>
      <c r="I79">
        <f>letterprices23[[#This Row],[Price (£)]]-letterprices23[[#This Row],[2007 value]]</f>
        <v>0.45221807093557631</v>
      </c>
      <c r="J79" s="9">
        <f>(letterprices23[[#This Row],[Workings]]/letterprices23[[#This Row],[2007 value]])*100</f>
        <v>61.94768095007894</v>
      </c>
      <c r="K79">
        <v>6</v>
      </c>
    </row>
    <row r="80" spans="1:11">
      <c r="A80">
        <f>YEAR(letterprices23[[#This Row],[Calendar Year v.2]])</f>
        <v>2009</v>
      </c>
      <c r="B80" s="7">
        <v>39909</v>
      </c>
      <c r="C80" t="s">
        <v>71</v>
      </c>
      <c r="D80" t="s">
        <v>70</v>
      </c>
      <c r="E80" t="s">
        <v>63</v>
      </c>
      <c r="F80" t="s">
        <v>67</v>
      </c>
      <c r="G80" s="2">
        <v>0.82</v>
      </c>
      <c r="H80" s="2">
        <f>letterprices23[[#This Row],[Price (£)]]</f>
        <v>0.82</v>
      </c>
      <c r="I80">
        <f>letterprices23[[#This Row],[Price (£)]]-letterprices23[[#This Row],[2007 value]]</f>
        <v>0</v>
      </c>
      <c r="J80" s="9">
        <f>(letterprices23[[#This Row],[Workings]]/letterprices23[[#This Row],[2007 value]])*100</f>
        <v>0</v>
      </c>
      <c r="K80">
        <v>7</v>
      </c>
    </row>
    <row r="81" spans="1:11">
      <c r="A81">
        <f>YEAR(letterprices23[[#This Row],[Calendar Year v.2]])</f>
        <v>2010</v>
      </c>
      <c r="B81" s="7">
        <v>40274</v>
      </c>
      <c r="C81" t="s">
        <v>71</v>
      </c>
      <c r="D81" t="s">
        <v>70</v>
      </c>
      <c r="E81" t="s">
        <v>63</v>
      </c>
      <c r="F81" t="s">
        <v>67</v>
      </c>
      <c r="G81" s="2">
        <v>0.8</v>
      </c>
      <c r="H81" s="2">
        <f>G80</f>
        <v>0.82</v>
      </c>
      <c r="I81">
        <f>letterprices23[[#This Row],[Price (£)]]-letterprices23[[#This Row],[2007 value]]</f>
        <v>-1.9999999999999907E-2</v>
      </c>
      <c r="J81" s="9">
        <f>(letterprices23[[#This Row],[Workings]]/letterprices23[[#This Row],[2007 value]])*100</f>
        <v>-2.4390243902438913</v>
      </c>
      <c r="K81">
        <v>7</v>
      </c>
    </row>
    <row r="82" spans="1:11">
      <c r="A82">
        <f>YEAR(letterprices23[[#This Row],[Calendar Year v.2]])</f>
        <v>2011</v>
      </c>
      <c r="B82" s="7">
        <v>40637</v>
      </c>
      <c r="C82" t="s">
        <v>71</v>
      </c>
      <c r="D82" t="s">
        <v>70</v>
      </c>
      <c r="E82" t="s">
        <v>63</v>
      </c>
      <c r="F82" t="s">
        <v>67</v>
      </c>
      <c r="G82" s="2">
        <v>0.84</v>
      </c>
      <c r="H82" s="2">
        <f>G80</f>
        <v>0.82</v>
      </c>
      <c r="I82">
        <f>letterprices23[[#This Row],[Price (£)]]-letterprices23[[#This Row],[2007 value]]</f>
        <v>2.0000000000000018E-2</v>
      </c>
      <c r="J82" s="9">
        <f>(letterprices23[[#This Row],[Workings]]/letterprices23[[#This Row],[2007 value]])*100</f>
        <v>2.4390243902439046</v>
      </c>
      <c r="K82">
        <v>7</v>
      </c>
    </row>
    <row r="83" spans="1:11">
      <c r="A83">
        <f>YEAR(letterprices23[[#This Row],[Calendar Year v.2]])</f>
        <v>2012</v>
      </c>
      <c r="B83" s="7">
        <v>41029</v>
      </c>
      <c r="C83" t="s">
        <v>71</v>
      </c>
      <c r="D83" t="s">
        <v>70</v>
      </c>
      <c r="E83" t="s">
        <v>63</v>
      </c>
      <c r="F83" t="s">
        <v>67</v>
      </c>
      <c r="G83" s="2">
        <v>0.99</v>
      </c>
      <c r="H83" s="2">
        <f>G80</f>
        <v>0.82</v>
      </c>
      <c r="I83">
        <f>letterprices23[[#This Row],[Price (£)]]-letterprices23[[#This Row],[2007 value]]</f>
        <v>0.17000000000000004</v>
      </c>
      <c r="J83" s="9">
        <f>(letterprices23[[#This Row],[Workings]]/letterprices23[[#This Row],[2007 value]])*100</f>
        <v>20.731707317073177</v>
      </c>
      <c r="K83">
        <v>7</v>
      </c>
    </row>
    <row r="84" spans="1:11">
      <c r="A84">
        <f>YEAR(letterprices23[[#This Row],[Calendar Year v.2]])</f>
        <v>2013</v>
      </c>
      <c r="B84" s="7">
        <v>41365</v>
      </c>
      <c r="C84" t="s">
        <v>71</v>
      </c>
      <c r="D84" t="s">
        <v>70</v>
      </c>
      <c r="E84" t="s">
        <v>63</v>
      </c>
      <c r="F84" t="s">
        <v>67</v>
      </c>
      <c r="G84" s="2">
        <v>0.99</v>
      </c>
      <c r="H84" s="2">
        <f>G80</f>
        <v>0.82</v>
      </c>
      <c r="I84">
        <f>letterprices23[[#This Row],[Price (£)]]-letterprices23[[#This Row],[2007 value]]</f>
        <v>0.17000000000000004</v>
      </c>
      <c r="J84" s="9">
        <f>(letterprices23[[#This Row],[Workings]]/letterprices23[[#This Row],[2007 value]])*100</f>
        <v>20.731707317073177</v>
      </c>
      <c r="K84">
        <v>7</v>
      </c>
    </row>
    <row r="85" spans="1:11">
      <c r="A85">
        <f>YEAR(letterprices23[[#This Row],[Calendar Year v.2]])</f>
        <v>2014</v>
      </c>
      <c r="B85" s="7">
        <v>41729</v>
      </c>
      <c r="C85" t="s">
        <v>71</v>
      </c>
      <c r="D85" t="s">
        <v>70</v>
      </c>
      <c r="E85" t="s">
        <v>63</v>
      </c>
      <c r="F85" t="s">
        <v>67</v>
      </c>
      <c r="G85" s="2">
        <v>1.01</v>
      </c>
      <c r="H85" s="2">
        <f>G80</f>
        <v>0.82</v>
      </c>
      <c r="I85">
        <f>letterprices23[[#This Row],[Price (£)]]-letterprices23[[#This Row],[2007 value]]</f>
        <v>0.19000000000000006</v>
      </c>
      <c r="J85" s="9">
        <f>(letterprices23[[#This Row],[Workings]]/letterprices23[[#This Row],[2007 value]])*100</f>
        <v>23.170731707317081</v>
      </c>
      <c r="K85">
        <v>7</v>
      </c>
    </row>
    <row r="86" spans="1:11">
      <c r="A86">
        <f>YEAR(letterprices23[[#This Row],[Calendar Year v.2]])</f>
        <v>2015</v>
      </c>
      <c r="B86" s="7">
        <v>42093</v>
      </c>
      <c r="C86" t="s">
        <v>71</v>
      </c>
      <c r="D86" t="s">
        <v>70</v>
      </c>
      <c r="E86" t="s">
        <v>63</v>
      </c>
      <c r="F86" t="s">
        <v>67</v>
      </c>
      <c r="G86" s="2">
        <v>1.05</v>
      </c>
      <c r="H86" s="2">
        <f>G80</f>
        <v>0.82</v>
      </c>
      <c r="I86">
        <f>letterprices23[[#This Row],[Price (£)]]-letterprices23[[#This Row],[2007 value]]</f>
        <v>0.23000000000000009</v>
      </c>
      <c r="J86" s="9">
        <f>(letterprices23[[#This Row],[Workings]]/letterprices23[[#This Row],[2007 value]])*100</f>
        <v>28.048780487804891</v>
      </c>
      <c r="K86">
        <v>7</v>
      </c>
    </row>
    <row r="87" spans="1:11">
      <c r="A87">
        <f>YEAR(letterprices23[[#This Row],[Calendar Year v.2]])</f>
        <v>2016</v>
      </c>
      <c r="B87" s="7">
        <v>42458</v>
      </c>
      <c r="C87" t="s">
        <v>71</v>
      </c>
      <c r="D87" t="s">
        <v>70</v>
      </c>
      <c r="E87" t="s">
        <v>63</v>
      </c>
      <c r="F87" t="s">
        <v>67</v>
      </c>
      <c r="G87" s="2">
        <v>1.1100000000000001</v>
      </c>
      <c r="H87" s="2">
        <f>G80</f>
        <v>0.82</v>
      </c>
      <c r="I87">
        <f>letterprices23[[#This Row],[Price (£)]]-letterprices23[[#This Row],[2007 value]]</f>
        <v>0.29000000000000015</v>
      </c>
      <c r="J87" s="9">
        <f>(letterprices23[[#This Row],[Workings]]/letterprices23[[#This Row],[2007 value]])*100</f>
        <v>35.365853658536608</v>
      </c>
      <c r="K87">
        <v>7</v>
      </c>
    </row>
    <row r="88" spans="1:11">
      <c r="A88">
        <f>YEAR(letterprices23[[#This Row],[Calendar Year v.2]])</f>
        <v>2017</v>
      </c>
      <c r="B88" s="7">
        <v>42821</v>
      </c>
      <c r="C88" t="s">
        <v>71</v>
      </c>
      <c r="D88" t="s">
        <v>70</v>
      </c>
      <c r="E88" t="s">
        <v>63</v>
      </c>
      <c r="F88" t="s">
        <v>67</v>
      </c>
      <c r="G88" s="2">
        <v>1.19</v>
      </c>
      <c r="H88" s="2">
        <f>G80</f>
        <v>0.82</v>
      </c>
      <c r="I88">
        <f>letterprices23[[#This Row],[Price (£)]]-letterprices23[[#This Row],[2007 value]]</f>
        <v>0.37</v>
      </c>
      <c r="J88" s="9">
        <f>(letterprices23[[#This Row],[Workings]]/letterprices23[[#This Row],[2007 value]])*100</f>
        <v>45.121951219512198</v>
      </c>
      <c r="K88">
        <v>7</v>
      </c>
    </row>
    <row r="89" spans="1:11">
      <c r="A89">
        <f>YEAR(letterprices23[[#This Row],[Calendar Year v.2]])</f>
        <v>2018</v>
      </c>
      <c r="B89" s="7">
        <v>43185</v>
      </c>
      <c r="C89" t="s">
        <v>71</v>
      </c>
      <c r="D89" t="s">
        <v>70</v>
      </c>
      <c r="E89" t="s">
        <v>63</v>
      </c>
      <c r="F89" t="s">
        <v>67</v>
      </c>
      <c r="G89" s="66">
        <v>1.22</v>
      </c>
      <c r="H89" s="2">
        <f>G80</f>
        <v>0.82</v>
      </c>
      <c r="I89">
        <f>letterprices23[[#This Row],[Price (£)]]-letterprices23[[#This Row],[2007 value]]</f>
        <v>0.4</v>
      </c>
      <c r="J89" s="9">
        <f>(letterprices23[[#This Row],[Workings]]/letterprices23[[#This Row],[2007 value]])*100</f>
        <v>48.780487804878057</v>
      </c>
      <c r="K89">
        <v>7</v>
      </c>
    </row>
    <row r="90" spans="1:11">
      <c r="A90">
        <f>YEAR(letterprices23[[#This Row],[Calendar Year v.2]])</f>
        <v>2019</v>
      </c>
      <c r="B90" s="7">
        <v>43549</v>
      </c>
      <c r="C90" t="s">
        <v>71</v>
      </c>
      <c r="D90" t="s">
        <v>70</v>
      </c>
      <c r="E90" t="s">
        <v>63</v>
      </c>
      <c r="F90" t="s">
        <v>67</v>
      </c>
      <c r="G90" s="66">
        <v>1.27</v>
      </c>
      <c r="H90" s="2">
        <f>G80</f>
        <v>0.82</v>
      </c>
      <c r="I90">
        <f>letterprices23[[#This Row],[Price (£)]]-letterprices23[[#This Row],[2007 value]]</f>
        <v>0.45000000000000007</v>
      </c>
      <c r="J90" s="9">
        <f>(letterprices23[[#This Row],[Workings]]/letterprices23[[#This Row],[2007 value]])*100</f>
        <v>54.878048780487823</v>
      </c>
      <c r="K90">
        <v>7</v>
      </c>
    </row>
    <row r="91" spans="1:11">
      <c r="A91">
        <f>YEAR(letterprices23[[#This Row],[Calendar Year v.2]])</f>
        <v>2020</v>
      </c>
      <c r="B91" s="7">
        <v>43913</v>
      </c>
      <c r="C91" t="s">
        <v>71</v>
      </c>
      <c r="D91" t="s">
        <v>70</v>
      </c>
      <c r="E91" t="s">
        <v>63</v>
      </c>
      <c r="F91" t="s">
        <v>67</v>
      </c>
      <c r="G91" s="66">
        <v>1.33</v>
      </c>
      <c r="H91" s="2">
        <f>G80</f>
        <v>0.82</v>
      </c>
      <c r="I91">
        <f>letterprices23[[#This Row],[Price (£)]]-letterprices23[[#This Row],[2007 value]]</f>
        <v>0.51000000000000012</v>
      </c>
      <c r="J91" s="9">
        <f>(letterprices23[[#This Row],[Workings]]/letterprices23[[#This Row],[2007 value]])*100</f>
        <v>62.195121951219534</v>
      </c>
      <c r="K91">
        <v>7</v>
      </c>
    </row>
    <row r="92" spans="1:11">
      <c r="A92">
        <v>2021</v>
      </c>
      <c r="B92" s="7">
        <v>44197</v>
      </c>
      <c r="C92" t="s">
        <v>71</v>
      </c>
      <c r="D92" t="s">
        <v>70</v>
      </c>
      <c r="E92" t="s">
        <v>63</v>
      </c>
      <c r="F92" t="s">
        <v>67</v>
      </c>
      <c r="G92" s="66">
        <f>'[1]Average L Letter Prices'!$AN$50</f>
        <v>1.4733754488820923</v>
      </c>
      <c r="H92" s="2">
        <f>G80</f>
        <v>0.82</v>
      </c>
      <c r="I92">
        <f>letterprices23[[#This Row],[Price (£)]]-letterprices23[[#This Row],[2007 value]]</f>
        <v>0.65337544888209231</v>
      </c>
      <c r="J92" s="9">
        <f>(letterprices23[[#This Row],[Workings]]/letterprices23[[#This Row],[2007 value]])*100</f>
        <v>79.679932790499066</v>
      </c>
      <c r="K92">
        <v>7</v>
      </c>
    </row>
    <row r="93" spans="1:11">
      <c r="A93">
        <f>YEAR(letterprices23[[#This Row],[Calendar Year v.2]])</f>
        <v>2009</v>
      </c>
      <c r="B93" s="7">
        <v>39909</v>
      </c>
      <c r="C93" t="s">
        <v>72</v>
      </c>
      <c r="D93" t="s">
        <v>70</v>
      </c>
      <c r="E93" t="s">
        <v>68</v>
      </c>
      <c r="F93" t="s">
        <v>67</v>
      </c>
      <c r="G93" s="2">
        <v>0.66</v>
      </c>
      <c r="H93" s="2">
        <f>letterprices23[[#This Row],[Price (£)]]</f>
        <v>0.66</v>
      </c>
      <c r="I93">
        <f>letterprices23[[#This Row],[Price (£)]]-letterprices23[[#This Row],[2007 value]]</f>
        <v>0</v>
      </c>
      <c r="J93" s="9">
        <f>(letterprices23[[#This Row],[Workings]]/letterprices23[[#This Row],[2007 value]])*100</f>
        <v>0</v>
      </c>
      <c r="K93">
        <v>8</v>
      </c>
    </row>
    <row r="94" spans="1:11">
      <c r="A94">
        <f>YEAR(letterprices23[[#This Row],[Calendar Year v.2]])</f>
        <v>2010</v>
      </c>
      <c r="B94" s="7">
        <v>40274</v>
      </c>
      <c r="C94" t="s">
        <v>72</v>
      </c>
      <c r="D94" t="s">
        <v>70</v>
      </c>
      <c r="E94" t="s">
        <v>68</v>
      </c>
      <c r="F94" t="s">
        <v>67</v>
      </c>
      <c r="G94" s="2">
        <v>0.65</v>
      </c>
      <c r="H94" s="2">
        <f>G93</f>
        <v>0.66</v>
      </c>
      <c r="I94">
        <f>letterprices23[[#This Row],[Price (£)]]-letterprices23[[#This Row],[2007 value]]</f>
        <v>-1.0000000000000009E-2</v>
      </c>
      <c r="J94" s="9">
        <f>(letterprices23[[#This Row],[Workings]]/letterprices23[[#This Row],[2007 value]])*100</f>
        <v>-1.5151515151515165</v>
      </c>
      <c r="K94">
        <v>8</v>
      </c>
    </row>
    <row r="95" spans="1:11">
      <c r="A95">
        <f>YEAR(letterprices23[[#This Row],[Calendar Year v.2]])</f>
        <v>2011</v>
      </c>
      <c r="B95" s="7">
        <v>40637</v>
      </c>
      <c r="C95" t="s">
        <v>72</v>
      </c>
      <c r="D95" t="s">
        <v>70</v>
      </c>
      <c r="E95" t="s">
        <v>68</v>
      </c>
      <c r="F95" t="s">
        <v>67</v>
      </c>
      <c r="G95" s="2">
        <v>0.68</v>
      </c>
      <c r="H95" s="2">
        <f>G93</f>
        <v>0.66</v>
      </c>
      <c r="I95">
        <f>letterprices23[[#This Row],[Price (£)]]-letterprices23[[#This Row],[2007 value]]</f>
        <v>2.0000000000000018E-2</v>
      </c>
      <c r="J95" s="9">
        <f>(letterprices23[[#This Row],[Workings]]/letterprices23[[#This Row],[2007 value]])*100</f>
        <v>3.0303030303030329</v>
      </c>
      <c r="K95">
        <v>8</v>
      </c>
    </row>
    <row r="96" spans="1:11">
      <c r="A96">
        <f>YEAR(letterprices23[[#This Row],[Calendar Year v.2]])</f>
        <v>2012</v>
      </c>
      <c r="B96" s="7">
        <v>41029</v>
      </c>
      <c r="C96" t="s">
        <v>72</v>
      </c>
      <c r="D96" t="s">
        <v>70</v>
      </c>
      <c r="E96" t="s">
        <v>68</v>
      </c>
      <c r="F96" t="s">
        <v>67</v>
      </c>
      <c r="G96" s="2">
        <v>0.72</v>
      </c>
      <c r="H96" s="2">
        <f>G93</f>
        <v>0.66</v>
      </c>
      <c r="I96">
        <f>letterprices23[[#This Row],[Price (£)]]-letterprices23[[#This Row],[2007 value]]</f>
        <v>5.9999999999999942E-2</v>
      </c>
      <c r="J96" s="9">
        <f>(letterprices23[[#This Row],[Workings]]/letterprices23[[#This Row],[2007 value]])*100</f>
        <v>9.0909090909090811</v>
      </c>
      <c r="K96">
        <v>8</v>
      </c>
    </row>
    <row r="97" spans="1:11">
      <c r="A97">
        <f>YEAR(letterprices23[[#This Row],[Calendar Year v.2]])</f>
        <v>2013</v>
      </c>
      <c r="B97" s="7">
        <v>41365</v>
      </c>
      <c r="C97" t="s">
        <v>72</v>
      </c>
      <c r="D97" t="s">
        <v>70</v>
      </c>
      <c r="E97" t="s">
        <v>68</v>
      </c>
      <c r="F97" t="s">
        <v>67</v>
      </c>
      <c r="G97" s="2">
        <v>0.81</v>
      </c>
      <c r="H97" s="2">
        <f>G93</f>
        <v>0.66</v>
      </c>
      <c r="I97">
        <f>letterprices23[[#This Row],[Price (£)]]-letterprices23[[#This Row],[2007 value]]</f>
        <v>0.15000000000000002</v>
      </c>
      <c r="J97" s="9">
        <f>(letterprices23[[#This Row],[Workings]]/letterprices23[[#This Row],[2007 value]])*100</f>
        <v>22.72727272727273</v>
      </c>
      <c r="K97">
        <v>8</v>
      </c>
    </row>
    <row r="98" spans="1:11">
      <c r="A98">
        <f>YEAR(letterprices23[[#This Row],[Calendar Year v.2]])</f>
        <v>2014</v>
      </c>
      <c r="B98" s="7">
        <v>41729</v>
      </c>
      <c r="C98" t="s">
        <v>72</v>
      </c>
      <c r="D98" t="s">
        <v>70</v>
      </c>
      <c r="E98" t="s">
        <v>68</v>
      </c>
      <c r="F98" t="s">
        <v>67</v>
      </c>
      <c r="G98" s="2">
        <v>0.82</v>
      </c>
      <c r="H98" s="2">
        <f>G93</f>
        <v>0.66</v>
      </c>
      <c r="I98">
        <f>letterprices23[[#This Row],[Price (£)]]-letterprices23[[#This Row],[2007 value]]</f>
        <v>0.15999999999999992</v>
      </c>
      <c r="J98" s="9">
        <f>(letterprices23[[#This Row],[Workings]]/letterprices23[[#This Row],[2007 value]])*100</f>
        <v>24.242424242424228</v>
      </c>
      <c r="K98">
        <v>8</v>
      </c>
    </row>
    <row r="99" spans="1:11">
      <c r="A99">
        <f>YEAR(letterprices23[[#This Row],[Calendar Year v.2]])</f>
        <v>2015</v>
      </c>
      <c r="B99" s="7">
        <v>42093</v>
      </c>
      <c r="C99" t="s">
        <v>72</v>
      </c>
      <c r="D99" t="s">
        <v>70</v>
      </c>
      <c r="E99" t="s">
        <v>68</v>
      </c>
      <c r="F99" t="s">
        <v>67</v>
      </c>
      <c r="G99" s="2">
        <v>0.85</v>
      </c>
      <c r="H99" s="2">
        <f>G93</f>
        <v>0.66</v>
      </c>
      <c r="I99">
        <f>letterprices23[[#This Row],[Price (£)]]-letterprices23[[#This Row],[2007 value]]</f>
        <v>0.18999999999999995</v>
      </c>
      <c r="J99" s="9">
        <f>(letterprices23[[#This Row],[Workings]]/letterprices23[[#This Row],[2007 value]])*100</f>
        <v>28.787878787878778</v>
      </c>
      <c r="K99">
        <v>8</v>
      </c>
    </row>
    <row r="100" spans="1:11">
      <c r="A100">
        <f>YEAR(letterprices23[[#This Row],[Calendar Year v.2]])</f>
        <v>2016</v>
      </c>
      <c r="B100" s="7">
        <v>42458</v>
      </c>
      <c r="C100" t="s">
        <v>72</v>
      </c>
      <c r="D100" t="s">
        <v>70</v>
      </c>
      <c r="E100" t="s">
        <v>68</v>
      </c>
      <c r="F100" t="s">
        <v>67</v>
      </c>
      <c r="G100" s="2">
        <v>0.9</v>
      </c>
      <c r="H100" s="2">
        <f>G93</f>
        <v>0.66</v>
      </c>
      <c r="I100">
        <f>letterprices23[[#This Row],[Price (£)]]-letterprices23[[#This Row],[2007 value]]</f>
        <v>0.24</v>
      </c>
      <c r="J100" s="9">
        <f>(letterprices23[[#This Row],[Workings]]/letterprices23[[#This Row],[2007 value]])*100</f>
        <v>36.36363636363636</v>
      </c>
      <c r="K100">
        <v>8</v>
      </c>
    </row>
    <row r="101" spans="1:11">
      <c r="A101">
        <f>YEAR(letterprices23[[#This Row],[Calendar Year v.2]])</f>
        <v>2017</v>
      </c>
      <c r="B101" s="7">
        <v>42821</v>
      </c>
      <c r="C101" t="s">
        <v>72</v>
      </c>
      <c r="D101" t="s">
        <v>70</v>
      </c>
      <c r="E101" t="s">
        <v>68</v>
      </c>
      <c r="F101" t="s">
        <v>67</v>
      </c>
      <c r="G101" s="2">
        <v>0.91</v>
      </c>
      <c r="H101" s="2">
        <f>G93</f>
        <v>0.66</v>
      </c>
      <c r="I101">
        <f>letterprices23[[#This Row],[Price (£)]]-letterprices23[[#This Row],[2007 value]]</f>
        <v>0.25</v>
      </c>
      <c r="J101" s="9">
        <f>(letterprices23[[#This Row],[Workings]]/letterprices23[[#This Row],[2007 value]])*100</f>
        <v>37.878787878787875</v>
      </c>
      <c r="K101">
        <v>8</v>
      </c>
    </row>
    <row r="102" spans="1:11">
      <c r="A102">
        <f>YEAR(letterprices23[[#This Row],[Calendar Year v.2]])</f>
        <v>2018</v>
      </c>
      <c r="B102" s="7">
        <v>43185</v>
      </c>
      <c r="C102" t="s">
        <v>72</v>
      </c>
      <c r="D102" t="s">
        <v>70</v>
      </c>
      <c r="E102" t="s">
        <v>68</v>
      </c>
      <c r="F102" t="s">
        <v>67</v>
      </c>
      <c r="G102" s="66">
        <v>0.93</v>
      </c>
      <c r="H102" s="2">
        <f>G93</f>
        <v>0.66</v>
      </c>
      <c r="I102">
        <f>letterprices23[[#This Row],[Price (£)]]-letterprices23[[#This Row],[2007 value]]</f>
        <v>0.27</v>
      </c>
      <c r="J102" s="9">
        <f>(letterprices23[[#This Row],[Workings]]/letterprices23[[#This Row],[2007 value]])*100</f>
        <v>40.909090909090914</v>
      </c>
      <c r="K102">
        <v>8</v>
      </c>
    </row>
    <row r="103" spans="1:11">
      <c r="A103">
        <f>YEAR(letterprices23[[#This Row],[Calendar Year v.2]])</f>
        <v>2019</v>
      </c>
      <c r="B103" s="7">
        <v>43549</v>
      </c>
      <c r="C103" t="s">
        <v>72</v>
      </c>
      <c r="D103" t="s">
        <v>70</v>
      </c>
      <c r="E103" t="s">
        <v>68</v>
      </c>
      <c r="F103" t="s">
        <v>67</v>
      </c>
      <c r="G103" s="66">
        <v>0.97</v>
      </c>
      <c r="H103" s="2">
        <f>G93</f>
        <v>0.66</v>
      </c>
      <c r="I103">
        <f>letterprices23[[#This Row],[Price (£)]]-letterprices23[[#This Row],[2007 value]]</f>
        <v>0.30999999999999994</v>
      </c>
      <c r="J103" s="9">
        <f>(letterprices23[[#This Row],[Workings]]/letterprices23[[#This Row],[2007 value]])*100</f>
        <v>46.969696969696962</v>
      </c>
      <c r="K103">
        <v>8</v>
      </c>
    </row>
    <row r="104" spans="1:11">
      <c r="A104">
        <f>YEAR(letterprices23[[#This Row],[Calendar Year v.2]])</f>
        <v>2020</v>
      </c>
      <c r="B104" s="7">
        <v>43913</v>
      </c>
      <c r="C104" t="s">
        <v>72</v>
      </c>
      <c r="D104" t="s">
        <v>70</v>
      </c>
      <c r="E104" t="s">
        <v>68</v>
      </c>
      <c r="F104" t="s">
        <v>67</v>
      </c>
      <c r="G104" s="66">
        <v>1.02</v>
      </c>
      <c r="H104" s="2">
        <f>G93</f>
        <v>0.66</v>
      </c>
      <c r="I104">
        <f>letterprices23[[#This Row],[Price (£)]]-letterprices23[[#This Row],[2007 value]]</f>
        <v>0.36</v>
      </c>
      <c r="J104" s="9">
        <f>(letterprices23[[#This Row],[Workings]]/letterprices23[[#This Row],[2007 value]])*100</f>
        <v>54.54545454545454</v>
      </c>
      <c r="K104">
        <v>8</v>
      </c>
    </row>
    <row r="105" spans="1:11">
      <c r="A105">
        <v>2021</v>
      </c>
      <c r="B105" s="7">
        <v>44197</v>
      </c>
      <c r="C105" t="s">
        <v>72</v>
      </c>
      <c r="D105" t="s">
        <v>70</v>
      </c>
      <c r="E105" t="s">
        <v>68</v>
      </c>
      <c r="F105" t="s">
        <v>67</v>
      </c>
      <c r="G105" s="66">
        <f>'[1]Average L Letter Prices'!$AN$59</f>
        <v>1.1500087477782364</v>
      </c>
      <c r="H105" s="2">
        <f>G93</f>
        <v>0.66</v>
      </c>
      <c r="I105">
        <f>letterprices23[[#This Row],[Price (£)]]-letterprices23[[#This Row],[2007 value]]</f>
        <v>0.49000874777823633</v>
      </c>
      <c r="J105" s="9">
        <f>(letterprices23[[#This Row],[Workings]]/letterprices23[[#This Row],[2007 value]])*100</f>
        <v>74.243749663369144</v>
      </c>
      <c r="K105">
        <v>8</v>
      </c>
    </row>
  </sheetData>
  <pageMargins left="0.7" right="0.7" top="0.75" bottom="0.75" header="0.3" footer="0.3"/>
  <pageSetup paperSize="9" orientation="portrait" r:id="rId1"/>
  <headerFooter>
    <oddHeader>&amp;L&amp;"Calibri"&amp;12&amp;K000000Classification: CONFIDENTIAL&amp;1#</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6FA3C-362D-4E0C-BAB1-8480A98DF26C}">
  <sheetPr>
    <tabColor theme="9" tint="0.59999389629810485"/>
  </sheetPr>
  <dimension ref="A1:O125"/>
  <sheetViews>
    <sheetView zoomScaleNormal="100" workbookViewId="0">
      <selection activeCell="O25" sqref="O25"/>
    </sheetView>
  </sheetViews>
  <sheetFormatPr defaultRowHeight="14.25"/>
  <cols>
    <col min="1" max="1" width="11.3984375" customWidth="1"/>
    <col min="2" max="2" width="29.1328125" customWidth="1"/>
    <col min="3" max="3" width="10.73046875" bestFit="1" customWidth="1"/>
    <col min="4" max="4" width="7.3984375" bestFit="1" customWidth="1"/>
    <col min="5" max="5" width="8.265625" customWidth="1"/>
    <col min="6" max="6" width="9.73046875" customWidth="1"/>
    <col min="7" max="7" width="12.59765625" bestFit="1" customWidth="1"/>
    <col min="8" max="8" width="9.73046875" customWidth="1"/>
    <col min="9" max="9" width="25" style="9" customWidth="1"/>
    <col min="10" max="10" width="9.73046875" style="11" customWidth="1"/>
    <col min="12" max="12" width="10.1328125" bestFit="1" customWidth="1"/>
  </cols>
  <sheetData>
    <row r="1" spans="1:15" s="1" customFormat="1">
      <c r="A1" s="1" t="s">
        <v>52</v>
      </c>
      <c r="B1" s="1" t="s">
        <v>44</v>
      </c>
      <c r="C1" s="1" t="s">
        <v>55</v>
      </c>
      <c r="D1" s="1" t="s">
        <v>73</v>
      </c>
      <c r="E1" s="1" t="s">
        <v>74</v>
      </c>
      <c r="F1" s="1" t="s">
        <v>57</v>
      </c>
      <c r="G1" s="30" t="s">
        <v>75</v>
      </c>
      <c r="H1" s="30" t="s">
        <v>59</v>
      </c>
      <c r="I1" s="29" t="s">
        <v>60</v>
      </c>
      <c r="J1" s="28" t="s">
        <v>14</v>
      </c>
      <c r="K1" s="1" t="s">
        <v>76</v>
      </c>
    </row>
    <row r="2" spans="1:15" s="1" customFormat="1">
      <c r="A2" s="23">
        <v>39909</v>
      </c>
      <c r="B2" t="s">
        <v>77</v>
      </c>
      <c r="C2" t="s">
        <v>63</v>
      </c>
      <c r="D2" t="s">
        <v>78</v>
      </c>
      <c r="E2" t="s">
        <v>79</v>
      </c>
      <c r="F2" s="26">
        <v>2.67</v>
      </c>
      <c r="G2" s="26">
        <f>Table47[[#This Row],[Price (£)]]</f>
        <v>2.67</v>
      </c>
      <c r="H2" s="26">
        <f>Table47[[#This Row],[Price (£)]]-Table47[[#This Row],[2009 value]]</f>
        <v>0</v>
      </c>
      <c r="I2" s="25">
        <f>(Table47[[#This Row],[Workings]]/Table47[[#This Row],[2009 value]])*100</f>
        <v>0</v>
      </c>
      <c r="J2" s="24">
        <v>1</v>
      </c>
    </row>
    <row r="3" spans="1:15">
      <c r="A3" s="21">
        <v>40274</v>
      </c>
      <c r="B3" t="s">
        <v>77</v>
      </c>
      <c r="C3" t="s">
        <v>63</v>
      </c>
      <c r="D3" t="s">
        <v>78</v>
      </c>
      <c r="E3" t="s">
        <v>79</v>
      </c>
      <c r="F3" s="2">
        <v>2.73</v>
      </c>
      <c r="G3" s="2">
        <f>F2</f>
        <v>2.67</v>
      </c>
      <c r="H3" s="2">
        <f>Table47[[#This Row],[Price (£)]]-Table47[[#This Row],[2009 value]]</f>
        <v>6.0000000000000053E-2</v>
      </c>
      <c r="I3" s="9">
        <f>(Table47[[#This Row],[Workings]]/Table47[[#This Row],[2009 value]])*100</f>
        <v>2.247191011235957</v>
      </c>
      <c r="J3" s="11">
        <v>1</v>
      </c>
      <c r="K3" s="27"/>
      <c r="M3" s="27"/>
      <c r="N3" s="27"/>
      <c r="O3" s="27"/>
    </row>
    <row r="4" spans="1:15">
      <c r="A4" s="23">
        <v>40637</v>
      </c>
      <c r="B4" t="s">
        <v>77</v>
      </c>
      <c r="C4" t="s">
        <v>63</v>
      </c>
      <c r="D4" t="s">
        <v>78</v>
      </c>
      <c r="E4" t="s">
        <v>79</v>
      </c>
      <c r="F4" s="2">
        <v>2.94</v>
      </c>
      <c r="G4" s="2">
        <f>F2</f>
        <v>2.67</v>
      </c>
      <c r="H4" s="2">
        <f>Table47[[#This Row],[Price (£)]]-Table47[[#This Row],[2009 value]]</f>
        <v>0.27</v>
      </c>
      <c r="I4" s="9">
        <f>(Table47[[#This Row],[Workings]]/Table47[[#This Row],[2009 value]])*100</f>
        <v>10.112359550561798</v>
      </c>
      <c r="J4" s="11">
        <v>1</v>
      </c>
      <c r="K4" s="27"/>
      <c r="M4" s="27"/>
      <c r="N4" s="27"/>
      <c r="O4" s="27"/>
    </row>
    <row r="5" spans="1:15">
      <c r="A5" s="21">
        <v>41029</v>
      </c>
      <c r="B5" t="s">
        <v>77</v>
      </c>
      <c r="C5" t="s">
        <v>63</v>
      </c>
      <c r="D5" t="s">
        <v>78</v>
      </c>
      <c r="E5" t="s">
        <v>79</v>
      </c>
      <c r="F5" s="2">
        <v>3.26</v>
      </c>
      <c r="G5" s="2">
        <f>F2</f>
        <v>2.67</v>
      </c>
      <c r="H5" s="2">
        <f>Table47[[#This Row],[Price (£)]]-Table47[[#This Row],[2009 value]]</f>
        <v>0.58999999999999986</v>
      </c>
      <c r="I5" s="9">
        <f>(Table47[[#This Row],[Workings]]/Table47[[#This Row],[2009 value]])*100</f>
        <v>22.097378277153553</v>
      </c>
      <c r="J5" s="11" t="s">
        <v>80</v>
      </c>
    </row>
    <row r="6" spans="1:15">
      <c r="A6" s="23">
        <v>41365</v>
      </c>
      <c r="B6" t="s">
        <v>77</v>
      </c>
      <c r="C6" t="s">
        <v>63</v>
      </c>
      <c r="D6" t="s">
        <v>78</v>
      </c>
      <c r="E6" t="s">
        <v>79</v>
      </c>
      <c r="F6" s="2">
        <v>3.36</v>
      </c>
      <c r="G6" s="2">
        <f>F2</f>
        <v>2.67</v>
      </c>
      <c r="H6" s="2">
        <f>Table47[[#This Row],[Price (£)]]-Table47[[#This Row],[2009 value]]</f>
        <v>0.69</v>
      </c>
      <c r="I6" s="9">
        <f>(Table47[[#This Row],[Workings]]/Table47[[#This Row],[2009 value]])*100</f>
        <v>25.842696629213478</v>
      </c>
      <c r="J6" s="11" t="s">
        <v>80</v>
      </c>
      <c r="O6" s="26"/>
    </row>
    <row r="7" spans="1:15">
      <c r="A7" s="68">
        <v>41549</v>
      </c>
      <c r="B7" t="s">
        <v>77</v>
      </c>
      <c r="C7" t="s">
        <v>63</v>
      </c>
      <c r="D7" t="s">
        <v>78</v>
      </c>
      <c r="E7" t="s">
        <v>79</v>
      </c>
      <c r="F7" s="2">
        <v>3.58</v>
      </c>
      <c r="G7" s="2">
        <f>F2</f>
        <v>2.67</v>
      </c>
      <c r="H7" s="2">
        <f>Table47[[#This Row],[Price (£)]]-Table47[[#This Row],[2009 value]]</f>
        <v>0.91000000000000014</v>
      </c>
      <c r="I7" s="9">
        <f>(Table47[[#This Row],[Workings]]/Table47[[#This Row],[2009 value]])*100</f>
        <v>34.082397003745321</v>
      </c>
      <c r="J7" s="11" t="s">
        <v>80</v>
      </c>
    </row>
    <row r="8" spans="1:15">
      <c r="A8" s="22">
        <v>41729</v>
      </c>
      <c r="B8" t="s">
        <v>77</v>
      </c>
      <c r="C8" t="s">
        <v>63</v>
      </c>
      <c r="D8" t="s">
        <v>78</v>
      </c>
      <c r="E8" t="s">
        <v>79</v>
      </c>
      <c r="F8" s="2">
        <v>3.5</v>
      </c>
      <c r="G8" s="2">
        <f>F2</f>
        <v>2.67</v>
      </c>
      <c r="H8" s="2">
        <f>Table47[[#This Row],[Price (£)]]-Table47[[#This Row],[2009 value]]</f>
        <v>0.83000000000000007</v>
      </c>
      <c r="I8" s="9">
        <f>(Table47[[#This Row],[Workings]]/Table47[[#This Row],[2009 value]])*100</f>
        <v>31.08614232209738</v>
      </c>
      <c r="J8" s="11" t="s">
        <v>80</v>
      </c>
      <c r="O8" s="26"/>
    </row>
    <row r="9" spans="1:15">
      <c r="A9" s="68">
        <v>41914</v>
      </c>
      <c r="B9" t="s">
        <v>77</v>
      </c>
      <c r="C9" t="s">
        <v>63</v>
      </c>
      <c r="D9" t="s">
        <v>78</v>
      </c>
      <c r="E9" t="s">
        <v>79</v>
      </c>
      <c r="F9" s="2">
        <v>3.5</v>
      </c>
      <c r="G9" s="2">
        <f>F2</f>
        <v>2.67</v>
      </c>
      <c r="H9" s="2">
        <f>Table47[[#This Row],[Price (£)]]-Table47[[#This Row],[2009 value]]</f>
        <v>0.83000000000000007</v>
      </c>
      <c r="I9" s="9">
        <f>(Table47[[#This Row],[Workings]]/Table47[[#This Row],[2009 value]])*100</f>
        <v>31.08614232209738</v>
      </c>
      <c r="J9" s="11" t="s">
        <v>80</v>
      </c>
      <c r="O9" s="26"/>
    </row>
    <row r="10" spans="1:15">
      <c r="A10" s="23">
        <v>42093</v>
      </c>
      <c r="B10" t="s">
        <v>77</v>
      </c>
      <c r="C10" t="s">
        <v>63</v>
      </c>
      <c r="D10" t="s">
        <v>78</v>
      </c>
      <c r="E10" t="s">
        <v>79</v>
      </c>
      <c r="F10" s="2">
        <v>3.57</v>
      </c>
      <c r="G10" s="2">
        <f>F2</f>
        <v>2.67</v>
      </c>
      <c r="H10" s="2">
        <f>Table47[[#This Row],[Price (£)]]-Table47[[#This Row],[2009 value]]</f>
        <v>0.89999999999999991</v>
      </c>
      <c r="I10" s="9">
        <f>(Table47[[#This Row],[Workings]]/Table47[[#This Row],[2009 value]])*100</f>
        <v>33.707865168539328</v>
      </c>
      <c r="J10" s="11" t="s">
        <v>80</v>
      </c>
      <c r="O10" s="26"/>
    </row>
    <row r="11" spans="1:15">
      <c r="A11" s="21">
        <v>42458</v>
      </c>
      <c r="B11" t="s">
        <v>77</v>
      </c>
      <c r="C11" t="s">
        <v>63</v>
      </c>
      <c r="D11" t="s">
        <v>78</v>
      </c>
      <c r="E11" t="s">
        <v>79</v>
      </c>
      <c r="F11" s="2">
        <v>3.62</v>
      </c>
      <c r="G11" s="2">
        <f>F2</f>
        <v>2.67</v>
      </c>
      <c r="H11" s="2">
        <f>Table47[[#This Row],[Price (£)]]-Table47[[#This Row],[2009 value]]</f>
        <v>0.95000000000000018</v>
      </c>
      <c r="I11" s="9">
        <f>(Table47[[#This Row],[Workings]]/Table47[[#This Row],[2009 value]])*100</f>
        <v>35.580524344569298</v>
      </c>
      <c r="J11" s="11" t="s">
        <v>80</v>
      </c>
      <c r="O11" s="26"/>
    </row>
    <row r="12" spans="1:15">
      <c r="A12" s="23">
        <v>42821</v>
      </c>
      <c r="B12" t="s">
        <v>77</v>
      </c>
      <c r="C12" t="s">
        <v>63</v>
      </c>
      <c r="D12" t="s">
        <v>78</v>
      </c>
      <c r="E12" t="s">
        <v>79</v>
      </c>
      <c r="F12" s="2">
        <v>3.64</v>
      </c>
      <c r="G12" s="2">
        <f>F2</f>
        <v>2.67</v>
      </c>
      <c r="H12" s="2">
        <f>Table47[[#This Row],[Price (£)]]-Table47[[#This Row],[2009 value]]</f>
        <v>0.9700000000000002</v>
      </c>
      <c r="I12" s="9">
        <f>(Table47[[#This Row],[Workings]]/Table47[[#This Row],[2009 value]])*100</f>
        <v>36.329588014981283</v>
      </c>
      <c r="J12" s="11" t="s">
        <v>80</v>
      </c>
      <c r="O12" s="26"/>
    </row>
    <row r="13" spans="1:15">
      <c r="A13" s="21">
        <v>43185</v>
      </c>
      <c r="B13" t="s">
        <v>77</v>
      </c>
      <c r="C13" t="s">
        <v>63</v>
      </c>
      <c r="D13" t="s">
        <v>78</v>
      </c>
      <c r="E13" t="s">
        <v>79</v>
      </c>
      <c r="F13" s="2">
        <v>3.59</v>
      </c>
      <c r="G13" s="2">
        <f>F2</f>
        <v>2.67</v>
      </c>
      <c r="H13" s="2">
        <f>Table47[[#This Row],[Price (£)]]-Table47[[#This Row],[2009 value]]</f>
        <v>0.91999999999999993</v>
      </c>
      <c r="I13" s="9">
        <f>(Table47[[#This Row],[Workings]]/Table47[[#This Row],[2009 value]])*100</f>
        <v>34.456928838951313</v>
      </c>
      <c r="J13" s="11" t="s">
        <v>80</v>
      </c>
      <c r="O13" s="26"/>
    </row>
    <row r="14" spans="1:15">
      <c r="A14" s="21">
        <v>43549</v>
      </c>
      <c r="B14" t="s">
        <v>77</v>
      </c>
      <c r="C14" t="s">
        <v>63</v>
      </c>
      <c r="D14" t="s">
        <v>78</v>
      </c>
      <c r="E14" t="s">
        <v>79</v>
      </c>
      <c r="F14" s="2">
        <v>3.61</v>
      </c>
      <c r="G14" s="2">
        <f>F2</f>
        <v>2.67</v>
      </c>
      <c r="H14" s="2">
        <f>Table47[[#This Row],[Price (£)]]-Table47[[#This Row],[2009 value]]</f>
        <v>0.94</v>
      </c>
      <c r="I14" s="9">
        <f>(Table47[[#This Row],[Workings]]/Table47[[#This Row],[2009 value]])*100</f>
        <v>35.205992509363291</v>
      </c>
      <c r="J14" s="11" t="s">
        <v>80</v>
      </c>
      <c r="O14" s="26"/>
    </row>
    <row r="15" spans="1:15">
      <c r="A15" s="21">
        <v>43913</v>
      </c>
      <c r="B15" t="s">
        <v>77</v>
      </c>
      <c r="C15" t="s">
        <v>63</v>
      </c>
      <c r="D15" t="s">
        <v>78</v>
      </c>
      <c r="E15" t="s">
        <v>79</v>
      </c>
      <c r="F15" s="2">
        <v>3.7</v>
      </c>
      <c r="G15" s="2">
        <f>F2</f>
        <v>2.67</v>
      </c>
      <c r="H15" s="2">
        <f>Table47[[#This Row],[Price (£)]]-Table47[[#This Row],[2009 value]]</f>
        <v>1.0300000000000002</v>
      </c>
      <c r="I15" s="9">
        <f>(Table47[[#This Row],[Workings]]/Table47[[#This Row],[2009 value]])*100</f>
        <v>38.576779026217238</v>
      </c>
      <c r="J15" s="11" t="s">
        <v>80</v>
      </c>
      <c r="O15" s="26"/>
    </row>
    <row r="16" spans="1:15">
      <c r="A16" s="21">
        <v>44284</v>
      </c>
      <c r="B16" t="s">
        <v>77</v>
      </c>
      <c r="C16" t="s">
        <v>63</v>
      </c>
      <c r="D16" t="s">
        <v>78</v>
      </c>
      <c r="E16" t="s">
        <v>79</v>
      </c>
      <c r="F16" s="2">
        <f>'[1]Parcel prices'!$P74</f>
        <v>3.85</v>
      </c>
      <c r="G16" s="2">
        <f>F2</f>
        <v>2.67</v>
      </c>
      <c r="H16" s="2">
        <f>Table47[[#This Row],[Price (£)]]-Table47[[#This Row],[2009 value]]</f>
        <v>1.1800000000000002</v>
      </c>
      <c r="I16" s="9">
        <f>(Table47[[#This Row],[Workings]]/Table47[[#This Row],[2009 value]])*100</f>
        <v>44.194756554307126</v>
      </c>
      <c r="J16" s="11" t="s">
        <v>80</v>
      </c>
      <c r="K16" s="5" t="s">
        <v>81</v>
      </c>
    </row>
    <row r="17" spans="1:11">
      <c r="A17" s="7">
        <v>44284</v>
      </c>
      <c r="B17" t="s">
        <v>82</v>
      </c>
      <c r="C17" t="s">
        <v>63</v>
      </c>
      <c r="D17" t="s">
        <v>78</v>
      </c>
      <c r="E17" t="s">
        <v>79</v>
      </c>
      <c r="F17" s="2">
        <f>'[1]Parcel prices'!$P75</f>
        <v>3.68</v>
      </c>
      <c r="G17" s="2">
        <f>F2</f>
        <v>2.67</v>
      </c>
      <c r="H17" s="2">
        <f>Table47[[#This Row],[Price (£)]]-Table47[[#This Row],[2009 value]]</f>
        <v>1.0100000000000002</v>
      </c>
      <c r="I17" s="9">
        <f>(Table47[[#This Row],[Workings]]/Table47[[#This Row],[2009 value]])*100</f>
        <v>37.827715355805253</v>
      </c>
      <c r="J17" s="11" t="s">
        <v>80</v>
      </c>
      <c r="K17" s="5" t="s">
        <v>83</v>
      </c>
    </row>
    <row r="18" spans="1:11">
      <c r="A18" s="21">
        <v>44284</v>
      </c>
      <c r="B18" t="s">
        <v>84</v>
      </c>
      <c r="C18" t="s">
        <v>68</v>
      </c>
      <c r="D18" t="s">
        <v>85</v>
      </c>
      <c r="E18" t="s">
        <v>86</v>
      </c>
      <c r="F18" s="2">
        <f>'[1]Parcel prices'!$P96</f>
        <v>8.99</v>
      </c>
      <c r="G18" s="2"/>
      <c r="H18" s="2">
        <f>Table47[[#This Row],[Price (£)]]-Table47[[#This Row],[2009 value]]</f>
        <v>8.99</v>
      </c>
      <c r="I18" s="9" t="s">
        <v>87</v>
      </c>
      <c r="J18" s="11" t="s">
        <v>88</v>
      </c>
      <c r="K18" s="6" t="s">
        <v>89</v>
      </c>
    </row>
    <row r="19" spans="1:11">
      <c r="A19" s="7">
        <v>44284</v>
      </c>
      <c r="B19" t="s">
        <v>90</v>
      </c>
      <c r="C19" t="s">
        <v>68</v>
      </c>
      <c r="D19" t="s">
        <v>85</v>
      </c>
      <c r="E19" t="s">
        <v>86</v>
      </c>
      <c r="F19" s="2">
        <f>'[1]Parcel prices'!$P97</f>
        <v>8.7899999999999991</v>
      </c>
      <c r="G19" s="2"/>
      <c r="H19" s="2">
        <f>Table47[[#This Row],[Price (£)]]-Table47[[#This Row],[2009 value]]</f>
        <v>8.7899999999999991</v>
      </c>
      <c r="I19" s="9" t="s">
        <v>87</v>
      </c>
      <c r="J19" s="11" t="s">
        <v>88</v>
      </c>
    </row>
    <row r="20" spans="1:11">
      <c r="A20" s="21">
        <v>44284</v>
      </c>
      <c r="B20" t="s">
        <v>91</v>
      </c>
      <c r="C20" t="s">
        <v>63</v>
      </c>
      <c r="D20" t="s">
        <v>85</v>
      </c>
      <c r="E20" t="s">
        <v>92</v>
      </c>
      <c r="F20" s="2">
        <f>'[1]Parcel prices'!$P84</f>
        <v>21.9</v>
      </c>
      <c r="G20" s="2"/>
      <c r="H20" s="2">
        <f>Table47[[#This Row],[Price (£)]]-Table47[[#This Row],[2009 value]]</f>
        <v>21.9</v>
      </c>
      <c r="I20" s="9" t="s">
        <v>87</v>
      </c>
      <c r="J20" s="11" t="s">
        <v>93</v>
      </c>
    </row>
    <row r="21" spans="1:11">
      <c r="A21" s="21">
        <v>44284</v>
      </c>
      <c r="B21" t="s">
        <v>94</v>
      </c>
      <c r="C21" t="s">
        <v>63</v>
      </c>
      <c r="D21" t="s">
        <v>85</v>
      </c>
      <c r="E21" t="s">
        <v>92</v>
      </c>
      <c r="F21" s="2">
        <f>'[1]Parcel prices'!$P85</f>
        <v>21.9</v>
      </c>
      <c r="G21" s="2"/>
      <c r="H21" s="2">
        <f>Table47[[#This Row],[Price (£)]]-Table47[[#This Row],[2009 value]]</f>
        <v>21.9</v>
      </c>
      <c r="I21" s="9" t="s">
        <v>87</v>
      </c>
      <c r="J21" s="11" t="s">
        <v>93</v>
      </c>
    </row>
    <row r="22" spans="1:11">
      <c r="A22" s="21">
        <v>44284</v>
      </c>
      <c r="B22" t="s">
        <v>95</v>
      </c>
      <c r="C22" t="s">
        <v>68</v>
      </c>
      <c r="D22" t="s">
        <v>85</v>
      </c>
      <c r="E22" t="s">
        <v>92</v>
      </c>
      <c r="F22" s="2">
        <f>'[1]Parcel prices'!$P98</f>
        <v>20.25</v>
      </c>
      <c r="G22" s="2"/>
      <c r="H22" s="2">
        <f>Table47[[#This Row],[Price (£)]]-Table47[[#This Row],[2009 value]]</f>
        <v>20.25</v>
      </c>
      <c r="I22" s="9" t="s">
        <v>87</v>
      </c>
      <c r="J22" s="11" t="s">
        <v>96</v>
      </c>
    </row>
    <row r="23" spans="1:11">
      <c r="A23" s="21">
        <v>44284</v>
      </c>
      <c r="B23" t="s">
        <v>97</v>
      </c>
      <c r="C23" t="s">
        <v>68</v>
      </c>
      <c r="D23" t="s">
        <v>85</v>
      </c>
      <c r="E23" t="s">
        <v>92</v>
      </c>
      <c r="F23" s="2">
        <f>'[1]Parcel prices'!$P99</f>
        <v>20.25</v>
      </c>
      <c r="G23" s="2"/>
      <c r="H23" s="2">
        <f>Table47[[#This Row],[Price (£)]]-Table47[[#This Row],[2009 value]]</f>
        <v>20.25</v>
      </c>
      <c r="I23" s="9" t="s">
        <v>87</v>
      </c>
      <c r="J23" s="11" t="s">
        <v>96</v>
      </c>
    </row>
    <row r="24" spans="1:11">
      <c r="A24" s="21">
        <v>44284</v>
      </c>
      <c r="B24" t="s">
        <v>98</v>
      </c>
      <c r="C24" t="s">
        <v>63</v>
      </c>
      <c r="D24" t="s">
        <v>85</v>
      </c>
      <c r="E24" t="s">
        <v>99</v>
      </c>
      <c r="F24" s="2">
        <f>'[1]Parcel prices'!$P86</f>
        <v>33.4</v>
      </c>
      <c r="G24" s="2"/>
      <c r="H24" s="2">
        <f>Table47[[#This Row],[Price (£)]]-Table47[[#This Row],[2009 value]]</f>
        <v>33.4</v>
      </c>
      <c r="I24" s="9" t="s">
        <v>87</v>
      </c>
      <c r="J24" s="11" t="s">
        <v>100</v>
      </c>
    </row>
    <row r="25" spans="1:11">
      <c r="A25" s="21">
        <v>44284</v>
      </c>
      <c r="B25" t="s">
        <v>101</v>
      </c>
      <c r="C25" t="s">
        <v>63</v>
      </c>
      <c r="D25" t="s">
        <v>85</v>
      </c>
      <c r="E25" t="s">
        <v>99</v>
      </c>
      <c r="F25" s="2">
        <f>'[1]Parcel prices'!$P87</f>
        <v>33.4</v>
      </c>
      <c r="G25" s="2"/>
      <c r="H25" s="2">
        <f>Table47[[#This Row],[Price (£)]]-Table47[[#This Row],[2009 value]]</f>
        <v>33.4</v>
      </c>
      <c r="I25" s="9" t="s">
        <v>87</v>
      </c>
      <c r="J25" s="11" t="s">
        <v>100</v>
      </c>
    </row>
    <row r="26" spans="1:11">
      <c r="A26" s="21">
        <v>44284</v>
      </c>
      <c r="B26" t="s">
        <v>102</v>
      </c>
      <c r="C26" t="s">
        <v>68</v>
      </c>
      <c r="D26" t="s">
        <v>85</v>
      </c>
      <c r="E26" t="s">
        <v>99</v>
      </c>
      <c r="F26" s="2">
        <f>'[1]Parcel prices'!$P100</f>
        <v>28.55</v>
      </c>
      <c r="G26" s="2"/>
      <c r="H26" s="2">
        <f>Table47[[#This Row],[Price (£)]]-Table47[[#This Row],[2009 value]]</f>
        <v>28.55</v>
      </c>
      <c r="I26" s="9" t="s">
        <v>87</v>
      </c>
      <c r="J26" s="11" t="s">
        <v>103</v>
      </c>
    </row>
    <row r="27" spans="1:11">
      <c r="A27" s="21">
        <v>44284</v>
      </c>
      <c r="B27" t="s">
        <v>104</v>
      </c>
      <c r="C27" t="s">
        <v>68</v>
      </c>
      <c r="D27" t="s">
        <v>85</v>
      </c>
      <c r="E27" t="s">
        <v>99</v>
      </c>
      <c r="F27" s="2">
        <f>'[1]Parcel prices'!$P101</f>
        <v>28.55</v>
      </c>
      <c r="G27" s="2"/>
      <c r="H27" s="2">
        <f>Table47[[#This Row],[Price (£)]]-Table47[[#This Row],[2009 value]]</f>
        <v>28.55</v>
      </c>
      <c r="I27" s="9" t="s">
        <v>87</v>
      </c>
      <c r="J27" s="11" t="s">
        <v>103</v>
      </c>
    </row>
    <row r="28" spans="1:11">
      <c r="A28" s="23">
        <v>39909</v>
      </c>
      <c r="B28" t="s">
        <v>105</v>
      </c>
      <c r="C28" t="s">
        <v>68</v>
      </c>
      <c r="D28" t="s">
        <v>78</v>
      </c>
      <c r="E28" t="s">
        <v>79</v>
      </c>
      <c r="F28" s="2">
        <v>2.2599999999999998</v>
      </c>
      <c r="G28" s="26">
        <f>Table47[[#This Row],[Price (£)]]</f>
        <v>2.2599999999999998</v>
      </c>
      <c r="H28" s="26">
        <f>Table47[[#This Row],[Price (£)]]-Table47[[#This Row],[2009 value]]</f>
        <v>0</v>
      </c>
      <c r="I28" s="25">
        <f>(Table47[[#This Row],[Workings]]/Table47[[#This Row],[2009 value]])*100</f>
        <v>0</v>
      </c>
      <c r="J28" s="24" t="s">
        <v>106</v>
      </c>
    </row>
    <row r="29" spans="1:11">
      <c r="A29" s="21">
        <v>40274</v>
      </c>
      <c r="B29" t="s">
        <v>105</v>
      </c>
      <c r="C29" t="s">
        <v>68</v>
      </c>
      <c r="D29" t="s">
        <v>78</v>
      </c>
      <c r="E29" t="s">
        <v>79</v>
      </c>
      <c r="F29" s="2">
        <v>2.35</v>
      </c>
      <c r="G29" s="26">
        <f>F28</f>
        <v>2.2599999999999998</v>
      </c>
      <c r="H29" s="26">
        <f>Table47[[#This Row],[Price (£)]]-Table47[[#This Row],[2009 value]]</f>
        <v>9.0000000000000302E-2</v>
      </c>
      <c r="I29" s="25">
        <f>(Table47[[#This Row],[Workings]]/Table47[[#This Row],[2009 value]])*100</f>
        <v>3.982300884955766</v>
      </c>
      <c r="J29" s="24" t="s">
        <v>106</v>
      </c>
    </row>
    <row r="30" spans="1:11">
      <c r="A30" s="23">
        <v>40637</v>
      </c>
      <c r="B30" t="s">
        <v>105</v>
      </c>
      <c r="C30" t="s">
        <v>68</v>
      </c>
      <c r="D30" t="s">
        <v>78</v>
      </c>
      <c r="E30" t="s">
        <v>79</v>
      </c>
      <c r="F30" s="2">
        <v>2.5499999999999998</v>
      </c>
      <c r="G30" s="2">
        <f>F28</f>
        <v>2.2599999999999998</v>
      </c>
      <c r="H30" s="2">
        <f>Table47[[#This Row],[Price (£)]]-Table47[[#This Row],[2009 value]]</f>
        <v>0.29000000000000004</v>
      </c>
      <c r="I30" s="9">
        <f>(Table47[[#This Row],[Workings]]/Table47[[#This Row],[2009 value]])*100</f>
        <v>12.831858407079649</v>
      </c>
      <c r="J30" s="11" t="s">
        <v>106</v>
      </c>
    </row>
    <row r="31" spans="1:11">
      <c r="A31" s="7">
        <v>41029</v>
      </c>
      <c r="B31" t="s">
        <v>105</v>
      </c>
      <c r="C31" t="s">
        <v>68</v>
      </c>
      <c r="D31" t="s">
        <v>78</v>
      </c>
      <c r="E31" t="s">
        <v>79</v>
      </c>
      <c r="F31" s="2">
        <v>2.68</v>
      </c>
      <c r="G31" s="2">
        <f>F28</f>
        <v>2.2599999999999998</v>
      </c>
      <c r="H31" s="2">
        <f>Table47[[#This Row],[Price (£)]]-Table47[[#This Row],[2009 value]]</f>
        <v>0.42000000000000037</v>
      </c>
      <c r="I31" s="9">
        <f>(Table47[[#This Row],[Workings]]/Table47[[#This Row],[2009 value]])*100</f>
        <v>18.584070796460196</v>
      </c>
      <c r="J31" s="11" t="s">
        <v>106</v>
      </c>
      <c r="K31" s="5" t="s">
        <v>83</v>
      </c>
    </row>
    <row r="32" spans="1:11">
      <c r="A32" s="23">
        <v>41365</v>
      </c>
      <c r="B32" t="s">
        <v>105</v>
      </c>
      <c r="C32" t="s">
        <v>68</v>
      </c>
      <c r="D32" t="s">
        <v>78</v>
      </c>
      <c r="E32" t="s">
        <v>79</v>
      </c>
      <c r="F32" s="2">
        <v>2.91</v>
      </c>
      <c r="G32" s="2">
        <f>F28</f>
        <v>2.2599999999999998</v>
      </c>
      <c r="H32" s="2">
        <f>Table47[[#This Row],[Price (£)]]-Table47[[#This Row],[2009 value]]</f>
        <v>0.65000000000000036</v>
      </c>
      <c r="I32" s="9">
        <f>(Table47[[#This Row],[Workings]]/Table47[[#This Row],[2009 value]])*100</f>
        <v>28.761061946902672</v>
      </c>
      <c r="J32" s="11" t="s">
        <v>106</v>
      </c>
    </row>
    <row r="33" spans="1:10">
      <c r="A33" s="69">
        <v>41549</v>
      </c>
      <c r="B33" t="s">
        <v>105</v>
      </c>
      <c r="C33" t="s">
        <v>68</v>
      </c>
      <c r="D33" t="s">
        <v>78</v>
      </c>
      <c r="E33" t="s">
        <v>79</v>
      </c>
      <c r="F33" s="2">
        <v>3.13</v>
      </c>
      <c r="G33" s="2">
        <f>F28</f>
        <v>2.2599999999999998</v>
      </c>
      <c r="H33" s="2">
        <f>Table47[[#This Row],[Price (£)]]-Table47[[#This Row],[2009 value]]</f>
        <v>0.87000000000000011</v>
      </c>
      <c r="I33" s="9">
        <f>(Table47[[#This Row],[Workings]]/Table47[[#This Row],[2009 value]])*100</f>
        <v>38.495575221238951</v>
      </c>
      <c r="J33" s="11" t="s">
        <v>106</v>
      </c>
    </row>
    <row r="34" spans="1:10">
      <c r="A34" s="22">
        <v>41729</v>
      </c>
      <c r="B34" t="s">
        <v>105</v>
      </c>
      <c r="C34" t="s">
        <v>68</v>
      </c>
      <c r="D34" t="s">
        <v>78</v>
      </c>
      <c r="E34" t="s">
        <v>79</v>
      </c>
      <c r="F34" s="2">
        <v>3.06</v>
      </c>
      <c r="G34" s="2">
        <f>F28</f>
        <v>2.2599999999999998</v>
      </c>
      <c r="H34" s="2">
        <f>Table47[[#This Row],[Price (£)]]-Table47[[#This Row],[2009 value]]</f>
        <v>0.80000000000000027</v>
      </c>
      <c r="I34" s="9">
        <f>(Table47[[#This Row],[Workings]]/Table47[[#This Row],[2009 value]])*100</f>
        <v>35.398230088495595</v>
      </c>
      <c r="J34" s="11" t="s">
        <v>106</v>
      </c>
    </row>
    <row r="35" spans="1:10">
      <c r="A35" s="22">
        <v>41914</v>
      </c>
      <c r="B35" t="s">
        <v>105</v>
      </c>
      <c r="C35" t="s">
        <v>68</v>
      </c>
      <c r="D35" t="s">
        <v>78</v>
      </c>
      <c r="E35" t="s">
        <v>79</v>
      </c>
      <c r="F35" s="2">
        <v>3.06</v>
      </c>
      <c r="G35" s="2">
        <f>F28</f>
        <v>2.2599999999999998</v>
      </c>
      <c r="H35" s="2">
        <f>Table47[[#This Row],[Price (£)]]-Table47[[#This Row],[2009 value]]</f>
        <v>0.80000000000000027</v>
      </c>
      <c r="I35" s="9">
        <f>(Table47[[#This Row],[Workings]]/Table47[[#This Row],[2009 value]])*100</f>
        <v>35.398230088495595</v>
      </c>
      <c r="J35" s="11" t="s">
        <v>106</v>
      </c>
    </row>
    <row r="36" spans="1:10">
      <c r="A36" s="23">
        <v>42093</v>
      </c>
      <c r="B36" t="s">
        <v>105</v>
      </c>
      <c r="C36" t="s">
        <v>68</v>
      </c>
      <c r="D36" t="s">
        <v>78</v>
      </c>
      <c r="E36" t="s">
        <v>79</v>
      </c>
      <c r="F36" s="2">
        <v>3.03</v>
      </c>
      <c r="G36" s="2">
        <f>F28</f>
        <v>2.2599999999999998</v>
      </c>
      <c r="H36" s="2">
        <f>Table47[[#This Row],[Price (£)]]-Table47[[#This Row],[2009 value]]</f>
        <v>0.77</v>
      </c>
      <c r="I36" s="9">
        <f>(Table47[[#This Row],[Workings]]/Table47[[#This Row],[2009 value]])*100</f>
        <v>34.070796460176993</v>
      </c>
      <c r="J36" s="11" t="s">
        <v>106</v>
      </c>
    </row>
    <row r="37" spans="1:10">
      <c r="A37" s="21">
        <v>42458</v>
      </c>
      <c r="B37" t="s">
        <v>105</v>
      </c>
      <c r="C37" t="s">
        <v>68</v>
      </c>
      <c r="D37" t="s">
        <v>78</v>
      </c>
      <c r="E37" t="s">
        <v>79</v>
      </c>
      <c r="F37" s="2">
        <v>3.08</v>
      </c>
      <c r="G37" s="2">
        <f>F28</f>
        <v>2.2599999999999998</v>
      </c>
      <c r="H37" s="2">
        <f>Table47[[#This Row],[Price (£)]]-Table47[[#This Row],[2009 value]]</f>
        <v>0.82000000000000028</v>
      </c>
      <c r="I37" s="9">
        <f>(Table47[[#This Row],[Workings]]/Table47[[#This Row],[2009 value]])*100</f>
        <v>36.283185840707979</v>
      </c>
      <c r="J37" s="11" t="s">
        <v>106</v>
      </c>
    </row>
    <row r="38" spans="1:10">
      <c r="A38" s="23">
        <v>42821</v>
      </c>
      <c r="B38" t="s">
        <v>105</v>
      </c>
      <c r="C38" t="s">
        <v>68</v>
      </c>
      <c r="D38" t="s">
        <v>78</v>
      </c>
      <c r="E38" t="s">
        <v>79</v>
      </c>
      <c r="F38" s="2">
        <v>3.1</v>
      </c>
      <c r="G38" s="2">
        <f>F28</f>
        <v>2.2599999999999998</v>
      </c>
      <c r="H38" s="2">
        <f>Table47[[#This Row],[Price (£)]]-Table47[[#This Row],[2009 value]]</f>
        <v>0.8400000000000003</v>
      </c>
      <c r="I38" s="9">
        <f>(Table47[[#This Row],[Workings]]/Table47[[#This Row],[2009 value]])*100</f>
        <v>37.168141592920371</v>
      </c>
      <c r="J38" s="11" t="s">
        <v>106</v>
      </c>
    </row>
    <row r="39" spans="1:10">
      <c r="A39" s="21">
        <v>43185</v>
      </c>
      <c r="B39" t="s">
        <v>105</v>
      </c>
      <c r="C39" t="s">
        <v>68</v>
      </c>
      <c r="D39" t="s">
        <v>78</v>
      </c>
      <c r="E39" t="s">
        <v>79</v>
      </c>
      <c r="F39" s="2">
        <v>3.07</v>
      </c>
      <c r="G39" s="2">
        <f>F28</f>
        <v>2.2599999999999998</v>
      </c>
      <c r="H39" s="2">
        <f>Table47[[#This Row],[Price (£)]]-Table47[[#This Row],[2009 value]]</f>
        <v>0.81</v>
      </c>
      <c r="I39" s="9">
        <f>(Table47[[#This Row],[Workings]]/Table47[[#This Row],[2009 value]])*100</f>
        <v>35.840707964601776</v>
      </c>
      <c r="J39" s="11" t="s">
        <v>106</v>
      </c>
    </row>
    <row r="40" spans="1:10">
      <c r="A40" s="21">
        <v>43549</v>
      </c>
      <c r="B40" t="s">
        <v>105</v>
      </c>
      <c r="C40" t="s">
        <v>68</v>
      </c>
      <c r="D40" t="s">
        <v>78</v>
      </c>
      <c r="E40" t="s">
        <v>79</v>
      </c>
      <c r="F40" s="2">
        <v>3.05</v>
      </c>
      <c r="G40" s="2">
        <f>F28</f>
        <v>2.2599999999999998</v>
      </c>
      <c r="H40" s="2">
        <f>Table47[[#This Row],[Price (£)]]-Table47[[#This Row],[2009 value]]</f>
        <v>0.79</v>
      </c>
      <c r="I40" s="9">
        <f>(Table47[[#This Row],[Workings]]/Table47[[#This Row],[2009 value]])*100</f>
        <v>34.955752212389385</v>
      </c>
      <c r="J40" s="11" t="s">
        <v>106</v>
      </c>
    </row>
    <row r="41" spans="1:10">
      <c r="A41" s="7">
        <v>43913</v>
      </c>
      <c r="B41" t="s">
        <v>105</v>
      </c>
      <c r="C41" t="s">
        <v>68</v>
      </c>
      <c r="D41" t="s">
        <v>78</v>
      </c>
      <c r="E41" t="s">
        <v>79</v>
      </c>
      <c r="F41" s="2">
        <v>3.1</v>
      </c>
      <c r="G41" s="2">
        <f>F28</f>
        <v>2.2599999999999998</v>
      </c>
      <c r="H41" s="2">
        <f>Table47[[#This Row],[Price (£)]]-Table47[[#This Row],[2009 value]]</f>
        <v>0.8400000000000003</v>
      </c>
      <c r="I41" s="9">
        <f>(Table47[[#This Row],[Workings]]/Table47[[#This Row],[2009 value]])*100</f>
        <v>37.168141592920371</v>
      </c>
      <c r="J41" s="11" t="s">
        <v>106</v>
      </c>
    </row>
    <row r="42" spans="1:10">
      <c r="A42" s="21">
        <v>44284</v>
      </c>
      <c r="B42" t="s">
        <v>105</v>
      </c>
      <c r="C42" t="s">
        <v>68</v>
      </c>
      <c r="D42" t="s">
        <v>78</v>
      </c>
      <c r="E42" t="s">
        <v>79</v>
      </c>
      <c r="F42" s="2">
        <f>'[1]Parcel prices'!$P88</f>
        <v>3.2</v>
      </c>
      <c r="G42" s="2">
        <f>F28</f>
        <v>2.2599999999999998</v>
      </c>
      <c r="H42" s="2">
        <f>Table47[[#This Row],[Price (£)]]-Table47[[#This Row],[2009 value]]</f>
        <v>0.94000000000000039</v>
      </c>
      <c r="I42" s="9">
        <f>(Table47[[#This Row],[Workings]]/Table47[[#This Row],[2009 value]])*100</f>
        <v>41.592920353982322</v>
      </c>
      <c r="J42" s="11" t="s">
        <v>106</v>
      </c>
    </row>
    <row r="43" spans="1:10">
      <c r="A43" s="7">
        <v>44284</v>
      </c>
      <c r="B43" t="s">
        <v>82</v>
      </c>
      <c r="C43" t="s">
        <v>68</v>
      </c>
      <c r="D43" t="s">
        <v>78</v>
      </c>
      <c r="E43" t="s">
        <v>79</v>
      </c>
      <c r="F43" s="2">
        <f>'[1]Parcel prices'!$P89</f>
        <v>3</v>
      </c>
      <c r="G43" s="2">
        <f>F28</f>
        <v>2.2599999999999998</v>
      </c>
      <c r="H43" s="2">
        <f>Table47[[#This Row],[Price (£)]]-Table47[[#This Row],[2009 value]]</f>
        <v>0.74000000000000021</v>
      </c>
      <c r="I43" s="9">
        <f>(Table47[[#This Row],[Workings]]/Table47[[#This Row],[2009 value]])*100</f>
        <v>32.74336283185842</v>
      </c>
      <c r="J43" s="11" t="s">
        <v>106</v>
      </c>
    </row>
    <row r="44" spans="1:10">
      <c r="A44" s="21">
        <v>41365</v>
      </c>
      <c r="B44" t="s">
        <v>107</v>
      </c>
      <c r="C44" t="s">
        <v>63</v>
      </c>
      <c r="D44" t="s">
        <v>85</v>
      </c>
      <c r="E44" t="s">
        <v>79</v>
      </c>
      <c r="F44" s="2">
        <v>6.32</v>
      </c>
      <c r="G44" s="2">
        <f>Table47[[#This Row],[Price (£)]]</f>
        <v>6.32</v>
      </c>
      <c r="H44" s="2">
        <f>Table47[[#This Row],[Price (£)]]-Table47[[#This Row],[2009 value]]</f>
        <v>0</v>
      </c>
      <c r="I44" s="9">
        <f>(Table47[[#This Row],[Workings]]/Table47[[#This Row],[2009 value]])*100</f>
        <v>0</v>
      </c>
      <c r="J44" s="11" t="s">
        <v>108</v>
      </c>
    </row>
    <row r="45" spans="1:10">
      <c r="A45" s="67">
        <v>41549</v>
      </c>
      <c r="B45" t="s">
        <v>107</v>
      </c>
      <c r="C45" t="s">
        <v>63</v>
      </c>
      <c r="D45" t="s">
        <v>85</v>
      </c>
      <c r="E45" t="s">
        <v>79</v>
      </c>
      <c r="F45" s="2">
        <v>6.32</v>
      </c>
      <c r="G45" s="2">
        <f>F44</f>
        <v>6.32</v>
      </c>
      <c r="H45" s="2">
        <f>Table47[[#This Row],[Price (£)]]-Table47[[#This Row],[2009 value]]</f>
        <v>0</v>
      </c>
      <c r="I45" s="9">
        <f>(Table47[[#This Row],[Workings]]/Table47[[#This Row],[2009 value]])*100</f>
        <v>0</v>
      </c>
      <c r="J45" s="11" t="s">
        <v>108</v>
      </c>
    </row>
    <row r="46" spans="1:10">
      <c r="A46" s="22">
        <v>41729</v>
      </c>
      <c r="B46" t="s">
        <v>107</v>
      </c>
      <c r="C46" t="s">
        <v>63</v>
      </c>
      <c r="D46" t="s">
        <v>85</v>
      </c>
      <c r="E46" t="s">
        <v>79</v>
      </c>
      <c r="F46" s="2">
        <v>6.18</v>
      </c>
      <c r="G46" s="2">
        <f>F44</f>
        <v>6.32</v>
      </c>
      <c r="H46" s="2">
        <f>Table47[[#This Row],[Price (£)]]-Table47[[#This Row],[2009 value]]</f>
        <v>-0.14000000000000057</v>
      </c>
      <c r="I46" s="9">
        <f>(Table47[[#This Row],[Workings]]/Table47[[#This Row],[2009 value]])*100</f>
        <v>-2.2151898734177307</v>
      </c>
      <c r="J46" s="11" t="s">
        <v>108</v>
      </c>
    </row>
    <row r="47" spans="1:10">
      <c r="A47" s="22">
        <v>41914</v>
      </c>
      <c r="B47" t="s">
        <v>107</v>
      </c>
      <c r="C47" t="s">
        <v>63</v>
      </c>
      <c r="D47" t="s">
        <v>85</v>
      </c>
      <c r="E47" t="s">
        <v>79</v>
      </c>
      <c r="F47" s="2">
        <v>6.18</v>
      </c>
      <c r="G47" s="2">
        <f>F44</f>
        <v>6.32</v>
      </c>
      <c r="H47" s="2">
        <f>Table47[[#This Row],[Price (£)]]-Table47[[#This Row],[2009 value]]</f>
        <v>-0.14000000000000057</v>
      </c>
      <c r="I47" s="9">
        <f>(Table47[[#This Row],[Workings]]/Table47[[#This Row],[2009 value]])*100</f>
        <v>-2.2151898734177307</v>
      </c>
      <c r="J47" s="11" t="s">
        <v>108</v>
      </c>
    </row>
    <row r="48" spans="1:10">
      <c r="A48" s="21">
        <v>42093</v>
      </c>
      <c r="B48" t="s">
        <v>107</v>
      </c>
      <c r="C48" t="s">
        <v>63</v>
      </c>
      <c r="D48" t="s">
        <v>85</v>
      </c>
      <c r="E48" t="s">
        <v>79</v>
      </c>
      <c r="F48" s="2">
        <v>6.12</v>
      </c>
      <c r="G48" s="2">
        <f>F44</f>
        <v>6.32</v>
      </c>
      <c r="H48" s="2">
        <f>Table47[[#This Row],[Price (£)]]-Table47[[#This Row],[2009 value]]</f>
        <v>-0.20000000000000018</v>
      </c>
      <c r="I48" s="9">
        <f>(Table47[[#This Row],[Workings]]/Table47[[#This Row],[2009 value]])*100</f>
        <v>-3.1645569620253196</v>
      </c>
      <c r="J48" s="11" t="s">
        <v>108</v>
      </c>
    </row>
    <row r="49" spans="1:11">
      <c r="A49" s="21">
        <v>42458</v>
      </c>
      <c r="B49" t="s">
        <v>107</v>
      </c>
      <c r="C49" t="s">
        <v>63</v>
      </c>
      <c r="D49" t="s">
        <v>85</v>
      </c>
      <c r="E49" t="s">
        <v>79</v>
      </c>
      <c r="F49" s="2">
        <v>6.16</v>
      </c>
      <c r="G49" s="2">
        <f>F44</f>
        <v>6.32</v>
      </c>
      <c r="H49" s="2">
        <f>Table47[[#This Row],[Price (£)]]-Table47[[#This Row],[2009 value]]</f>
        <v>-0.16000000000000014</v>
      </c>
      <c r="I49" s="9">
        <f>(Table47[[#This Row],[Workings]]/Table47[[#This Row],[2009 value]])*100</f>
        <v>-2.5316455696202551</v>
      </c>
      <c r="J49" s="11" t="s">
        <v>108</v>
      </c>
    </row>
    <row r="50" spans="1:11">
      <c r="A50" s="21">
        <v>42821</v>
      </c>
      <c r="B50" t="s">
        <v>107</v>
      </c>
      <c r="C50" t="s">
        <v>63</v>
      </c>
      <c r="D50" t="s">
        <v>85</v>
      </c>
      <c r="E50" t="s">
        <v>79</v>
      </c>
      <c r="F50" s="2">
        <v>6.1</v>
      </c>
      <c r="G50" s="2">
        <f>F44</f>
        <v>6.32</v>
      </c>
      <c r="H50" s="2">
        <f>Table47[[#This Row],[Price (£)]]-Table47[[#This Row],[2009 value]]</f>
        <v>-0.22000000000000064</v>
      </c>
      <c r="I50" s="9">
        <f>(Table47[[#This Row],[Workings]]/Table47[[#This Row],[2009 value]])*100</f>
        <v>-3.4810126582278582</v>
      </c>
      <c r="J50" s="11" t="s">
        <v>108</v>
      </c>
    </row>
    <row r="51" spans="1:11">
      <c r="A51" s="21">
        <v>43185</v>
      </c>
      <c r="B51" t="s">
        <v>107</v>
      </c>
      <c r="C51" t="s">
        <v>63</v>
      </c>
      <c r="D51" t="s">
        <v>85</v>
      </c>
      <c r="E51" t="s">
        <v>79</v>
      </c>
      <c r="F51" s="2">
        <v>5.98</v>
      </c>
      <c r="G51" s="2">
        <f>F44</f>
        <v>6.32</v>
      </c>
      <c r="H51" s="2">
        <f>Table47[[#This Row],[Price (£)]]-Table47[[#This Row],[2009 value]]</f>
        <v>-0.33999999999999986</v>
      </c>
      <c r="I51" s="9">
        <f>(Table47[[#This Row],[Workings]]/Table47[[#This Row],[2009 value]])*100</f>
        <v>-5.3797468354430356</v>
      </c>
      <c r="J51" s="11" t="s">
        <v>108</v>
      </c>
    </row>
    <row r="52" spans="1:11">
      <c r="A52" s="21">
        <v>43549</v>
      </c>
      <c r="B52" t="s">
        <v>107</v>
      </c>
      <c r="C52" t="s">
        <v>63</v>
      </c>
      <c r="D52" t="s">
        <v>85</v>
      </c>
      <c r="E52" t="s">
        <v>79</v>
      </c>
      <c r="F52" s="2">
        <v>5.9</v>
      </c>
      <c r="G52" s="2">
        <f>F44</f>
        <v>6.32</v>
      </c>
      <c r="H52" s="2">
        <f>Table47[[#This Row],[Price (£)]]-Table47[[#This Row],[2009 value]]</f>
        <v>-0.41999999999999993</v>
      </c>
      <c r="I52" s="9">
        <f>(Table47[[#This Row],[Workings]]/Table47[[#This Row],[2009 value]])*100</f>
        <v>-6.6455696202531627</v>
      </c>
      <c r="J52" s="11" t="s">
        <v>108</v>
      </c>
    </row>
    <row r="53" spans="1:11">
      <c r="A53" s="21">
        <v>43913</v>
      </c>
      <c r="B53" t="s">
        <v>107</v>
      </c>
      <c r="C53" t="s">
        <v>63</v>
      </c>
      <c r="D53" t="s">
        <v>85</v>
      </c>
      <c r="E53" t="s">
        <v>79</v>
      </c>
      <c r="F53" s="2">
        <v>5.9</v>
      </c>
      <c r="G53" s="2">
        <f>F44</f>
        <v>6.32</v>
      </c>
      <c r="H53" s="2">
        <f>Table47[[#This Row],[Price (£)]]-Table47[[#This Row],[2009 value]]</f>
        <v>-0.41999999999999993</v>
      </c>
      <c r="I53" s="9">
        <f>(Table47[[#This Row],[Workings]]/Table47[[#This Row],[2009 value]])*100</f>
        <v>-6.6455696202531627</v>
      </c>
      <c r="J53" s="11" t="s">
        <v>108</v>
      </c>
    </row>
    <row r="54" spans="1:11">
      <c r="A54" s="21">
        <v>44284</v>
      </c>
      <c r="B54" t="s">
        <v>107</v>
      </c>
      <c r="C54" t="s">
        <v>63</v>
      </c>
      <c r="D54" t="s">
        <v>85</v>
      </c>
      <c r="E54" t="s">
        <v>79</v>
      </c>
      <c r="F54" s="2">
        <f>'[1]Parcel prices'!$P76</f>
        <v>6</v>
      </c>
      <c r="G54" s="2">
        <f>F44</f>
        <v>6.32</v>
      </c>
      <c r="H54" s="2">
        <f>Table47[[#This Row],[Price (£)]]-Table47[[#This Row],[2009 value]]</f>
        <v>-0.32000000000000028</v>
      </c>
      <c r="I54" s="9">
        <f>(Table47[[#This Row],[Workings]]/Table47[[#This Row],[2009 value]])*100</f>
        <v>-5.0632911392405102</v>
      </c>
      <c r="J54" s="11" t="s">
        <v>108</v>
      </c>
    </row>
    <row r="55" spans="1:11">
      <c r="A55" s="7">
        <v>44284</v>
      </c>
      <c r="B55" t="s">
        <v>109</v>
      </c>
      <c r="C55" t="s">
        <v>63</v>
      </c>
      <c r="D55" t="s">
        <v>85</v>
      </c>
      <c r="E55" t="s">
        <v>79</v>
      </c>
      <c r="F55" s="2">
        <f>'[1]Parcel prices'!$P77</f>
        <v>5.83</v>
      </c>
      <c r="G55" s="2">
        <f>F44</f>
        <v>6.32</v>
      </c>
      <c r="H55" s="2">
        <f>Table47[[#This Row],[Price (£)]]-Table47[[#This Row],[2009 value]]</f>
        <v>-0.49000000000000021</v>
      </c>
      <c r="I55" s="9">
        <f>(Table47[[#This Row],[Workings]]/Table47[[#This Row],[2009 value]])*100</f>
        <v>-7.7531645569620276</v>
      </c>
      <c r="J55" s="11" t="s">
        <v>108</v>
      </c>
    </row>
    <row r="56" spans="1:11">
      <c r="A56" s="21">
        <v>41365</v>
      </c>
      <c r="B56" t="s">
        <v>110</v>
      </c>
      <c r="C56" t="s">
        <v>68</v>
      </c>
      <c r="D56" t="s">
        <v>85</v>
      </c>
      <c r="E56" t="s">
        <v>79</v>
      </c>
      <c r="F56" s="2">
        <v>5.82</v>
      </c>
      <c r="G56" s="2">
        <f>Table47[[#This Row],[Price (£)]]</f>
        <v>5.82</v>
      </c>
      <c r="H56" s="2">
        <f>Table47[[#This Row],[Price (£)]]-Table47[[#This Row],[2009 value]]</f>
        <v>0</v>
      </c>
      <c r="I56" s="9">
        <f>(Table47[[#This Row],[Workings]]/Table47[[#This Row],[2009 value]])*100</f>
        <v>0</v>
      </c>
      <c r="J56" s="11" t="s">
        <v>111</v>
      </c>
    </row>
    <row r="57" spans="1:11">
      <c r="A57" s="69">
        <v>41549</v>
      </c>
      <c r="B57" t="s">
        <v>110</v>
      </c>
      <c r="C57" t="s">
        <v>68</v>
      </c>
      <c r="D57" t="s">
        <v>85</v>
      </c>
      <c r="E57" t="s">
        <v>79</v>
      </c>
      <c r="F57" s="2">
        <v>5.82</v>
      </c>
      <c r="G57" s="2">
        <f>F56</f>
        <v>5.82</v>
      </c>
      <c r="H57" s="2">
        <f>Table47[[#This Row],[Price (£)]]-Table47[[#This Row],[2009 value]]</f>
        <v>0</v>
      </c>
      <c r="I57" s="9">
        <f>(Table47[[#This Row],[Workings]]/Table47[[#This Row],[2009 value]])*100</f>
        <v>0</v>
      </c>
      <c r="J57" s="11" t="s">
        <v>111</v>
      </c>
    </row>
    <row r="58" spans="1:11">
      <c r="A58" s="22">
        <v>41729</v>
      </c>
      <c r="B58" t="s">
        <v>110</v>
      </c>
      <c r="C58" t="s">
        <v>68</v>
      </c>
      <c r="D58" t="s">
        <v>85</v>
      </c>
      <c r="E58" t="s">
        <v>79</v>
      </c>
      <c r="F58" s="2">
        <v>5.69</v>
      </c>
      <c r="G58" s="2">
        <f>F56</f>
        <v>5.82</v>
      </c>
      <c r="H58" s="2">
        <f>Table47[[#This Row],[Price (£)]]-Table47[[#This Row],[2009 value]]</f>
        <v>-0.12999999999999989</v>
      </c>
      <c r="I58" s="9">
        <f>(Table47[[#This Row],[Workings]]/Table47[[#This Row],[2009 value]])*100</f>
        <v>-2.233676975945015</v>
      </c>
      <c r="J58" s="11" t="s">
        <v>111</v>
      </c>
    </row>
    <row r="59" spans="1:11">
      <c r="A59" s="22">
        <v>41914</v>
      </c>
      <c r="B59" t="s">
        <v>110</v>
      </c>
      <c r="C59" t="s">
        <v>68</v>
      </c>
      <c r="D59" t="s">
        <v>85</v>
      </c>
      <c r="E59" t="s">
        <v>79</v>
      </c>
      <c r="F59" s="2">
        <v>5.69</v>
      </c>
      <c r="G59" s="2">
        <f>F56</f>
        <v>5.82</v>
      </c>
      <c r="H59" s="2">
        <f>Table47[[#This Row],[Price (£)]]-Table47[[#This Row],[2009 value]]</f>
        <v>-0.12999999999999989</v>
      </c>
      <c r="I59" s="9">
        <f>(Table47[[#This Row],[Workings]]/Table47[[#This Row],[2009 value]])*100</f>
        <v>-2.233676975945015</v>
      </c>
      <c r="J59" s="11" t="s">
        <v>111</v>
      </c>
    </row>
    <row r="60" spans="1:11">
      <c r="A60" s="21">
        <v>42093</v>
      </c>
      <c r="B60" t="s">
        <v>110</v>
      </c>
      <c r="C60" t="s">
        <v>68</v>
      </c>
      <c r="D60" t="s">
        <v>85</v>
      </c>
      <c r="E60" t="s">
        <v>79</v>
      </c>
      <c r="F60" s="2">
        <v>5.29</v>
      </c>
      <c r="G60" s="2">
        <f>F56</f>
        <v>5.82</v>
      </c>
      <c r="H60" s="2">
        <f>Table47[[#This Row],[Price (£)]]-Table47[[#This Row],[2009 value]]</f>
        <v>-0.53000000000000025</v>
      </c>
      <c r="I60" s="9">
        <f>(Table47[[#This Row],[Workings]]/Table47[[#This Row],[2009 value]])*100</f>
        <v>-9.1065292096219963</v>
      </c>
      <c r="J60" s="11" t="s">
        <v>111</v>
      </c>
    </row>
    <row r="61" spans="1:11">
      <c r="A61" s="21">
        <v>42458</v>
      </c>
      <c r="B61" t="s">
        <v>110</v>
      </c>
      <c r="C61" t="s">
        <v>68</v>
      </c>
      <c r="D61" t="s">
        <v>85</v>
      </c>
      <c r="E61" t="s">
        <v>79</v>
      </c>
      <c r="F61" s="2">
        <v>5.35</v>
      </c>
      <c r="G61" s="2">
        <f>F56</f>
        <v>5.82</v>
      </c>
      <c r="H61" s="2">
        <f>Table47[[#This Row],[Price (£)]]-Table47[[#This Row],[2009 value]]</f>
        <v>-0.47000000000000064</v>
      </c>
      <c r="I61" s="9">
        <f>(Table47[[#This Row],[Workings]]/Table47[[#This Row],[2009 value]])*100</f>
        <v>-8.0756013745704571</v>
      </c>
      <c r="J61" s="11" t="s">
        <v>111</v>
      </c>
    </row>
    <row r="62" spans="1:11">
      <c r="A62" s="21">
        <v>42821</v>
      </c>
      <c r="B62" t="s">
        <v>110</v>
      </c>
      <c r="C62" t="s">
        <v>68</v>
      </c>
      <c r="D62" t="s">
        <v>85</v>
      </c>
      <c r="E62" t="s">
        <v>79</v>
      </c>
      <c r="F62" s="2">
        <v>5.35</v>
      </c>
      <c r="G62" s="2">
        <f>F56</f>
        <v>5.82</v>
      </c>
      <c r="H62" s="2">
        <f>Table47[[#This Row],[Price (£)]]-Table47[[#This Row],[2009 value]]</f>
        <v>-0.47000000000000064</v>
      </c>
      <c r="I62" s="9">
        <f>(Table47[[#This Row],[Workings]]/Table47[[#This Row],[2009 value]])*100</f>
        <v>-8.0756013745704571</v>
      </c>
      <c r="J62" s="11" t="s">
        <v>111</v>
      </c>
    </row>
    <row r="63" spans="1:11">
      <c r="A63" s="21">
        <v>43185</v>
      </c>
      <c r="B63" t="s">
        <v>110</v>
      </c>
      <c r="C63" t="s">
        <v>68</v>
      </c>
      <c r="D63" t="s">
        <v>85</v>
      </c>
      <c r="E63" t="s">
        <v>79</v>
      </c>
      <c r="F63" s="2">
        <v>5.25</v>
      </c>
      <c r="G63" s="2">
        <f>F56</f>
        <v>5.82</v>
      </c>
      <c r="H63" s="2">
        <f>Table47[[#This Row],[Price (£)]]-Table47[[#This Row],[2009 value]]</f>
        <v>-0.57000000000000028</v>
      </c>
      <c r="I63" s="9">
        <f>(Table47[[#This Row],[Workings]]/Table47[[#This Row],[2009 value]])*100</f>
        <v>-9.793814432989695</v>
      </c>
      <c r="J63" s="11" t="s">
        <v>111</v>
      </c>
    </row>
    <row r="64" spans="1:11">
      <c r="A64" s="21">
        <v>43549</v>
      </c>
      <c r="B64" t="s">
        <v>110</v>
      </c>
      <c r="C64" t="s">
        <v>68</v>
      </c>
      <c r="D64" t="s">
        <v>85</v>
      </c>
      <c r="E64" t="s">
        <v>79</v>
      </c>
      <c r="F64" s="2">
        <v>5.19</v>
      </c>
      <c r="G64" s="2">
        <f>F56</f>
        <v>5.82</v>
      </c>
      <c r="H64" s="2">
        <f>Table47[[#This Row],[Price (£)]]-Table47[[#This Row],[2009 value]]</f>
        <v>-0.62999999999999989</v>
      </c>
      <c r="I64" s="9">
        <f>(Table47[[#This Row],[Workings]]/Table47[[#This Row],[2009 value]])*100</f>
        <v>-10.824742268041234</v>
      </c>
      <c r="J64" s="11" t="s">
        <v>111</v>
      </c>
      <c r="K64" s="5" t="s">
        <v>81</v>
      </c>
    </row>
    <row r="65" spans="1:11">
      <c r="A65" s="7">
        <v>43913</v>
      </c>
      <c r="B65" t="s">
        <v>110</v>
      </c>
      <c r="C65" t="s">
        <v>68</v>
      </c>
      <c r="D65" t="s">
        <v>85</v>
      </c>
      <c r="E65" t="s">
        <v>79</v>
      </c>
      <c r="F65" s="2">
        <v>5.2</v>
      </c>
      <c r="G65" s="2">
        <f>F56</f>
        <v>5.82</v>
      </c>
      <c r="H65" s="2">
        <f>Table47[[#This Row],[Price (£)]]-Table47[[#This Row],[2009 value]]</f>
        <v>-0.62000000000000011</v>
      </c>
      <c r="I65" s="9">
        <f>(Table47[[#This Row],[Workings]]/Table47[[#This Row],[2009 value]])*100</f>
        <v>-10.652920962199314</v>
      </c>
      <c r="J65" s="11" t="s">
        <v>111</v>
      </c>
      <c r="K65" s="5" t="s">
        <v>83</v>
      </c>
    </row>
    <row r="66" spans="1:11">
      <c r="A66" s="21">
        <v>44284</v>
      </c>
      <c r="B66" t="s">
        <v>110</v>
      </c>
      <c r="C66" t="s">
        <v>68</v>
      </c>
      <c r="D66" t="s">
        <v>85</v>
      </c>
      <c r="E66" t="s">
        <v>79</v>
      </c>
      <c r="F66" s="2">
        <f>'[1]Parcel prices'!$P90</f>
        <v>5.3</v>
      </c>
      <c r="G66" s="2">
        <f>F56</f>
        <v>5.82</v>
      </c>
      <c r="H66" s="2">
        <f>Table47[[#This Row],[Price (£)]]-Table47[[#This Row],[2009 value]]</f>
        <v>-0.52000000000000046</v>
      </c>
      <c r="I66" s="9">
        <f>(Table47[[#This Row],[Workings]]/Table47[[#This Row],[2009 value]])*100</f>
        <v>-8.9347079037800761</v>
      </c>
      <c r="J66" s="11" t="s">
        <v>111</v>
      </c>
      <c r="K66" s="6" t="s">
        <v>89</v>
      </c>
    </row>
    <row r="67" spans="1:11">
      <c r="A67" s="7">
        <v>44284</v>
      </c>
      <c r="B67" t="s">
        <v>112</v>
      </c>
      <c r="C67" t="s">
        <v>68</v>
      </c>
      <c r="D67" t="s">
        <v>85</v>
      </c>
      <c r="E67" t="s">
        <v>79</v>
      </c>
      <c r="F67" s="2">
        <f>'[1]Parcel prices'!$P91</f>
        <v>5.0999999999999996</v>
      </c>
      <c r="G67" s="2">
        <f>F56</f>
        <v>5.82</v>
      </c>
      <c r="H67" s="2">
        <f>Table47[[#This Row],[Price (£)]]-Table47[[#This Row],[2009 value]]</f>
        <v>-0.72000000000000064</v>
      </c>
      <c r="I67" s="9">
        <f>(Table47[[#This Row],[Workings]]/Table47[[#This Row],[2009 value]])*100</f>
        <v>-12.371134020618566</v>
      </c>
      <c r="J67" s="11" t="s">
        <v>111</v>
      </c>
    </row>
    <row r="68" spans="1:11">
      <c r="A68" s="23">
        <v>39909</v>
      </c>
      <c r="B68" t="s">
        <v>113</v>
      </c>
      <c r="C68" t="s">
        <v>63</v>
      </c>
      <c r="D68" t="s">
        <v>78</v>
      </c>
      <c r="E68" t="s">
        <v>114</v>
      </c>
      <c r="F68" s="2">
        <v>6.98</v>
      </c>
      <c r="G68" s="26">
        <f>Table47[[#This Row],[Price (£)]]</f>
        <v>6.98</v>
      </c>
      <c r="H68" s="26">
        <f>Table47[[#This Row],[Price (£)]]-Table47[[#This Row],[2009 value]]</f>
        <v>0</v>
      </c>
      <c r="I68" s="25">
        <f>(Table47[[#This Row],[Workings]]/Table47[[#This Row],[2009 value]])*100</f>
        <v>0</v>
      </c>
      <c r="J68" s="24" t="s">
        <v>115</v>
      </c>
    </row>
    <row r="69" spans="1:11">
      <c r="A69" s="21">
        <v>40274</v>
      </c>
      <c r="B69" t="s">
        <v>113</v>
      </c>
      <c r="C69" t="s">
        <v>63</v>
      </c>
      <c r="D69" t="s">
        <v>78</v>
      </c>
      <c r="E69" t="s">
        <v>114</v>
      </c>
      <c r="F69" s="2">
        <v>6.88</v>
      </c>
      <c r="G69" s="26">
        <f>F68</f>
        <v>6.98</v>
      </c>
      <c r="H69" s="26">
        <f>Table47[[#This Row],[Price (£)]]-Table47[[#This Row],[2009 value]]</f>
        <v>-0.10000000000000053</v>
      </c>
      <c r="I69" s="25">
        <f>(Table47[[#This Row],[Workings]]/Table47[[#This Row],[2009 value]])*100</f>
        <v>-1.432664756446999</v>
      </c>
      <c r="J69" s="24" t="s">
        <v>115</v>
      </c>
    </row>
    <row r="70" spans="1:11">
      <c r="A70" s="23">
        <v>40637</v>
      </c>
      <c r="B70" t="s">
        <v>113</v>
      </c>
      <c r="C70" t="s">
        <v>63</v>
      </c>
      <c r="D70" t="s">
        <v>78</v>
      </c>
      <c r="E70" t="s">
        <v>114</v>
      </c>
      <c r="F70" s="2">
        <v>7.24</v>
      </c>
      <c r="G70" s="2">
        <f>F68</f>
        <v>6.98</v>
      </c>
      <c r="H70" s="2">
        <f>Table47[[#This Row],[Price (£)]]-Table47[[#This Row],[2009 value]]</f>
        <v>0.25999999999999979</v>
      </c>
      <c r="I70" s="9">
        <f>(Table47[[#This Row],[Workings]]/Table47[[#This Row],[2009 value]])*100</f>
        <v>3.7249283667621742</v>
      </c>
      <c r="J70" s="11" t="s">
        <v>115</v>
      </c>
    </row>
    <row r="71" spans="1:11">
      <c r="A71" s="21">
        <v>41029</v>
      </c>
      <c r="B71" t="s">
        <v>113</v>
      </c>
      <c r="C71" t="s">
        <v>63</v>
      </c>
      <c r="D71" t="s">
        <v>78</v>
      </c>
      <c r="E71" t="s">
        <v>114</v>
      </c>
      <c r="F71" s="2">
        <v>7.98</v>
      </c>
      <c r="G71" s="2">
        <f>F68</f>
        <v>6.98</v>
      </c>
      <c r="H71" s="2">
        <f>Table47[[#This Row],[Price (£)]]-Table47[[#This Row],[2009 value]]</f>
        <v>1</v>
      </c>
      <c r="I71" s="9">
        <f>(Table47[[#This Row],[Workings]]/Table47[[#This Row],[2009 value]])*100</f>
        <v>14.326647564469914</v>
      </c>
      <c r="J71" s="11" t="s">
        <v>115</v>
      </c>
    </row>
    <row r="72" spans="1:11">
      <c r="A72" s="23">
        <v>41365</v>
      </c>
      <c r="B72" t="s">
        <v>113</v>
      </c>
      <c r="C72" t="s">
        <v>63</v>
      </c>
      <c r="D72" t="s">
        <v>78</v>
      </c>
      <c r="E72" t="s">
        <v>114</v>
      </c>
      <c r="F72" s="2">
        <v>7.67</v>
      </c>
      <c r="G72" s="2">
        <f>F68</f>
        <v>6.98</v>
      </c>
      <c r="H72" s="2">
        <f>Table47[[#This Row],[Price (£)]]-Table47[[#This Row],[2009 value]]</f>
        <v>0.6899999999999995</v>
      </c>
      <c r="I72" s="9">
        <f>(Table47[[#This Row],[Workings]]/Table47[[#This Row],[2009 value]])*100</f>
        <v>9.8853868194842338</v>
      </c>
      <c r="J72" s="11" t="s">
        <v>115</v>
      </c>
    </row>
    <row r="73" spans="1:11">
      <c r="A73" s="67">
        <v>41549</v>
      </c>
      <c r="B73" t="s">
        <v>113</v>
      </c>
      <c r="C73" t="s">
        <v>63</v>
      </c>
      <c r="D73" t="s">
        <v>78</v>
      </c>
      <c r="E73" t="s">
        <v>114</v>
      </c>
      <c r="F73" s="2">
        <v>6.1</v>
      </c>
      <c r="G73" s="2">
        <f>F68</f>
        <v>6.98</v>
      </c>
      <c r="H73" s="2">
        <f>Table47[[#This Row],[Price (£)]]-Table47[[#This Row],[2009 value]]</f>
        <v>-0.88000000000000078</v>
      </c>
      <c r="I73" s="9">
        <f>(Table47[[#This Row],[Workings]]/Table47[[#This Row],[2009 value]])*100</f>
        <v>-12.607449856733535</v>
      </c>
      <c r="J73" s="11" t="s">
        <v>115</v>
      </c>
    </row>
    <row r="74" spans="1:11">
      <c r="A74" s="22">
        <v>41729</v>
      </c>
      <c r="B74" t="s">
        <v>113</v>
      </c>
      <c r="C74" t="s">
        <v>63</v>
      </c>
      <c r="D74" t="s">
        <v>78</v>
      </c>
      <c r="E74" t="s">
        <v>114</v>
      </c>
      <c r="F74" s="2">
        <v>5.96</v>
      </c>
      <c r="G74" s="2">
        <f>F68</f>
        <v>6.98</v>
      </c>
      <c r="H74" s="2">
        <f>Table47[[#This Row],[Price (£)]]-Table47[[#This Row],[2009 value]]</f>
        <v>-1.0200000000000005</v>
      </c>
      <c r="I74" s="9">
        <f>(Table47[[#This Row],[Workings]]/Table47[[#This Row],[2009 value]])*100</f>
        <v>-14.61318051575932</v>
      </c>
      <c r="J74" s="11" t="s">
        <v>115</v>
      </c>
    </row>
    <row r="75" spans="1:11">
      <c r="A75" s="22">
        <v>41914</v>
      </c>
      <c r="B75" t="s">
        <v>113</v>
      </c>
      <c r="C75" t="s">
        <v>63</v>
      </c>
      <c r="D75" t="s">
        <v>78</v>
      </c>
      <c r="E75" t="s">
        <v>114</v>
      </c>
      <c r="F75" s="2">
        <v>5.96</v>
      </c>
      <c r="G75" s="2">
        <f>F68</f>
        <v>6.98</v>
      </c>
      <c r="H75" s="2">
        <f>Table47[[#This Row],[Price (£)]]-Table47[[#This Row],[2009 value]]</f>
        <v>-1.0200000000000005</v>
      </c>
      <c r="I75" s="9">
        <f>(Table47[[#This Row],[Workings]]/Table47[[#This Row],[2009 value]])*100</f>
        <v>-14.61318051575932</v>
      </c>
      <c r="J75" s="11" t="s">
        <v>115</v>
      </c>
    </row>
    <row r="76" spans="1:11">
      <c r="A76" s="23">
        <v>42093</v>
      </c>
      <c r="B76" t="s">
        <v>113</v>
      </c>
      <c r="C76" t="s">
        <v>63</v>
      </c>
      <c r="D76" t="s">
        <v>78</v>
      </c>
      <c r="E76" t="s">
        <v>114</v>
      </c>
      <c r="F76" s="2">
        <v>5.9</v>
      </c>
      <c r="G76" s="2">
        <f>F68</f>
        <v>6.98</v>
      </c>
      <c r="H76" s="2">
        <f>Table47[[#This Row],[Price (£)]]-Table47[[#This Row],[2009 value]]</f>
        <v>-1.08</v>
      </c>
      <c r="I76" s="9">
        <f>(Table47[[#This Row],[Workings]]/Table47[[#This Row],[2009 value]])*100</f>
        <v>-15.472779369627506</v>
      </c>
      <c r="J76" s="11" t="s">
        <v>115</v>
      </c>
    </row>
    <row r="77" spans="1:11">
      <c r="A77" s="21">
        <v>42458</v>
      </c>
      <c r="B77" t="s">
        <v>113</v>
      </c>
      <c r="C77" t="s">
        <v>63</v>
      </c>
      <c r="D77" t="s">
        <v>78</v>
      </c>
      <c r="E77" t="s">
        <v>114</v>
      </c>
      <c r="F77" s="2">
        <v>5.95</v>
      </c>
      <c r="G77" s="2">
        <f>F68</f>
        <v>6.98</v>
      </c>
      <c r="H77" s="2">
        <f>Table47[[#This Row],[Price (£)]]-Table47[[#This Row],[2009 value]]</f>
        <v>-1.0300000000000002</v>
      </c>
      <c r="I77" s="9">
        <f>(Table47[[#This Row],[Workings]]/Table47[[#This Row],[2009 value]])*100</f>
        <v>-14.756446991404015</v>
      </c>
      <c r="J77" s="11" t="s">
        <v>115</v>
      </c>
    </row>
    <row r="78" spans="1:11">
      <c r="A78" s="23">
        <v>42821</v>
      </c>
      <c r="B78" t="s">
        <v>113</v>
      </c>
      <c r="C78" t="s">
        <v>63</v>
      </c>
      <c r="D78" t="s">
        <v>78</v>
      </c>
      <c r="E78" t="s">
        <v>114</v>
      </c>
      <c r="F78" s="2">
        <v>5.88</v>
      </c>
      <c r="G78" s="2">
        <f>F68</f>
        <v>6.98</v>
      </c>
      <c r="H78" s="2">
        <f>Table47[[#This Row],[Price (£)]]-Table47[[#This Row],[2009 value]]</f>
        <v>-1.1000000000000005</v>
      </c>
      <c r="I78" s="9">
        <f>(Table47[[#This Row],[Workings]]/Table47[[#This Row],[2009 value]])*100</f>
        <v>-15.759312320916912</v>
      </c>
      <c r="J78" s="11" t="s">
        <v>115</v>
      </c>
    </row>
    <row r="79" spans="1:11">
      <c r="A79" s="7">
        <v>43185</v>
      </c>
      <c r="B79" t="s">
        <v>113</v>
      </c>
      <c r="C79" t="s">
        <v>63</v>
      </c>
      <c r="D79" t="s">
        <v>78</v>
      </c>
      <c r="E79" t="s">
        <v>114</v>
      </c>
      <c r="F79" s="2">
        <v>5.72</v>
      </c>
      <c r="G79" s="2">
        <f>F68</f>
        <v>6.98</v>
      </c>
      <c r="H79" s="2">
        <f>Table47[[#This Row],[Price (£)]]-Table47[[#This Row],[2009 value]]</f>
        <v>-1.2600000000000007</v>
      </c>
      <c r="I79" s="9">
        <f>(Table47[[#This Row],[Workings]]/Table47[[#This Row],[2009 value]])*100</f>
        <v>-18.051575931232101</v>
      </c>
      <c r="J79" s="11" t="s">
        <v>115</v>
      </c>
      <c r="K79" s="5" t="s">
        <v>83</v>
      </c>
    </row>
    <row r="80" spans="1:11">
      <c r="A80" s="21">
        <v>43549</v>
      </c>
      <c r="B80" t="s">
        <v>113</v>
      </c>
      <c r="C80" t="s">
        <v>63</v>
      </c>
      <c r="D80" t="s">
        <v>78</v>
      </c>
      <c r="E80" t="s">
        <v>114</v>
      </c>
      <c r="F80" s="2">
        <v>5.6</v>
      </c>
      <c r="G80" s="2">
        <f>F68</f>
        <v>6.98</v>
      </c>
      <c r="H80" s="2">
        <f>Table47[[#This Row],[Price (£)]]-Table47[[#This Row],[2009 value]]</f>
        <v>-1.3800000000000008</v>
      </c>
      <c r="I80" s="9">
        <f>(Table47[[#This Row],[Workings]]/Table47[[#This Row],[2009 value]])*100</f>
        <v>-19.770773638968492</v>
      </c>
      <c r="J80" s="11" t="s">
        <v>115</v>
      </c>
    </row>
    <row r="81" spans="1:11">
      <c r="A81" s="7">
        <v>43913</v>
      </c>
      <c r="B81" t="s">
        <v>113</v>
      </c>
      <c r="C81" t="s">
        <v>63</v>
      </c>
      <c r="D81" t="s">
        <v>78</v>
      </c>
      <c r="E81" t="s">
        <v>114</v>
      </c>
      <c r="F81" s="2">
        <v>5.57</v>
      </c>
      <c r="G81" s="2">
        <f>F68</f>
        <v>6.98</v>
      </c>
      <c r="H81" s="2">
        <f>Table47[[#This Row],[Price (£)]]-Table47[[#This Row],[2009 value]]</f>
        <v>-1.4100000000000001</v>
      </c>
      <c r="I81" s="9">
        <f>(Table47[[#This Row],[Workings]]/Table47[[#This Row],[2009 value]])*100</f>
        <v>-20.200573065902582</v>
      </c>
      <c r="J81" s="11" t="s">
        <v>115</v>
      </c>
    </row>
    <row r="82" spans="1:11">
      <c r="A82" s="21">
        <v>44284</v>
      </c>
      <c r="B82" t="s">
        <v>113</v>
      </c>
      <c r="C82" t="s">
        <v>63</v>
      </c>
      <c r="D82" t="s">
        <v>78</v>
      </c>
      <c r="E82" t="s">
        <v>114</v>
      </c>
      <c r="F82" s="2">
        <f>'[1]Parcel prices'!$P78</f>
        <v>5.57</v>
      </c>
      <c r="G82" s="2">
        <f>F68</f>
        <v>6.98</v>
      </c>
      <c r="H82" s="2">
        <f>Table47[[#This Row],[Price (£)]]-Table47[[#This Row],[2009 value]]</f>
        <v>-1.4100000000000001</v>
      </c>
      <c r="I82" s="9">
        <f>(Table47[[#This Row],[Workings]]/Table47[[#This Row],[2009 value]])*100</f>
        <v>-20.200573065902582</v>
      </c>
      <c r="J82" s="11" t="s">
        <v>115</v>
      </c>
    </row>
    <row r="83" spans="1:11">
      <c r="A83" s="21">
        <v>44284</v>
      </c>
      <c r="B83" t="s">
        <v>116</v>
      </c>
      <c r="C83" t="s">
        <v>63</v>
      </c>
      <c r="D83" t="s">
        <v>78</v>
      </c>
      <c r="E83" t="s">
        <v>114</v>
      </c>
      <c r="F83" s="2">
        <f>'[1]Parcel prices'!$P79</f>
        <v>5.47</v>
      </c>
      <c r="G83" s="2">
        <f>F68</f>
        <v>6.98</v>
      </c>
      <c r="H83" s="2">
        <f>Table47[[#This Row],[Price (£)]]-Table47[[#This Row],[2009 value]]</f>
        <v>-1.5100000000000007</v>
      </c>
      <c r="I83" s="9">
        <f>(Table47[[#This Row],[Workings]]/Table47[[#This Row],[2009 value]])*100</f>
        <v>-21.633237822349578</v>
      </c>
      <c r="J83" s="11" t="s">
        <v>115</v>
      </c>
    </row>
    <row r="84" spans="1:11">
      <c r="A84" s="23">
        <v>39909</v>
      </c>
      <c r="B84" t="s">
        <v>117</v>
      </c>
      <c r="C84" t="s">
        <v>68</v>
      </c>
      <c r="D84" t="s">
        <v>78</v>
      </c>
      <c r="E84" t="s">
        <v>114</v>
      </c>
      <c r="F84" s="2">
        <v>5.59</v>
      </c>
      <c r="G84" s="26">
        <f>Table47[[#This Row],[Price (£)]]</f>
        <v>5.59</v>
      </c>
      <c r="H84" s="26">
        <f>Table47[[#This Row],[Price (£)]]-Table47[[#This Row],[2009 value]]</f>
        <v>0</v>
      </c>
      <c r="I84" s="25">
        <f>(Table47[[#This Row],[Workings]]/Table47[[#This Row],[2009 value]])*100</f>
        <v>0</v>
      </c>
      <c r="J84" s="24" t="s">
        <v>118</v>
      </c>
    </row>
    <row r="85" spans="1:11">
      <c r="A85" s="21">
        <v>40274</v>
      </c>
      <c r="B85" t="s">
        <v>117</v>
      </c>
      <c r="C85" t="s">
        <v>68</v>
      </c>
      <c r="D85" t="s">
        <v>78</v>
      </c>
      <c r="E85" t="s">
        <v>114</v>
      </c>
      <c r="F85" s="2">
        <v>5.47</v>
      </c>
      <c r="G85" s="26">
        <f>F84</f>
        <v>5.59</v>
      </c>
      <c r="H85" s="26">
        <f>Table47[[#This Row],[Price (£)]]-Table47[[#This Row],[2009 value]]</f>
        <v>-0.12000000000000011</v>
      </c>
      <c r="I85" s="25">
        <f>(Table47[[#This Row],[Workings]]/Table47[[#This Row],[2009 value]])*100</f>
        <v>-2.1466905187835441</v>
      </c>
      <c r="J85" s="24" t="s">
        <v>118</v>
      </c>
    </row>
    <row r="86" spans="1:11">
      <c r="A86" s="23">
        <v>40637</v>
      </c>
      <c r="B86" t="s">
        <v>117</v>
      </c>
      <c r="C86" t="s">
        <v>68</v>
      </c>
      <c r="D86" t="s">
        <v>78</v>
      </c>
      <c r="E86" t="s">
        <v>114</v>
      </c>
      <c r="F86" s="2">
        <v>5.28</v>
      </c>
      <c r="G86" s="2">
        <f>F84</f>
        <v>5.59</v>
      </c>
      <c r="H86" s="2">
        <f>Table47[[#This Row],[Price (£)]]-Table47[[#This Row],[2009 value]]</f>
        <v>-0.30999999999999961</v>
      </c>
      <c r="I86" s="9">
        <f>(Table47[[#This Row],[Workings]]/Table47[[#This Row],[2009 value]])*100</f>
        <v>-5.5456171735241435</v>
      </c>
      <c r="J86" s="11" t="s">
        <v>118</v>
      </c>
    </row>
    <row r="87" spans="1:11">
      <c r="A87" s="21">
        <v>41029</v>
      </c>
      <c r="B87" t="s">
        <v>117</v>
      </c>
      <c r="C87" t="s">
        <v>68</v>
      </c>
      <c r="D87" t="s">
        <v>78</v>
      </c>
      <c r="E87" t="s">
        <v>114</v>
      </c>
      <c r="F87" s="2">
        <v>6.09</v>
      </c>
      <c r="G87" s="2">
        <f>F84</f>
        <v>5.59</v>
      </c>
      <c r="H87" s="2">
        <f>Table47[[#This Row],[Price (£)]]-Table47[[#This Row],[2009 value]]</f>
        <v>0.5</v>
      </c>
      <c r="I87" s="9">
        <f>(Table47[[#This Row],[Workings]]/Table47[[#This Row],[2009 value]])*100</f>
        <v>8.9445438282647594</v>
      </c>
      <c r="J87" s="11" t="s">
        <v>118</v>
      </c>
    </row>
    <row r="88" spans="1:11">
      <c r="A88" s="23">
        <v>41365</v>
      </c>
      <c r="B88" t="s">
        <v>117</v>
      </c>
      <c r="C88" t="s">
        <v>68</v>
      </c>
      <c r="D88" t="s">
        <v>78</v>
      </c>
      <c r="E88" t="s">
        <v>114</v>
      </c>
      <c r="F88" s="2">
        <v>6.27</v>
      </c>
      <c r="G88" s="2">
        <f>F84</f>
        <v>5.59</v>
      </c>
      <c r="H88" s="2">
        <f>Table47[[#This Row],[Price (£)]]-Table47[[#This Row],[2009 value]]</f>
        <v>0.67999999999999972</v>
      </c>
      <c r="I88" s="9">
        <f>(Table47[[#This Row],[Workings]]/Table47[[#This Row],[2009 value]])*100</f>
        <v>12.164579606440066</v>
      </c>
      <c r="J88" s="11" t="s">
        <v>118</v>
      </c>
      <c r="K88" s="5"/>
    </row>
    <row r="89" spans="1:11">
      <c r="A89" s="69">
        <v>41549</v>
      </c>
      <c r="B89" t="s">
        <v>117</v>
      </c>
      <c r="C89" t="s">
        <v>68</v>
      </c>
      <c r="D89" t="s">
        <v>78</v>
      </c>
      <c r="E89" t="s">
        <v>114</v>
      </c>
      <c r="F89" s="2">
        <v>4.25</v>
      </c>
      <c r="G89" s="2">
        <f>F84</f>
        <v>5.59</v>
      </c>
      <c r="H89" s="2">
        <f>Table47[[#This Row],[Price (£)]]-Table47[[#This Row],[2009 value]]</f>
        <v>-1.3399999999999999</v>
      </c>
      <c r="I89" s="9">
        <f>(Table47[[#This Row],[Workings]]/Table47[[#This Row],[2009 value]])*100</f>
        <v>-23.971377459749551</v>
      </c>
      <c r="J89" s="11" t="s">
        <v>118</v>
      </c>
      <c r="K89" s="5"/>
    </row>
    <row r="90" spans="1:11">
      <c r="A90" s="22">
        <v>41729</v>
      </c>
      <c r="B90" t="s">
        <v>117</v>
      </c>
      <c r="C90" t="s">
        <v>68</v>
      </c>
      <c r="D90" t="s">
        <v>78</v>
      </c>
      <c r="E90" t="s">
        <v>114</v>
      </c>
      <c r="F90" s="2">
        <v>4.16</v>
      </c>
      <c r="G90" s="2">
        <f>F84</f>
        <v>5.59</v>
      </c>
      <c r="H90" s="2">
        <f>Table47[[#This Row],[Price (£)]]-Table47[[#This Row],[2009 value]]</f>
        <v>-1.4299999999999997</v>
      </c>
      <c r="I90" s="9">
        <f>(Table47[[#This Row],[Workings]]/Table47[[#This Row],[2009 value]])*100</f>
        <v>-25.581395348837205</v>
      </c>
      <c r="J90" s="11" t="s">
        <v>118</v>
      </c>
      <c r="K90" s="6"/>
    </row>
    <row r="91" spans="1:11">
      <c r="A91" s="68">
        <v>41914</v>
      </c>
      <c r="B91" t="s">
        <v>117</v>
      </c>
      <c r="C91" t="s">
        <v>68</v>
      </c>
      <c r="D91" t="s">
        <v>78</v>
      </c>
      <c r="E91" t="s">
        <v>114</v>
      </c>
      <c r="F91" s="2">
        <v>3.06</v>
      </c>
      <c r="G91" s="2">
        <f>F84</f>
        <v>5.59</v>
      </c>
      <c r="H91" s="2">
        <f>Table47[[#This Row],[Price (£)]]-Table47[[#This Row],[2009 value]]</f>
        <v>-2.5299999999999998</v>
      </c>
      <c r="I91" s="9">
        <f>(Table47[[#This Row],[Workings]]/Table47[[#This Row],[2009 value]])*100</f>
        <v>-45.259391771019672</v>
      </c>
      <c r="J91" s="11" t="s">
        <v>118</v>
      </c>
    </row>
    <row r="92" spans="1:11">
      <c r="A92" s="23">
        <v>42093</v>
      </c>
      <c r="B92" t="s">
        <v>117</v>
      </c>
      <c r="C92" t="s">
        <v>68</v>
      </c>
      <c r="D92" t="s">
        <v>78</v>
      </c>
      <c r="E92" t="s">
        <v>114</v>
      </c>
      <c r="F92" s="2">
        <v>3.03</v>
      </c>
      <c r="G92" s="2">
        <f>F84</f>
        <v>5.59</v>
      </c>
      <c r="H92" s="2">
        <f>Table47[[#This Row],[Price (£)]]-Table47[[#This Row],[2009 value]]</f>
        <v>-2.56</v>
      </c>
      <c r="I92" s="9">
        <f>(Table47[[#This Row],[Workings]]/Table47[[#This Row],[2009 value]])*100</f>
        <v>-45.796064400715565</v>
      </c>
      <c r="J92" s="11" t="s">
        <v>118</v>
      </c>
    </row>
    <row r="93" spans="1:11">
      <c r="A93" s="21">
        <v>42458</v>
      </c>
      <c r="B93" t="s">
        <v>117</v>
      </c>
      <c r="C93" t="s">
        <v>68</v>
      </c>
      <c r="D93" t="s">
        <v>78</v>
      </c>
      <c r="E93" t="s">
        <v>114</v>
      </c>
      <c r="F93" s="2">
        <v>3.08</v>
      </c>
      <c r="G93" s="2">
        <f>F84</f>
        <v>5.59</v>
      </c>
      <c r="H93" s="2">
        <f>Table47[[#This Row],[Price (£)]]-Table47[[#This Row],[2009 value]]</f>
        <v>-2.5099999999999998</v>
      </c>
      <c r="I93" s="9">
        <f>(Table47[[#This Row],[Workings]]/Table47[[#This Row],[2009 value]])*100</f>
        <v>-44.901610017889091</v>
      </c>
      <c r="J93" s="11" t="s">
        <v>118</v>
      </c>
    </row>
    <row r="94" spans="1:11">
      <c r="A94" s="23">
        <v>42821</v>
      </c>
      <c r="B94" t="s">
        <v>117</v>
      </c>
      <c r="C94" t="s">
        <v>68</v>
      </c>
      <c r="D94" t="s">
        <v>78</v>
      </c>
      <c r="E94" t="s">
        <v>114</v>
      </c>
      <c r="F94" s="2">
        <v>3.1</v>
      </c>
      <c r="G94" s="2">
        <f>F84</f>
        <v>5.59</v>
      </c>
      <c r="H94" s="2">
        <f>Table47[[#This Row],[Price (£)]]-Table47[[#This Row],[2009 value]]</f>
        <v>-2.4899999999999998</v>
      </c>
      <c r="I94" s="9">
        <f>(Table47[[#This Row],[Workings]]/Table47[[#This Row],[2009 value]])*100</f>
        <v>-44.543828264758496</v>
      </c>
      <c r="J94" s="11" t="s">
        <v>118</v>
      </c>
    </row>
    <row r="95" spans="1:11">
      <c r="A95" s="21">
        <v>43185</v>
      </c>
      <c r="B95" t="s">
        <v>117</v>
      </c>
      <c r="C95" t="s">
        <v>68</v>
      </c>
      <c r="D95" t="s">
        <v>78</v>
      </c>
      <c r="E95" t="s">
        <v>114</v>
      </c>
      <c r="F95" s="2">
        <v>3.07</v>
      </c>
      <c r="G95" s="2">
        <f>F84</f>
        <v>5.59</v>
      </c>
      <c r="H95" s="2">
        <f>Table47[[#This Row],[Price (£)]]-Table47[[#This Row],[2009 value]]</f>
        <v>-2.52</v>
      </c>
      <c r="I95" s="9">
        <f>(Table47[[#This Row],[Workings]]/Table47[[#This Row],[2009 value]])*100</f>
        <v>-45.080500894454381</v>
      </c>
      <c r="J95" s="11" t="s">
        <v>118</v>
      </c>
    </row>
    <row r="96" spans="1:11">
      <c r="A96" s="7">
        <v>43549</v>
      </c>
      <c r="B96" t="s">
        <v>117</v>
      </c>
      <c r="C96" t="s">
        <v>68</v>
      </c>
      <c r="D96" t="s">
        <v>78</v>
      </c>
      <c r="E96" t="s">
        <v>114</v>
      </c>
      <c r="F96" s="2">
        <v>3.05</v>
      </c>
      <c r="G96" s="2">
        <f>F84</f>
        <v>5.59</v>
      </c>
      <c r="H96" s="2">
        <f>Table47[[#This Row],[Price (£)]]-Table47[[#This Row],[2009 value]]</f>
        <v>-2.54</v>
      </c>
      <c r="I96" s="9">
        <f>(Table47[[#This Row],[Workings]]/Table47[[#This Row],[2009 value]])*100</f>
        <v>-45.438282647584977</v>
      </c>
      <c r="J96" s="11" t="s">
        <v>118</v>
      </c>
    </row>
    <row r="97" spans="1:10">
      <c r="A97" s="7">
        <v>43913</v>
      </c>
      <c r="B97" t="s">
        <v>117</v>
      </c>
      <c r="C97" t="s">
        <v>68</v>
      </c>
      <c r="D97" t="s">
        <v>78</v>
      </c>
      <c r="E97" t="s">
        <v>114</v>
      </c>
      <c r="F97" s="2">
        <v>3.1</v>
      </c>
      <c r="G97" s="2">
        <f>F84</f>
        <v>5.59</v>
      </c>
      <c r="H97" s="2">
        <f>Table47[[#This Row],[Price (£)]]-Table47[[#This Row],[2009 value]]</f>
        <v>-2.4899999999999998</v>
      </c>
      <c r="I97" s="9">
        <f>(Table47[[#This Row],[Workings]]/Table47[[#This Row],[2009 value]])*100</f>
        <v>-44.543828264758496</v>
      </c>
      <c r="J97" s="11" t="s">
        <v>118</v>
      </c>
    </row>
    <row r="98" spans="1:10">
      <c r="A98" s="7">
        <v>44284</v>
      </c>
      <c r="B98" t="s">
        <v>117</v>
      </c>
      <c r="C98" t="s">
        <v>68</v>
      </c>
      <c r="D98" t="s">
        <v>78</v>
      </c>
      <c r="E98" t="s">
        <v>114</v>
      </c>
      <c r="F98" s="2">
        <f>'[1]Parcel prices'!$P92</f>
        <v>3.2</v>
      </c>
      <c r="G98" s="2">
        <f>F84</f>
        <v>5.59</v>
      </c>
      <c r="H98" s="2">
        <f>Table47[[#This Row],[Price (£)]]-Table47[[#This Row],[2009 value]]</f>
        <v>-2.3899999999999997</v>
      </c>
      <c r="I98" s="9">
        <f>(Table47[[#This Row],[Workings]]/Table47[[#This Row],[2009 value]])*100</f>
        <v>-42.75491949910554</v>
      </c>
      <c r="J98" s="11" t="s">
        <v>118</v>
      </c>
    </row>
    <row r="99" spans="1:10">
      <c r="A99" s="7">
        <v>44284</v>
      </c>
      <c r="B99" t="s">
        <v>119</v>
      </c>
      <c r="C99" t="s">
        <v>68</v>
      </c>
      <c r="D99" t="s">
        <v>78</v>
      </c>
      <c r="E99" t="s">
        <v>114</v>
      </c>
      <c r="F99" s="2">
        <f>'[1]Parcel prices'!$P93</f>
        <v>3</v>
      </c>
      <c r="G99" s="2">
        <f>F84</f>
        <v>5.59</v>
      </c>
      <c r="H99" s="2">
        <f>Table47[[#This Row],[Price (£)]]-Table47[[#This Row],[2009 value]]</f>
        <v>-2.59</v>
      </c>
      <c r="I99" s="9">
        <f>(Table47[[#This Row],[Workings]]/Table47[[#This Row],[2009 value]])*100</f>
        <v>-46.332737030411444</v>
      </c>
      <c r="J99" s="11" t="s">
        <v>118</v>
      </c>
    </row>
    <row r="100" spans="1:10">
      <c r="A100" s="7">
        <v>41365</v>
      </c>
      <c r="B100" t="s">
        <v>120</v>
      </c>
      <c r="C100" t="s">
        <v>63</v>
      </c>
      <c r="D100" t="s">
        <v>85</v>
      </c>
      <c r="E100" t="s">
        <v>114</v>
      </c>
      <c r="F100" s="2">
        <v>9.9600000000000009</v>
      </c>
      <c r="G100" s="2">
        <f>Table47[[#This Row],[Price (£)]]</f>
        <v>9.9600000000000009</v>
      </c>
      <c r="H100" s="2">
        <f>Table47[[#This Row],[Price (£)]]-Table47[[#This Row],[2009 value]]</f>
        <v>0</v>
      </c>
      <c r="I100" s="9">
        <f>(Table47[[#This Row],[Workings]]/Table47[[#This Row],[2009 value]])*100</f>
        <v>0</v>
      </c>
      <c r="J100" s="11" t="s">
        <v>121</v>
      </c>
    </row>
    <row r="101" spans="1:10">
      <c r="A101" s="69">
        <v>41549</v>
      </c>
      <c r="B101" t="s">
        <v>120</v>
      </c>
      <c r="C101" t="s">
        <v>63</v>
      </c>
      <c r="D101" t="s">
        <v>85</v>
      </c>
      <c r="E101" t="s">
        <v>114</v>
      </c>
      <c r="F101" s="2">
        <v>9.9600000000000009</v>
      </c>
      <c r="G101" s="2">
        <f>F100</f>
        <v>9.9600000000000009</v>
      </c>
      <c r="H101" s="2">
        <f>Table47[[#This Row],[Price (£)]]-Table47[[#This Row],[2009 value]]</f>
        <v>0</v>
      </c>
      <c r="I101" s="9">
        <f>(Table47[[#This Row],[Workings]]/Table47[[#This Row],[2009 value]])*100</f>
        <v>0</v>
      </c>
      <c r="J101" s="11" t="s">
        <v>121</v>
      </c>
    </row>
    <row r="102" spans="1:10">
      <c r="A102" s="68">
        <v>41729</v>
      </c>
      <c r="B102" t="s">
        <v>120</v>
      </c>
      <c r="C102" t="s">
        <v>63</v>
      </c>
      <c r="D102" t="s">
        <v>85</v>
      </c>
      <c r="E102" t="s">
        <v>114</v>
      </c>
      <c r="F102" s="2">
        <v>9.74</v>
      </c>
      <c r="G102" s="2">
        <f>F100</f>
        <v>9.9600000000000009</v>
      </c>
      <c r="H102" s="2">
        <f>Table47[[#This Row],[Price (£)]]-Table47[[#This Row],[2009 value]]</f>
        <v>-0.22000000000000064</v>
      </c>
      <c r="I102" s="9">
        <f>(Table47[[#This Row],[Workings]]/Table47[[#This Row],[2009 value]])*100</f>
        <v>-2.208835341365468</v>
      </c>
      <c r="J102" s="11" t="s">
        <v>121</v>
      </c>
    </row>
    <row r="103" spans="1:10">
      <c r="A103" s="68">
        <v>41914</v>
      </c>
      <c r="B103" t="s">
        <v>120</v>
      </c>
      <c r="C103" t="s">
        <v>63</v>
      </c>
      <c r="D103" t="s">
        <v>85</v>
      </c>
      <c r="E103" t="s">
        <v>114</v>
      </c>
      <c r="F103" s="2">
        <v>9.74</v>
      </c>
      <c r="G103" s="2">
        <f>F100</f>
        <v>9.9600000000000009</v>
      </c>
      <c r="H103" s="2">
        <f>Table47[[#This Row],[Price (£)]]-Table47[[#This Row],[2009 value]]</f>
        <v>-0.22000000000000064</v>
      </c>
      <c r="I103" s="9">
        <f>(Table47[[#This Row],[Workings]]/Table47[[#This Row],[2009 value]])*100</f>
        <v>-2.208835341365468</v>
      </c>
      <c r="J103" s="11" t="s">
        <v>121</v>
      </c>
    </row>
    <row r="104" spans="1:10">
      <c r="A104" s="7">
        <v>42093</v>
      </c>
      <c r="B104" t="s">
        <v>120</v>
      </c>
      <c r="C104" t="s">
        <v>63</v>
      </c>
      <c r="D104" t="s">
        <v>85</v>
      </c>
      <c r="E104" t="s">
        <v>114</v>
      </c>
      <c r="F104" s="2">
        <v>9.64</v>
      </c>
      <c r="G104" s="2">
        <f>F100</f>
        <v>9.9600000000000009</v>
      </c>
      <c r="H104" s="2">
        <f>Table47[[#This Row],[Price (£)]]-Table47[[#This Row],[2009 value]]</f>
        <v>-0.32000000000000028</v>
      </c>
      <c r="I104" s="9">
        <f>(Table47[[#This Row],[Workings]]/Table47[[#This Row],[2009 value]])*100</f>
        <v>-3.2128514056224926</v>
      </c>
      <c r="J104" s="11" t="s">
        <v>121</v>
      </c>
    </row>
    <row r="105" spans="1:10">
      <c r="A105" s="7">
        <v>42458</v>
      </c>
      <c r="B105" t="s">
        <v>120</v>
      </c>
      <c r="C105" t="s">
        <v>63</v>
      </c>
      <c r="D105" t="s">
        <v>85</v>
      </c>
      <c r="E105" t="s">
        <v>114</v>
      </c>
      <c r="F105" s="2">
        <v>9.68</v>
      </c>
      <c r="G105" s="2">
        <f>F100</f>
        <v>9.9600000000000009</v>
      </c>
      <c r="H105" s="2">
        <f>Table47[[#This Row],[Price (£)]]-Table47[[#This Row],[2009 value]]</f>
        <v>-0.28000000000000114</v>
      </c>
      <c r="I105" s="9">
        <f>(Table47[[#This Row],[Workings]]/Table47[[#This Row],[2009 value]])*100</f>
        <v>-2.8112449799196897</v>
      </c>
      <c r="J105" s="11" t="s">
        <v>121</v>
      </c>
    </row>
    <row r="106" spans="1:10">
      <c r="A106" s="7">
        <v>42821</v>
      </c>
      <c r="B106" t="s">
        <v>120</v>
      </c>
      <c r="C106" t="s">
        <v>63</v>
      </c>
      <c r="D106" t="s">
        <v>85</v>
      </c>
      <c r="E106" t="s">
        <v>114</v>
      </c>
      <c r="F106" s="2">
        <v>9.57</v>
      </c>
      <c r="G106" s="2">
        <f>F100</f>
        <v>9.9600000000000009</v>
      </c>
      <c r="H106" s="2">
        <f>Table47[[#This Row],[Price (£)]]-Table47[[#This Row],[2009 value]]</f>
        <v>-0.39000000000000057</v>
      </c>
      <c r="I106" s="9">
        <f>(Table47[[#This Row],[Workings]]/Table47[[#This Row],[2009 value]])*100</f>
        <v>-3.9156626506024153</v>
      </c>
      <c r="J106" s="11" t="s">
        <v>121</v>
      </c>
    </row>
    <row r="107" spans="1:10">
      <c r="A107" s="7">
        <v>43185</v>
      </c>
      <c r="B107" t="s">
        <v>120</v>
      </c>
      <c r="C107" t="s">
        <v>63</v>
      </c>
      <c r="D107" t="s">
        <v>85</v>
      </c>
      <c r="E107" t="s">
        <v>114</v>
      </c>
      <c r="F107" s="2">
        <v>9.31</v>
      </c>
      <c r="G107" s="2">
        <f>F100</f>
        <v>9.9600000000000009</v>
      </c>
      <c r="H107" s="2">
        <f>Table47[[#This Row],[Price (£)]]-Table47[[#This Row],[2009 value]]</f>
        <v>-0.65000000000000036</v>
      </c>
      <c r="I107" s="9">
        <f>(Table47[[#This Row],[Workings]]/Table47[[#This Row],[2009 value]])*100</f>
        <v>-6.5261044176706857</v>
      </c>
      <c r="J107" s="11" t="s">
        <v>121</v>
      </c>
    </row>
    <row r="108" spans="1:10">
      <c r="A108" s="7">
        <v>43549</v>
      </c>
      <c r="B108" t="s">
        <v>120</v>
      </c>
      <c r="C108" t="s">
        <v>63</v>
      </c>
      <c r="D108" t="s">
        <v>85</v>
      </c>
      <c r="E108" t="s">
        <v>114</v>
      </c>
      <c r="F108" s="2">
        <v>9.1</v>
      </c>
      <c r="G108" s="2">
        <f>F100</f>
        <v>9.9600000000000009</v>
      </c>
      <c r="H108" s="2">
        <f>Table47[[#This Row],[Price (£)]]-Table47[[#This Row],[2009 value]]</f>
        <v>-0.86000000000000121</v>
      </c>
      <c r="I108" s="9">
        <f>(Table47[[#This Row],[Workings]]/Table47[[#This Row],[2009 value]])*100</f>
        <v>-8.6345381526104532</v>
      </c>
      <c r="J108" s="11" t="s">
        <v>121</v>
      </c>
    </row>
    <row r="109" spans="1:10">
      <c r="A109" s="7">
        <v>43913</v>
      </c>
      <c r="B109" t="s">
        <v>120</v>
      </c>
      <c r="C109" t="s">
        <v>63</v>
      </c>
      <c r="D109" t="s">
        <v>85</v>
      </c>
      <c r="E109" t="s">
        <v>114</v>
      </c>
      <c r="F109" s="2">
        <v>9.02</v>
      </c>
      <c r="G109" s="2">
        <f>F100</f>
        <v>9.9600000000000009</v>
      </c>
      <c r="H109" s="2">
        <f>Table47[[#This Row],[Price (£)]]-Table47[[#This Row],[2009 value]]</f>
        <v>-0.94000000000000128</v>
      </c>
      <c r="I109" s="9">
        <f>(Table47[[#This Row],[Workings]]/Table47[[#This Row],[2009 value]])*100</f>
        <v>-9.4377510040160768</v>
      </c>
      <c r="J109" s="11" t="s">
        <v>121</v>
      </c>
    </row>
    <row r="110" spans="1:10">
      <c r="A110" s="7">
        <v>44284</v>
      </c>
      <c r="B110" t="s">
        <v>120</v>
      </c>
      <c r="C110" t="s">
        <v>63</v>
      </c>
      <c r="D110" t="s">
        <v>85</v>
      </c>
      <c r="E110" t="s">
        <v>114</v>
      </c>
      <c r="F110" s="2">
        <f>'[1]Parcel prices'!$P80</f>
        <v>9.02</v>
      </c>
      <c r="G110" s="2">
        <f>F100</f>
        <v>9.9600000000000009</v>
      </c>
      <c r="H110" s="2">
        <f>Table47[[#This Row],[Price (£)]]-Table47[[#This Row],[2009 value]]</f>
        <v>-0.94000000000000128</v>
      </c>
      <c r="I110" s="9">
        <f>(Table47[[#This Row],[Workings]]/Table47[[#This Row],[2009 value]])*100</f>
        <v>-9.4377510040160768</v>
      </c>
      <c r="J110" s="11" t="s">
        <v>121</v>
      </c>
    </row>
    <row r="111" spans="1:10">
      <c r="A111" s="7">
        <v>44284</v>
      </c>
      <c r="B111" t="s">
        <v>122</v>
      </c>
      <c r="C111" t="s">
        <v>63</v>
      </c>
      <c r="D111" t="s">
        <v>85</v>
      </c>
      <c r="E111" t="s">
        <v>114</v>
      </c>
      <c r="F111" s="2">
        <f>'[1]Parcel prices'!$P81</f>
        <v>8.92</v>
      </c>
      <c r="G111" s="2">
        <f>F100</f>
        <v>9.9600000000000009</v>
      </c>
      <c r="H111" s="2">
        <f>Table47[[#This Row],[Price (£)]]-Table47[[#This Row],[2009 value]]</f>
        <v>-1.0400000000000009</v>
      </c>
      <c r="I111" s="9">
        <f>(Table47[[#This Row],[Workings]]/Table47[[#This Row],[2009 value]])*100</f>
        <v>-10.4417670682731</v>
      </c>
      <c r="J111" s="11" t="s">
        <v>121</v>
      </c>
    </row>
    <row r="112" spans="1:10">
      <c r="A112" s="7">
        <v>41365</v>
      </c>
      <c r="B112" t="s">
        <v>123</v>
      </c>
      <c r="C112" t="s">
        <v>68</v>
      </c>
      <c r="D112" t="s">
        <v>85</v>
      </c>
      <c r="E112" t="s">
        <v>114</v>
      </c>
      <c r="F112" s="2">
        <v>8.9499999999999993</v>
      </c>
      <c r="G112" s="2">
        <f>Table47[[#This Row],[Price (£)]]</f>
        <v>8.9499999999999993</v>
      </c>
      <c r="H112" s="2">
        <f>Table47[[#This Row],[Price (£)]]-Table47[[#This Row],[2009 value]]</f>
        <v>0</v>
      </c>
      <c r="I112" s="9">
        <f>(Table47[[#This Row],[Workings]]/Table47[[#This Row],[2009 value]])*100</f>
        <v>0</v>
      </c>
      <c r="J112" s="11" t="s">
        <v>124</v>
      </c>
    </row>
    <row r="113" spans="1:10">
      <c r="A113" s="69">
        <v>41549</v>
      </c>
      <c r="B113" t="s">
        <v>123</v>
      </c>
      <c r="C113" t="s">
        <v>68</v>
      </c>
      <c r="D113" t="s">
        <v>85</v>
      </c>
      <c r="E113" t="s">
        <v>114</v>
      </c>
      <c r="F113" s="2">
        <v>8.9499999999999993</v>
      </c>
      <c r="G113" s="2">
        <f>F112</f>
        <v>8.9499999999999993</v>
      </c>
      <c r="H113" s="2">
        <f>Table47[[#This Row],[Price (£)]]-Table47[[#This Row],[2009 value]]</f>
        <v>0</v>
      </c>
      <c r="I113" s="9">
        <f>(Table47[[#This Row],[Workings]]/Table47[[#This Row],[2009 value]])*100</f>
        <v>0</v>
      </c>
      <c r="J113" s="11" t="s">
        <v>124</v>
      </c>
    </row>
    <row r="114" spans="1:10">
      <c r="A114" s="68">
        <v>41729</v>
      </c>
      <c r="B114" t="s">
        <v>123</v>
      </c>
      <c r="C114" t="s">
        <v>68</v>
      </c>
      <c r="D114" t="s">
        <v>85</v>
      </c>
      <c r="E114" t="s">
        <v>114</v>
      </c>
      <c r="F114" s="2">
        <v>8.9499999999999993</v>
      </c>
      <c r="G114" s="2">
        <f>F112</f>
        <v>8.9499999999999993</v>
      </c>
      <c r="H114" s="2">
        <f>Table47[[#This Row],[Price (£)]]-Table47[[#This Row],[2009 value]]</f>
        <v>0</v>
      </c>
      <c r="I114" s="9">
        <f>(Table47[[#This Row],[Workings]]/Table47[[#This Row],[2009 value]])*100</f>
        <v>0</v>
      </c>
      <c r="J114" s="11" t="s">
        <v>124</v>
      </c>
    </row>
    <row r="115" spans="1:10">
      <c r="A115" s="68">
        <v>41914</v>
      </c>
      <c r="B115" t="s">
        <v>123</v>
      </c>
      <c r="C115" t="s">
        <v>68</v>
      </c>
      <c r="D115" t="s">
        <v>85</v>
      </c>
      <c r="E115" t="s">
        <v>114</v>
      </c>
      <c r="F115" s="2">
        <v>8.75</v>
      </c>
      <c r="G115" s="2">
        <f>F112</f>
        <v>8.9499999999999993</v>
      </c>
      <c r="H115" s="2">
        <f>Table47[[#This Row],[Price (£)]]-Table47[[#This Row],[2009 value]]</f>
        <v>-0.19999999999999929</v>
      </c>
      <c r="I115" s="9">
        <f>(Table47[[#This Row],[Workings]]/Table47[[#This Row],[2009 value]])*100</f>
        <v>-2.2346368715083722</v>
      </c>
      <c r="J115" s="11" t="s">
        <v>124</v>
      </c>
    </row>
    <row r="116" spans="1:10">
      <c r="A116" s="7">
        <v>42093</v>
      </c>
      <c r="B116" t="s">
        <v>123</v>
      </c>
      <c r="C116" t="s">
        <v>68</v>
      </c>
      <c r="D116" t="s">
        <v>85</v>
      </c>
      <c r="E116" t="s">
        <v>114</v>
      </c>
      <c r="F116" s="2">
        <v>5.29</v>
      </c>
      <c r="G116" s="2">
        <f>F112</f>
        <v>8.9499999999999993</v>
      </c>
      <c r="H116" s="2">
        <f>Table47[[#This Row],[Price (£)]]-Table47[[#This Row],[2009 value]]</f>
        <v>-3.6599999999999993</v>
      </c>
      <c r="I116" s="9">
        <f>(Table47[[#This Row],[Workings]]/Table47[[#This Row],[2009 value]])*100</f>
        <v>-40.893854748603346</v>
      </c>
      <c r="J116" s="11" t="s">
        <v>124</v>
      </c>
    </row>
    <row r="117" spans="1:10">
      <c r="A117" s="7">
        <v>42458</v>
      </c>
      <c r="B117" t="s">
        <v>123</v>
      </c>
      <c r="C117" t="s">
        <v>68</v>
      </c>
      <c r="D117" t="s">
        <v>85</v>
      </c>
      <c r="E117" t="s">
        <v>114</v>
      </c>
      <c r="F117" s="2">
        <v>5.35</v>
      </c>
      <c r="G117" s="2">
        <f>F112</f>
        <v>8.9499999999999993</v>
      </c>
      <c r="H117" s="2">
        <f>Table47[[#This Row],[Price (£)]]-Table47[[#This Row],[2009 value]]</f>
        <v>-3.5999999999999996</v>
      </c>
      <c r="I117" s="9">
        <f>(Table47[[#This Row],[Workings]]/Table47[[#This Row],[2009 value]])*100</f>
        <v>-40.22346368715084</v>
      </c>
      <c r="J117" s="11" t="s">
        <v>124</v>
      </c>
    </row>
    <row r="118" spans="1:10">
      <c r="A118" s="7">
        <v>42821</v>
      </c>
      <c r="B118" t="s">
        <v>123</v>
      </c>
      <c r="C118" t="s">
        <v>68</v>
      </c>
      <c r="D118" t="s">
        <v>85</v>
      </c>
      <c r="E118" t="s">
        <v>114</v>
      </c>
      <c r="F118" s="2">
        <v>5.35</v>
      </c>
      <c r="G118" s="2">
        <f>F112</f>
        <v>8.9499999999999993</v>
      </c>
      <c r="H118" s="2">
        <f>Table47[[#This Row],[Price (£)]]-Table47[[#This Row],[2009 value]]</f>
        <v>-3.5999999999999996</v>
      </c>
      <c r="I118" s="9">
        <f>(Table47[[#This Row],[Workings]]/Table47[[#This Row],[2009 value]])*100</f>
        <v>-40.22346368715084</v>
      </c>
      <c r="J118" s="11" t="s">
        <v>124</v>
      </c>
    </row>
    <row r="119" spans="1:10">
      <c r="A119" s="7">
        <v>43185</v>
      </c>
      <c r="B119" t="s">
        <v>123</v>
      </c>
      <c r="C119" t="s">
        <v>68</v>
      </c>
      <c r="D119" t="s">
        <v>85</v>
      </c>
      <c r="E119" t="s">
        <v>114</v>
      </c>
      <c r="F119" s="2">
        <v>5.25</v>
      </c>
      <c r="G119" s="2">
        <f>F112</f>
        <v>8.9499999999999993</v>
      </c>
      <c r="H119" s="2">
        <f>Table47[[#This Row],[Price (£)]]-Table47[[#This Row],[2009 value]]</f>
        <v>-3.6999999999999993</v>
      </c>
      <c r="I119" s="9">
        <f>(Table47[[#This Row],[Workings]]/Table47[[#This Row],[2009 value]])*100</f>
        <v>-41.340782122905026</v>
      </c>
      <c r="J119" s="11" t="s">
        <v>124</v>
      </c>
    </row>
    <row r="120" spans="1:10">
      <c r="A120" s="7">
        <v>43549</v>
      </c>
      <c r="B120" t="s">
        <v>123</v>
      </c>
      <c r="C120" t="s">
        <v>68</v>
      </c>
      <c r="D120" t="s">
        <v>85</v>
      </c>
      <c r="E120" t="s">
        <v>114</v>
      </c>
      <c r="F120" s="2">
        <v>5.19</v>
      </c>
      <c r="G120" s="2">
        <f>F112</f>
        <v>8.9499999999999993</v>
      </c>
      <c r="H120" s="2">
        <f>Table47[[#This Row],[Price (£)]]-Table47[[#This Row],[2009 value]]</f>
        <v>-3.7599999999999989</v>
      </c>
      <c r="I120" s="9">
        <f>(Table47[[#This Row],[Workings]]/Table47[[#This Row],[2009 value]])*100</f>
        <v>-42.011173184357531</v>
      </c>
      <c r="J120" s="11" t="s">
        <v>124</v>
      </c>
    </row>
    <row r="121" spans="1:10">
      <c r="A121" s="7">
        <v>43913</v>
      </c>
      <c r="B121" t="s">
        <v>123</v>
      </c>
      <c r="C121" t="s">
        <v>68</v>
      </c>
      <c r="D121" t="s">
        <v>85</v>
      </c>
      <c r="E121" t="s">
        <v>114</v>
      </c>
      <c r="F121" s="2">
        <v>5.2</v>
      </c>
      <c r="G121" s="2">
        <f>F112</f>
        <v>8.9499999999999993</v>
      </c>
      <c r="H121" s="2">
        <f>Table47[[#This Row],[Price (£)]]-Table47[[#This Row],[2009 value]]</f>
        <v>-3.7499999999999991</v>
      </c>
      <c r="I121" s="9">
        <f>(Table47[[#This Row],[Workings]]/Table47[[#This Row],[2009 value]])*100</f>
        <v>-41.899441340782118</v>
      </c>
      <c r="J121" s="11" t="s">
        <v>124</v>
      </c>
    </row>
    <row r="122" spans="1:10">
      <c r="A122" s="7">
        <v>44284</v>
      </c>
      <c r="B122" t="s">
        <v>123</v>
      </c>
      <c r="C122" t="s">
        <v>68</v>
      </c>
      <c r="D122" t="s">
        <v>85</v>
      </c>
      <c r="E122" t="s">
        <v>114</v>
      </c>
      <c r="F122" s="2">
        <f>'[1]Parcel prices'!$P94</f>
        <v>5.3</v>
      </c>
      <c r="G122" s="2">
        <f>F112</f>
        <v>8.9499999999999993</v>
      </c>
      <c r="H122" s="2">
        <f>Table47[[#This Row],[Price (£)]]-Table47[[#This Row],[2009 value]]</f>
        <v>-3.6499999999999995</v>
      </c>
      <c r="I122" s="9">
        <f>(Table47[[#This Row],[Workings]]/Table47[[#This Row],[2009 value]])*100</f>
        <v>-40.782122905027926</v>
      </c>
      <c r="J122" s="11" t="s">
        <v>124</v>
      </c>
    </row>
    <row r="123" spans="1:10">
      <c r="A123" s="7">
        <v>44284</v>
      </c>
      <c r="B123" t="s">
        <v>125</v>
      </c>
      <c r="C123" t="s">
        <v>68</v>
      </c>
      <c r="D123" t="s">
        <v>85</v>
      </c>
      <c r="E123" t="s">
        <v>114</v>
      </c>
      <c r="F123" s="2">
        <f>'[1]Parcel prices'!$P95</f>
        <v>5.0999999999999996</v>
      </c>
      <c r="G123" s="2">
        <f>F112</f>
        <v>8.9499999999999993</v>
      </c>
      <c r="H123" s="2">
        <f>Table47[[#This Row],[Price (£)]]-Table47[[#This Row],[2009 value]]</f>
        <v>-3.8499999999999996</v>
      </c>
      <c r="I123" s="9">
        <f>(Table47[[#This Row],[Workings]]/Table47[[#This Row],[2009 value]])*100</f>
        <v>-43.016759776536311</v>
      </c>
      <c r="J123" s="11" t="s">
        <v>124</v>
      </c>
    </row>
    <row r="124" spans="1:10">
      <c r="A124" s="7">
        <v>44284</v>
      </c>
      <c r="B124" t="s">
        <v>126</v>
      </c>
      <c r="C124" t="s">
        <v>63</v>
      </c>
      <c r="D124" t="s">
        <v>85</v>
      </c>
      <c r="E124" t="s">
        <v>86</v>
      </c>
      <c r="F124" s="2">
        <f>'[1]Parcel prices'!$P82</f>
        <v>15.85</v>
      </c>
      <c r="G124" s="2"/>
      <c r="H124" s="2">
        <f>Table47[[#This Row],[Price (£)]]-Table47[[#This Row],[2009 value]]</f>
        <v>15.85</v>
      </c>
      <c r="I124" s="9" t="s">
        <v>87</v>
      </c>
      <c r="J124" s="11" t="s">
        <v>127</v>
      </c>
    </row>
    <row r="125" spans="1:10">
      <c r="A125" s="7">
        <v>44284</v>
      </c>
      <c r="B125" t="s">
        <v>128</v>
      </c>
      <c r="C125" t="s">
        <v>63</v>
      </c>
      <c r="D125" t="s">
        <v>85</v>
      </c>
      <c r="E125" t="s">
        <v>86</v>
      </c>
      <c r="F125" s="2">
        <f>'[1]Parcel prices'!$P83</f>
        <v>15.85</v>
      </c>
      <c r="G125" s="2"/>
      <c r="H125" s="2">
        <f>Table47[[#This Row],[Price (£)]]-Table47[[#This Row],[2009 value]]</f>
        <v>15.85</v>
      </c>
      <c r="I125" s="9" t="s">
        <v>87</v>
      </c>
      <c r="J125" s="11" t="s">
        <v>127</v>
      </c>
    </row>
  </sheetData>
  <autoFilter ref="K1" xr:uid="{C434A005-6F11-4187-9E72-4C7A5BEA83EC}"/>
  <phoneticPr fontId="29" type="noConversion"/>
  <pageMargins left="0.7" right="0.7" top="0.75" bottom="0.75" header="0.3" footer="0.3"/>
  <pageSetup paperSize="9" orientation="portrait" r:id="rId1"/>
  <headerFooter>
    <oddHeader>&amp;L&amp;"Calibri"&amp;12&amp;K000000Classification: CONFIDENTIAL&amp;1#</oddHead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86A56-9188-4ED4-AC1F-DB45764A39D9}">
  <sheetPr>
    <tabColor theme="9" tint="0.59999389629810485"/>
  </sheetPr>
  <dimension ref="A1:H139"/>
  <sheetViews>
    <sheetView zoomScaleNormal="100" workbookViewId="0">
      <selection activeCell="F139" sqref="F139"/>
    </sheetView>
  </sheetViews>
  <sheetFormatPr defaultRowHeight="14.25"/>
  <cols>
    <col min="1" max="1" width="11.3984375" style="7" bestFit="1" customWidth="1"/>
    <col min="2" max="2" width="34.1328125" customWidth="1"/>
    <col min="3" max="3" width="34.86328125" bestFit="1" customWidth="1"/>
    <col min="4" max="4" width="16.265625" style="10" bestFit="1" customWidth="1"/>
    <col min="5" max="5" width="12.59765625" bestFit="1" customWidth="1"/>
    <col min="6" max="6" width="11.73046875" bestFit="1" customWidth="1"/>
    <col min="7" max="7" width="11.59765625" style="9" bestFit="1" customWidth="1"/>
    <col min="8" max="8" width="6.59765625" customWidth="1"/>
    <col min="9" max="9" width="9" customWidth="1"/>
    <col min="10" max="10" width="6.59765625" customWidth="1"/>
    <col min="11" max="11" width="9" customWidth="1"/>
    <col min="12" max="12" width="6.1328125" customWidth="1"/>
    <col min="13" max="13" width="9" customWidth="1"/>
    <col min="14" max="14" width="9.1328125" customWidth="1"/>
    <col min="15" max="15" width="6.59765625" customWidth="1"/>
    <col min="16" max="16" width="9" customWidth="1"/>
    <col min="17" max="17" width="9.1328125" customWidth="1"/>
    <col min="18" max="18" width="6.59765625" customWidth="1"/>
    <col min="19" max="19" width="9" customWidth="1"/>
    <col min="20" max="20" width="9.1328125" customWidth="1"/>
    <col min="21" max="21" width="6.59765625" customWidth="1"/>
    <col min="22" max="22" width="9" customWidth="1"/>
    <col min="23" max="23" width="6.1328125" customWidth="1"/>
    <col min="24" max="24" width="9" customWidth="1"/>
    <col min="25" max="25" width="9.1328125" customWidth="1"/>
    <col min="26" max="26" width="10.1328125" customWidth="1"/>
  </cols>
  <sheetData>
    <row r="1" spans="1:8">
      <c r="A1" s="7" t="s">
        <v>31</v>
      </c>
      <c r="B1" t="s">
        <v>129</v>
      </c>
      <c r="C1" t="s">
        <v>130</v>
      </c>
      <c r="D1" s="10" t="s">
        <v>131</v>
      </c>
      <c r="E1" t="s">
        <v>58</v>
      </c>
      <c r="F1" t="s">
        <v>59</v>
      </c>
      <c r="G1" s="9" t="s">
        <v>60</v>
      </c>
      <c r="H1" t="s">
        <v>132</v>
      </c>
    </row>
    <row r="2" spans="1:8">
      <c r="A2" s="7">
        <v>39508</v>
      </c>
      <c r="B2" t="s">
        <v>133</v>
      </c>
      <c r="C2" t="str">
        <f>BUSpriceschange15[[#This Row],[Year]]&amp;"_"&amp;BUSpriceschange15[[#This Row],[Product]]</f>
        <v>39508_Advertising low sort: 1C OCR</v>
      </c>
      <c r="D2" s="10">
        <v>0.33302719387066687</v>
      </c>
      <c r="E2" s="10">
        <f>D2</f>
        <v>0.33302719387066687</v>
      </c>
      <c r="F2" s="4">
        <f>BUSpriceschange15[[#This Row],[Price (pounds)]]-BUSpriceschange15[[#This Row],[2007 value]]</f>
        <v>0</v>
      </c>
      <c r="G2" s="9">
        <f>(F2/BUSpriceschange15[[#This Row],[2007 value]])*100</f>
        <v>0</v>
      </c>
    </row>
    <row r="3" spans="1:8">
      <c r="A3" s="7">
        <v>39873</v>
      </c>
      <c r="B3" t="s">
        <v>133</v>
      </c>
      <c r="C3" t="str">
        <f>BUSpriceschange15[[#This Row],[Year]]&amp;"_"&amp;BUSpriceschange15[[#This Row],[Product]]</f>
        <v>39873_Advertising low sort: 1C OCR</v>
      </c>
      <c r="D3" s="10">
        <v>0.33266906326889278</v>
      </c>
      <c r="E3" s="10">
        <f>D2</f>
        <v>0.33302719387066687</v>
      </c>
      <c r="F3" s="10">
        <f>BUSpriceschange15[[#This Row],[Price (pounds)]]-BUSpriceschange15[[#This Row],[2007 value]]</f>
        <v>-3.5813060177408707E-4</v>
      </c>
      <c r="G3" s="9">
        <f>(F3/BUSpriceschange15[[#This Row],[2007 value]])*100</f>
        <v>-0.10753794535865119</v>
      </c>
    </row>
    <row r="4" spans="1:8">
      <c r="A4" s="7">
        <v>40238</v>
      </c>
      <c r="B4" t="s">
        <v>133</v>
      </c>
      <c r="C4" t="str">
        <f>BUSpriceschange15[[#This Row],[Year]]&amp;"_"&amp;BUSpriceschange15[[#This Row],[Product]]</f>
        <v>40238_Advertising low sort: 1C OCR</v>
      </c>
      <c r="D4" s="10">
        <v>0.32660395875107406</v>
      </c>
      <c r="E4" s="10">
        <f>D2</f>
        <v>0.33302719387066687</v>
      </c>
      <c r="F4" s="10">
        <f>BUSpriceschange15[[#This Row],[Price (pounds)]]-BUSpriceschange15[[#This Row],[2007 value]]</f>
        <v>-6.4232351195928072E-3</v>
      </c>
      <c r="G4" s="9">
        <f>(F4/BUSpriceschange15[[#This Row],[2007 value]])*100</f>
        <v>-1.9287419279301585</v>
      </c>
    </row>
    <row r="5" spans="1:8">
      <c r="A5" s="7">
        <v>40603</v>
      </c>
      <c r="B5" t="s">
        <v>133</v>
      </c>
      <c r="C5" t="str">
        <f>BUSpriceschange15[[#This Row],[Year]]&amp;"_"&amp;BUSpriceschange15[[#This Row],[Product]]</f>
        <v>40603_Advertising low sort: 1C OCR</v>
      </c>
      <c r="D5" s="10">
        <v>0.35107685313653131</v>
      </c>
      <c r="E5" s="10">
        <f>D2</f>
        <v>0.33302719387066687</v>
      </c>
      <c r="F5" s="10">
        <f>BUSpriceschange15[[#This Row],[Price (pounds)]]-BUSpriceschange15[[#This Row],[2007 value]]</f>
        <v>1.8049659265864437E-2</v>
      </c>
      <c r="G5" s="9">
        <f>(F5/BUSpriceschange15[[#This Row],[2007 value]])*100</f>
        <v>5.4198754930728361</v>
      </c>
    </row>
    <row r="6" spans="1:8">
      <c r="A6" s="7">
        <v>40969</v>
      </c>
      <c r="B6" t="s">
        <v>133</v>
      </c>
      <c r="C6" t="str">
        <f>BUSpriceschange15[[#This Row],[Year]]&amp;"_"&amp;BUSpriceschange15[[#This Row],[Product]]</f>
        <v>40969_Advertising low sort: 1C OCR</v>
      </c>
      <c r="D6" s="10">
        <v>0.37573557265410784</v>
      </c>
      <c r="E6" s="10">
        <f>D2</f>
        <v>0.33302719387066687</v>
      </c>
      <c r="F6" s="10">
        <f>BUSpriceschange15[[#This Row],[Price (pounds)]]-BUSpriceschange15[[#This Row],[2007 value]]</f>
        <v>4.270837878344097E-2</v>
      </c>
      <c r="G6" s="9">
        <f>(F6/BUSpriceschange15[[#This Row],[2007 value]])*100</f>
        <v>12.824291700342954</v>
      </c>
    </row>
    <row r="7" spans="1:8">
      <c r="A7" s="7">
        <v>41334</v>
      </c>
      <c r="B7" t="s">
        <v>133</v>
      </c>
      <c r="C7" t="str">
        <f>BUSpriceschange15[[#This Row],[Year]]&amp;"_"&amp;BUSpriceschange15[[#This Row],[Product]]</f>
        <v>41334_Advertising low sort: 1C OCR</v>
      </c>
      <c r="D7" s="10">
        <v>0.37610341261633912</v>
      </c>
      <c r="E7" s="10">
        <f>D2</f>
        <v>0.33302719387066687</v>
      </c>
      <c r="F7" s="10">
        <f>BUSpriceschange15[[#This Row],[Price (pounds)]]-BUSpriceschange15[[#This Row],[2007 value]]</f>
        <v>4.3076218745672246E-2</v>
      </c>
      <c r="G7" s="9">
        <f>(F7/BUSpriceschange15[[#This Row],[2007 value]])*100</f>
        <v>12.934745131474507</v>
      </c>
    </row>
    <row r="8" spans="1:8">
      <c r="A8" s="7">
        <v>41579</v>
      </c>
      <c r="B8" t="s">
        <v>133</v>
      </c>
      <c r="C8" t="str">
        <f>BUSpriceschange15[[#This Row],[Year]]&amp;"_"&amp;BUSpriceschange15[[#This Row],[Product]]</f>
        <v>41579_Advertising low sort: 1C OCR</v>
      </c>
      <c r="D8" s="10">
        <v>0.3678502741514359</v>
      </c>
      <c r="E8" s="10">
        <f>D2</f>
        <v>0.33302719387066687</v>
      </c>
      <c r="F8" s="10">
        <f>BUSpriceschange15[[#This Row],[Price (pounds)]]-BUSpriceschange15[[#This Row],[2007 value]]</f>
        <v>3.4823080280769025E-2</v>
      </c>
      <c r="G8" s="9">
        <f>(F8/BUSpriceschange15[[#This Row],[2007 value]])*100</f>
        <v>10.456527551408543</v>
      </c>
    </row>
    <row r="9" spans="1:8">
      <c r="A9" s="7">
        <v>41699</v>
      </c>
      <c r="B9" t="s">
        <v>133</v>
      </c>
      <c r="C9" t="str">
        <f>BUSpriceschange15[[#This Row],[Year]]&amp;"_"&amp;BUSpriceschange15[[#This Row],[Product]]</f>
        <v>41699_Advertising low sort: 1C OCR</v>
      </c>
      <c r="D9" s="10">
        <v>0.38240259268929488</v>
      </c>
      <c r="E9" s="10">
        <f>D2</f>
        <v>0.33302719387066687</v>
      </c>
      <c r="F9" s="10">
        <f>BUSpriceschange15[[#This Row],[Price (pounds)]]-BUSpriceschange15[[#This Row],[2007 value]]</f>
        <v>4.9375398818628013E-2</v>
      </c>
      <c r="G9" s="9">
        <f>(F9/BUSpriceschange15[[#This Row],[2007 value]])*100</f>
        <v>14.826236333662063</v>
      </c>
    </row>
    <row r="10" spans="1:8">
      <c r="A10" s="7">
        <v>42005</v>
      </c>
      <c r="B10" t="s">
        <v>133</v>
      </c>
      <c r="C10" t="str">
        <f>BUSpriceschange15[[#This Row],[Year]]&amp;"_"&amp;BUSpriceschange15[[#This Row],[Product]]</f>
        <v>42005_Advertising low sort: 1C OCR</v>
      </c>
      <c r="D10" s="10">
        <v>0.39450141433572244</v>
      </c>
      <c r="E10" s="10">
        <f>D2</f>
        <v>0.33302719387066687</v>
      </c>
      <c r="F10" s="10">
        <f>BUSpriceschange15[[#This Row],[Price (pounds)]]-BUSpriceschange15[[#This Row],[2007 value]]</f>
        <v>6.1474220465055573E-2</v>
      </c>
      <c r="G10" s="9">
        <f>(F10/BUSpriceschange15[[#This Row],[2007 value]])*100</f>
        <v>18.459219426065687</v>
      </c>
    </row>
    <row r="11" spans="1:8">
      <c r="A11" s="7">
        <v>42370</v>
      </c>
      <c r="B11" t="s">
        <v>133</v>
      </c>
      <c r="C11" t="str">
        <f>BUSpriceschange15[[#This Row],[Year]]&amp;"_"&amp;BUSpriceschange15[[#This Row],[Product]]</f>
        <v>42370_Advertising low sort: 1C OCR</v>
      </c>
      <c r="D11" s="10">
        <v>0.40396622697527257</v>
      </c>
      <c r="E11" s="10">
        <f>D2</f>
        <v>0.33302719387066687</v>
      </c>
      <c r="F11" s="10">
        <f>BUSpriceschange15[[#This Row],[Price (pounds)]]-BUSpriceschange15[[#This Row],[2007 value]]</f>
        <v>7.0939033104605698E-2</v>
      </c>
      <c r="G11" s="9">
        <f>(F11/BUSpriceschange15[[#This Row],[2007 value]])*100</f>
        <v>21.301273412571618</v>
      </c>
    </row>
    <row r="12" spans="1:8">
      <c r="A12" s="7">
        <v>42736</v>
      </c>
      <c r="B12" t="s">
        <v>133</v>
      </c>
      <c r="C12" t="str">
        <f>BUSpriceschange15[[#This Row],[Year]]&amp;"_"&amp;BUSpriceschange15[[#This Row],[Product]]</f>
        <v>42736_Advertising low sort: 1C OCR</v>
      </c>
      <c r="D12" s="10">
        <v>0.41168423170550927</v>
      </c>
      <c r="E12" s="10">
        <f>D2</f>
        <v>0.33302719387066687</v>
      </c>
      <c r="F12" s="10">
        <f>BUSpriceschange15[[#This Row],[Price (pounds)]]-BUSpriceschange15[[#This Row],[2007 value]]</f>
        <v>7.8657037834842403E-2</v>
      </c>
      <c r="G12" s="9">
        <f>(F12/BUSpriceschange15[[#This Row],[2007 value]])*100</f>
        <v>23.618803293700196</v>
      </c>
    </row>
    <row r="13" spans="1:8">
      <c r="A13" s="7">
        <v>43101</v>
      </c>
      <c r="B13" t="s">
        <v>133</v>
      </c>
      <c r="C13" t="str">
        <f>BUSpriceschange15[[#This Row],[Year]]&amp;"_"&amp;BUSpriceschange15[[#This Row],[Product]]</f>
        <v>43101_Advertising low sort: 1C OCR</v>
      </c>
      <c r="D13" s="10">
        <v>0.42852631366330279</v>
      </c>
      <c r="E13" s="10">
        <f>D2</f>
        <v>0.33302719387066687</v>
      </c>
      <c r="F13" s="10">
        <f>BUSpriceschange15[[#This Row],[Price (pounds)]]-BUSpriceschange15[[#This Row],[2007 value]]</f>
        <v>9.5499119792635923E-2</v>
      </c>
      <c r="G13" s="9">
        <f>(F13/BUSpriceschange15[[#This Row],[2007 value]])*100</f>
        <v>28.676072570134792</v>
      </c>
    </row>
    <row r="14" spans="1:8">
      <c r="A14" s="7">
        <v>43466</v>
      </c>
      <c r="B14" t="s">
        <v>133</v>
      </c>
      <c r="C14" t="str">
        <f>BUSpriceschange15[[#This Row],[Year]]&amp;"_"&amp;BUSpriceschange15[[#This Row],[Product]]</f>
        <v>43466_Advertising low sort: 1C OCR</v>
      </c>
      <c r="D14" s="10">
        <v>0.44827431710526305</v>
      </c>
      <c r="E14" s="10">
        <f>D2</f>
        <v>0.33302719387066687</v>
      </c>
      <c r="F14" s="10">
        <f>BUSpriceschange15[[#This Row],[Price (pounds)]]-BUSpriceschange15[[#This Row],[2007 value]]</f>
        <v>0.11524712323459618</v>
      </c>
      <c r="G14" s="9">
        <f>(F14/BUSpriceschange15[[#This Row],[2007 value]])*100</f>
        <v>34.605919683349676</v>
      </c>
    </row>
    <row r="15" spans="1:8">
      <c r="A15" s="7">
        <v>43831</v>
      </c>
      <c r="B15" t="s">
        <v>133</v>
      </c>
      <c r="C15" t="str">
        <f>BUSpriceschange15[[#This Row],[Year]]&amp;"_"&amp;BUSpriceschange15[[#This Row],[Product]]</f>
        <v>43831_Advertising low sort: 1C OCR</v>
      </c>
      <c r="D15" s="10">
        <v>0.47961600000000004</v>
      </c>
      <c r="E15" s="10">
        <f>D2</f>
        <v>0.33302719387066687</v>
      </c>
      <c r="F15" s="10">
        <f>BUSpriceschange15[[#This Row],[Price (pounds)]]-BUSpriceschange15[[#This Row],[2007 value]]</f>
        <v>0.14658880612933317</v>
      </c>
      <c r="G15" s="9">
        <f>(F15/BUSpriceschange15[[#This Row],[2007 value]])*100</f>
        <v>44.017067923366589</v>
      </c>
    </row>
    <row r="16" spans="1:8">
      <c r="A16" s="7">
        <v>44197</v>
      </c>
      <c r="B16" t="s">
        <v>133</v>
      </c>
      <c r="C16" t="str">
        <f>BUSpriceschange15[[#This Row],[Year]]&amp;"_"&amp;BUSpriceschange15[[#This Row],[Product]]</f>
        <v>44197_Advertising low sort: 1C OCR</v>
      </c>
      <c r="D16" s="10">
        <f>'[1]Business Mail Pricing'!$P31</f>
        <v>0.54931020000000008</v>
      </c>
      <c r="E16" s="10">
        <f>VLOOKUP(42005&amp;"_"&amp;BUSpriceschange15[[#This Row],[Product]],BUSpriceschange15[[Column3]:[Price (pounds)]],2,FALSE)</f>
        <v>0.39450141433572244</v>
      </c>
      <c r="F16" s="10">
        <f>IFERROR(BUSpriceschange15[[#This Row],[Price (pounds)]]/BUSpriceschange15[[#This Row],[2007 value]],0)</f>
        <v>1.3924163007753749</v>
      </c>
      <c r="G16" s="9">
        <f>BUSpriceschange15[[#This Row],[Workings]]-1</f>
        <v>0.39241630077537493</v>
      </c>
    </row>
    <row r="17" spans="1:7">
      <c r="A17" s="7">
        <v>39508</v>
      </c>
      <c r="B17" t="s">
        <v>134</v>
      </c>
      <c r="C17" t="str">
        <f>BUSpriceschange15[[#This Row],[Year]]&amp;"_"&amp;BUSpriceschange15[[#This Row],[Product]]</f>
        <v>39508_Advertising low sort: 2C OCR</v>
      </c>
      <c r="D17" s="10">
        <v>0.23311903570946679</v>
      </c>
      <c r="E17" s="10">
        <f>BUSpriceschange15[[#This Row],[Price (pounds)]]</f>
        <v>0.23311903570946679</v>
      </c>
      <c r="F17" s="4">
        <f>BUSpriceschange15[[#This Row],[Price (pounds)]]-BUSpriceschange15[[#This Row],[2007 value]]</f>
        <v>0</v>
      </c>
      <c r="G17" s="9">
        <f>(F17/BUSpriceschange15[[#This Row],[2007 value]])*100</f>
        <v>0</v>
      </c>
    </row>
    <row r="18" spans="1:7">
      <c r="A18" s="7">
        <v>39873</v>
      </c>
      <c r="B18" t="s">
        <v>134</v>
      </c>
      <c r="C18" t="str">
        <f>BUSpriceschange15[[#This Row],[Year]]&amp;"_"&amp;BUSpriceschange15[[#This Row],[Product]]</f>
        <v>39873_Advertising low sort: 2C OCR</v>
      </c>
      <c r="D18" s="10">
        <v>0.23150654110525282</v>
      </c>
      <c r="E18" s="10">
        <f>D17</f>
        <v>0.23311903570946679</v>
      </c>
      <c r="F18" s="10">
        <f>BUSpriceschange15[[#This Row],[Price (pounds)]]-BUSpriceschange15[[#This Row],[2007 value]]</f>
        <v>-1.6124946042139765E-3</v>
      </c>
      <c r="G18" s="9">
        <f>(F18/BUSpriceschange15[[#This Row],[2007 value]])*100</f>
        <v>-0.69170439012265272</v>
      </c>
    </row>
    <row r="19" spans="1:7">
      <c r="A19" s="7">
        <v>40238</v>
      </c>
      <c r="B19" t="s">
        <v>134</v>
      </c>
      <c r="C19" t="str">
        <f>BUSpriceschange15[[#This Row],[Year]]&amp;"_"&amp;BUSpriceschange15[[#This Row],[Product]]</f>
        <v>40238_Advertising low sort: 2C OCR</v>
      </c>
      <c r="D19" s="10">
        <v>0.22728579585601061</v>
      </c>
      <c r="E19" s="10">
        <f>D17</f>
        <v>0.23311903570946679</v>
      </c>
      <c r="F19" s="10">
        <f>BUSpriceschange15[[#This Row],[Price (pounds)]]-BUSpriceschange15[[#This Row],[2007 value]]</f>
        <v>-5.8332398534561847E-3</v>
      </c>
      <c r="G19" s="9">
        <f>(F19/BUSpriceschange15[[#This Row],[2007 value]])*100</f>
        <v>-2.5022580570065824</v>
      </c>
    </row>
    <row r="20" spans="1:7">
      <c r="A20" s="7">
        <v>40603</v>
      </c>
      <c r="B20" t="s">
        <v>134</v>
      </c>
      <c r="C20" t="str">
        <f>BUSpriceschange15[[#This Row],[Year]]&amp;"_"&amp;BUSpriceschange15[[#This Row],[Product]]</f>
        <v>40603_Advertising low sort: 2C OCR</v>
      </c>
      <c r="D20" s="10">
        <v>0.21960277029520286</v>
      </c>
      <c r="E20" s="10">
        <f>D17</f>
        <v>0.23311903570946679</v>
      </c>
      <c r="F20" s="10">
        <f>BUSpriceschange15[[#This Row],[Price (pounds)]]-BUSpriceschange15[[#This Row],[2007 value]]</f>
        <v>-1.3516265414263928E-2</v>
      </c>
      <c r="G20" s="9">
        <f>(F20/BUSpriceschange15[[#This Row],[2007 value]])*100</f>
        <v>-5.7980101767017747</v>
      </c>
    </row>
    <row r="21" spans="1:7">
      <c r="A21" s="7">
        <v>40969</v>
      </c>
      <c r="B21" t="s">
        <v>134</v>
      </c>
      <c r="C21" t="str">
        <f>BUSpriceschange15[[#This Row],[Year]]&amp;"_"&amp;BUSpriceschange15[[#This Row],[Product]]</f>
        <v>40969_Advertising low sort: 2C OCR</v>
      </c>
      <c r="D21" s="10">
        <v>0.21677052268506225</v>
      </c>
      <c r="E21" s="10">
        <f>D17</f>
        <v>0.23311903570946679</v>
      </c>
      <c r="F21" s="10">
        <f>BUSpriceschange15[[#This Row],[Price (pounds)]]-BUSpriceschange15[[#This Row],[2007 value]]</f>
        <v>-1.6348513024404543E-2</v>
      </c>
      <c r="G21" s="9">
        <f>(F21/BUSpriceschange15[[#This Row],[2007 value]])*100</f>
        <v>-7.012946400816225</v>
      </c>
    </row>
    <row r="22" spans="1:7">
      <c r="A22" s="7">
        <v>41334</v>
      </c>
      <c r="B22" t="s">
        <v>134</v>
      </c>
      <c r="C22" t="str">
        <f>BUSpriceschange15[[#This Row],[Year]]&amp;"_"&amp;BUSpriceschange15[[#This Row],[Product]]</f>
        <v>41334_Advertising low sort: 2C OCR</v>
      </c>
      <c r="D22" s="10">
        <v>0.214245741899345</v>
      </c>
      <c r="E22" s="10">
        <f>D17</f>
        <v>0.23311903570946679</v>
      </c>
      <c r="F22" s="10">
        <f>BUSpriceschange15[[#This Row],[Price (pounds)]]-BUSpriceschange15[[#This Row],[2007 value]]</f>
        <v>-1.8873293810121788E-2</v>
      </c>
      <c r="G22" s="9">
        <f>(F22/BUSpriceschange15[[#This Row],[2007 value]])*100</f>
        <v>-8.0959899961337047</v>
      </c>
    </row>
    <row r="23" spans="1:7">
      <c r="A23" s="7">
        <v>41579</v>
      </c>
      <c r="B23" t="s">
        <v>134</v>
      </c>
      <c r="C23" t="str">
        <f>BUSpriceschange15[[#This Row],[Year]]&amp;"_"&amp;BUSpriceschange15[[#This Row],[Product]]</f>
        <v>41579_Advertising low sort: 2C OCR</v>
      </c>
      <c r="D23" s="10">
        <v>0.20939169451697121</v>
      </c>
      <c r="E23" s="10">
        <f>D17</f>
        <v>0.23311903570946679</v>
      </c>
      <c r="F23" s="10">
        <f>BUSpriceschange15[[#This Row],[Price (pounds)]]-BUSpriceschange15[[#This Row],[2007 value]]</f>
        <v>-2.3727341192495588E-2</v>
      </c>
      <c r="G23" s="9">
        <f>(F23/BUSpriceschange15[[#This Row],[2007 value]])*100</f>
        <v>-10.178208364788649</v>
      </c>
    </row>
    <row r="24" spans="1:7">
      <c r="A24" s="7">
        <v>41699</v>
      </c>
      <c r="B24" t="s">
        <v>134</v>
      </c>
      <c r="C24" t="str">
        <f>BUSpriceschange15[[#This Row],[Year]]&amp;"_"&amp;BUSpriceschange15[[#This Row],[Product]]</f>
        <v>41699_Advertising low sort: 2C OCR</v>
      </c>
      <c r="D24" s="10">
        <v>0.21343400522193207</v>
      </c>
      <c r="E24" s="10">
        <f>D17</f>
        <v>0.23311903570946679</v>
      </c>
      <c r="F24" s="10">
        <f>BUSpriceschange15[[#This Row],[Price (pounds)]]-BUSpriceschange15[[#This Row],[2007 value]]</f>
        <v>-1.9685030487534727E-2</v>
      </c>
      <c r="G24" s="9">
        <f>(F24/BUSpriceschange15[[#This Row],[2007 value]])*100</f>
        <v>-8.4441969432594615</v>
      </c>
    </row>
    <row r="25" spans="1:7">
      <c r="A25" s="7">
        <v>42005</v>
      </c>
      <c r="B25" t="s">
        <v>134</v>
      </c>
      <c r="C25" t="str">
        <f>BUSpriceschange15[[#This Row],[Year]]&amp;"_"&amp;BUSpriceschange15[[#This Row],[Product]]</f>
        <v>42005_Advertising low sort: 2C OCR</v>
      </c>
      <c r="D25" s="10">
        <v>0.21862961816969487</v>
      </c>
      <c r="E25" s="10">
        <f>D17</f>
        <v>0.23311903570946679</v>
      </c>
      <c r="F25" s="10">
        <f>BUSpriceschange15[[#This Row],[Price (pounds)]]-BUSpriceschange15[[#This Row],[2007 value]]</f>
        <v>-1.4489417539771926E-2</v>
      </c>
      <c r="G25" s="9">
        <f>(F25/BUSpriceschange15[[#This Row],[2007 value]])*100</f>
        <v>-6.2154587658083393</v>
      </c>
    </row>
    <row r="26" spans="1:7">
      <c r="A26" s="7">
        <v>42370</v>
      </c>
      <c r="B26" t="s">
        <v>134</v>
      </c>
      <c r="C26" t="str">
        <f>BUSpriceschange15[[#This Row],[Year]]&amp;"_"&amp;BUSpriceschange15[[#This Row],[Product]]</f>
        <v>42370_Advertising low sort: 2C OCR</v>
      </c>
      <c r="D26" s="10">
        <v>0.22064018822745815</v>
      </c>
      <c r="E26" s="10">
        <f>D17</f>
        <v>0.23311903570946679</v>
      </c>
      <c r="F26" s="10">
        <f>BUSpriceschange15[[#This Row],[Price (pounds)]]-BUSpriceschange15[[#This Row],[2007 value]]</f>
        <v>-1.2478847482008643E-2</v>
      </c>
      <c r="G26" s="9">
        <f>(F26/BUSpriceschange15[[#This Row],[2007 value]])*100</f>
        <v>-5.3529937802080081</v>
      </c>
    </row>
    <row r="27" spans="1:7">
      <c r="A27" s="7">
        <v>42736</v>
      </c>
      <c r="B27" t="s">
        <v>134</v>
      </c>
      <c r="C27" t="str">
        <f>BUSpriceschange15[[#This Row],[Year]]&amp;"_"&amp;BUSpriceschange15[[#This Row],[Product]]</f>
        <v>42736_Advertising low sort: 2C OCR</v>
      </c>
      <c r="D27" s="10">
        <v>0.22098949551181749</v>
      </c>
      <c r="E27" s="10">
        <f>D17</f>
        <v>0.23311903570946679</v>
      </c>
      <c r="F27" s="10">
        <f>BUSpriceschange15[[#This Row],[Price (pounds)]]-BUSpriceschange15[[#This Row],[2007 value]]</f>
        <v>-1.2129540197649308E-2</v>
      </c>
      <c r="G27" s="9">
        <f>(F27/BUSpriceschange15[[#This Row],[2007 value]])*100</f>
        <v>-5.2031530418503422</v>
      </c>
    </row>
    <row r="28" spans="1:7">
      <c r="A28" s="7">
        <v>43101</v>
      </c>
      <c r="B28" t="s">
        <v>134</v>
      </c>
      <c r="C28" t="str">
        <f>BUSpriceschange15[[#This Row],[Year]]&amp;"_"&amp;BUSpriceschange15[[#This Row],[Product]]</f>
        <v>43101_Advertising low sort: 2C OCR</v>
      </c>
      <c r="D28" s="10">
        <v>0.22148710475732811</v>
      </c>
      <c r="E28" s="10">
        <f>D17</f>
        <v>0.23311903570946679</v>
      </c>
      <c r="F28" s="10">
        <f>BUSpriceschange15[[#This Row],[Price (pounds)]]-BUSpriceschange15[[#This Row],[2007 value]]</f>
        <v>-1.1631930952138686E-2</v>
      </c>
      <c r="G28" s="9">
        <f>(F28/BUSpriceschange15[[#This Row],[2007 value]])*100</f>
        <v>-4.9896958936615583</v>
      </c>
    </row>
    <row r="29" spans="1:7">
      <c r="A29" s="7">
        <v>43466</v>
      </c>
      <c r="B29" t="s">
        <v>134</v>
      </c>
      <c r="C29" t="str">
        <f>BUSpriceschange15[[#This Row],[Year]]&amp;"_"&amp;BUSpriceschange15[[#This Row],[Product]]</f>
        <v>43466_Advertising low sort: 2C OCR</v>
      </c>
      <c r="D29" s="10">
        <v>0.22198860216165409</v>
      </c>
      <c r="E29" s="10">
        <f>D17</f>
        <v>0.23311903570946679</v>
      </c>
      <c r="F29" s="10">
        <f>(BUSpriceschange15[[#This Row],[Price (pounds)]]-BUSpriceschange15[[#This Row],[2007 value]])</f>
        <v>-1.1130433547812707E-2</v>
      </c>
      <c r="G29" s="9">
        <f>(F29/BUSpriceschange15[[#This Row],[2007 value]])*100</f>
        <v>-4.7745708598779641</v>
      </c>
    </row>
    <row r="30" spans="1:7">
      <c r="A30" s="7">
        <v>43831</v>
      </c>
      <c r="B30" t="s">
        <v>134</v>
      </c>
      <c r="C30" t="str">
        <f>BUSpriceschange15[[#This Row],[Year]]&amp;"_"&amp;BUSpriceschange15[[#This Row],[Product]]</f>
        <v>43831_Advertising low sort: 2C OCR</v>
      </c>
      <c r="D30" s="10">
        <v>0.22865850000000001</v>
      </c>
      <c r="E30" s="10">
        <f>D17</f>
        <v>0.23311903570946679</v>
      </c>
      <c r="F30" s="10">
        <f>(BUSpriceschange15[[#This Row],[Price (pounds)]]-BUSpriceschange15[[#This Row],[2007 value]])</f>
        <v>-4.4605357094667786E-3</v>
      </c>
      <c r="G30" s="9">
        <f>(F30/BUSpriceschange15[[#This Row],[2007 value]])*100</f>
        <v>-1.9134154771581529</v>
      </c>
    </row>
    <row r="31" spans="1:7">
      <c r="A31" s="7">
        <v>44197</v>
      </c>
      <c r="B31" t="s">
        <v>134</v>
      </c>
      <c r="C31" t="str">
        <f>BUSpriceschange15[[#This Row],[Year]]&amp;"_"&amp;BUSpriceschange15[[#This Row],[Product]]</f>
        <v>44197_Advertising low sort: 2C OCR</v>
      </c>
      <c r="D31" s="10">
        <f>'[1]Business Mail Pricing'!$P32</f>
        <v>0.238818</v>
      </c>
      <c r="E31" s="10">
        <f>VLOOKUP(42005&amp;"_"&amp;BUSpriceschange15[[#This Row],[Product]],BUSpriceschange15[[Column3]:[Price (pounds)]],2,FALSE)</f>
        <v>0.21862961816969487</v>
      </c>
      <c r="F31" s="10">
        <f>IFERROR(BUSpriceschange15[[#This Row],[Price (pounds)]]/BUSpriceschange15[[#This Row],[2007 value]],0)</f>
        <v>1.0923405620853961</v>
      </c>
      <c r="G31" s="9">
        <f>BUSpriceschange15[[#This Row],[Workings]]-1</f>
        <v>9.2340562085396094E-2</v>
      </c>
    </row>
    <row r="32" spans="1:7">
      <c r="A32" s="7">
        <v>39508</v>
      </c>
      <c r="B32" t="s">
        <v>135</v>
      </c>
      <c r="C32" t="str">
        <f>BUSpriceschange15[[#This Row],[Year]]&amp;"_"&amp;BUSpriceschange15[[#This Row],[Product]]</f>
        <v>39508_Advertising low sort: Econ OCR</v>
      </c>
      <c r="D32" s="10">
        <v>0.20385300958143851</v>
      </c>
      <c r="E32" s="10">
        <f>BUSpriceschange15[[#This Row],[Price (pounds)]]</f>
        <v>0.20385300958143851</v>
      </c>
      <c r="F32" s="4">
        <f>BUSpriceschange15[[#This Row],[Price (pounds)]]-BUSpriceschange15[[#This Row],[2007 value]]</f>
        <v>0</v>
      </c>
      <c r="G32" s="9">
        <f>(F32/BUSpriceschange15[[#This Row],[2007 value]])*100</f>
        <v>0</v>
      </c>
    </row>
    <row r="33" spans="1:7">
      <c r="A33" s="7">
        <v>39873</v>
      </c>
      <c r="B33" t="s">
        <v>135</v>
      </c>
      <c r="C33" t="str">
        <f>BUSpriceschange15[[#This Row],[Year]]&amp;"_"&amp;BUSpriceschange15[[#This Row],[Product]]</f>
        <v>39873_Advertising low sort: Econ OCR</v>
      </c>
      <c r="D33" s="10">
        <v>0.20816134368287439</v>
      </c>
      <c r="E33" s="10">
        <f>D32</f>
        <v>0.20385300958143851</v>
      </c>
      <c r="F33" s="10">
        <f>BUSpriceschange15[[#This Row],[Price (pounds)]]-BUSpriceschange15[[#This Row],[2007 value]]</f>
        <v>4.3083341014358845E-3</v>
      </c>
      <c r="G33" s="9">
        <f>(F33/BUSpriceschange15[[#This Row],[2007 value]])*100</f>
        <v>2.1134513099816274</v>
      </c>
    </row>
    <row r="34" spans="1:7">
      <c r="A34" s="7">
        <v>40238</v>
      </c>
      <c r="B34" t="s">
        <v>135</v>
      </c>
      <c r="C34" t="str">
        <f>BUSpriceschange15[[#This Row],[Year]]&amp;"_"&amp;BUSpriceschange15[[#This Row],[Product]]</f>
        <v>40238_Advertising low sort: Econ OCR</v>
      </c>
      <c r="D34" s="10">
        <v>0.19863632579012691</v>
      </c>
      <c r="E34" s="10">
        <f>D32</f>
        <v>0.20385300958143851</v>
      </c>
      <c r="F34" s="10">
        <f>BUSpriceschange15[[#This Row],[Price (pounds)]]-BUSpriceschange15[[#This Row],[2007 value]]</f>
        <v>-5.2166837913115993E-3</v>
      </c>
      <c r="G34" s="9">
        <f>(F34/BUSpriceschange15[[#This Row],[2007 value]])*100</f>
        <v>-2.5590418321626762</v>
      </c>
    </row>
    <row r="35" spans="1:7">
      <c r="A35" s="7">
        <v>40603</v>
      </c>
      <c r="B35" t="s">
        <v>135</v>
      </c>
      <c r="C35" t="str">
        <f>BUSpriceschange15[[#This Row],[Year]]&amp;"_"&amp;BUSpriceschange15[[#This Row],[Product]]</f>
        <v>40603_Advertising low sort: Econ OCR</v>
      </c>
      <c r="D35" s="10">
        <v>0.19539577970479696</v>
      </c>
      <c r="E35" s="10">
        <f>D32</f>
        <v>0.20385300958143851</v>
      </c>
      <c r="F35" s="10">
        <f>BUSpriceschange15[[#This Row],[Price (pounds)]]-BUSpriceschange15[[#This Row],[2007 value]]</f>
        <v>-8.4572298766415477E-3</v>
      </c>
      <c r="G35" s="9">
        <f>(F35/BUSpriceschange15[[#This Row],[2007 value]])*100</f>
        <v>-4.1486902224334914</v>
      </c>
    </row>
    <row r="36" spans="1:7">
      <c r="A36" s="7">
        <v>40969</v>
      </c>
      <c r="B36" t="s">
        <v>135</v>
      </c>
      <c r="C36" t="str">
        <f>BUSpriceschange15[[#This Row],[Year]]&amp;"_"&amp;BUSpriceschange15[[#This Row],[Product]]</f>
        <v>40969_Advertising low sort: Econ OCR</v>
      </c>
      <c r="D36" s="10">
        <v>0.19381834969487918</v>
      </c>
      <c r="E36" s="10">
        <f>D32</f>
        <v>0.20385300958143851</v>
      </c>
      <c r="F36" s="10">
        <f>BUSpriceschange15[[#This Row],[Price (pounds)]]-BUSpriceschange15[[#This Row],[2007 value]]</f>
        <v>-1.0034659886559327E-2</v>
      </c>
      <c r="G36" s="9">
        <f>(F36/BUSpriceschange15[[#This Row],[2007 value]])*100</f>
        <v>-4.9224977875789069</v>
      </c>
    </row>
    <row r="37" spans="1:7">
      <c r="A37" s="7">
        <v>41334</v>
      </c>
      <c r="B37" t="s">
        <v>135</v>
      </c>
      <c r="C37" t="str">
        <f>BUSpriceschange15[[#This Row],[Year]]&amp;"_"&amp;BUSpriceschange15[[#This Row],[Product]]</f>
        <v>41334_Advertising low sort: Econ OCR</v>
      </c>
      <c r="D37" s="10">
        <v>0.19191124370906582</v>
      </c>
      <c r="E37" s="10">
        <f>D32</f>
        <v>0.20385300958143851</v>
      </c>
      <c r="F37" s="10">
        <f>BUSpriceschange15[[#This Row],[Price (pounds)]]-BUSpriceschange15[[#This Row],[2007 value]]</f>
        <v>-1.1941765872372695E-2</v>
      </c>
      <c r="G37" s="9">
        <f>(F37/BUSpriceschange15[[#This Row],[2007 value]])*100</f>
        <v>-5.8580277509231493</v>
      </c>
    </row>
    <row r="38" spans="1:7">
      <c r="A38" s="7">
        <v>41579</v>
      </c>
      <c r="B38" t="s">
        <v>135</v>
      </c>
      <c r="C38" t="str">
        <f>BUSpriceschange15[[#This Row],[Year]]&amp;"_"&amp;BUSpriceschange15[[#This Row],[Product]]</f>
        <v>41579_Advertising low sort: Econ OCR</v>
      </c>
      <c r="D38" s="10">
        <v>0.18756321671018272</v>
      </c>
      <c r="E38" s="10">
        <f>D32</f>
        <v>0.20385300958143851</v>
      </c>
      <c r="F38" s="10">
        <f>BUSpriceschange15[[#This Row],[Price (pounds)]]-BUSpriceschange15[[#This Row],[2007 value]]</f>
        <v>-1.6289792871255787E-2</v>
      </c>
      <c r="G38" s="9">
        <f>(F38/BUSpriceschange15[[#This Row],[2007 value]])*100</f>
        <v>-7.990950393473625</v>
      </c>
    </row>
    <row r="39" spans="1:7">
      <c r="A39" s="7">
        <v>41699</v>
      </c>
      <c r="B39" t="s">
        <v>135</v>
      </c>
      <c r="C39" t="str">
        <f>BUSpriceschange15[[#This Row],[Year]]&amp;"_"&amp;BUSpriceschange15[[#This Row],[Product]]</f>
        <v>41699_Advertising low sort: Econ OCR</v>
      </c>
      <c r="D39" s="10">
        <v>0.19079706527415133</v>
      </c>
      <c r="E39" s="10">
        <f>D32</f>
        <v>0.20385300958143851</v>
      </c>
      <c r="F39" s="10">
        <f>BUSpriceschange15[[#This Row],[Price (pounds)]]-BUSpriceschange15[[#This Row],[2007 value]]</f>
        <v>-1.3055944307287182E-2</v>
      </c>
      <c r="G39" s="9">
        <f>(F39/BUSpriceschange15[[#This Row],[2007 value]])*100</f>
        <v>-6.404587469223201</v>
      </c>
    </row>
    <row r="40" spans="1:7">
      <c r="A40" s="7">
        <v>42005</v>
      </c>
      <c r="B40" t="s">
        <v>135</v>
      </c>
      <c r="C40" t="str">
        <f>BUSpriceschange15[[#This Row],[Year]]&amp;"_"&amp;BUSpriceschange15[[#This Row],[Product]]</f>
        <v>42005_Advertising low sort: Econ OCR</v>
      </c>
      <c r="D40" s="10">
        <v>0.19523382877146181</v>
      </c>
      <c r="E40" s="10">
        <f>D32</f>
        <v>0.20385300958143851</v>
      </c>
      <c r="F40" s="10">
        <f>BUSpriceschange15[[#This Row],[Price (pounds)]]-BUSpriceschange15[[#This Row],[2007 value]]</f>
        <v>-8.6191808099767009E-3</v>
      </c>
      <c r="G40" s="9">
        <f>(F40/BUSpriceschange15[[#This Row],[2007 value]])*100</f>
        <v>-4.2281351782218213</v>
      </c>
    </row>
    <row r="41" spans="1:7">
      <c r="A41" s="7">
        <v>42370</v>
      </c>
      <c r="B41" t="s">
        <v>135</v>
      </c>
      <c r="C41" t="str">
        <f>BUSpriceschange15[[#This Row],[Year]]&amp;"_"&amp;BUSpriceschange15[[#This Row],[Product]]</f>
        <v>42370_Advertising low sort: Econ OCR</v>
      </c>
      <c r="D41" s="10">
        <v>0.1971160505120306</v>
      </c>
      <c r="E41" s="10">
        <f>D32</f>
        <v>0.20385300958143851</v>
      </c>
      <c r="F41" s="10">
        <f>BUSpriceschange15[[#This Row],[Price (pounds)]]-BUSpriceschange15[[#This Row],[2007 value]]</f>
        <v>-6.7369590694079107E-3</v>
      </c>
      <c r="G41" s="9">
        <f>(F41/BUSpriceschange15[[#This Row],[2007 value]])*100</f>
        <v>-3.3048121699260564</v>
      </c>
    </row>
    <row r="42" spans="1:7">
      <c r="A42" s="7">
        <v>42736</v>
      </c>
      <c r="B42" t="s">
        <v>135</v>
      </c>
      <c r="C42" t="str">
        <f>BUSpriceschange15[[#This Row],[Year]]&amp;"_"&amp;BUSpriceschange15[[#This Row],[Product]]</f>
        <v>42736_Advertising low sort: Econ OCR</v>
      </c>
      <c r="D42" s="10">
        <v>0.19760009635180759</v>
      </c>
      <c r="E42" s="10">
        <f>D32</f>
        <v>0.20385300958143851</v>
      </c>
      <c r="F42" s="10">
        <f>BUSpriceschange15[[#This Row],[Price (pounds)]]-BUSpriceschange15[[#This Row],[2007 value]]</f>
        <v>-6.2529132296309242E-3</v>
      </c>
      <c r="G42" s="9">
        <f>(F42/BUSpriceschange15[[#This Row],[2007 value]])*100</f>
        <v>-3.067363706069254</v>
      </c>
    </row>
    <row r="43" spans="1:7">
      <c r="A43" s="7">
        <v>43101</v>
      </c>
      <c r="B43" t="s">
        <v>135</v>
      </c>
      <c r="C43" t="str">
        <f>BUSpriceschange15[[#This Row],[Year]]&amp;"_"&amp;BUSpriceschange15[[#This Row],[Product]]</f>
        <v>43101_Advertising low sort: Econ OCR</v>
      </c>
      <c r="D43" s="10">
        <v>0.19871006206951777</v>
      </c>
      <c r="E43" s="10">
        <f>D32</f>
        <v>0.20385300958143851</v>
      </c>
      <c r="F43" s="10">
        <f>BUSpriceschange15[[#This Row],[Price (pounds)]]-BUSpriceschange15[[#This Row],[2007 value]]</f>
        <v>-5.1429475119207368E-3</v>
      </c>
      <c r="G43" s="9">
        <f>(F43/BUSpriceschange15[[#This Row],[2007 value]])*100</f>
        <v>-2.5228705342543147</v>
      </c>
    </row>
    <row r="44" spans="1:7">
      <c r="A44" s="7">
        <v>43466</v>
      </c>
      <c r="B44" t="s">
        <v>135</v>
      </c>
      <c r="C44" t="str">
        <f>BUSpriceschange15[[#This Row],[Year]]&amp;"_"&amp;BUSpriceschange15[[#This Row],[Product]]</f>
        <v>43466_Advertising low sort: Econ OCR</v>
      </c>
      <c r="D44" s="10">
        <v>0.19972774714129066</v>
      </c>
      <c r="E44" s="10">
        <f>D32</f>
        <v>0.20385300958143851</v>
      </c>
      <c r="F44" s="10">
        <f>BUSpriceschange15[[#This Row],[Price (pounds)]]-BUSpriceschange15[[#This Row],[2007 value]]</f>
        <v>-4.1252624401478533E-3</v>
      </c>
      <c r="G44" s="9">
        <f>(F44/BUSpriceschange15[[#This Row],[2007 value]])*100</f>
        <v>-2.0236455908196076</v>
      </c>
    </row>
    <row r="45" spans="1:7">
      <c r="A45" s="7">
        <v>43831</v>
      </c>
      <c r="B45" t="s">
        <v>135</v>
      </c>
      <c r="C45" t="str">
        <f>BUSpriceschange15[[#This Row],[Year]]&amp;"_"&amp;BUSpriceschange15[[#This Row],[Product]]</f>
        <v>43831_Advertising low sort: Econ OCR</v>
      </c>
      <c r="D45" s="10">
        <v>0.20675160000000001</v>
      </c>
      <c r="E45" s="10">
        <f>D32</f>
        <v>0.20385300958143851</v>
      </c>
      <c r="F45" s="10">
        <f>BUSpriceschange15[[#This Row],[Price (pounds)]]-BUSpriceschange15[[#This Row],[2007 value]]</f>
        <v>2.8985904185614975E-3</v>
      </c>
      <c r="G45" s="9">
        <f>(F45/BUSpriceschange15[[#This Row],[2007 value]])*100</f>
        <v>1.4219021953676487</v>
      </c>
    </row>
    <row r="46" spans="1:7">
      <c r="A46" s="7">
        <v>44197</v>
      </c>
      <c r="B46" t="s">
        <v>135</v>
      </c>
      <c r="C46" t="str">
        <f>BUSpriceschange15[[#This Row],[Year]]&amp;"_"&amp;BUSpriceschange15[[#This Row],[Product]]</f>
        <v>44197_Advertising low sort: Econ OCR</v>
      </c>
      <c r="D46" s="10">
        <f>'[1]Business Mail Pricing'!$P33</f>
        <v>0.2142636</v>
      </c>
      <c r="E46" s="10">
        <f>VLOOKUP(42005&amp;"_"&amp;BUSpriceschange15[[#This Row],[Product]],BUSpriceschange15[[Column3]:[Price (pounds)]],2,FALSE)</f>
        <v>0.19523382877146181</v>
      </c>
      <c r="F46" s="10">
        <f>IFERROR(BUSpriceschange15[[#This Row],[Price (pounds)]]/BUSpriceschange15[[#This Row],[2007 value]],0)</f>
        <v>1.0974716899642132</v>
      </c>
      <c r="G46" s="9">
        <f>BUSpriceschange15[[#This Row],[Workings]]-1</f>
        <v>9.7471689964213182E-2</v>
      </c>
    </row>
    <row r="47" spans="1:7">
      <c r="A47" s="7">
        <v>44197</v>
      </c>
      <c r="B47" t="s">
        <v>136</v>
      </c>
      <c r="C47" t="str">
        <f>BUSpriceschange15[[#This Row],[Year]]&amp;"_"&amp;BUSpriceschange15[[#This Row],[Product]]</f>
        <v>44197_Business low sort: 1C OCR</v>
      </c>
      <c r="D47" s="10">
        <f>'[1]Business Mail Pricing'!$P40</f>
        <v>0.69415099999999996</v>
      </c>
      <c r="E47" s="10" t="e">
        <f>VLOOKUP(42005&amp;"_"&amp;BUSpriceschange15[[#This Row],[Product]],BUSpriceschange15[[Column3]:[Price (pounds)]],2,FALSE)</f>
        <v>#N/A</v>
      </c>
      <c r="F47" s="10">
        <f>IFERROR(BUSpriceschange15[[#This Row],[Price (pounds)]]/BUSpriceschange15[[#This Row],[2007 value]],0)</f>
        <v>0</v>
      </c>
      <c r="G47" s="9">
        <f>BUSpriceschange15[[#This Row],[Workings]]-1</f>
        <v>-1</v>
      </c>
    </row>
    <row r="48" spans="1:7">
      <c r="A48" s="7">
        <v>39508</v>
      </c>
      <c r="B48" t="s">
        <v>137</v>
      </c>
      <c r="C48" t="str">
        <f>BUSpriceschange15[[#This Row],[Year]]&amp;"_"&amp;BUSpriceschange15[[#This Row],[Product]]</f>
        <v>39508_Business low sort: 2C OCR</v>
      </c>
      <c r="D48" s="10">
        <v>0.23311903570946679</v>
      </c>
      <c r="E48" s="10">
        <f>BUSpriceschange15[[#This Row],[Price (pounds)]]</f>
        <v>0.23311903570946679</v>
      </c>
      <c r="F48" s="4">
        <f>BUSpriceschange15[[#This Row],[Price (pounds)]]-BUSpriceschange15[[#This Row],[2007 value]]</f>
        <v>0</v>
      </c>
      <c r="G48" s="9">
        <f>(F48/BUSpriceschange15[[#This Row],[2007 value]])*100</f>
        <v>0</v>
      </c>
    </row>
    <row r="49" spans="1:7">
      <c r="A49" s="7">
        <v>39873</v>
      </c>
      <c r="B49" t="s">
        <v>137</v>
      </c>
      <c r="C49" t="str">
        <f>BUSpriceschange15[[#This Row],[Year]]&amp;"_"&amp;BUSpriceschange15[[#This Row],[Product]]</f>
        <v>39873_Business low sort: 2C OCR</v>
      </c>
      <c r="D49" s="10">
        <v>0.23150654110525282</v>
      </c>
      <c r="E49" s="10">
        <f>D48</f>
        <v>0.23311903570946679</v>
      </c>
      <c r="F49" s="10">
        <f>BUSpriceschange15[[#This Row],[Price (pounds)]]-BUSpriceschange15[[#This Row],[2007 value]]</f>
        <v>-1.6124946042139765E-3</v>
      </c>
      <c r="G49" s="9">
        <f>(F49/BUSpriceschange15[[#This Row],[2007 value]])*100</f>
        <v>-0.69170439012265272</v>
      </c>
    </row>
    <row r="50" spans="1:7">
      <c r="A50" s="7">
        <v>40238</v>
      </c>
      <c r="B50" t="s">
        <v>137</v>
      </c>
      <c r="C50" t="str">
        <f>BUSpriceschange15[[#This Row],[Year]]&amp;"_"&amp;BUSpriceschange15[[#This Row],[Product]]</f>
        <v>40238_Business low sort: 2C OCR</v>
      </c>
      <c r="D50" s="10">
        <v>0.22728579585601061</v>
      </c>
      <c r="E50" s="10">
        <f>D48</f>
        <v>0.23311903570946679</v>
      </c>
      <c r="F50" s="10">
        <f>BUSpriceschange15[[#This Row],[Price (pounds)]]-BUSpriceschange15[[#This Row],[2007 value]]</f>
        <v>-5.8332398534561847E-3</v>
      </c>
      <c r="G50" s="9">
        <f>(F50/BUSpriceschange15[[#This Row],[2007 value]])*100</f>
        <v>-2.5022580570065824</v>
      </c>
    </row>
    <row r="51" spans="1:7">
      <c r="A51" s="7">
        <v>40603</v>
      </c>
      <c r="B51" t="s">
        <v>137</v>
      </c>
      <c r="C51" t="str">
        <f>BUSpriceschange15[[#This Row],[Year]]&amp;"_"&amp;BUSpriceschange15[[#This Row],[Product]]</f>
        <v>40603_Business low sort: 2C OCR</v>
      </c>
      <c r="D51" s="10">
        <v>0.24370551337638369</v>
      </c>
      <c r="E51" s="10">
        <f>D48</f>
        <v>0.23311903570946679</v>
      </c>
      <c r="F51" s="10">
        <f>BUSpriceschange15[[#This Row],[Price (pounds)]]-BUSpriceschange15[[#This Row],[2007 value]]</f>
        <v>1.0586477666916894E-2</v>
      </c>
      <c r="G51" s="9">
        <f>(F51/BUSpriceschange15[[#This Row],[2007 value]])*100</f>
        <v>4.5412326087821855</v>
      </c>
    </row>
    <row r="52" spans="1:7">
      <c r="A52" s="7">
        <v>40969</v>
      </c>
      <c r="B52" t="s">
        <v>137</v>
      </c>
      <c r="C52" t="str">
        <f>BUSpriceschange15[[#This Row],[Year]]&amp;"_"&amp;BUSpriceschange15[[#This Row],[Product]]</f>
        <v>40969_Business low sort: 2C OCR</v>
      </c>
      <c r="D52" s="10">
        <v>0.26097470770319259</v>
      </c>
      <c r="E52" s="10">
        <f>D48</f>
        <v>0.23311903570946679</v>
      </c>
      <c r="F52" s="10">
        <f>BUSpriceschange15[[#This Row],[Price (pounds)]]-BUSpriceschange15[[#This Row],[2007 value]]</f>
        <v>2.7855671993725795E-2</v>
      </c>
      <c r="G52" s="9">
        <f>(F52/BUSpriceschange15[[#This Row],[2007 value]])*100</f>
        <v>11.949119431174189</v>
      </c>
    </row>
    <row r="53" spans="1:7">
      <c r="A53" s="7">
        <v>41334</v>
      </c>
      <c r="B53" t="s">
        <v>137</v>
      </c>
      <c r="C53" t="str">
        <f>BUSpriceschange15[[#This Row],[Year]]&amp;"_"&amp;BUSpriceschange15[[#This Row],[Product]]</f>
        <v>41334_Business low sort: 2C OCR</v>
      </c>
      <c r="D53" s="10">
        <v>0.26080980696311612</v>
      </c>
      <c r="E53" s="10">
        <f>D48</f>
        <v>0.23311903570946679</v>
      </c>
      <c r="F53" s="10">
        <f>BUSpriceschange15[[#This Row],[Price (pounds)]]-BUSpriceschange15[[#This Row],[2007 value]]</f>
        <v>2.7690771253649327E-2</v>
      </c>
      <c r="G53" s="9">
        <f>(F53/BUSpriceschange15[[#This Row],[2007 value]])*100</f>
        <v>11.878382719530451</v>
      </c>
    </row>
    <row r="54" spans="1:7">
      <c r="A54" s="7">
        <v>41579</v>
      </c>
      <c r="B54" t="s">
        <v>137</v>
      </c>
      <c r="C54" t="str">
        <f>BUSpriceschange15[[#This Row],[Year]]&amp;"_"&amp;BUSpriceschange15[[#This Row],[Product]]</f>
        <v>41579_Business low sort: 2C OCR</v>
      </c>
      <c r="D54" s="10">
        <v>0.25490078328981713</v>
      </c>
      <c r="E54" s="10">
        <f>D48</f>
        <v>0.23311903570946679</v>
      </c>
      <c r="F54" s="10">
        <f>BUSpriceschange15[[#This Row],[Price (pounds)]]-BUSpriceschange15[[#This Row],[2007 value]]</f>
        <v>2.1781747580350341E-2</v>
      </c>
      <c r="G54" s="9">
        <f>(F54/BUSpriceschange15[[#This Row],[2007 value]])*100</f>
        <v>9.3436160260617456</v>
      </c>
    </row>
    <row r="55" spans="1:7">
      <c r="A55" s="7">
        <v>41699</v>
      </c>
      <c r="B55" t="s">
        <v>137</v>
      </c>
      <c r="C55" t="str">
        <f>BUSpriceschange15[[#This Row],[Year]]&amp;"_"&amp;BUSpriceschange15[[#This Row],[Product]]</f>
        <v>41699_Business low sort: 2C OCR</v>
      </c>
      <c r="D55" s="10">
        <v>0.26436712010443852</v>
      </c>
      <c r="E55" s="10">
        <f>D48</f>
        <v>0.23311903570946679</v>
      </c>
      <c r="F55" s="10">
        <f>BUSpriceschange15[[#This Row],[Price (pounds)]]-BUSpriceschange15[[#This Row],[2007 value]]</f>
        <v>3.1248084394971731E-2</v>
      </c>
      <c r="G55" s="9">
        <f>(F55/BUSpriceschange15[[#This Row],[2007 value]])*100</f>
        <v>13.404346968008143</v>
      </c>
    </row>
    <row r="56" spans="1:7">
      <c r="A56" s="7">
        <v>42005</v>
      </c>
      <c r="B56" t="s">
        <v>137</v>
      </c>
      <c r="C56" t="str">
        <f>BUSpriceschange15[[#This Row],[Year]]&amp;"_"&amp;BUSpriceschange15[[#This Row],[Product]]</f>
        <v>42005_Business low sort: 2C OCR</v>
      </c>
      <c r="D56" s="10">
        <v>0.27348871055175855</v>
      </c>
      <c r="E56" s="10">
        <f>D48</f>
        <v>0.23311903570946679</v>
      </c>
      <c r="F56" s="10">
        <f>BUSpriceschange15[[#This Row],[Price (pounds)]]-BUSpriceschange15[[#This Row],[2007 value]]</f>
        <v>4.0369674842291758E-2</v>
      </c>
      <c r="G56" s="9">
        <f>(F56/BUSpriceschange15[[#This Row],[2007 value]])*100</f>
        <v>17.317193647199176</v>
      </c>
    </row>
    <row r="57" spans="1:7">
      <c r="A57" s="7">
        <v>42370</v>
      </c>
      <c r="B57" t="s">
        <v>137</v>
      </c>
      <c r="C57" t="str">
        <f>BUSpriceschange15[[#This Row],[Year]]&amp;"_"&amp;BUSpriceschange15[[#This Row],[Product]]</f>
        <v>42370_Business low sort: 2C OCR</v>
      </c>
      <c r="D57" s="10">
        <v>0.27985612109732738</v>
      </c>
      <c r="E57" s="10">
        <f>D48</f>
        <v>0.23311903570946679</v>
      </c>
      <c r="F57" s="10">
        <f>BUSpriceschange15[[#This Row],[Price (pounds)]]-BUSpriceschange15[[#This Row],[2007 value]]</f>
        <v>4.6737085387860589E-2</v>
      </c>
      <c r="G57" s="9">
        <f>(F57/BUSpriceschange15[[#This Row],[2007 value]])*100</f>
        <v>20.04859244789791</v>
      </c>
    </row>
    <row r="58" spans="1:7">
      <c r="A58" s="7">
        <v>42736</v>
      </c>
      <c r="B58" t="s">
        <v>137</v>
      </c>
      <c r="C58" t="str">
        <f>BUSpriceschange15[[#This Row],[Year]]&amp;"_"&amp;BUSpriceschange15[[#This Row],[Product]]</f>
        <v>42736_Business low sort: 2C OCR</v>
      </c>
      <c r="D58" s="10">
        <v>0.28544512159268709</v>
      </c>
      <c r="E58" s="10">
        <f>D48</f>
        <v>0.23311903570946679</v>
      </c>
      <c r="F58" s="10">
        <f>BUSpriceschange15[[#This Row],[Price (pounds)]]-BUSpriceschange15[[#This Row],[2007 value]]</f>
        <v>5.2326085883220297E-2</v>
      </c>
      <c r="G58" s="9">
        <f>(F58/BUSpriceschange15[[#This Row],[2007 value]])*100</f>
        <v>22.446080271382733</v>
      </c>
    </row>
    <row r="59" spans="1:7">
      <c r="A59" s="7">
        <v>43101</v>
      </c>
      <c r="B59" t="s">
        <v>137</v>
      </c>
      <c r="C59" t="str">
        <f>BUSpriceschange15[[#This Row],[Year]]&amp;"_"&amp;BUSpriceschange15[[#This Row],[Product]]</f>
        <v>43101_Business low sort: 2C OCR</v>
      </c>
      <c r="D59" s="10">
        <v>0.29569064231939762</v>
      </c>
      <c r="E59" s="10">
        <f>D48</f>
        <v>0.23311903570946679</v>
      </c>
      <c r="F59" s="10">
        <f>BUSpriceschange15[[#This Row],[Price (pounds)]]-BUSpriceschange15[[#This Row],[2007 value]]</f>
        <v>6.257160660993083E-2</v>
      </c>
      <c r="G59" s="9">
        <f>(F59/BUSpriceschange15[[#This Row],[2007 value]])*100</f>
        <v>26.841054150512615</v>
      </c>
    </row>
    <row r="60" spans="1:7">
      <c r="A60" s="7">
        <v>43466</v>
      </c>
      <c r="B60" t="s">
        <v>137</v>
      </c>
      <c r="C60" t="str">
        <f>BUSpriceschange15[[#This Row],[Year]]&amp;"_"&amp;BUSpriceschange15[[#This Row],[Product]]</f>
        <v>43466_Business low sort: 2C OCR</v>
      </c>
      <c r="D60" s="10">
        <v>0.31511631400375928</v>
      </c>
      <c r="E60" s="10">
        <f>D48</f>
        <v>0.23311903570946679</v>
      </c>
      <c r="F60" s="10">
        <f>BUSpriceschange15[[#This Row],[Price (pounds)]]-BUSpriceschange15[[#This Row],[2007 value]]</f>
        <v>8.1997278294292486E-2</v>
      </c>
      <c r="G60" s="9">
        <f>(F60/BUSpriceschange15[[#This Row],[2007 value]])*100</f>
        <v>35.173995141471252</v>
      </c>
    </row>
    <row r="61" spans="1:7">
      <c r="A61" s="7">
        <v>43831</v>
      </c>
      <c r="B61" t="s">
        <v>137</v>
      </c>
      <c r="C61" t="str">
        <f>BUSpriceschange15[[#This Row],[Year]]&amp;"_"&amp;BUSpriceschange15[[#This Row],[Product]]</f>
        <v>43831_Business low sort: 2C OCR</v>
      </c>
      <c r="D61" s="10">
        <v>0.33320660000000002</v>
      </c>
      <c r="E61" s="10">
        <f>D48</f>
        <v>0.23311903570946679</v>
      </c>
      <c r="F61" s="10">
        <f>BUSpriceschange15[[#This Row],[Price (pounds)]]-BUSpriceschange15[[#This Row],[2007 value]]</f>
        <v>0.10008756429053323</v>
      </c>
      <c r="G61" s="9">
        <f>(F61/BUSpriceschange15[[#This Row],[2007 value]])*100</f>
        <v>42.934101878866322</v>
      </c>
    </row>
    <row r="62" spans="1:7">
      <c r="A62" s="7">
        <v>44197</v>
      </c>
      <c r="B62" t="s">
        <v>137</v>
      </c>
      <c r="C62" t="str">
        <f>BUSpriceschange15[[#This Row],[Year]]&amp;"_"&amp;BUSpriceschange15[[#This Row],[Product]]</f>
        <v>44197_Business low sort: 2C OCR</v>
      </c>
      <c r="D62" s="10">
        <f>'[1]Business Mail Pricing'!$P41</f>
        <v>0.3817681</v>
      </c>
      <c r="E62" s="10">
        <f>VLOOKUP(42005&amp;"_"&amp;BUSpriceschange15[[#This Row],[Product]],BUSpriceschange15[[Column3]:[Price (pounds)]],2,FALSE)</f>
        <v>0.27348871055175855</v>
      </c>
      <c r="F62" s="10">
        <f>IFERROR(BUSpriceschange15[[#This Row],[Price (pounds)]]/BUSpriceschange15[[#This Row],[2007 value]],0)</f>
        <v>1.3959190462735729</v>
      </c>
      <c r="G62" s="9">
        <f>BUSpriceschange15[[#This Row],[Workings]]-1</f>
        <v>0.39591904627357288</v>
      </c>
    </row>
    <row r="63" spans="1:7">
      <c r="A63" s="7">
        <v>39508</v>
      </c>
      <c r="B63" t="s">
        <v>138</v>
      </c>
      <c r="C63" t="str">
        <f>BUSpriceschange15[[#This Row],[Year]]&amp;"_"&amp;BUSpriceschange15[[#This Row],[Product]]</f>
        <v>39508_Business low sort: Econ OCR</v>
      </c>
      <c r="D63" s="10">
        <v>0.20385300958143851</v>
      </c>
      <c r="E63" s="10">
        <f>BUSpriceschange15[[#This Row],[Price (pounds)]]</f>
        <v>0.20385300958143851</v>
      </c>
      <c r="F63" s="4">
        <f>BUSpriceschange15[[#This Row],[Price (pounds)]]-BUSpriceschange15[[#This Row],[2007 value]]</f>
        <v>0</v>
      </c>
      <c r="G63" s="9">
        <f>(F63/BUSpriceschange15[[#This Row],[2007 value]])*100</f>
        <v>0</v>
      </c>
    </row>
    <row r="64" spans="1:7">
      <c r="A64" s="7">
        <v>39873</v>
      </c>
      <c r="B64" t="s">
        <v>138</v>
      </c>
      <c r="C64" t="str">
        <f>BUSpriceschange15[[#This Row],[Year]]&amp;"_"&amp;BUSpriceschange15[[#This Row],[Product]]</f>
        <v>39873_Business low sort: Econ OCR</v>
      </c>
      <c r="D64" s="10">
        <v>0.20816134368287439</v>
      </c>
      <c r="E64" s="10">
        <f>D63</f>
        <v>0.20385300958143851</v>
      </c>
      <c r="F64" s="10">
        <f>BUSpriceschange15[[#This Row],[Price (pounds)]]-BUSpriceschange15[[#This Row],[2007 value]]</f>
        <v>4.3083341014358845E-3</v>
      </c>
      <c r="G64" s="9">
        <f>(F64/BUSpriceschange15[[#This Row],[2007 value]])*100</f>
        <v>2.1134513099816274</v>
      </c>
    </row>
    <row r="65" spans="1:7">
      <c r="A65" s="7">
        <v>40238</v>
      </c>
      <c r="B65" t="s">
        <v>138</v>
      </c>
      <c r="C65" t="str">
        <f>BUSpriceschange15[[#This Row],[Year]]&amp;"_"&amp;BUSpriceschange15[[#This Row],[Product]]</f>
        <v>40238_Business low sort: Econ OCR</v>
      </c>
      <c r="D65" s="10">
        <v>0.19863632579012691</v>
      </c>
      <c r="E65" s="10">
        <f>D63</f>
        <v>0.20385300958143851</v>
      </c>
      <c r="F65" s="10">
        <f>BUSpriceschange15[[#This Row],[Price (pounds)]]-BUSpriceschange15[[#This Row],[2007 value]]</f>
        <v>-5.2166837913115993E-3</v>
      </c>
      <c r="G65" s="9">
        <f>(F65/BUSpriceschange15[[#This Row],[2007 value]])*100</f>
        <v>-2.5590418321626762</v>
      </c>
    </row>
    <row r="66" spans="1:7">
      <c r="A66" s="7">
        <v>40603</v>
      </c>
      <c r="B66" t="s">
        <v>138</v>
      </c>
      <c r="C66" t="str">
        <f>BUSpriceschange15[[#This Row],[Year]]&amp;"_"&amp;BUSpriceschange15[[#This Row],[Product]]</f>
        <v>40603_Business low sort: Econ OCR</v>
      </c>
      <c r="D66" s="10">
        <v>0.21730932509225084</v>
      </c>
      <c r="E66" s="10">
        <f>D63</f>
        <v>0.20385300958143851</v>
      </c>
      <c r="F66" s="10">
        <f>BUSpriceschange15[[#This Row],[Price (pounds)]]-BUSpriceschange15[[#This Row],[2007 value]]</f>
        <v>1.3456315510812333E-2</v>
      </c>
      <c r="G66" s="9">
        <f>(F66/BUSpriceschange15[[#This Row],[2007 value]])*100</f>
        <v>6.6009893787889284</v>
      </c>
    </row>
    <row r="67" spans="1:7">
      <c r="A67" s="7">
        <v>40969</v>
      </c>
      <c r="B67" t="s">
        <v>138</v>
      </c>
      <c r="C67" t="str">
        <f>BUSpriceschange15[[#This Row],[Year]]&amp;"_"&amp;BUSpriceschange15[[#This Row],[Product]]</f>
        <v>40969_Business low sort: Econ OCR</v>
      </c>
      <c r="D67" s="10">
        <v>0.23462221278853795</v>
      </c>
      <c r="E67" s="10">
        <f>D63</f>
        <v>0.20385300958143851</v>
      </c>
      <c r="F67" s="10">
        <f>BUSpriceschange15[[#This Row],[Price (pounds)]]-BUSpriceschange15[[#This Row],[2007 value]]</f>
        <v>3.0769203207099444E-2</v>
      </c>
      <c r="G67" s="9">
        <f>(F67/BUSpriceschange15[[#This Row],[2007 value]])*100</f>
        <v>15.093818467667639</v>
      </c>
    </row>
    <row r="68" spans="1:7">
      <c r="A68" s="7">
        <v>41334</v>
      </c>
      <c r="B68" t="s">
        <v>138</v>
      </c>
      <c r="C68" t="str">
        <f>BUSpriceschange15[[#This Row],[Year]]&amp;"_"&amp;BUSpriceschange15[[#This Row],[Product]]</f>
        <v>41334_Business low sort: Econ OCR</v>
      </c>
      <c r="D68" s="10">
        <v>0.23506463288521193</v>
      </c>
      <c r="E68" s="10">
        <f>D63</f>
        <v>0.20385300958143851</v>
      </c>
      <c r="F68" s="10">
        <f>BUSpriceschange15[[#This Row],[Price (pounds)]]-BUSpriceschange15[[#This Row],[2007 value]]</f>
        <v>3.1211623303773417E-2</v>
      </c>
      <c r="G68" s="9">
        <f>(F68/BUSpriceschange15[[#This Row],[2007 value]])*100</f>
        <v>15.310847442408985</v>
      </c>
    </row>
    <row r="69" spans="1:7">
      <c r="A69" s="7">
        <v>41579</v>
      </c>
      <c r="B69" t="s">
        <v>138</v>
      </c>
      <c r="C69" t="str">
        <f>BUSpriceschange15[[#This Row],[Year]]&amp;"_"&amp;BUSpriceschange15[[#This Row],[Product]]</f>
        <v>41579_Business low sort: Econ OCR</v>
      </c>
      <c r="D69" s="10">
        <v>0.22973890339425579</v>
      </c>
      <c r="E69" s="10">
        <f>D63</f>
        <v>0.20385300958143851</v>
      </c>
      <c r="F69" s="10">
        <f>BUSpriceschange15[[#This Row],[Price (pounds)]]-BUSpriceschange15[[#This Row],[2007 value]]</f>
        <v>2.5885893812817279E-2</v>
      </c>
      <c r="G69" s="9">
        <f>(F69/BUSpriceschange15[[#This Row],[2007 value]])*100</f>
        <v>12.698313292488312</v>
      </c>
    </row>
    <row r="70" spans="1:7">
      <c r="A70" s="7">
        <v>41699</v>
      </c>
      <c r="B70" t="s">
        <v>138</v>
      </c>
      <c r="C70" t="str">
        <f>BUSpriceschange15[[#This Row],[Year]]&amp;"_"&amp;BUSpriceschange15[[#This Row],[Product]]</f>
        <v>41699_Business low sort: Econ OCR</v>
      </c>
      <c r="D70" s="10">
        <v>0.23849633159268918</v>
      </c>
      <c r="E70" s="10">
        <f>D63</f>
        <v>0.20385300958143851</v>
      </c>
      <c r="F70" s="10">
        <f>BUSpriceschange15[[#This Row],[Price (pounds)]]-BUSpriceschange15[[#This Row],[2007 value]]</f>
        <v>3.4643322011250671E-2</v>
      </c>
      <c r="G70" s="9">
        <f>(F70/BUSpriceschange15[[#This Row],[2007 value]])*100</f>
        <v>16.994265663471008</v>
      </c>
    </row>
    <row r="71" spans="1:7">
      <c r="A71" s="7">
        <v>42005</v>
      </c>
      <c r="B71" t="s">
        <v>138</v>
      </c>
      <c r="C71" t="str">
        <f>BUSpriceschange15[[#This Row],[Year]]&amp;"_"&amp;BUSpriceschange15[[#This Row],[Product]]</f>
        <v>42005_Business low sort: Econ OCR</v>
      </c>
      <c r="D71" s="10">
        <v>0.24686591571928643</v>
      </c>
      <c r="E71" s="10">
        <f>D63</f>
        <v>0.20385300958143851</v>
      </c>
      <c r="F71" s="10">
        <f>BUSpriceschange15[[#This Row],[Price (pounds)]]-BUSpriceschange15[[#This Row],[2007 value]]</f>
        <v>4.3012906137847917E-2</v>
      </c>
      <c r="G71" s="9">
        <f>(F71/BUSpriceschange15[[#This Row],[2007 value]])*100</f>
        <v>21.099961303570758</v>
      </c>
    </row>
    <row r="72" spans="1:7">
      <c r="A72" s="7">
        <v>42370</v>
      </c>
      <c r="B72" t="s">
        <v>138</v>
      </c>
      <c r="C72" t="str">
        <f>BUSpriceschange15[[#This Row],[Year]]&amp;"_"&amp;BUSpriceschange15[[#This Row],[Product]]</f>
        <v>42370_Business low sort: Econ OCR</v>
      </c>
      <c r="D72" s="10">
        <v>0.25308727473149606</v>
      </c>
      <c r="E72" s="10">
        <f>D63</f>
        <v>0.20385300958143851</v>
      </c>
      <c r="F72" s="10">
        <f>BUSpriceschange15[[#This Row],[Price (pounds)]]-BUSpriceschange15[[#This Row],[2007 value]]</f>
        <v>4.9234265150057549E-2</v>
      </c>
      <c r="G72" s="9">
        <f>(F72/BUSpriceschange15[[#This Row],[2007 value]])*100</f>
        <v>24.151846102810978</v>
      </c>
    </row>
    <row r="73" spans="1:7">
      <c r="A73" s="7">
        <v>42736</v>
      </c>
      <c r="B73" t="s">
        <v>138</v>
      </c>
      <c r="C73" t="str">
        <f>BUSpriceschange15[[#This Row],[Year]]&amp;"_"&amp;BUSpriceschange15[[#This Row],[Product]]</f>
        <v>42736_Business low sort: Econ OCR</v>
      </c>
      <c r="D73" s="10">
        <v>0.25810671558099313</v>
      </c>
      <c r="E73" s="10">
        <f>D63</f>
        <v>0.20385300958143851</v>
      </c>
      <c r="F73" s="10">
        <f>BUSpriceschange15[[#This Row],[Price (pounds)]]-BUSpriceschange15[[#This Row],[2007 value]]</f>
        <v>5.4253705999554619E-2</v>
      </c>
      <c r="G73" s="9">
        <f>(F73/BUSpriceschange15[[#This Row],[2007 value]])*100</f>
        <v>26.614130500673561</v>
      </c>
    </row>
    <row r="74" spans="1:7">
      <c r="A74" s="7">
        <v>43101</v>
      </c>
      <c r="B74" t="s">
        <v>138</v>
      </c>
      <c r="C74" t="str">
        <f>BUSpriceschange15[[#This Row],[Year]]&amp;"_"&amp;BUSpriceschange15[[#This Row],[Product]]</f>
        <v>43101_Business low sort: Econ OCR</v>
      </c>
      <c r="D74" s="10">
        <v>0.26767784462598099</v>
      </c>
      <c r="E74" s="10">
        <f>D63</f>
        <v>0.20385300958143851</v>
      </c>
      <c r="F74" s="10">
        <f>BUSpriceschange15[[#This Row],[Price (pounds)]]-BUSpriceschange15[[#This Row],[2007 value]]</f>
        <v>6.3824835044542477E-2</v>
      </c>
      <c r="G74" s="9">
        <f>(F74/BUSpriceschange15[[#This Row],[2007 value]])*100</f>
        <v>31.30924344732065</v>
      </c>
    </row>
    <row r="75" spans="1:7">
      <c r="A75" s="7">
        <v>43466</v>
      </c>
      <c r="B75" t="s">
        <v>138</v>
      </c>
      <c r="C75" t="str">
        <f>BUSpriceschange15[[#This Row],[Year]]&amp;"_"&amp;BUSpriceschange15[[#This Row],[Product]]</f>
        <v>43466_Business low sort: Econ OCR</v>
      </c>
      <c r="D75" s="10">
        <v>0.31092296672932318</v>
      </c>
      <c r="E75" s="10">
        <f>D63</f>
        <v>0.20385300958143851</v>
      </c>
      <c r="F75" s="10">
        <f>BUSpriceschange15[[#This Row],[Price (pounds)]]-BUSpriceschange15[[#This Row],[2007 value]]</f>
        <v>0.10706995714788467</v>
      </c>
      <c r="G75" s="9">
        <f>(F75/BUSpriceschange15[[#This Row],[2007 value]])*100</f>
        <v>52.523118185856667</v>
      </c>
    </row>
    <row r="76" spans="1:7">
      <c r="A76" s="7">
        <v>43831</v>
      </c>
      <c r="B76" t="s">
        <v>138</v>
      </c>
      <c r="C76" t="str">
        <f>BUSpriceschange15[[#This Row],[Year]]&amp;"_"&amp;BUSpriceschange15[[#This Row],[Product]]</f>
        <v>43831_Business low sort: Econ OCR</v>
      </c>
      <c r="D76" s="10">
        <v>0.3051024</v>
      </c>
      <c r="E76" s="10">
        <f>D63</f>
        <v>0.20385300958143851</v>
      </c>
      <c r="F76" s="10">
        <f>BUSpriceschange15[[#This Row],[Price (pounds)]]-BUSpriceschange15[[#This Row],[2007 value]]</f>
        <v>0.10124939041856149</v>
      </c>
      <c r="G76" s="9">
        <f>(F76/BUSpriceschange15[[#This Row],[2007 value]])*100</f>
        <v>49.667841856469003</v>
      </c>
    </row>
    <row r="77" spans="1:7">
      <c r="A77" s="7">
        <v>44197</v>
      </c>
      <c r="B77" t="s">
        <v>138</v>
      </c>
      <c r="C77" t="str">
        <f>BUSpriceschange15[[#This Row],[Year]]&amp;"_"&amp;BUSpriceschange15[[#This Row],[Product]]</f>
        <v>44197_Business low sort: Econ OCR</v>
      </c>
      <c r="D77" s="10">
        <f>'[1]Business Mail Pricing'!$P42</f>
        <v>0.34487410000000002</v>
      </c>
      <c r="E77" s="10">
        <f>VLOOKUP(42005&amp;"_"&amp;BUSpriceschange15[[#This Row],[Product]],BUSpriceschange15[[Column3]:[Price (pounds)]],2,FALSE)</f>
        <v>0.24686591571928643</v>
      </c>
      <c r="F77" s="10">
        <f>IFERROR(BUSpriceschange15[[#This Row],[Price (pounds)]]/BUSpriceschange15[[#This Row],[2007 value]],0)</f>
        <v>1.3970097856366677</v>
      </c>
      <c r="G77" s="9">
        <f>BUSpriceschange15[[#This Row],[Workings]]-1</f>
        <v>0.39700978563666767</v>
      </c>
    </row>
    <row r="78" spans="1:7">
      <c r="A78" s="7">
        <v>39508</v>
      </c>
      <c r="B78" t="s">
        <v>139</v>
      </c>
      <c r="C78" t="str">
        <f>BUSpriceschange15[[#This Row],[Year]]&amp;"_"&amp;BUSpriceschange15[[#This Row],[Product]]</f>
        <v>39508_Unsorted Advanced: 1C</v>
      </c>
      <c r="D78" s="10">
        <v>0.37176918637796325</v>
      </c>
      <c r="E78" s="10">
        <f>BUSpriceschange15[[#This Row],[Price (pounds)]]</f>
        <v>0.37176918637796325</v>
      </c>
      <c r="F78" s="4">
        <f>BUSpriceschange15[[#This Row],[Price (pounds)]]-BUSpriceschange15[[#This Row],[2007 value]]</f>
        <v>0</v>
      </c>
      <c r="G78" s="9">
        <f>(F78/BUSpriceschange15[[#This Row],[2007 value]])*100</f>
        <v>0</v>
      </c>
    </row>
    <row r="79" spans="1:7">
      <c r="A79" s="7">
        <v>39873</v>
      </c>
      <c r="B79" t="s">
        <v>139</v>
      </c>
      <c r="C79" t="str">
        <f>BUSpriceschange15[[#This Row],[Year]]&amp;"_"&amp;BUSpriceschange15[[#This Row],[Product]]</f>
        <v>39873_Unsorted Advanced: 1C</v>
      </c>
      <c r="D79" s="10">
        <v>0.37511729789103676</v>
      </c>
      <c r="E79" s="10">
        <f>D78</f>
        <v>0.37176918637796325</v>
      </c>
      <c r="F79" s="10">
        <f>BUSpriceschange15[[#This Row],[Price (pounds)]]-BUSpriceschange15[[#This Row],[2007 value]]</f>
        <v>3.3481115130735151E-3</v>
      </c>
      <c r="G79" s="9">
        <f>(F79/BUSpriceschange15[[#This Row],[2007 value]])*100</f>
        <v>0.90058876199320625</v>
      </c>
    </row>
    <row r="80" spans="1:7">
      <c r="A80" s="7">
        <v>40238</v>
      </c>
      <c r="B80" t="s">
        <v>139</v>
      </c>
      <c r="C80" t="str">
        <f>BUSpriceschange15[[#This Row],[Year]]&amp;"_"&amp;BUSpriceschange15[[#This Row],[Product]]</f>
        <v>40238_Unsorted Advanced: 1C</v>
      </c>
      <c r="D80" s="10">
        <v>0.36684344170724703</v>
      </c>
      <c r="E80" s="10">
        <f>D78</f>
        <v>0.37176918637796325</v>
      </c>
      <c r="F80" s="10">
        <f>BUSpriceschange15[[#This Row],[Price (pounds)]]-BUSpriceschange15[[#This Row],[2007 value]]</f>
        <v>-4.9257446707162145E-3</v>
      </c>
      <c r="G80" s="9">
        <f>(F80/BUSpriceschange15[[#This Row],[2007 value]])*100</f>
        <v>-1.3249469970080849</v>
      </c>
    </row>
    <row r="81" spans="1:7">
      <c r="A81" s="7">
        <v>40603</v>
      </c>
      <c r="B81" t="s">
        <v>139</v>
      </c>
      <c r="C81" t="str">
        <f>BUSpriceschange15[[#This Row],[Year]]&amp;"_"&amp;BUSpriceschange15[[#This Row],[Product]]</f>
        <v>40603_Unsorted Advanced: 1C</v>
      </c>
      <c r="D81" s="10">
        <v>0.38571578413284124</v>
      </c>
      <c r="E81" s="10">
        <f>D78</f>
        <v>0.37176918637796325</v>
      </c>
      <c r="F81" s="10">
        <f>BUSpriceschange15[[#This Row],[Price (pounds)]]-BUSpriceschange15[[#This Row],[2007 value]]</f>
        <v>1.3946597754877998E-2</v>
      </c>
      <c r="G81" s="9">
        <f>(F81/BUSpriceschange15[[#This Row],[2007 value]])*100</f>
        <v>3.7514130449474736</v>
      </c>
    </row>
    <row r="82" spans="1:7">
      <c r="A82" s="7">
        <v>40969</v>
      </c>
      <c r="B82" t="s">
        <v>139</v>
      </c>
      <c r="C82" t="str">
        <f>BUSpriceschange15[[#This Row],[Year]]&amp;"_"&amp;BUSpriceschange15[[#This Row],[Product]]</f>
        <v>40969_Unsorted Advanced: 1C</v>
      </c>
      <c r="D82" s="10">
        <v>0.41866463695056144</v>
      </c>
      <c r="E82" s="10">
        <f>D78</f>
        <v>0.37176918637796325</v>
      </c>
      <c r="F82" s="10">
        <f>BUSpriceschange15[[#This Row],[Price (pounds)]]-BUSpriceschange15[[#This Row],[2007 value]]</f>
        <v>4.6895450572598196E-2</v>
      </c>
      <c r="G82" s="9">
        <f>(F82/BUSpriceschange15[[#This Row],[2007 value]])*100</f>
        <v>12.614130565657323</v>
      </c>
    </row>
    <row r="83" spans="1:7">
      <c r="A83" s="7">
        <v>41334</v>
      </c>
      <c r="B83" t="s">
        <v>139</v>
      </c>
      <c r="C83" t="str">
        <f>BUSpriceschange15[[#This Row],[Year]]&amp;"_"&amp;BUSpriceschange15[[#This Row],[Product]]</f>
        <v>41334_Unsorted Advanced: 1C</v>
      </c>
      <c r="D83" s="10">
        <v>0.43430989314029633</v>
      </c>
      <c r="E83" s="10">
        <f>D78</f>
        <v>0.37176918637796325</v>
      </c>
      <c r="F83" s="10">
        <f>BUSpriceschange15[[#This Row],[Price (pounds)]]-BUSpriceschange15[[#This Row],[2007 value]]</f>
        <v>6.2540706762333087E-2</v>
      </c>
      <c r="G83" s="9">
        <f>(F83/BUSpriceschange15[[#This Row],[2007 value]])*100</f>
        <v>16.822455720886559</v>
      </c>
    </row>
    <row r="84" spans="1:7">
      <c r="A84" s="7">
        <v>41579</v>
      </c>
      <c r="B84" t="s">
        <v>139</v>
      </c>
      <c r="C84" t="str">
        <f>BUSpriceschange15[[#This Row],[Year]]&amp;"_"&amp;BUSpriceschange15[[#This Row],[Product]]</f>
        <v>41579_Unsorted Advanced: 1C</v>
      </c>
      <c r="D84" s="10">
        <v>0.4244699738903393</v>
      </c>
      <c r="E84" s="10">
        <f>D78</f>
        <v>0.37176918637796325</v>
      </c>
      <c r="F84" s="10">
        <f>BUSpriceschange15[[#This Row],[Price (pounds)]]-BUSpriceschange15[[#This Row],[2007 value]]</f>
        <v>5.2700787512376057E-2</v>
      </c>
      <c r="G84" s="9">
        <f>(F84/BUSpriceschange15[[#This Row],[2007 value]])*100</f>
        <v>14.175673897512642</v>
      </c>
    </row>
    <row r="85" spans="1:7">
      <c r="A85" s="7">
        <v>41699</v>
      </c>
      <c r="B85" t="s">
        <v>139</v>
      </c>
      <c r="C85" t="str">
        <f>BUSpriceschange15[[#This Row],[Year]]&amp;"_"&amp;BUSpriceschange15[[#This Row],[Product]]</f>
        <v>41699_Unsorted Advanced: 1C</v>
      </c>
      <c r="D85" s="10">
        <v>0.44222003916449071</v>
      </c>
      <c r="E85" s="10">
        <f>D78</f>
        <v>0.37176918637796325</v>
      </c>
      <c r="F85" s="10">
        <f>BUSpriceschange15[[#This Row],[Price (pounds)]]-BUSpriceschange15[[#This Row],[2007 value]]</f>
        <v>7.0450852786527463E-2</v>
      </c>
      <c r="G85" s="9">
        <f>(F85/BUSpriceschange15[[#This Row],[2007 value]])*100</f>
        <v>18.950159229953723</v>
      </c>
    </row>
    <row r="86" spans="1:7">
      <c r="A86" s="7">
        <v>42005</v>
      </c>
      <c r="B86" t="s">
        <v>139</v>
      </c>
      <c r="C86" t="str">
        <f>BUSpriceschange15[[#This Row],[Year]]&amp;"_"&amp;BUSpriceschange15[[#This Row],[Product]]</f>
        <v>42005_Unsorted Advanced: 1C</v>
      </c>
      <c r="D86" s="10">
        <v>0.44862823803967317</v>
      </c>
      <c r="E86" s="10">
        <f>D78</f>
        <v>0.37176918637796325</v>
      </c>
      <c r="F86" s="10">
        <f>BUSpriceschange15[[#This Row],[Price (pounds)]]-BUSpriceschange15[[#This Row],[2007 value]]</f>
        <v>7.6859051661709921E-2</v>
      </c>
      <c r="G86" s="9">
        <f>(F86/BUSpriceschange15[[#This Row],[2007 value]])*100</f>
        <v>20.673862836919014</v>
      </c>
    </row>
    <row r="87" spans="1:7">
      <c r="A87" s="7">
        <v>42370</v>
      </c>
      <c r="B87" t="s">
        <v>139</v>
      </c>
      <c r="C87" t="str">
        <f>BUSpriceschange15[[#This Row],[Year]]&amp;"_"&amp;BUSpriceschange15[[#This Row],[Product]]</f>
        <v>42370_Unsorted Advanced: 1C</v>
      </c>
      <c r="D87" s="10">
        <v>0.44987294979602022</v>
      </c>
      <c r="E87" s="10">
        <f>D78</f>
        <v>0.37176918637796325</v>
      </c>
      <c r="F87" s="10">
        <f>BUSpriceschange15[[#This Row],[Price (pounds)]]-BUSpriceschange15[[#This Row],[2007 value]]</f>
        <v>7.8103763418056971E-2</v>
      </c>
      <c r="G87" s="9">
        <f>(F87/BUSpriceschange15[[#This Row],[2007 value]])*100</f>
        <v>21.008670508440662</v>
      </c>
    </row>
    <row r="88" spans="1:7">
      <c r="A88" s="7">
        <v>42736</v>
      </c>
      <c r="B88" t="s">
        <v>139</v>
      </c>
      <c r="C88" t="str">
        <f>BUSpriceschange15[[#This Row],[Year]]&amp;"_"&amp;BUSpriceschange15[[#This Row],[Product]]</f>
        <v>42736_Unsorted Advanced: 1C</v>
      </c>
      <c r="D88" s="10">
        <v>0.4578186609569298</v>
      </c>
      <c r="E88" s="10">
        <f>D78</f>
        <v>0.37176918637796325</v>
      </c>
      <c r="F88" s="10">
        <f>BUSpriceschange15[[#This Row],[Price (pounds)]]-BUSpriceschange15[[#This Row],[2007 value]]</f>
        <v>8.6049474578966556E-2</v>
      </c>
      <c r="G88" s="9">
        <f>(F88/BUSpriceschange15[[#This Row],[2007 value]])*100</f>
        <v>23.14594047379801</v>
      </c>
    </row>
    <row r="89" spans="1:7">
      <c r="A89" s="7">
        <v>43101</v>
      </c>
      <c r="B89" t="s">
        <v>139</v>
      </c>
      <c r="C89" t="str">
        <f>BUSpriceschange15[[#This Row],[Year]]&amp;"_"&amp;BUSpriceschange15[[#This Row],[Product]]</f>
        <v>43101_Unsorted Advanced: 1C</v>
      </c>
      <c r="D89" s="10">
        <v>0.45772545250680746</v>
      </c>
      <c r="E89" s="10">
        <f>D78</f>
        <v>0.37176918637796325</v>
      </c>
      <c r="F89" s="10">
        <f>BUSpriceschange15[[#This Row],[Price (pounds)]]-BUSpriceschange15[[#This Row],[2007 value]]</f>
        <v>8.5956266128844216E-2</v>
      </c>
      <c r="G89" s="9">
        <f>(F89/BUSpriceschange15[[#This Row],[2007 value]])*100</f>
        <v>23.120868882730864</v>
      </c>
    </row>
    <row r="90" spans="1:7">
      <c r="A90" s="7">
        <v>43466</v>
      </c>
      <c r="B90" t="s">
        <v>139</v>
      </c>
      <c r="C90" t="str">
        <f>BUSpriceschange15[[#This Row],[Year]]&amp;"_"&amp;BUSpriceschange15[[#This Row],[Product]]</f>
        <v>43466_Unsorted Advanced: 1C</v>
      </c>
      <c r="D90" s="10">
        <v>0.46897940162907259</v>
      </c>
      <c r="E90" s="10">
        <f>D78</f>
        <v>0.37176918637796325</v>
      </c>
      <c r="F90" s="10">
        <f>BUSpriceschange15[[#This Row],[Price (pounds)]]-BUSpriceschange15[[#This Row],[2007 value]]</f>
        <v>9.7210215251109344E-2</v>
      </c>
      <c r="G90" s="9">
        <f>(F90/BUSpriceschange15[[#This Row],[2007 value]])*100</f>
        <v>26.148002258659357</v>
      </c>
    </row>
    <row r="91" spans="1:7">
      <c r="A91" s="7">
        <v>43831</v>
      </c>
      <c r="B91" t="s">
        <v>139</v>
      </c>
      <c r="C91" t="str">
        <f>BUSpriceschange15[[#This Row],[Year]]&amp;"_"&amp;BUSpriceschange15[[#This Row],[Product]]</f>
        <v>43831_Unsorted Advanced: 1C</v>
      </c>
      <c r="D91" s="10">
        <v>0.47199999999999998</v>
      </c>
      <c r="E91" s="10">
        <f>D78</f>
        <v>0.37176918637796325</v>
      </c>
      <c r="F91" s="10">
        <f>BUSpriceschange15[[#This Row],[Price (pounds)]]-BUSpriceschange15[[#This Row],[2007 value]]</f>
        <v>0.10023081362203673</v>
      </c>
      <c r="G91" s="9">
        <f>(F91/BUSpriceschange15[[#This Row],[2007 value]])*100</f>
        <v>26.960495192879158</v>
      </c>
    </row>
    <row r="92" spans="1:7">
      <c r="A92" s="7">
        <v>44197</v>
      </c>
      <c r="B92" t="s">
        <v>139</v>
      </c>
      <c r="C92" t="str">
        <f>BUSpriceschange15[[#This Row],[Year]]&amp;"_"&amp;BUSpriceschange15[[#This Row],[Product]]</f>
        <v>44197_Unsorted Advanced: 1C</v>
      </c>
      <c r="D92" s="10">
        <f>'[1]Business Mail Pricing'!$P36</f>
        <v>0.47399999999999998</v>
      </c>
      <c r="E92" s="10">
        <f>VLOOKUP(42005&amp;"_"&amp;BUSpriceschange15[[#This Row],[Product]],BUSpriceschange15[[Column3]:[Price (pounds)]],2,FALSE)</f>
        <v>0.44862823803967317</v>
      </c>
      <c r="F92" s="10">
        <f>IFERROR(BUSpriceschange15[[#This Row],[Price (pounds)]]/BUSpriceschange15[[#This Row],[2007 value]],0)</f>
        <v>1.056554090467402</v>
      </c>
      <c r="G92" s="9">
        <f>BUSpriceschange15[[#This Row],[Workings]]-1</f>
        <v>5.6554090467402007E-2</v>
      </c>
    </row>
    <row r="93" spans="1:7">
      <c r="A93" s="7">
        <v>39508</v>
      </c>
      <c r="B93" t="s">
        <v>140</v>
      </c>
      <c r="C93" t="str">
        <f>BUSpriceschange15[[#This Row],[Year]]&amp;"_"&amp;BUSpriceschange15[[#This Row],[Product]]</f>
        <v>39508_Unsorted Advanced: 2C</v>
      </c>
      <c r="D93" s="10">
        <v>0.26235216831354596</v>
      </c>
      <c r="E93" s="10">
        <f>BUSpriceschange15[[#This Row],[Price (pounds)]]</f>
        <v>0.26235216831354596</v>
      </c>
      <c r="F93" s="4">
        <f>BUSpriceschange15[[#This Row],[Price (pounds)]]-BUSpriceschange15[[#This Row],[2007 value]]</f>
        <v>0</v>
      </c>
      <c r="G93" s="9">
        <f>(F93/BUSpriceschange15[[#This Row],[2007 value]])*100</f>
        <v>0</v>
      </c>
    </row>
    <row r="94" spans="1:7">
      <c r="A94" s="7">
        <v>39873</v>
      </c>
      <c r="B94" t="s">
        <v>140</v>
      </c>
      <c r="C94" t="str">
        <f>BUSpriceschange15[[#This Row],[Year]]&amp;"_"&amp;BUSpriceschange15[[#This Row],[Product]]</f>
        <v>39873_Unsorted Advanced: 2C</v>
      </c>
      <c r="D94" s="10">
        <v>0.26126380492091383</v>
      </c>
      <c r="E94" s="10">
        <f>D93</f>
        <v>0.26235216831354596</v>
      </c>
      <c r="F94" s="10">
        <f>BUSpriceschange15[[#This Row],[Price (pounds)]]-BUSpriceschange15[[#This Row],[2007 value]]</f>
        <v>-1.0883633926321301E-3</v>
      </c>
      <c r="G94" s="9">
        <f>(F94/BUSpriceschange15[[#This Row],[2007 value]])*100</f>
        <v>-0.41484825516341456</v>
      </c>
    </row>
    <row r="95" spans="1:7">
      <c r="A95" s="7">
        <v>40238</v>
      </c>
      <c r="B95" t="s">
        <v>140</v>
      </c>
      <c r="C95" t="str">
        <f>BUSpriceschange15[[#This Row],[Year]]&amp;"_"&amp;BUSpriceschange15[[#This Row],[Product]]</f>
        <v>40238_Unsorted Advanced: 2C</v>
      </c>
      <c r="D95" s="10">
        <v>0.25550118304210817</v>
      </c>
      <c r="E95" s="10">
        <f>D93</f>
        <v>0.26235216831354596</v>
      </c>
      <c r="F95" s="10">
        <f>BUSpriceschange15[[#This Row],[Price (pounds)]]-BUSpriceschange15[[#This Row],[2007 value]]</f>
        <v>-6.8509852714377928E-3</v>
      </c>
      <c r="G95" s="9">
        <f>(F95/BUSpriceschange15[[#This Row],[2007 value]])*100</f>
        <v>-2.6113697917868732</v>
      </c>
    </row>
    <row r="96" spans="1:7">
      <c r="A96" s="7">
        <v>40603</v>
      </c>
      <c r="B96" t="s">
        <v>140</v>
      </c>
      <c r="C96" t="str">
        <f>BUSpriceschange15[[#This Row],[Year]]&amp;"_"&amp;BUSpriceschange15[[#This Row],[Product]]</f>
        <v>40603_Unsorted Advanced: 2C</v>
      </c>
      <c r="D96" s="10">
        <v>0.26157737084870841</v>
      </c>
      <c r="E96" s="10">
        <f>D93</f>
        <v>0.26235216831354596</v>
      </c>
      <c r="F96" s="10">
        <f>BUSpriceschange15[[#This Row],[Price (pounds)]]-BUSpriceschange15[[#This Row],[2007 value]]</f>
        <v>-7.7479746483755108E-4</v>
      </c>
      <c r="G96" s="9">
        <f>(F96/BUSpriceschange15[[#This Row],[2007 value]])*100</f>
        <v>-0.29532725794420134</v>
      </c>
    </row>
    <row r="97" spans="1:7">
      <c r="A97" s="7">
        <v>40969</v>
      </c>
      <c r="B97" t="s">
        <v>140</v>
      </c>
      <c r="C97" t="str">
        <f>BUSpriceschange15[[#This Row],[Year]]&amp;"_"&amp;BUSpriceschange15[[#This Row],[Product]]</f>
        <v>40969_Unsorted Advanced: 2C</v>
      </c>
      <c r="D97" s="10">
        <v>0.27521355576191725</v>
      </c>
      <c r="E97" s="10">
        <f>D93</f>
        <v>0.26235216831354596</v>
      </c>
      <c r="F97" s="10">
        <f>BUSpriceschange15[[#This Row],[Price (pounds)]]-BUSpriceschange15[[#This Row],[2007 value]]</f>
        <v>1.2861387448371286E-2</v>
      </c>
      <c r="G97" s="9">
        <f>(F97/BUSpriceschange15[[#This Row],[2007 value]])*100</f>
        <v>4.9023370117529224</v>
      </c>
    </row>
    <row r="98" spans="1:7">
      <c r="A98" s="7">
        <v>41334</v>
      </c>
      <c r="B98" t="s">
        <v>140</v>
      </c>
      <c r="C98" t="str">
        <f>BUSpriceschange15[[#This Row],[Year]]&amp;"_"&amp;BUSpriceschange15[[#This Row],[Product]]</f>
        <v>41334_Unsorted Advanced: 2C</v>
      </c>
      <c r="D98" s="10">
        <v>0.2843162702516373</v>
      </c>
      <c r="E98" s="10">
        <f>D93</f>
        <v>0.26235216831354596</v>
      </c>
      <c r="F98" s="10">
        <f>BUSpriceschange15[[#This Row],[Price (pounds)]]-BUSpriceschange15[[#This Row],[2007 value]]</f>
        <v>2.196410193809134E-2</v>
      </c>
      <c r="G98" s="9">
        <f>(F98/BUSpriceschange15[[#This Row],[2007 value]])*100</f>
        <v>8.3719917694148034</v>
      </c>
    </row>
    <row r="99" spans="1:7">
      <c r="A99" s="7">
        <v>41579</v>
      </c>
      <c r="B99" t="s">
        <v>140</v>
      </c>
      <c r="C99" t="str">
        <f>BUSpriceschange15[[#This Row],[Year]]&amp;"_"&amp;BUSpriceschange15[[#This Row],[Product]]</f>
        <v>41579_Unsorted Advanced: 2C</v>
      </c>
      <c r="D99" s="10">
        <v>0.27787467362924273</v>
      </c>
      <c r="E99" s="10">
        <f>D93</f>
        <v>0.26235216831354596</v>
      </c>
      <c r="F99" s="10">
        <f>BUSpriceschange15[[#This Row],[Price (pounds)]]-BUSpriceschange15[[#This Row],[2007 value]]</f>
        <v>1.5522505315696766E-2</v>
      </c>
      <c r="G99" s="9">
        <f>(F99/BUSpriceschange15[[#This Row],[2007 value]])*100</f>
        <v>5.9166674380770869</v>
      </c>
    </row>
    <row r="100" spans="1:7">
      <c r="A100" s="7">
        <v>41699</v>
      </c>
      <c r="B100" t="s">
        <v>140</v>
      </c>
      <c r="C100" t="str">
        <f>BUSpriceschange15[[#This Row],[Year]]&amp;"_"&amp;BUSpriceschange15[[#This Row],[Product]]</f>
        <v>41699_Unsorted Advanced: 2C</v>
      </c>
      <c r="D100" s="10">
        <v>0.29042826370757169</v>
      </c>
      <c r="E100" s="10">
        <f>D93</f>
        <v>0.26235216831354596</v>
      </c>
      <c r="F100" s="10">
        <f>BUSpriceschange15[[#This Row],[Price (pounds)]]-BUSpriceschange15[[#This Row],[2007 value]]</f>
        <v>2.8076095394025724E-2</v>
      </c>
      <c r="G100" s="9">
        <f>(F100/BUSpriceschange15[[#This Row],[2007 value]])*100</f>
        <v>10.701682236706743</v>
      </c>
    </row>
    <row r="101" spans="1:7">
      <c r="A101" s="7">
        <v>42005</v>
      </c>
      <c r="B101" t="s">
        <v>140</v>
      </c>
      <c r="C101" t="str">
        <f>BUSpriceschange15[[#This Row],[Year]]&amp;"_"&amp;BUSpriceschange15[[#This Row],[Product]]</f>
        <v>42005_Unsorted Advanced: 2C</v>
      </c>
      <c r="D101" s="10">
        <v>0.29441228121353552</v>
      </c>
      <c r="E101" s="10">
        <f>D93</f>
        <v>0.26235216831354596</v>
      </c>
      <c r="F101" s="10">
        <f>BUSpriceschange15[[#This Row],[Price (pounds)]]-BUSpriceschange15[[#This Row],[2007 value]]</f>
        <v>3.2060112899989557E-2</v>
      </c>
      <c r="G101" s="9">
        <f>(F101/BUSpriceschange15[[#This Row],[2007 value]])*100</f>
        <v>12.220258405363522</v>
      </c>
    </row>
    <row r="102" spans="1:7">
      <c r="A102" s="7">
        <v>42370</v>
      </c>
      <c r="B102" t="s">
        <v>140</v>
      </c>
      <c r="C102" t="str">
        <f>BUSpriceschange15[[#This Row],[Year]]&amp;"_"&amp;BUSpriceschange15[[#This Row],[Product]]</f>
        <v>42370_Unsorted Advanced: 2C</v>
      </c>
      <c r="D102" s="10">
        <v>0.29522912330363832</v>
      </c>
      <c r="E102" s="10">
        <f>D93</f>
        <v>0.26235216831354596</v>
      </c>
      <c r="F102" s="10">
        <f>BUSpriceschange15[[#This Row],[Price (pounds)]]-BUSpriceschange15[[#This Row],[2007 value]]</f>
        <v>3.2876954990092355E-2</v>
      </c>
      <c r="G102" s="9">
        <f>(F102/BUSpriceschange15[[#This Row],[2007 value]])*100</f>
        <v>12.531611688758751</v>
      </c>
    </row>
    <row r="103" spans="1:7">
      <c r="A103" s="7">
        <v>42736</v>
      </c>
      <c r="B103" t="s">
        <v>140</v>
      </c>
      <c r="C103" t="str">
        <f>BUSpriceschange15[[#This Row],[Year]]&amp;"_"&amp;BUSpriceschange15[[#This Row],[Product]]</f>
        <v>42736_Unsorted Advanced: 2C</v>
      </c>
      <c r="D103" s="10">
        <v>0.29843786543687717</v>
      </c>
      <c r="E103" s="10">
        <f>D93</f>
        <v>0.26235216831354596</v>
      </c>
      <c r="F103" s="10">
        <f>BUSpriceschange15[[#This Row],[Price (pounds)]]-BUSpriceschange15[[#This Row],[2007 value]]</f>
        <v>3.6085697123331206E-2</v>
      </c>
      <c r="G103" s="9">
        <f>(F103/BUSpriceschange15[[#This Row],[2007 value]])*100</f>
        <v>13.754678436735452</v>
      </c>
    </row>
    <row r="104" spans="1:7">
      <c r="A104" s="7">
        <v>43101</v>
      </c>
      <c r="B104" t="s">
        <v>140</v>
      </c>
      <c r="C104" t="str">
        <f>BUSpriceschange15[[#This Row],[Year]]&amp;"_"&amp;BUSpriceschange15[[#This Row],[Product]]</f>
        <v>43101_Unsorted Advanced: 2C</v>
      </c>
      <c r="D104" s="10">
        <v>0.27463527150408451</v>
      </c>
      <c r="E104" s="10">
        <f>D93</f>
        <v>0.26235216831354596</v>
      </c>
      <c r="F104" s="10">
        <f>BUSpriceschange15[[#This Row],[Price (pounds)]]-BUSpriceschange15[[#This Row],[2007 value]]</f>
        <v>1.2283103190538547E-2</v>
      </c>
      <c r="G104" s="9">
        <f>(F104/BUSpriceschange15[[#This Row],[2007 value]])*100</f>
        <v>4.6819141116678686</v>
      </c>
    </row>
    <row r="105" spans="1:7">
      <c r="A105" s="7">
        <v>43466</v>
      </c>
      <c r="B105" t="s">
        <v>140</v>
      </c>
      <c r="C105" t="str">
        <f>BUSpriceschange15[[#This Row],[Year]]&amp;"_"&amp;BUSpriceschange15[[#This Row],[Product]]</f>
        <v>43466_Unsorted Advanced: 2C</v>
      </c>
      <c r="D105" s="10">
        <v>0.27874263784461145</v>
      </c>
      <c r="E105" s="10">
        <f>D93</f>
        <v>0.26235216831354596</v>
      </c>
      <c r="F105" s="10">
        <f>BUSpriceschange15[[#This Row],[Price (pounds)]]-BUSpriceschange15[[#This Row],[2007 value]]</f>
        <v>1.6390469531065488E-2</v>
      </c>
      <c r="G105" s="9">
        <f>(F105/BUSpriceschange15[[#This Row],[2007 value]])*100</f>
        <v>6.2475067907487931</v>
      </c>
    </row>
    <row r="106" spans="1:7">
      <c r="A106" s="7">
        <v>43831</v>
      </c>
      <c r="B106" t="s">
        <v>140</v>
      </c>
      <c r="C106" t="str">
        <f>BUSpriceschange15[[#This Row],[Year]]&amp;"_"&amp;BUSpriceschange15[[#This Row],[Product]]</f>
        <v>43831_Unsorted Advanced: 2C</v>
      </c>
      <c r="D106" s="10">
        <v>0.27900000000000003</v>
      </c>
      <c r="E106" s="10">
        <f>D93</f>
        <v>0.26235216831354596</v>
      </c>
      <c r="F106" s="10">
        <f>BUSpriceschange15[[#This Row],[Price (pounds)]]-BUSpriceschange15[[#This Row],[2007 value]]</f>
        <v>1.6647831686454062E-2</v>
      </c>
      <c r="G106" s="9">
        <f>(F106/BUSpriceschange15[[#This Row],[2007 value]])*100</f>
        <v>6.3456047622818481</v>
      </c>
    </row>
    <row r="107" spans="1:7">
      <c r="A107" s="7">
        <v>44197</v>
      </c>
      <c r="B107" t="s">
        <v>140</v>
      </c>
      <c r="C107" t="str">
        <f>BUSpriceschange15[[#This Row],[Year]]&amp;"_"&amp;BUSpriceschange15[[#This Row],[Product]]</f>
        <v>44197_Unsorted Advanced: 2C</v>
      </c>
      <c r="D107" s="10">
        <f>'[1]Business Mail Pricing'!$P37</f>
        <v>0.28100000000000003</v>
      </c>
      <c r="E107" s="10">
        <f>VLOOKUP(42005&amp;"_"&amp;BUSpriceschange15[[#This Row],[Product]],BUSpriceschange15[[Column3]:[Price (pounds)]],2,FALSE)</f>
        <v>0.29441228121353552</v>
      </c>
      <c r="F107" s="10">
        <f>IFERROR(BUSpriceschange15[[#This Row],[Price (pounds)]]/BUSpriceschange15[[#This Row],[2007 value]],0)</f>
        <v>0.95444387999627078</v>
      </c>
      <c r="G107" s="9">
        <f>BUSpriceschange15[[#This Row],[Workings]]-1</f>
        <v>-4.5556120003729217E-2</v>
      </c>
    </row>
    <row r="108" spans="1:7">
      <c r="A108" s="7">
        <v>39508</v>
      </c>
      <c r="B108" t="s">
        <v>141</v>
      </c>
      <c r="C108" t="str">
        <f>BUSpriceschange15[[#This Row],[Year]]&amp;"_"&amp;BUSpriceschange15[[#This Row],[Product]]</f>
        <v>39508_Unsorted Mailmark: 1C</v>
      </c>
      <c r="E108" s="10"/>
      <c r="F108" s="10"/>
      <c r="G108"/>
    </row>
    <row r="109" spans="1:7">
      <c r="A109" s="7">
        <v>39873</v>
      </c>
      <c r="B109" t="s">
        <v>141</v>
      </c>
      <c r="C109" t="str">
        <f>BUSpriceschange15[[#This Row],[Year]]&amp;"_"&amp;BUSpriceschange15[[#This Row],[Product]]</f>
        <v>39873_Unsorted Mailmark: 1C</v>
      </c>
      <c r="E109" s="10"/>
      <c r="F109" s="10"/>
      <c r="G109"/>
    </row>
    <row r="110" spans="1:7">
      <c r="A110" s="7">
        <v>40238</v>
      </c>
      <c r="B110" t="s">
        <v>141</v>
      </c>
      <c r="C110" t="str">
        <f>BUSpriceschange15[[#This Row],[Year]]&amp;"_"&amp;BUSpriceschange15[[#This Row],[Product]]</f>
        <v>40238_Unsorted Mailmark: 1C</v>
      </c>
      <c r="E110" s="10"/>
      <c r="F110" s="10"/>
      <c r="G110"/>
    </row>
    <row r="111" spans="1:7">
      <c r="A111" s="7">
        <v>40603</v>
      </c>
      <c r="B111" t="s">
        <v>141</v>
      </c>
      <c r="C111" t="str">
        <f>BUSpriceschange15[[#This Row],[Year]]&amp;"_"&amp;BUSpriceschange15[[#This Row],[Product]]</f>
        <v>40603_Unsorted Mailmark: 1C</v>
      </c>
      <c r="E111" s="10"/>
      <c r="F111" s="10"/>
      <c r="G111"/>
    </row>
    <row r="112" spans="1:7">
      <c r="A112" s="7">
        <v>40969</v>
      </c>
      <c r="B112" t="s">
        <v>141</v>
      </c>
      <c r="C112" t="str">
        <f>BUSpriceschange15[[#This Row],[Year]]&amp;"_"&amp;BUSpriceschange15[[#This Row],[Product]]</f>
        <v>40969_Unsorted Mailmark: 1C</v>
      </c>
      <c r="E112" s="10"/>
      <c r="F112" s="10"/>
      <c r="G112"/>
    </row>
    <row r="113" spans="1:7">
      <c r="A113" s="7">
        <v>41334</v>
      </c>
      <c r="B113" t="s">
        <v>141</v>
      </c>
      <c r="C113" t="str">
        <f>BUSpriceschange15[[#This Row],[Year]]&amp;"_"&amp;BUSpriceschange15[[#This Row],[Product]]</f>
        <v>41334_Unsorted Mailmark: 1C</v>
      </c>
      <c r="E113" s="10"/>
      <c r="F113" s="10"/>
      <c r="G113"/>
    </row>
    <row r="114" spans="1:7">
      <c r="A114" s="7">
        <v>41579</v>
      </c>
      <c r="B114" t="s">
        <v>141</v>
      </c>
      <c r="C114" t="str">
        <f>BUSpriceschange15[[#This Row],[Year]]&amp;"_"&amp;BUSpriceschange15[[#This Row],[Product]]</f>
        <v>41579_Unsorted Mailmark: 1C</v>
      </c>
      <c r="D114" s="10">
        <v>0.4240050261096604</v>
      </c>
      <c r="E114" s="10">
        <f>BUSpriceschange15[[#This Row],[Price (pounds)]]</f>
        <v>0.4240050261096604</v>
      </c>
      <c r="F114" s="4">
        <f>BUSpriceschange15[[#This Row],[Price (pounds)]]-BUSpriceschange15[[#This Row],[2007 value]]</f>
        <v>0</v>
      </c>
      <c r="G114" s="9">
        <f>(F114/BUSpriceschange15[[#This Row],[2007 value]])*100</f>
        <v>0</v>
      </c>
    </row>
    <row r="115" spans="1:7">
      <c r="A115" s="7">
        <v>41699</v>
      </c>
      <c r="B115" t="s">
        <v>141</v>
      </c>
      <c r="C115" t="str">
        <f>BUSpriceschange15[[#This Row],[Year]]&amp;"_"&amp;BUSpriceschange15[[#This Row],[Product]]</f>
        <v>41699_Unsorted Mailmark: 1C</v>
      </c>
      <c r="D115" s="10">
        <v>0.42501697127937321</v>
      </c>
      <c r="E115" s="10">
        <f>D114</f>
        <v>0.4240050261096604</v>
      </c>
      <c r="F115" s="10">
        <f>BUSpriceschange15[[#This Row],[Price (pounds)]]-BUSpriceschange15[[#This Row],[2007 value]]</f>
        <v>1.0119451697128135E-3</v>
      </c>
      <c r="G115" s="9">
        <f>(F115/BUSpriceschange15[[#This Row],[2007 value]])*100</f>
        <v>0.23866348448687824</v>
      </c>
    </row>
    <row r="116" spans="1:7">
      <c r="A116" s="7">
        <v>42005</v>
      </c>
      <c r="B116" t="s">
        <v>141</v>
      </c>
      <c r="C116" t="str">
        <f>BUSpriceschange15[[#This Row],[Year]]&amp;"_"&amp;BUSpriceschange15[[#This Row],[Product]]</f>
        <v>42005_Unsorted Mailmark: 1C</v>
      </c>
      <c r="D116" s="10">
        <v>0.43060299633272192</v>
      </c>
      <c r="E116" s="10">
        <f>D114</f>
        <v>0.4240050261096604</v>
      </c>
      <c r="F116" s="10">
        <f>BUSpriceschange15[[#This Row],[Price (pounds)]]-BUSpriceschange15[[#This Row],[2007 value]]</f>
        <v>6.5979702230615223E-3</v>
      </c>
      <c r="G116" s="9">
        <f>(F116/BUSpriceschange15[[#This Row],[2007 value]])*100</f>
        <v>1.5561066064710021</v>
      </c>
    </row>
    <row r="117" spans="1:7">
      <c r="A117" s="7">
        <v>42370</v>
      </c>
      <c r="B117" t="s">
        <v>141</v>
      </c>
      <c r="C117" t="str">
        <f>BUSpriceschange15[[#This Row],[Year]]&amp;"_"&amp;BUSpriceschange15[[#This Row],[Product]]</f>
        <v>42370_Unsorted Mailmark: 1C</v>
      </c>
      <c r="D117" s="10">
        <v>0.43797727083506777</v>
      </c>
      <c r="E117" s="10">
        <f>D114</f>
        <v>0.4240050261096604</v>
      </c>
      <c r="F117" s="10">
        <f>BUSpriceschange15[[#This Row],[Price (pounds)]]-BUSpriceschange15[[#This Row],[2007 value]]</f>
        <v>1.3972244725407368E-2</v>
      </c>
      <c r="G117" s="9">
        <f>(F117/BUSpriceschange15[[#This Row],[2007 value]])*100</f>
        <v>3.2953016745121619</v>
      </c>
    </row>
    <row r="118" spans="1:7">
      <c r="A118" s="7">
        <v>42736</v>
      </c>
      <c r="B118" t="s">
        <v>141</v>
      </c>
      <c r="C118" t="str">
        <f>BUSpriceschange15[[#This Row],[Year]]&amp;"_"&amp;BUSpriceschange15[[#This Row],[Product]]</f>
        <v>42736_Unsorted Mailmark: 1C</v>
      </c>
      <c r="D118" s="10">
        <v>0.44498262373383829</v>
      </c>
      <c r="E118" s="10">
        <f>D114</f>
        <v>0.4240050261096604</v>
      </c>
      <c r="F118" s="10">
        <f>BUSpriceschange15[[#This Row],[Price (pounds)]]-BUSpriceschange15[[#This Row],[2007 value]]</f>
        <v>2.0977597624177891E-2</v>
      </c>
      <c r="G118" s="9">
        <f>(F118/BUSpriceschange15[[#This Row],[2007 value]])*100</f>
        <v>4.94748796179422</v>
      </c>
    </row>
    <row r="119" spans="1:7">
      <c r="A119" s="7">
        <v>43101</v>
      </c>
      <c r="B119" t="s">
        <v>141</v>
      </c>
      <c r="C119" t="str">
        <f>BUSpriceschange15[[#This Row],[Year]]&amp;"_"&amp;BUSpriceschange15[[#This Row],[Product]]</f>
        <v>43101_Unsorted Mailmark: 1C</v>
      </c>
      <c r="D119" s="10">
        <v>0.44628231619413727</v>
      </c>
      <c r="E119" s="10">
        <f>D114</f>
        <v>0.4240050261096604</v>
      </c>
      <c r="F119" s="10">
        <f>BUSpriceschange15[[#This Row],[Price (pounds)]]-BUSpriceschange15[[#This Row],[2007 value]]</f>
        <v>2.2277290084476875E-2</v>
      </c>
      <c r="G119" s="9">
        <f>(F119/BUSpriceschange15[[#This Row],[2007 value]])*100</f>
        <v>5.254015568842644</v>
      </c>
    </row>
    <row r="120" spans="1:7">
      <c r="A120" s="7">
        <v>43466</v>
      </c>
      <c r="B120" t="s">
        <v>141</v>
      </c>
      <c r="C120" t="str">
        <f>BUSpriceschange15[[#This Row],[Year]]&amp;"_"&amp;BUSpriceschange15[[#This Row],[Product]]</f>
        <v>43466_Unsorted Mailmark: 1C</v>
      </c>
      <c r="D120" s="10">
        <v>0.45575438596491213</v>
      </c>
      <c r="E120" s="10">
        <f>D114</f>
        <v>0.4240050261096604</v>
      </c>
      <c r="F120" s="10">
        <f>BUSpriceschange15[[#This Row],[Price (pounds)]]-BUSpriceschange15[[#This Row],[2007 value]]</f>
        <v>3.1749359855251735E-2</v>
      </c>
      <c r="G120" s="9">
        <f>(F120/BUSpriceschange15[[#This Row],[2007 value]])*100</f>
        <v>7.4879678070232121</v>
      </c>
    </row>
    <row r="121" spans="1:7">
      <c r="A121" s="7">
        <v>43831</v>
      </c>
      <c r="B121" t="s">
        <v>141</v>
      </c>
      <c r="C121" t="str">
        <f>BUSpriceschange15[[#This Row],[Year]]&amp;"_"&amp;BUSpriceschange15[[#This Row],[Product]]</f>
        <v>43831_Unsorted Mailmark: 1C</v>
      </c>
      <c r="D121" s="10">
        <v>0.45500000000000002</v>
      </c>
      <c r="E121" s="10">
        <f>D114</f>
        <v>0.4240050261096604</v>
      </c>
      <c r="F121" s="10">
        <f>BUSpriceschange15[[#This Row],[Price (pounds)]]-BUSpriceschange15[[#This Row],[2007 value]]</f>
        <v>3.0994973890339617E-2</v>
      </c>
      <c r="G121" s="9">
        <f>(F121/BUSpriceschange15[[#This Row],[2007 value]])*100</f>
        <v>7.3100486979424133</v>
      </c>
    </row>
    <row r="122" spans="1:7">
      <c r="A122" s="7">
        <v>44197</v>
      </c>
      <c r="B122" t="s">
        <v>141</v>
      </c>
      <c r="C122" t="str">
        <f>BUSpriceschange15[[#This Row],[Year]]&amp;"_"&amp;BUSpriceschange15[[#This Row],[Product]]</f>
        <v>44197_Unsorted Mailmark: 1C</v>
      </c>
      <c r="D122" s="10">
        <f>'[1]Business Mail Pricing'!$P34</f>
        <v>0.46400000000000002</v>
      </c>
      <c r="E122" s="10">
        <f>VLOOKUP(42005&amp;"_"&amp;BUSpriceschange15[[#This Row],[Product]],BUSpriceschange15[[Column3]:[Price (pounds)]],2,FALSE)</f>
        <v>0.43060299633272192</v>
      </c>
      <c r="F122" s="10">
        <f>IFERROR(BUSpriceschange15[[#This Row],[Price (pounds)]]/BUSpriceschange15[[#This Row],[2007 value]],0)</f>
        <v>1.0775586885175148</v>
      </c>
      <c r="G122" s="9">
        <f>BUSpriceschange15[[#This Row],[Workings]]-1</f>
        <v>7.7558688517514796E-2</v>
      </c>
    </row>
    <row r="123" spans="1:7">
      <c r="A123" s="7">
        <v>39508</v>
      </c>
      <c r="B123" t="s">
        <v>142</v>
      </c>
      <c r="C123" t="str">
        <f>BUSpriceschange15[[#This Row],[Year]]&amp;"_"&amp;BUSpriceschange15[[#This Row],[Product]]</f>
        <v>39508_Unsorted Mailmark: 2C</v>
      </c>
      <c r="E123" s="10"/>
      <c r="F123" s="10"/>
      <c r="G123"/>
    </row>
    <row r="124" spans="1:7">
      <c r="A124" s="7">
        <v>39873</v>
      </c>
      <c r="B124" t="s">
        <v>142</v>
      </c>
      <c r="C124" t="str">
        <f>BUSpriceschange15[[#This Row],[Year]]&amp;"_"&amp;BUSpriceschange15[[#This Row],[Product]]</f>
        <v>39873_Unsorted Mailmark: 2C</v>
      </c>
      <c r="E124" s="10"/>
      <c r="F124" s="10"/>
      <c r="G124"/>
    </row>
    <row r="125" spans="1:7">
      <c r="A125" s="7">
        <v>40238</v>
      </c>
      <c r="B125" t="s">
        <v>142</v>
      </c>
      <c r="C125" t="str">
        <f>BUSpriceschange15[[#This Row],[Year]]&amp;"_"&amp;BUSpriceschange15[[#This Row],[Product]]</f>
        <v>40238_Unsorted Mailmark: 2C</v>
      </c>
      <c r="E125" s="10"/>
      <c r="F125" s="10"/>
      <c r="G125"/>
    </row>
    <row r="126" spans="1:7">
      <c r="A126" s="7">
        <v>40603</v>
      </c>
      <c r="B126" t="s">
        <v>142</v>
      </c>
      <c r="C126" t="str">
        <f>BUSpriceschange15[[#This Row],[Year]]&amp;"_"&amp;BUSpriceschange15[[#This Row],[Product]]</f>
        <v>40603_Unsorted Mailmark: 2C</v>
      </c>
      <c r="E126" s="10"/>
      <c r="F126" s="10"/>
      <c r="G126"/>
    </row>
    <row r="127" spans="1:7">
      <c r="A127" s="7">
        <v>40969</v>
      </c>
      <c r="B127" t="s">
        <v>142</v>
      </c>
      <c r="C127" t="str">
        <f>BUSpriceschange15[[#This Row],[Year]]&amp;"_"&amp;BUSpriceschange15[[#This Row],[Product]]</f>
        <v>40969_Unsorted Mailmark: 2C</v>
      </c>
      <c r="E127" s="10"/>
      <c r="F127" s="10"/>
      <c r="G127"/>
    </row>
    <row r="128" spans="1:7">
      <c r="A128" s="7">
        <v>41334</v>
      </c>
      <c r="B128" t="s">
        <v>142</v>
      </c>
      <c r="C128" t="str">
        <f>BUSpriceschange15[[#This Row],[Year]]&amp;"_"&amp;BUSpriceschange15[[#This Row],[Product]]</f>
        <v>41334_Unsorted Mailmark: 2C</v>
      </c>
      <c r="E128" s="10"/>
      <c r="F128" s="10"/>
      <c r="G128"/>
    </row>
    <row r="129" spans="1:7">
      <c r="A129" s="7">
        <v>41579</v>
      </c>
      <c r="B129" t="s">
        <v>142</v>
      </c>
      <c r="C129" t="str">
        <f>BUSpriceschange15[[#This Row],[Year]]&amp;"_"&amp;BUSpriceschange15[[#This Row],[Product]]</f>
        <v>41579_Unsorted Mailmark: 2C</v>
      </c>
      <c r="D129" s="10">
        <v>0.2782849216710182</v>
      </c>
      <c r="E129" s="10">
        <f>BUSpriceschange15[[#This Row],[Price (pounds)]]</f>
        <v>0.2782849216710182</v>
      </c>
      <c r="F129" s="4">
        <f>BUSpriceschange15[[#This Row],[Price (pounds)]]-BUSpriceschange15[[#This Row],[2007 value]]</f>
        <v>0</v>
      </c>
      <c r="G129" s="9">
        <f>(F129/BUSpriceschange15[[#This Row],[2007 value]])*100</f>
        <v>0</v>
      </c>
    </row>
    <row r="130" spans="1:7">
      <c r="A130" s="7">
        <v>41699</v>
      </c>
      <c r="B130" t="s">
        <v>142</v>
      </c>
      <c r="C130" t="str">
        <f>BUSpriceschange15[[#This Row],[Year]]&amp;"_"&amp;BUSpriceschange15[[#This Row],[Product]]</f>
        <v>41699_Unsorted Mailmark: 2C</v>
      </c>
      <c r="D130" s="10">
        <v>0.27626103133159263</v>
      </c>
      <c r="E130" s="10">
        <f>D129</f>
        <v>0.2782849216710182</v>
      </c>
      <c r="F130" s="10">
        <f>BUSpriceschange15[[#This Row],[Price (pounds)]]-BUSpriceschange15[[#This Row],[2007 value]]</f>
        <v>-2.0238903394255714E-3</v>
      </c>
      <c r="G130" s="9">
        <f>(F130/BUSpriceschange15[[#This Row],[2007 value]])*100</f>
        <v>-0.72727272727272174</v>
      </c>
    </row>
    <row r="131" spans="1:7">
      <c r="A131" s="7">
        <v>42005</v>
      </c>
      <c r="B131" t="s">
        <v>142</v>
      </c>
      <c r="C131" t="str">
        <f>BUSpriceschange15[[#This Row],[Year]]&amp;"_"&amp;BUSpriceschange15[[#This Row],[Product]]</f>
        <v>42005_Unsorted Mailmark: 2C</v>
      </c>
      <c r="D131" s="10">
        <v>0.26737441865310879</v>
      </c>
      <c r="E131" s="10">
        <f>D129</f>
        <v>0.2782849216710182</v>
      </c>
      <c r="F131" s="10">
        <f>BUSpriceschange15[[#This Row],[Price (pounds)]]-BUSpriceschange15[[#This Row],[2007 value]]</f>
        <v>-1.0910503017909412E-2</v>
      </c>
      <c r="G131" s="9">
        <f>(F131/BUSpriceschange15[[#This Row],[2007 value]])*100</f>
        <v>-3.9206231341587197</v>
      </c>
    </row>
    <row r="132" spans="1:7">
      <c r="A132" s="7">
        <v>42370</v>
      </c>
      <c r="B132" t="s">
        <v>142</v>
      </c>
      <c r="C132" t="str">
        <f>BUSpriceschange15[[#This Row],[Year]]&amp;"_"&amp;BUSpriceschange15[[#This Row],[Product]]</f>
        <v>42370_Unsorted Mailmark: 2C</v>
      </c>
      <c r="D132" s="10">
        <v>0.28441486970277241</v>
      </c>
      <c r="E132" s="10">
        <f>D129</f>
        <v>0.2782849216710182</v>
      </c>
      <c r="F132" s="10">
        <f>BUSpriceschange15[[#This Row],[Price (pounds)]]-BUSpriceschange15[[#This Row],[2007 value]]</f>
        <v>6.1299480317542065E-3</v>
      </c>
      <c r="G132" s="9">
        <f>(F132/BUSpriceschange15[[#This Row],[2007 value]])*100</f>
        <v>2.2027596734115851</v>
      </c>
    </row>
    <row r="133" spans="1:7">
      <c r="A133" s="7">
        <v>42736</v>
      </c>
      <c r="B133" t="s">
        <v>142</v>
      </c>
      <c r="C133" t="str">
        <f>BUSpriceschange15[[#This Row],[Year]]&amp;"_"&amp;BUSpriceschange15[[#This Row],[Product]]</f>
        <v>42736_Unsorted Mailmark: 2C</v>
      </c>
      <c r="D133" s="10">
        <v>0.28774116775096759</v>
      </c>
      <c r="E133" s="10">
        <f>D129</f>
        <v>0.2782849216710182</v>
      </c>
      <c r="F133" s="10">
        <f>BUSpriceschange15[[#This Row],[Price (pounds)]]-BUSpriceschange15[[#This Row],[2007 value]]</f>
        <v>9.4562460799493819E-3</v>
      </c>
      <c r="G133" s="9">
        <f>(F133/BUSpriceschange15[[#This Row],[2007 value]])*100</f>
        <v>3.398044717323323</v>
      </c>
    </row>
    <row r="134" spans="1:7">
      <c r="A134" s="7">
        <v>43101</v>
      </c>
      <c r="B134" t="s">
        <v>142</v>
      </c>
      <c r="C134" t="str">
        <f>BUSpriceschange15[[#This Row],[Year]]&amp;"_"&amp;BUSpriceschange15[[#This Row],[Product]]</f>
        <v>43101_Unsorted Mailmark: 2C</v>
      </c>
      <c r="D134" s="10">
        <v>0.26839356078808257</v>
      </c>
      <c r="E134" s="10">
        <f>D129</f>
        <v>0.2782849216710182</v>
      </c>
      <c r="F134" s="10">
        <f>BUSpriceschange15[[#This Row],[Price (pounds)]]-BUSpriceschange15[[#This Row],[2007 value]]</f>
        <v>-9.8913608829356292E-3</v>
      </c>
      <c r="G134" s="9">
        <f>(F134/BUSpriceschange15[[#This Row],[2007 value]])*100</f>
        <v>-3.5544005846744939</v>
      </c>
    </row>
    <row r="135" spans="1:7">
      <c r="A135" s="7">
        <v>43466</v>
      </c>
      <c r="B135" t="s">
        <v>142</v>
      </c>
      <c r="C135" t="str">
        <f>BUSpriceschange15[[#This Row],[Year]]&amp;"_"&amp;BUSpriceschange15[[#This Row],[Product]]</f>
        <v>43466_Unsorted Mailmark: 2C</v>
      </c>
      <c r="D135" s="10">
        <v>0.27263878446115281</v>
      </c>
      <c r="E135" s="10">
        <f>D129</f>
        <v>0.2782849216710182</v>
      </c>
      <c r="F135" s="10">
        <f>BUSpriceschange15[[#This Row],[Price (pounds)]]-BUSpriceschange15[[#This Row],[2007 value]]</f>
        <v>-5.6461372098653984E-3</v>
      </c>
      <c r="G135" s="9">
        <f>(F135/BUSpriceschange15[[#This Row],[2007 value]])*100</f>
        <v>-2.0289051867999253</v>
      </c>
    </row>
    <row r="136" spans="1:7">
      <c r="A136" s="7">
        <v>43831</v>
      </c>
      <c r="B136" t="s">
        <v>142</v>
      </c>
      <c r="C136" t="str">
        <f>BUSpriceschange15[[#This Row],[Year]]&amp;"_"&amp;BUSpriceschange15[[#This Row],[Product]]</f>
        <v>43831_Unsorted Mailmark: 2C</v>
      </c>
      <c r="D136" s="10">
        <v>0.27200000000000002</v>
      </c>
      <c r="E136" s="10">
        <f>D129</f>
        <v>0.2782849216710182</v>
      </c>
      <c r="F136" s="10">
        <f>BUSpriceschange15[[#This Row],[Price (pounds)]]-BUSpriceschange15[[#This Row],[2007 value]]</f>
        <v>-6.2849216710181843E-3</v>
      </c>
      <c r="G136" s="9">
        <f>(F136/BUSpriceschange15[[#This Row],[2007 value]])*100</f>
        <v>-2.2584485114317725</v>
      </c>
    </row>
    <row r="137" spans="1:7">
      <c r="A137" s="7">
        <v>44197</v>
      </c>
      <c r="B137" t="s">
        <v>142</v>
      </c>
      <c r="C137" t="str">
        <f>BUSpriceschange15[[#This Row],[Year]]&amp;"_"&amp;BUSpriceschange15[[#This Row],[Product]]</f>
        <v>44197_Unsorted Mailmark: 2C</v>
      </c>
      <c r="D137" s="10">
        <f>'[1]Business Mail Pricing'!$P35</f>
        <v>0.27700000000000002</v>
      </c>
      <c r="E137" s="10">
        <f>VLOOKUP(42005&amp;"_"&amp;BUSpriceschange15[[#This Row],[Product]],BUSpriceschange15[[Column3]:[Price (pounds)]],2,FALSE)</f>
        <v>0.26737441865310879</v>
      </c>
      <c r="F137" s="10">
        <f>IFERROR(BUSpriceschange15[[#This Row],[Price (pounds)]]/BUSpriceschange15[[#This Row],[2007 value]],0)</f>
        <v>1.0360003825174444</v>
      </c>
      <c r="G137" s="9">
        <f>BUSpriceschange15[[#This Row],[Workings]]-1</f>
        <v>3.6000382517444418E-2</v>
      </c>
    </row>
    <row r="138" spans="1:7">
      <c r="A138" s="7">
        <v>44197</v>
      </c>
      <c r="B138" t="s">
        <v>143</v>
      </c>
      <c r="C138" t="str">
        <f>BUSpriceschange15[[#This Row],[Year]]&amp;"_"&amp;BUSpriceschange15[[#This Row],[Product]]</f>
        <v>44197_Unsorted OCR: 1C</v>
      </c>
      <c r="D138" s="10">
        <f>'[1]Business Mail Pricing'!$P38</f>
        <v>0.51800000000000002</v>
      </c>
      <c r="E138" s="10" t="e">
        <f>VLOOKUP(42005&amp;"_"&amp;BUSpriceschange15[[#This Row],[Product]],BUSpriceschange15[[Column3]:[Price (pounds)]],2,FALSE)</f>
        <v>#N/A</v>
      </c>
      <c r="F138" s="10">
        <f>IFERROR(BUSpriceschange15[[#This Row],[Price (pounds)]]/BUSpriceschange15[[#This Row],[2007 value]],0)</f>
        <v>0</v>
      </c>
      <c r="G138" s="9">
        <f>BUSpriceschange15[[#This Row],[Workings]]-1</f>
        <v>-1</v>
      </c>
    </row>
    <row r="139" spans="1:7">
      <c r="A139" s="7">
        <v>44197</v>
      </c>
      <c r="B139" t="s">
        <v>144</v>
      </c>
      <c r="C139" t="str">
        <f>BUSpriceschange15[[#This Row],[Year]]&amp;"_"&amp;BUSpriceschange15[[#This Row],[Product]]</f>
        <v>44197_Unsorted OCR: 2C</v>
      </c>
      <c r="D139" s="10">
        <f>'[1]Business Mail Pricing'!$P39</f>
        <v>0.30099999999999999</v>
      </c>
      <c r="E139" s="10" t="e">
        <f>VLOOKUP(42005&amp;"_"&amp;BUSpriceschange15[[#This Row],[Product]],BUSpriceschange15[[Column3]:[Price (pounds)]],2,FALSE)</f>
        <v>#N/A</v>
      </c>
      <c r="F139" s="10">
        <f>IFERROR(BUSpriceschange15[[#This Row],[Price (pounds)]]/BUSpriceschange15[[#This Row],[2007 value]],0)</f>
        <v>0</v>
      </c>
      <c r="G139" s="9">
        <f>BUSpriceschange15[[#This Row],[Workings]]-1</f>
        <v>-1</v>
      </c>
    </row>
  </sheetData>
  <pageMargins left="0.7" right="0.7" top="0.75" bottom="0.75" header="0.3" footer="0.3"/>
  <pageSetup paperSize="9" orientation="portrait" r:id="rId1"/>
  <headerFooter>
    <oddHeader>&amp;L&amp;"Calibri"&amp;12&amp;K000000Classification: CONFIDENTIAL&amp;1#</oddHead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13A28-4E90-45E5-A14A-41A08E6A8CB8}">
  <sheetPr>
    <tabColor theme="9" tint="0.59999389629810485"/>
  </sheetPr>
  <dimension ref="A1:L76"/>
  <sheetViews>
    <sheetView zoomScaleNormal="100" workbookViewId="0">
      <selection activeCell="A68" sqref="A68:A75"/>
    </sheetView>
  </sheetViews>
  <sheetFormatPr defaultRowHeight="14.25"/>
  <cols>
    <col min="2" max="2" width="34.265625" bestFit="1" customWidth="1"/>
    <col min="3" max="3" width="7.86328125" style="2" bestFit="1" customWidth="1"/>
    <col min="4" max="4" width="10.59765625" bestFit="1" customWidth="1"/>
    <col min="5" max="5" width="14.1328125" customWidth="1"/>
    <col min="6" max="6" width="11.1328125" customWidth="1"/>
    <col min="7" max="7" width="10.73046875" style="9" customWidth="1"/>
  </cols>
  <sheetData>
    <row r="1" spans="1:12" s="1" customFormat="1">
      <c r="A1" s="1" t="s">
        <v>52</v>
      </c>
      <c r="B1" s="1" t="s">
        <v>129</v>
      </c>
      <c r="C1" s="19" t="s">
        <v>145</v>
      </c>
      <c r="D1" t="s">
        <v>57</v>
      </c>
      <c r="E1" s="39" t="s">
        <v>58</v>
      </c>
      <c r="F1" s="39" t="s">
        <v>59</v>
      </c>
      <c r="G1" s="38" t="s">
        <v>60</v>
      </c>
    </row>
    <row r="2" spans="1:12">
      <c r="A2" s="27">
        <v>40269</v>
      </c>
      <c r="B2" t="s">
        <v>146</v>
      </c>
      <c r="C2" s="2">
        <v>17.559999999999999</v>
      </c>
      <c r="D2" s="32">
        <f>accessprices16[[#This Row],[Price]]/100</f>
        <v>0.17559999999999998</v>
      </c>
      <c r="E2" s="37">
        <f>accessprices16[[#This Row],[Price (£)]]</f>
        <v>0.17559999999999998</v>
      </c>
      <c r="F2" s="36">
        <f>accessprices16[[#This Row],[Price (£)]]-accessprices16[[#This Row],[2007 value]]</f>
        <v>0</v>
      </c>
      <c r="G2" s="35">
        <f>(accessprices16[[#This Row],[Workings]]/accessprices16[[#This Row],[2007 value]])*100</f>
        <v>0</v>
      </c>
    </row>
    <row r="3" spans="1:12">
      <c r="A3" s="27">
        <v>40269</v>
      </c>
      <c r="B3" t="s">
        <v>147</v>
      </c>
      <c r="C3" s="2">
        <v>17.25</v>
      </c>
      <c r="D3" s="32">
        <f>accessprices16[[#This Row],[Price]]/100</f>
        <v>0.17249999999999999</v>
      </c>
      <c r="E3" s="31">
        <f>accessprices16[[#This Row],[Price (£)]]</f>
        <v>0.17249999999999999</v>
      </c>
      <c r="F3" s="14">
        <f>accessprices16[[#This Row],[Price (£)]]-accessprices16[[#This Row],[2007 value]]</f>
        <v>0</v>
      </c>
      <c r="G3" s="17">
        <f>(accessprices16[[#This Row],[Workings]]/accessprices16[[#This Row],[2007 value]])*100</f>
        <v>0</v>
      </c>
    </row>
    <row r="4" spans="1:12">
      <c r="A4" s="27">
        <v>40269</v>
      </c>
      <c r="B4" t="s">
        <v>148</v>
      </c>
      <c r="C4" s="2">
        <v>18.39</v>
      </c>
      <c r="D4" s="32">
        <f>accessprices16[[#This Row],[Price]]/100</f>
        <v>0.18390000000000001</v>
      </c>
      <c r="E4" s="37">
        <f>accessprices16[[#This Row],[Price (£)]]</f>
        <v>0.18390000000000001</v>
      </c>
      <c r="F4" s="36">
        <f>accessprices16[[#This Row],[Price (£)]]-accessprices16[[#This Row],[2007 value]]</f>
        <v>0</v>
      </c>
      <c r="G4" s="35">
        <f>(accessprices16[[#This Row],[Workings]]/accessprices16[[#This Row],[2007 value]])*100</f>
        <v>0</v>
      </c>
    </row>
    <row r="5" spans="1:12">
      <c r="A5" s="27">
        <v>40269</v>
      </c>
      <c r="B5" t="s">
        <v>149</v>
      </c>
      <c r="C5" s="2">
        <v>18.079999999999998</v>
      </c>
      <c r="D5" s="32">
        <f>accessprices16[[#This Row],[Price]]/100</f>
        <v>0.18079999999999999</v>
      </c>
      <c r="E5" s="31">
        <f>accessprices16[[#This Row],[Price (£)]]</f>
        <v>0.18079999999999999</v>
      </c>
      <c r="F5" s="14">
        <f>accessprices16[[#This Row],[Price (£)]]-accessprices16[[#This Row],[2007 value]]</f>
        <v>0</v>
      </c>
      <c r="G5" s="17">
        <f>(accessprices16[[#This Row],[Workings]]/accessprices16[[#This Row],[2007 value]])*100</f>
        <v>0</v>
      </c>
    </row>
    <row r="6" spans="1:12">
      <c r="A6" s="27">
        <v>40664</v>
      </c>
      <c r="B6" t="s">
        <v>146</v>
      </c>
      <c r="C6" s="2">
        <v>20.37</v>
      </c>
      <c r="D6" s="32">
        <f>accessprices16[[#This Row],[Price]]/100</f>
        <v>0.20370000000000002</v>
      </c>
      <c r="E6" s="37">
        <f>$D$2</f>
        <v>0.17559999999999998</v>
      </c>
      <c r="F6" s="36">
        <f>accessprices16[[#This Row],[Price (£)]]-accessprices16[[#This Row],[2007 value]]</f>
        <v>2.8100000000000042E-2</v>
      </c>
      <c r="G6" s="35">
        <f>(accessprices16[[#This Row],[Workings]]/accessprices16[[#This Row],[2007 value]])*100</f>
        <v>16.002277904328043</v>
      </c>
    </row>
    <row r="7" spans="1:12">
      <c r="A7" s="27">
        <v>40664</v>
      </c>
      <c r="B7" t="s">
        <v>147</v>
      </c>
      <c r="C7" s="2">
        <v>17.98</v>
      </c>
      <c r="D7" s="32">
        <f>accessprices16[[#This Row],[Price]]/100</f>
        <v>0.17980000000000002</v>
      </c>
      <c r="E7" s="31">
        <f>$D$3</f>
        <v>0.17249999999999999</v>
      </c>
      <c r="F7" s="14">
        <f>accessprices16[[#This Row],[Price (£)]]-accessprices16[[#This Row],[2007 value]]</f>
        <v>7.3000000000000287E-3</v>
      </c>
      <c r="G7" s="17">
        <f>(accessprices16[[#This Row],[Workings]]/accessprices16[[#This Row],[2007 value]])*100</f>
        <v>4.2318840579710315</v>
      </c>
    </row>
    <row r="8" spans="1:12">
      <c r="A8" s="27">
        <v>40664</v>
      </c>
      <c r="B8" t="s">
        <v>148</v>
      </c>
      <c r="C8" s="2">
        <v>21.99</v>
      </c>
      <c r="D8" s="32">
        <f>accessprices16[[#This Row],[Price]]/100</f>
        <v>0.21989999999999998</v>
      </c>
      <c r="E8" s="37">
        <f>$D$4</f>
        <v>0.18390000000000001</v>
      </c>
      <c r="F8" s="36">
        <f>accessprices16[[#This Row],[Price (£)]]-accessprices16[[#This Row],[2007 value]]</f>
        <v>3.5999999999999976E-2</v>
      </c>
      <c r="G8" s="35">
        <f>(accessprices16[[#This Row],[Workings]]/accessprices16[[#This Row],[2007 value]])*100</f>
        <v>19.575856443719399</v>
      </c>
    </row>
    <row r="9" spans="1:12">
      <c r="A9" s="27">
        <v>40664</v>
      </c>
      <c r="B9" t="s">
        <v>149</v>
      </c>
      <c r="C9" s="2">
        <v>19.59</v>
      </c>
      <c r="D9" s="32">
        <f>accessprices16[[#This Row],[Price]]/100</f>
        <v>0.19589999999999999</v>
      </c>
      <c r="E9" s="31">
        <f>$D$5</f>
        <v>0.18079999999999999</v>
      </c>
      <c r="F9" s="14">
        <f>accessprices16[[#This Row],[Price (£)]]-accessprices16[[#This Row],[2007 value]]</f>
        <v>1.5100000000000002E-2</v>
      </c>
      <c r="G9" s="17">
        <f>(accessprices16[[#This Row],[Workings]]/accessprices16[[#This Row],[2007 value]])*100</f>
        <v>8.3517699115044266</v>
      </c>
    </row>
    <row r="10" spans="1:12">
      <c r="A10" s="27">
        <v>41000</v>
      </c>
      <c r="B10" t="s">
        <v>146</v>
      </c>
      <c r="C10" s="2">
        <v>21.71</v>
      </c>
      <c r="D10" s="32">
        <f>accessprices16[[#This Row],[Price]]/100</f>
        <v>0.21710000000000002</v>
      </c>
      <c r="E10" s="37">
        <f>$D$2</f>
        <v>0.17559999999999998</v>
      </c>
      <c r="F10" s="36">
        <f>accessprices16[[#This Row],[Price (£)]]-accessprices16[[#This Row],[2007 value]]</f>
        <v>4.1500000000000037E-2</v>
      </c>
      <c r="G10" s="35">
        <f>(accessprices16[[#This Row],[Workings]]/accessprices16[[#This Row],[2007 value]])*100</f>
        <v>23.633257403189091</v>
      </c>
    </row>
    <row r="11" spans="1:12">
      <c r="A11" s="27">
        <v>41000</v>
      </c>
      <c r="B11" t="s">
        <v>147</v>
      </c>
      <c r="C11" s="2">
        <v>18.04</v>
      </c>
      <c r="D11" s="32">
        <f>accessprices16[[#This Row],[Price]]/100</f>
        <v>0.1804</v>
      </c>
      <c r="E11" s="31">
        <f>$D$3</f>
        <v>0.17249999999999999</v>
      </c>
      <c r="F11" s="14">
        <f>accessprices16[[#This Row],[Price (£)]]-accessprices16[[#This Row],[2007 value]]</f>
        <v>7.9000000000000181E-3</v>
      </c>
      <c r="G11" s="17">
        <f>(accessprices16[[#This Row],[Workings]]/accessprices16[[#This Row],[2007 value]])*100</f>
        <v>4.5797101449275468</v>
      </c>
    </row>
    <row r="12" spans="1:12">
      <c r="A12" s="27">
        <v>41000</v>
      </c>
      <c r="B12" t="s">
        <v>148</v>
      </c>
      <c r="C12" s="2">
        <v>23.84</v>
      </c>
      <c r="D12" s="32">
        <f>accessprices16[[#This Row],[Price]]/100</f>
        <v>0.2384</v>
      </c>
      <c r="E12" s="37">
        <f>$D$4</f>
        <v>0.18390000000000001</v>
      </c>
      <c r="F12" s="36">
        <f>accessprices16[[#This Row],[Price (£)]]-accessprices16[[#This Row],[2007 value]]</f>
        <v>5.4499999999999993E-2</v>
      </c>
      <c r="G12" s="35">
        <f>(accessprices16[[#This Row],[Workings]]/accessprices16[[#This Row],[2007 value]])*100</f>
        <v>29.635671560630772</v>
      </c>
    </row>
    <row r="13" spans="1:12">
      <c r="A13" s="27">
        <v>41000</v>
      </c>
      <c r="B13" t="s">
        <v>149</v>
      </c>
      <c r="C13" s="2">
        <v>20.16</v>
      </c>
      <c r="D13" s="32">
        <f>accessprices16[[#This Row],[Price]]/100</f>
        <v>0.2016</v>
      </c>
      <c r="E13" s="31">
        <f>$D$5</f>
        <v>0.18079999999999999</v>
      </c>
      <c r="F13" s="14">
        <f>accessprices16[[#This Row],[Price (£)]]-accessprices16[[#This Row],[2007 value]]</f>
        <v>2.0800000000000013E-2</v>
      </c>
      <c r="G13" s="17">
        <f>(accessprices16[[#This Row],[Workings]]/accessprices16[[#This Row],[2007 value]])*100</f>
        <v>11.50442477876107</v>
      </c>
    </row>
    <row r="14" spans="1:12">
      <c r="A14" s="27">
        <v>41334</v>
      </c>
      <c r="B14" t="s">
        <v>146</v>
      </c>
      <c r="C14" s="2">
        <v>21.79</v>
      </c>
      <c r="D14" s="32">
        <f>accessprices16[[#This Row],[Price]]/100</f>
        <v>0.21789999999999998</v>
      </c>
      <c r="E14" s="37">
        <f>$D$2</f>
        <v>0.17559999999999998</v>
      </c>
      <c r="F14" s="36">
        <f>accessprices16[[#This Row],[Price (£)]]-accessprices16[[#This Row],[2007 value]]</f>
        <v>4.2300000000000004E-2</v>
      </c>
      <c r="G14" s="35">
        <f>(accessprices16[[#This Row],[Workings]]/accessprices16[[#This Row],[2007 value]])*100</f>
        <v>24.088838268792717</v>
      </c>
    </row>
    <row r="15" spans="1:12">
      <c r="A15" s="27">
        <v>41334</v>
      </c>
      <c r="B15" t="s">
        <v>147</v>
      </c>
      <c r="C15" s="2">
        <v>17.88</v>
      </c>
      <c r="D15" s="32">
        <f>accessprices16[[#This Row],[Price]]/100</f>
        <v>0.17879999999999999</v>
      </c>
      <c r="E15" s="31">
        <f>$D$3</f>
        <v>0.17249999999999999</v>
      </c>
      <c r="F15" s="14">
        <f>accessprices16[[#This Row],[Price (£)]]-accessprices16[[#This Row],[2007 value]]</f>
        <v>6.3E-3</v>
      </c>
      <c r="G15" s="17">
        <f>(accessprices16[[#This Row],[Workings]]/accessprices16[[#This Row],[2007 value]])*100</f>
        <v>3.6521739130434785</v>
      </c>
      <c r="H15" s="27"/>
      <c r="I15" s="27"/>
      <c r="K15" s="27"/>
      <c r="L15" s="27"/>
    </row>
    <row r="16" spans="1:12">
      <c r="A16" s="27">
        <v>41334</v>
      </c>
      <c r="B16" t="s">
        <v>148</v>
      </c>
      <c r="C16" s="2">
        <v>23.97</v>
      </c>
      <c r="D16" s="32">
        <f>accessprices16[[#This Row],[Price]]/100</f>
        <v>0.2397</v>
      </c>
      <c r="E16" s="31">
        <f>$D$4</f>
        <v>0.18390000000000001</v>
      </c>
      <c r="F16" s="14">
        <f>accessprices16[[#This Row],[Price (£)]]-accessprices16[[#This Row],[2007 value]]</f>
        <v>5.5799999999999988E-2</v>
      </c>
      <c r="G16" s="17">
        <f>(accessprices16[[#This Row],[Workings]]/accessprices16[[#This Row],[2007 value]])*100</f>
        <v>30.342577487765084</v>
      </c>
      <c r="K16" s="2"/>
      <c r="L16" s="2"/>
    </row>
    <row r="17" spans="1:12">
      <c r="A17" s="27">
        <v>41334</v>
      </c>
      <c r="B17" t="s">
        <v>149</v>
      </c>
      <c r="C17" s="2">
        <v>20.05</v>
      </c>
      <c r="D17" s="32">
        <f>accessprices16[[#This Row],[Price]]/100</f>
        <v>0.20050000000000001</v>
      </c>
      <c r="E17" s="31">
        <f>$D$5</f>
        <v>0.18079999999999999</v>
      </c>
      <c r="F17" s="14">
        <f>accessprices16[[#This Row],[Price (£)]]-accessprices16[[#This Row],[2007 value]]</f>
        <v>1.9700000000000023E-2</v>
      </c>
      <c r="G17" s="17">
        <f>(accessprices16[[#This Row],[Workings]]/accessprices16[[#This Row],[2007 value]])*100</f>
        <v>10.896017699115056</v>
      </c>
      <c r="K17" s="2"/>
      <c r="L17" s="2"/>
    </row>
    <row r="18" spans="1:12">
      <c r="A18" s="27">
        <v>41334</v>
      </c>
      <c r="B18" t="s">
        <v>150</v>
      </c>
      <c r="C18" s="2">
        <v>22.21</v>
      </c>
      <c r="D18" s="32">
        <f>accessprices16[[#This Row],[Price]]/100</f>
        <v>0.22210000000000002</v>
      </c>
      <c r="E18" s="37">
        <f>accessprices16[[#This Row],[Price (£)]]</f>
        <v>0.22210000000000002</v>
      </c>
      <c r="F18" s="36">
        <f>accessprices16[[#This Row],[Price (£)]]-accessprices16[[#This Row],[2007 value]]</f>
        <v>0</v>
      </c>
      <c r="G18" s="35">
        <f>(accessprices16[[#This Row],[Workings]]/accessprices16[[#This Row],[2007 value]])*100</f>
        <v>0</v>
      </c>
      <c r="K18" s="2"/>
      <c r="L18" s="2"/>
    </row>
    <row r="19" spans="1:12">
      <c r="A19" s="27">
        <v>41334</v>
      </c>
      <c r="B19" s="33" t="s">
        <v>151</v>
      </c>
      <c r="C19" s="2">
        <v>18.29</v>
      </c>
      <c r="D19" s="32">
        <f>accessprices16[[#This Row],[Price]]/100</f>
        <v>0.18289999999999998</v>
      </c>
      <c r="E19" s="31">
        <f>accessprices16[[#This Row],[Price (£)]]</f>
        <v>0.18289999999999998</v>
      </c>
      <c r="F19" s="14">
        <f>accessprices16[[#This Row],[Price (£)]]-accessprices16[[#This Row],[2007 value]]</f>
        <v>0</v>
      </c>
      <c r="G19" s="17">
        <f>(accessprices16[[#This Row],[Workings]]/accessprices16[[#This Row],[2007 value]])*100</f>
        <v>0</v>
      </c>
    </row>
    <row r="20" spans="1:12">
      <c r="A20" s="27">
        <v>41699</v>
      </c>
      <c r="B20" t="s">
        <v>146</v>
      </c>
      <c r="C20" s="2">
        <v>22.17</v>
      </c>
      <c r="D20" s="32">
        <f>accessprices16[[#This Row],[Price]]/100</f>
        <v>0.22170000000000001</v>
      </c>
      <c r="E20" s="37">
        <f>$D$2</f>
        <v>0.17559999999999998</v>
      </c>
      <c r="F20" s="36">
        <f>accessprices16[[#This Row],[Price (£)]]-accessprices16[[#This Row],[2007 value]]</f>
        <v>4.610000000000003E-2</v>
      </c>
      <c r="G20" s="35">
        <f>(accessprices16[[#This Row],[Workings]]/accessprices16[[#This Row],[2007 value]])*100</f>
        <v>26.252847380410042</v>
      </c>
    </row>
    <row r="21" spans="1:12">
      <c r="A21" s="27">
        <v>41699</v>
      </c>
      <c r="B21" t="s">
        <v>147</v>
      </c>
      <c r="C21" s="2">
        <v>17.78</v>
      </c>
      <c r="D21" s="32">
        <f>accessprices16[[#This Row],[Price]]/100</f>
        <v>0.17780000000000001</v>
      </c>
      <c r="E21" s="31">
        <f>$D$3</f>
        <v>0.17249999999999999</v>
      </c>
      <c r="F21" s="14">
        <f>accessprices16[[#This Row],[Price (£)]]-accessprices16[[#This Row],[2007 value]]</f>
        <v>5.3000000000000269E-3</v>
      </c>
      <c r="G21" s="17">
        <f>(accessprices16[[#This Row],[Workings]]/accessprices16[[#This Row],[2007 value]])*100</f>
        <v>3.0724637681159579</v>
      </c>
    </row>
    <row r="22" spans="1:12">
      <c r="A22" s="27">
        <v>41699</v>
      </c>
      <c r="B22" t="s">
        <v>148</v>
      </c>
      <c r="C22" s="2">
        <v>24.62</v>
      </c>
      <c r="D22" s="32">
        <f>accessprices16[[#This Row],[Price]]/100</f>
        <v>0.2462</v>
      </c>
      <c r="E22" s="37">
        <f>$D$4</f>
        <v>0.18390000000000001</v>
      </c>
      <c r="F22" s="36">
        <f>accessprices16[[#This Row],[Price (£)]]-accessprices16[[#This Row],[2007 value]]</f>
        <v>6.2299999999999994E-2</v>
      </c>
      <c r="G22" s="35">
        <f>(accessprices16[[#This Row],[Workings]]/accessprices16[[#This Row],[2007 value]])*100</f>
        <v>33.877107123436645</v>
      </c>
    </row>
    <row r="23" spans="1:12">
      <c r="A23" s="27">
        <v>41699</v>
      </c>
      <c r="B23" t="s">
        <v>149</v>
      </c>
      <c r="C23" s="2">
        <v>20.22</v>
      </c>
      <c r="D23" s="32">
        <f>accessprices16[[#This Row],[Price]]/100</f>
        <v>0.20219999999999999</v>
      </c>
      <c r="E23" s="31">
        <f>$D$5</f>
        <v>0.18079999999999999</v>
      </c>
      <c r="F23" s="14">
        <f>accessprices16[[#This Row],[Price (£)]]-accessprices16[[#This Row],[2007 value]]</f>
        <v>2.1400000000000002E-2</v>
      </c>
      <c r="G23" s="17">
        <f>(accessprices16[[#This Row],[Workings]]/accessprices16[[#This Row],[2007 value]])*100</f>
        <v>11.83628318584071</v>
      </c>
    </row>
    <row r="24" spans="1:12">
      <c r="A24" s="27">
        <v>41699</v>
      </c>
      <c r="B24" s="33" t="s">
        <v>150</v>
      </c>
      <c r="C24" s="2">
        <v>22.6</v>
      </c>
      <c r="D24" s="32">
        <f>accessprices16[[#This Row],[Price]]/100</f>
        <v>0.22600000000000001</v>
      </c>
      <c r="E24" s="37">
        <f>$D$18</f>
        <v>0.22210000000000002</v>
      </c>
      <c r="F24" s="36">
        <f>accessprices16[[#This Row],[Price (£)]]-accessprices16[[#This Row],[2007 value]]</f>
        <v>3.8999999999999868E-3</v>
      </c>
      <c r="G24" s="35">
        <f>(accessprices16[[#This Row],[Workings]]/accessprices16[[#This Row],[2007 value]])*100</f>
        <v>1.7559657811796427</v>
      </c>
    </row>
    <row r="25" spans="1:12">
      <c r="A25" s="27">
        <v>41699</v>
      </c>
      <c r="B25" s="33" t="s">
        <v>151</v>
      </c>
      <c r="C25" s="2">
        <v>18.2</v>
      </c>
      <c r="D25" s="32">
        <f>accessprices16[[#This Row],[Price]]/100</f>
        <v>0.182</v>
      </c>
      <c r="E25" s="31">
        <f>$D$19</f>
        <v>0.18289999999999998</v>
      </c>
      <c r="F25" s="14">
        <f>accessprices16[[#This Row],[Price (£)]]-accessprices16[[#This Row],[2007 value]]</f>
        <v>-8.9999999999998415E-4</v>
      </c>
      <c r="G25" s="17">
        <f>(accessprices16[[#This Row],[Workings]]/accessprices16[[#This Row],[2007 value]])*100</f>
        <v>-0.49207217058501052</v>
      </c>
    </row>
    <row r="26" spans="1:12">
      <c r="A26" s="27">
        <v>42005</v>
      </c>
      <c r="B26" t="s">
        <v>146</v>
      </c>
      <c r="C26" s="2">
        <v>22.92</v>
      </c>
      <c r="D26" s="32">
        <f>accessprices16[[#This Row],[Price]]/100</f>
        <v>0.22920000000000001</v>
      </c>
      <c r="E26" s="37">
        <f>$D$2</f>
        <v>0.17559999999999998</v>
      </c>
      <c r="F26" s="36">
        <f>accessprices16[[#This Row],[Price (£)]]-accessprices16[[#This Row],[2007 value]]</f>
        <v>5.3600000000000037E-2</v>
      </c>
      <c r="G26" s="35">
        <f>(accessprices16[[#This Row],[Workings]]/accessprices16[[#This Row],[2007 value]])*100</f>
        <v>30.523917995444215</v>
      </c>
    </row>
    <row r="27" spans="1:12">
      <c r="A27" s="27">
        <v>42005</v>
      </c>
      <c r="B27" t="s">
        <v>147</v>
      </c>
      <c r="C27" s="2">
        <v>18.2</v>
      </c>
      <c r="D27" s="32">
        <f>accessprices16[[#This Row],[Price]]/100</f>
        <v>0.182</v>
      </c>
      <c r="E27" s="31">
        <f>$D$3</f>
        <v>0.17249999999999999</v>
      </c>
      <c r="F27" s="14">
        <f>accessprices16[[#This Row],[Price (£)]]-accessprices16[[#This Row],[2007 value]]</f>
        <v>9.5000000000000084E-3</v>
      </c>
      <c r="G27" s="17">
        <f>(accessprices16[[#This Row],[Workings]]/accessprices16[[#This Row],[2007 value]])*100</f>
        <v>5.5072463768116</v>
      </c>
    </row>
    <row r="28" spans="1:12">
      <c r="A28" s="27">
        <v>42005</v>
      </c>
      <c r="B28" t="s">
        <v>148</v>
      </c>
      <c r="C28" s="2">
        <v>25.28</v>
      </c>
      <c r="D28" s="32">
        <f>accessprices16[[#This Row],[Price]]/100</f>
        <v>0.25280000000000002</v>
      </c>
      <c r="E28" s="37">
        <f>$D$4</f>
        <v>0.18390000000000001</v>
      </c>
      <c r="F28" s="36">
        <f>accessprices16[[#This Row],[Price (£)]]-accessprices16[[#This Row],[2007 value]]</f>
        <v>6.8900000000000017E-2</v>
      </c>
      <c r="G28" s="35">
        <f>(accessprices16[[#This Row],[Workings]]/accessprices16[[#This Row],[2007 value]])*100</f>
        <v>37.466014138118553</v>
      </c>
    </row>
    <row r="29" spans="1:12">
      <c r="A29" s="27">
        <v>42005</v>
      </c>
      <c r="B29" t="s">
        <v>149</v>
      </c>
      <c r="C29" s="2">
        <v>20.56</v>
      </c>
      <c r="D29" s="32">
        <f>accessprices16[[#This Row],[Price]]/100</f>
        <v>0.20559999999999998</v>
      </c>
      <c r="E29" s="31">
        <f>$D$5</f>
        <v>0.18079999999999999</v>
      </c>
      <c r="F29" s="14">
        <f>accessprices16[[#This Row],[Price (£)]]-accessprices16[[#This Row],[2007 value]]</f>
        <v>2.4799999999999989E-2</v>
      </c>
      <c r="G29" s="17">
        <f>(accessprices16[[#This Row],[Workings]]/accessprices16[[#This Row],[2007 value]])*100</f>
        <v>13.71681415929203</v>
      </c>
    </row>
    <row r="30" spans="1:12">
      <c r="A30" s="27">
        <v>42005</v>
      </c>
      <c r="B30" s="33" t="s">
        <v>152</v>
      </c>
      <c r="C30" s="2">
        <v>17.98</v>
      </c>
      <c r="D30" s="32">
        <f>accessprices16[[#This Row],[Price]]/100</f>
        <v>0.17980000000000002</v>
      </c>
      <c r="E30" s="37">
        <f>accessprices16[[#This Row],[Price (£)]]</f>
        <v>0.17980000000000002</v>
      </c>
      <c r="F30" s="36">
        <f>accessprices16[[#This Row],[Price (£)]]-accessprices16[[#This Row],[2007 value]]</f>
        <v>0</v>
      </c>
      <c r="G30" s="35">
        <f>(accessprices16[[#This Row],[Workings]]/accessprices16[[#This Row],[2007 value]])*100</f>
        <v>0</v>
      </c>
    </row>
    <row r="31" spans="1:12">
      <c r="A31" s="27">
        <v>42005</v>
      </c>
      <c r="B31" t="s">
        <v>153</v>
      </c>
      <c r="C31" s="2">
        <v>22.7</v>
      </c>
      <c r="D31" s="32">
        <f>accessprices16[[#This Row],[Price]]/100</f>
        <v>0.22699999999999998</v>
      </c>
      <c r="E31" s="31">
        <f>accessprices16[[#This Row],[Price (£)]]</f>
        <v>0.22699999999999998</v>
      </c>
      <c r="F31" s="14">
        <f>accessprices16[[#This Row],[Price (£)]]-accessprices16[[#This Row],[2007 value]]</f>
        <v>0</v>
      </c>
      <c r="G31" s="17">
        <f>(accessprices16[[#This Row],[Workings]]/accessprices16[[#This Row],[2007 value]])*100</f>
        <v>0</v>
      </c>
    </row>
    <row r="32" spans="1:12">
      <c r="A32" s="27">
        <v>42005</v>
      </c>
      <c r="B32" s="33" t="s">
        <v>150</v>
      </c>
      <c r="C32" s="2">
        <v>23.14</v>
      </c>
      <c r="D32" s="32">
        <f>accessprices16[[#This Row],[Price]]/100</f>
        <v>0.23139999999999999</v>
      </c>
      <c r="E32" s="37">
        <f>$D$18</f>
        <v>0.22210000000000002</v>
      </c>
      <c r="F32" s="36">
        <f>accessprices16[[#This Row],[Price (£)]]-accessprices16[[#This Row],[2007 value]]</f>
        <v>9.299999999999975E-3</v>
      </c>
      <c r="G32" s="35">
        <f>(accessprices16[[#This Row],[Workings]]/accessprices16[[#This Row],[2007 value]])*100</f>
        <v>4.1873030166591514</v>
      </c>
    </row>
    <row r="33" spans="1:7">
      <c r="A33" s="27">
        <v>42005</v>
      </c>
      <c r="B33" s="33" t="s">
        <v>151</v>
      </c>
      <c r="C33" s="2">
        <v>18.41</v>
      </c>
      <c r="D33" s="32">
        <f>accessprices16[[#This Row],[Price]]/100</f>
        <v>0.18410000000000001</v>
      </c>
      <c r="E33" s="31">
        <f>$D$19</f>
        <v>0.18289999999999998</v>
      </c>
      <c r="F33" s="14">
        <f>accessprices16[[#This Row],[Price (£)]]-accessprices16[[#This Row],[2007 value]]</f>
        <v>1.2000000000000344E-3</v>
      </c>
      <c r="G33" s="17">
        <f>(accessprices16[[#This Row],[Workings]]/accessprices16[[#This Row],[2007 value]])*100</f>
        <v>0.65609622744671103</v>
      </c>
    </row>
    <row r="34" spans="1:7">
      <c r="A34" s="27">
        <v>42370</v>
      </c>
      <c r="B34" t="s">
        <v>146</v>
      </c>
      <c r="C34" s="2">
        <v>23.66</v>
      </c>
      <c r="D34" s="32">
        <f>accessprices16[[#This Row],[Price]]/100</f>
        <v>0.2366</v>
      </c>
      <c r="E34" s="37">
        <f>$D$2</f>
        <v>0.17559999999999998</v>
      </c>
      <c r="F34" s="36">
        <f>accessprices16[[#This Row],[Price (£)]]-accessprices16[[#This Row],[2007 value]]</f>
        <v>6.1000000000000026E-2</v>
      </c>
      <c r="G34" s="35">
        <f>(accessprices16[[#This Row],[Workings]]/accessprices16[[#This Row],[2007 value]])*100</f>
        <v>34.738041002277924</v>
      </c>
    </row>
    <row r="35" spans="1:7">
      <c r="A35" s="27">
        <v>42370</v>
      </c>
      <c r="B35" t="s">
        <v>147</v>
      </c>
      <c r="C35" s="2">
        <v>18.57</v>
      </c>
      <c r="D35" s="32">
        <f>accessprices16[[#This Row],[Price]]/100</f>
        <v>0.1857</v>
      </c>
      <c r="E35" s="31">
        <f>$D$3</f>
        <v>0.17249999999999999</v>
      </c>
      <c r="F35" s="14">
        <f>accessprices16[[#This Row],[Price (£)]]-accessprices16[[#This Row],[2007 value]]</f>
        <v>1.3200000000000017E-2</v>
      </c>
      <c r="G35" s="17">
        <f>(accessprices16[[#This Row],[Workings]]/accessprices16[[#This Row],[2007 value]])*100</f>
        <v>7.6521739130434892</v>
      </c>
    </row>
    <row r="36" spans="1:7">
      <c r="A36" s="27">
        <v>42370</v>
      </c>
      <c r="B36" t="s">
        <v>148</v>
      </c>
      <c r="C36" s="2">
        <v>25.72</v>
      </c>
      <c r="D36" s="32">
        <f>accessprices16[[#This Row],[Price]]/100</f>
        <v>0.25719999999999998</v>
      </c>
      <c r="E36" s="37">
        <f>$D$4</f>
        <v>0.18390000000000001</v>
      </c>
      <c r="F36" s="36">
        <f>accessprices16[[#This Row],[Price (£)]]-accessprices16[[#This Row],[2007 value]]</f>
        <v>7.3299999999999976E-2</v>
      </c>
      <c r="G36" s="35">
        <f>(accessprices16[[#This Row],[Workings]]/accessprices16[[#This Row],[2007 value]])*100</f>
        <v>39.85861881457312</v>
      </c>
    </row>
    <row r="37" spans="1:7">
      <c r="A37" s="27">
        <v>42370</v>
      </c>
      <c r="B37" t="s">
        <v>149</v>
      </c>
      <c r="C37" s="2">
        <v>20.63</v>
      </c>
      <c r="D37" s="32">
        <f>accessprices16[[#This Row],[Price]]/100</f>
        <v>0.20629999999999998</v>
      </c>
      <c r="E37" s="31">
        <f>$D$5</f>
        <v>0.18079999999999999</v>
      </c>
      <c r="F37" s="14">
        <f>accessprices16[[#This Row],[Price (£)]]-accessprices16[[#This Row],[2007 value]]</f>
        <v>2.5499999999999995E-2</v>
      </c>
      <c r="G37" s="17">
        <f>(accessprices16[[#This Row],[Workings]]/accessprices16[[#This Row],[2007 value]])*100</f>
        <v>14.103982300884955</v>
      </c>
    </row>
    <row r="38" spans="1:7">
      <c r="A38" s="27">
        <v>42370</v>
      </c>
      <c r="B38" s="33" t="s">
        <v>152</v>
      </c>
      <c r="C38" s="2">
        <v>18</v>
      </c>
      <c r="D38" s="32">
        <f>accessprices16[[#This Row],[Price]]/100</f>
        <v>0.18</v>
      </c>
      <c r="E38" s="37">
        <f>$D$30</f>
        <v>0.17980000000000002</v>
      </c>
      <c r="F38" s="36">
        <f>accessprices16[[#This Row],[Price (£)]]-accessprices16[[#This Row],[2007 value]]</f>
        <v>1.9999999999997797E-4</v>
      </c>
      <c r="G38" s="35">
        <f>(accessprices16[[#This Row],[Workings]]/accessprices16[[#This Row],[2007 value]])*100</f>
        <v>0.1112347052280189</v>
      </c>
    </row>
    <row r="39" spans="1:7">
      <c r="A39" s="27">
        <v>42370</v>
      </c>
      <c r="B39" t="s">
        <v>153</v>
      </c>
      <c r="C39" s="2">
        <v>23.09</v>
      </c>
      <c r="D39" s="32">
        <f>accessprices16[[#This Row],[Price]]/100</f>
        <v>0.23089999999999999</v>
      </c>
      <c r="E39" s="31">
        <f>$D$31</f>
        <v>0.22699999999999998</v>
      </c>
      <c r="F39" s="14">
        <f>accessprices16[[#This Row],[Price (£)]]-accessprices16[[#This Row],[2007 value]]</f>
        <v>3.9000000000000146E-3</v>
      </c>
      <c r="G39" s="17">
        <f>(accessprices16[[#This Row],[Workings]]/accessprices16[[#This Row],[2007 value]])*100</f>
        <v>1.718061674008817</v>
      </c>
    </row>
    <row r="40" spans="1:7">
      <c r="A40" s="27">
        <v>42370</v>
      </c>
      <c r="B40" s="33" t="s">
        <v>150</v>
      </c>
      <c r="C40" s="2">
        <v>23.58</v>
      </c>
      <c r="D40" s="32">
        <f>accessprices16[[#This Row],[Price]]/100</f>
        <v>0.23579999999999998</v>
      </c>
      <c r="E40" s="37">
        <f>$D$18</f>
        <v>0.22210000000000002</v>
      </c>
      <c r="F40" s="36">
        <f>accessprices16[[#This Row],[Price (£)]]-accessprices16[[#This Row],[2007 value]]</f>
        <v>1.3699999999999962E-2</v>
      </c>
      <c r="G40" s="35">
        <f>(accessprices16[[#This Row],[Workings]]/accessprices16[[#This Row],[2007 value]])*100</f>
        <v>6.1683926159387488</v>
      </c>
    </row>
    <row r="41" spans="1:7">
      <c r="A41" s="27">
        <v>42370</v>
      </c>
      <c r="B41" s="33" t="s">
        <v>151</v>
      </c>
      <c r="C41" s="2">
        <v>18.48</v>
      </c>
      <c r="D41" s="32">
        <f>accessprices16[[#This Row],[Price]]/100</f>
        <v>0.18479999999999999</v>
      </c>
      <c r="E41" s="31">
        <f>$D$19</f>
        <v>0.18289999999999998</v>
      </c>
      <c r="F41" s="14">
        <f>accessprices16[[#This Row],[Price (£)]]-accessprices16[[#This Row],[2007 value]]</f>
        <v>1.9000000000000128E-3</v>
      </c>
      <c r="G41" s="17">
        <f>(accessprices16[[#This Row],[Workings]]/accessprices16[[#This Row],[2007 value]])*100</f>
        <v>1.038819026790603</v>
      </c>
    </row>
    <row r="42" spans="1:7">
      <c r="A42" s="27">
        <v>42736</v>
      </c>
      <c r="B42" t="s">
        <v>146</v>
      </c>
      <c r="C42" s="2">
        <v>24.41</v>
      </c>
      <c r="D42" s="32">
        <f>accessprices16[[#This Row],[Price]]/100</f>
        <v>0.24410000000000001</v>
      </c>
      <c r="E42" s="37">
        <f>$D$2</f>
        <v>0.17559999999999998</v>
      </c>
      <c r="F42" s="36">
        <f>accessprices16[[#This Row],[Price (£)]]-accessprices16[[#This Row],[2007 value]]</f>
        <v>6.8500000000000033E-2</v>
      </c>
      <c r="G42" s="35">
        <f>(accessprices16[[#This Row],[Workings]]/accessprices16[[#This Row],[2007 value]])*100</f>
        <v>39.009111617312101</v>
      </c>
    </row>
    <row r="43" spans="1:7">
      <c r="A43" s="27">
        <v>42736</v>
      </c>
      <c r="B43" t="s">
        <v>147</v>
      </c>
      <c r="C43" s="2">
        <v>18.72</v>
      </c>
      <c r="D43" s="32">
        <f>accessprices16[[#This Row],[Price]]/100</f>
        <v>0.18719999999999998</v>
      </c>
      <c r="E43" s="31">
        <f>$D$3</f>
        <v>0.17249999999999999</v>
      </c>
      <c r="F43" s="14">
        <f>accessprices16[[#This Row],[Price (£)]]-accessprices16[[#This Row],[2007 value]]</f>
        <v>1.4699999999999991E-2</v>
      </c>
      <c r="G43" s="17">
        <f>(accessprices16[[#This Row],[Workings]]/accessprices16[[#This Row],[2007 value]])*100</f>
        <v>8.5217391304347778</v>
      </c>
    </row>
    <row r="44" spans="1:7">
      <c r="A44" s="27">
        <v>42736</v>
      </c>
      <c r="B44" t="s">
        <v>148</v>
      </c>
      <c r="C44" s="2">
        <v>26.14</v>
      </c>
      <c r="D44" s="32">
        <f>accessprices16[[#This Row],[Price]]/100</f>
        <v>0.26140000000000002</v>
      </c>
      <c r="E44" s="37">
        <f>$D$4</f>
        <v>0.18390000000000001</v>
      </c>
      <c r="F44" s="36">
        <f>accessprices16[[#This Row],[Price (£)]]-accessprices16[[#This Row],[2007 value]]</f>
        <v>7.7500000000000013E-2</v>
      </c>
      <c r="G44" s="35">
        <f>(accessprices16[[#This Row],[Workings]]/accessprices16[[#This Row],[2007 value]])*100</f>
        <v>42.142468733007078</v>
      </c>
    </row>
    <row r="45" spans="1:7">
      <c r="A45" s="27">
        <v>42736</v>
      </c>
      <c r="B45" t="s">
        <v>149</v>
      </c>
      <c r="C45" s="2">
        <v>20.64</v>
      </c>
      <c r="D45" s="32">
        <f>accessprices16[[#This Row],[Price]]/100</f>
        <v>0.2064</v>
      </c>
      <c r="E45" s="31">
        <f>$D$5</f>
        <v>0.18079999999999999</v>
      </c>
      <c r="F45" s="14">
        <f>accessprices16[[#This Row],[Price (£)]]-accessprices16[[#This Row],[2007 value]]</f>
        <v>2.5600000000000012E-2</v>
      </c>
      <c r="G45" s="17">
        <f>(accessprices16[[#This Row],[Workings]]/accessprices16[[#This Row],[2007 value]])*100</f>
        <v>14.159292035398238</v>
      </c>
    </row>
    <row r="46" spans="1:7">
      <c r="A46" s="34">
        <v>42736</v>
      </c>
      <c r="B46" s="33" t="s">
        <v>152</v>
      </c>
      <c r="C46" s="2">
        <v>17.97</v>
      </c>
      <c r="D46" s="32">
        <f>accessprices16[[#This Row],[Price]]/100</f>
        <v>0.1797</v>
      </c>
      <c r="E46" s="37">
        <f>$D$30</f>
        <v>0.17980000000000002</v>
      </c>
      <c r="F46" s="36">
        <f>accessprices16[[#This Row],[Price (£)]]-accessprices16[[#This Row],[2007 value]]</f>
        <v>-1.0000000000001674E-4</v>
      </c>
      <c r="G46" s="35">
        <f>(accessprices16[[#This Row],[Workings]]/accessprices16[[#This Row],[2007 value]])*100</f>
        <v>-5.5617352614024874E-2</v>
      </c>
    </row>
    <row r="47" spans="1:7">
      <c r="A47" s="34">
        <v>42736</v>
      </c>
      <c r="B47" t="s">
        <v>153</v>
      </c>
      <c r="C47" s="2">
        <v>23.47</v>
      </c>
      <c r="D47" s="32">
        <f>accessprices16[[#This Row],[Price]]/100</f>
        <v>0.23469999999999999</v>
      </c>
      <c r="E47" s="31">
        <f>$D$31</f>
        <v>0.22699999999999998</v>
      </c>
      <c r="F47" s="14">
        <f>accessprices16[[#This Row],[Price (£)]]-accessprices16[[#This Row],[2007 value]]</f>
        <v>7.7000000000000124E-3</v>
      </c>
      <c r="G47" s="17">
        <f>(accessprices16[[#This Row],[Workings]]/accessprices16[[#This Row],[2007 value]])*100</f>
        <v>3.3920704845815037</v>
      </c>
    </row>
    <row r="48" spans="1:7">
      <c r="A48" s="34">
        <v>42736</v>
      </c>
      <c r="B48" s="33" t="s">
        <v>150</v>
      </c>
      <c r="C48" s="2">
        <v>24.04</v>
      </c>
      <c r="D48" s="32">
        <f>accessprices16[[#This Row],[Price]]/100</f>
        <v>0.2404</v>
      </c>
      <c r="E48" s="37">
        <f>$D$18</f>
        <v>0.22210000000000002</v>
      </c>
      <c r="F48" s="36">
        <f>accessprices16[[#This Row],[Price (£)]]-accessprices16[[#This Row],[2007 value]]</f>
        <v>1.8299999999999983E-2</v>
      </c>
      <c r="G48" s="35">
        <f>(accessprices16[[#This Row],[Workings]]/accessprices16[[#This Row],[2007 value]])*100</f>
        <v>8.2395317424583432</v>
      </c>
    </row>
    <row r="49" spans="1:7">
      <c r="A49" s="34">
        <v>42736</v>
      </c>
      <c r="B49" s="33" t="s">
        <v>151</v>
      </c>
      <c r="C49" s="2">
        <v>18.53</v>
      </c>
      <c r="D49" s="32">
        <f>accessprices16[[#This Row],[Price]]/100</f>
        <v>0.18530000000000002</v>
      </c>
      <c r="E49" s="31">
        <f>$D$19</f>
        <v>0.18289999999999998</v>
      </c>
      <c r="F49" s="14">
        <f>accessprices16[[#This Row],[Price (£)]]-accessprices16[[#This Row],[2007 value]]</f>
        <v>2.400000000000041E-3</v>
      </c>
      <c r="G49" s="17">
        <f>(accessprices16[[#This Row],[Workings]]/accessprices16[[#This Row],[2007 value]])*100</f>
        <v>1.3121924548934067</v>
      </c>
    </row>
    <row r="50" spans="1:7">
      <c r="A50" s="34">
        <v>43101</v>
      </c>
      <c r="B50" t="s">
        <v>148</v>
      </c>
      <c r="C50" s="2">
        <v>27.18</v>
      </c>
      <c r="D50" s="32">
        <f>accessprices16[[#This Row],[Price]]/100</f>
        <v>0.27179999999999999</v>
      </c>
      <c r="E50" s="37">
        <f>$D$4</f>
        <v>0.18390000000000001</v>
      </c>
      <c r="F50" s="36">
        <f>accessprices16[[#This Row],[Price (£)]]-accessprices16[[#This Row],[2007 value]]</f>
        <v>8.7899999999999978E-2</v>
      </c>
      <c r="G50" s="35">
        <f>(accessprices16[[#This Row],[Workings]]/accessprices16[[#This Row],[2007 value]])*100</f>
        <v>47.797716150081555</v>
      </c>
    </row>
    <row r="51" spans="1:7">
      <c r="A51" s="34">
        <v>43101</v>
      </c>
      <c r="B51" t="s">
        <v>149</v>
      </c>
      <c r="C51" s="2">
        <v>20.77</v>
      </c>
      <c r="D51" s="32">
        <f>accessprices16[[#This Row],[Price]]/100</f>
        <v>0.2077</v>
      </c>
      <c r="E51" s="31">
        <f>$D$5</f>
        <v>0.18079999999999999</v>
      </c>
      <c r="F51" s="14">
        <f>accessprices16[[#This Row],[Price (£)]]-accessprices16[[#This Row],[2007 value]]</f>
        <v>2.6900000000000007E-2</v>
      </c>
      <c r="G51" s="17">
        <f>(accessprices16[[#This Row],[Workings]]/accessprices16[[#This Row],[2007 value]])*100</f>
        <v>14.878318584070801</v>
      </c>
    </row>
    <row r="52" spans="1:7">
      <c r="A52" s="34">
        <v>43101</v>
      </c>
      <c r="B52" s="33" t="s">
        <v>152</v>
      </c>
      <c r="C52" s="2">
        <v>17.82</v>
      </c>
      <c r="D52" s="32">
        <f>accessprices16[[#This Row],[Price]]/100</f>
        <v>0.1782</v>
      </c>
      <c r="E52" s="37">
        <f>$D$30</f>
        <v>0.17980000000000002</v>
      </c>
      <c r="F52" s="36">
        <f>accessprices16[[#This Row],[Price (£)]]-accessprices16[[#This Row],[2007 value]]</f>
        <v>-1.6000000000000181E-3</v>
      </c>
      <c r="G52" s="35">
        <f>(accessprices16[[#This Row],[Workings]]/accessprices16[[#This Row],[2007 value]])*100</f>
        <v>-0.88987764182425921</v>
      </c>
    </row>
    <row r="53" spans="1:7">
      <c r="A53" s="34">
        <v>43101</v>
      </c>
      <c r="B53" t="s">
        <v>154</v>
      </c>
      <c r="C53" s="2">
        <v>23.96</v>
      </c>
      <c r="D53" s="32">
        <f>accessprices16[[#This Row],[Price]]/100</f>
        <v>0.23960000000000001</v>
      </c>
      <c r="E53" s="31">
        <f>$D$31</f>
        <v>0.22699999999999998</v>
      </c>
      <c r="F53" s="14">
        <f>accessprices16[[#This Row],[Price (£)]]-accessprices16[[#This Row],[2007 value]]</f>
        <v>1.2600000000000028E-2</v>
      </c>
      <c r="G53" s="17">
        <f>(accessprices16[[#This Row],[Workings]]/accessprices16[[#This Row],[2007 value]])*100</f>
        <v>5.5506607929515548</v>
      </c>
    </row>
    <row r="54" spans="1:7">
      <c r="A54" s="34">
        <v>43101</v>
      </c>
      <c r="B54" s="33" t="s">
        <v>150</v>
      </c>
      <c r="C54" s="2">
        <v>24.99</v>
      </c>
      <c r="D54" s="32">
        <f>accessprices16[[#This Row],[Price]]/100</f>
        <v>0.24989999999999998</v>
      </c>
      <c r="E54" s="37">
        <f>$D$18</f>
        <v>0.22210000000000002</v>
      </c>
      <c r="F54" s="36">
        <f>accessprices16[[#This Row],[Price (£)]]-accessprices16[[#This Row],[2007 value]]</f>
        <v>2.7799999999999964E-2</v>
      </c>
      <c r="G54" s="35">
        <f>(accessprices16[[#This Row],[Workings]]/accessprices16[[#This Row],[2007 value]])*100</f>
        <v>12.516884286357479</v>
      </c>
    </row>
    <row r="55" spans="1:7">
      <c r="A55" s="34">
        <v>43101</v>
      </c>
      <c r="B55" s="33" t="s">
        <v>151</v>
      </c>
      <c r="C55" s="2">
        <v>18.64</v>
      </c>
      <c r="D55" s="32">
        <f>accessprices16[[#This Row],[Price]]/100</f>
        <v>0.18640000000000001</v>
      </c>
      <c r="E55" s="31">
        <f>$D$19</f>
        <v>0.18289999999999998</v>
      </c>
      <c r="F55" s="14">
        <f>accessprices16[[#This Row],[Price (£)]]-accessprices16[[#This Row],[2007 value]]</f>
        <v>3.5000000000000309E-3</v>
      </c>
      <c r="G55" s="17">
        <f>(accessprices16[[#This Row],[Workings]]/accessprices16[[#This Row],[2007 value]])*100</f>
        <v>1.9136139967195358</v>
      </c>
    </row>
    <row r="56" spans="1:7">
      <c r="A56" s="34">
        <v>43466</v>
      </c>
      <c r="B56" s="33" t="s">
        <v>148</v>
      </c>
      <c r="C56" s="2">
        <v>28.98</v>
      </c>
      <c r="D56" s="32">
        <f>accessprices16[[#This Row],[Price]]/100</f>
        <v>0.2898</v>
      </c>
      <c r="E56" s="37">
        <f>$D$4</f>
        <v>0.18390000000000001</v>
      </c>
      <c r="F56" s="36">
        <f>accessprices16[[#This Row],[Price (£)]]-accessprices16[[#This Row],[2007 value]]</f>
        <v>0.10589999999999999</v>
      </c>
      <c r="G56" s="35">
        <f>(accessprices16[[#This Row],[Workings]]/accessprices16[[#This Row],[2007 value]])*100</f>
        <v>57.585644371941271</v>
      </c>
    </row>
    <row r="57" spans="1:7">
      <c r="A57" s="34">
        <v>43466</v>
      </c>
      <c r="B57" s="33" t="s">
        <v>149</v>
      </c>
      <c r="C57" s="2">
        <v>20.76</v>
      </c>
      <c r="D57" s="32">
        <f>accessprices16[[#This Row],[Price]]/100</f>
        <v>0.20760000000000001</v>
      </c>
      <c r="E57" s="31">
        <f>$D$5</f>
        <v>0.18079999999999999</v>
      </c>
      <c r="F57" s="14">
        <f>accessprices16[[#This Row],[Price (£)]]-accessprices16[[#This Row],[2007 value]]</f>
        <v>2.6800000000000018E-2</v>
      </c>
      <c r="G57" s="17">
        <f>(accessprices16[[#This Row],[Workings]]/accessprices16[[#This Row],[2007 value]])*100</f>
        <v>14.823008849557533</v>
      </c>
    </row>
    <row r="58" spans="1:7">
      <c r="A58" s="34">
        <v>43466</v>
      </c>
      <c r="B58" s="33" t="s">
        <v>152</v>
      </c>
      <c r="C58" s="2">
        <v>17.809999999999999</v>
      </c>
      <c r="D58" s="32">
        <f>accessprices16[[#This Row],[Price]]/100</f>
        <v>0.17809999999999998</v>
      </c>
      <c r="E58" s="37">
        <f>$D$30</f>
        <v>0.17980000000000002</v>
      </c>
      <c r="F58" s="36">
        <f>accessprices16[[#This Row],[Price (£)]]-accessprices16[[#This Row],[2007 value]]</f>
        <v>-1.7000000000000348E-3</v>
      </c>
      <c r="G58" s="35">
        <f>(accessprices16[[#This Row],[Workings]]/accessprices16[[#This Row],[2007 value]])*100</f>
        <v>-0.945494994438284</v>
      </c>
    </row>
    <row r="59" spans="1:7">
      <c r="A59" s="34">
        <v>43466</v>
      </c>
      <c r="B59" s="33" t="s">
        <v>154</v>
      </c>
      <c r="C59" s="2">
        <v>25.53</v>
      </c>
      <c r="D59" s="32">
        <f>accessprices16[[#This Row],[Price]]/100</f>
        <v>0.25530000000000003</v>
      </c>
      <c r="E59" s="31">
        <f>$D$31</f>
        <v>0.22699999999999998</v>
      </c>
      <c r="F59" s="14">
        <f>accessprices16[[#This Row],[Price (£)]]-accessprices16[[#This Row],[2007 value]]</f>
        <v>2.8300000000000047E-2</v>
      </c>
      <c r="G59" s="17">
        <f>(accessprices16[[#This Row],[Workings]]/accessprices16[[#This Row],[2007 value]])*100</f>
        <v>12.466960352422928</v>
      </c>
    </row>
    <row r="60" spans="1:7">
      <c r="A60" s="34">
        <v>43466</v>
      </c>
      <c r="B60" s="33" t="s">
        <v>150</v>
      </c>
      <c r="C60" s="2">
        <v>26.81</v>
      </c>
      <c r="D60" s="32">
        <f>accessprices16[[#This Row],[Price]]/100</f>
        <v>0.2681</v>
      </c>
      <c r="E60" s="37">
        <f>$D$18</f>
        <v>0.22210000000000002</v>
      </c>
      <c r="F60" s="36">
        <f>accessprices16[[#This Row],[Price (£)]]-accessprices16[[#This Row],[2007 value]]</f>
        <v>4.5999999999999985E-2</v>
      </c>
      <c r="G60" s="35">
        <f>(accessprices16[[#This Row],[Workings]]/accessprices16[[#This Row],[2007 value]])*100</f>
        <v>20.71139126519585</v>
      </c>
    </row>
    <row r="61" spans="1:7">
      <c r="A61" s="34">
        <v>43466</v>
      </c>
      <c r="B61" s="33" t="s">
        <v>151</v>
      </c>
      <c r="C61" s="2">
        <v>18.760000000000002</v>
      </c>
      <c r="D61" s="32">
        <f>accessprices16[[#This Row],[Price]]/100</f>
        <v>0.18760000000000002</v>
      </c>
      <c r="E61" s="31">
        <f>$D$19</f>
        <v>0.18289999999999998</v>
      </c>
      <c r="F61" s="14">
        <f>accessprices16[[#This Row],[Price (£)]]-accessprices16[[#This Row],[2007 value]]</f>
        <v>4.7000000000000375E-3</v>
      </c>
      <c r="G61" s="17">
        <f>(accessprices16[[#This Row],[Workings]]/accessprices16[[#This Row],[2007 value]])*100</f>
        <v>2.569710224166232</v>
      </c>
    </row>
    <row r="62" spans="1:7">
      <c r="A62" s="34">
        <v>43831</v>
      </c>
      <c r="B62" s="33" t="s">
        <v>148</v>
      </c>
      <c r="C62" s="2">
        <v>30.74</v>
      </c>
      <c r="D62" s="32">
        <f>accessprices16[[#This Row],[Price]]/100</f>
        <v>0.30740000000000001</v>
      </c>
      <c r="E62" s="37">
        <f>$D$4</f>
        <v>0.18390000000000001</v>
      </c>
      <c r="F62" s="36">
        <f>accessprices16[[#This Row],[Price (£)]]-accessprices16[[#This Row],[2007 value]]</f>
        <v>0.1235</v>
      </c>
      <c r="G62" s="35">
        <f>(accessprices16[[#This Row],[Workings]]/accessprices16[[#This Row],[2007 value]])*100</f>
        <v>67.156063077759654</v>
      </c>
    </row>
    <row r="63" spans="1:7">
      <c r="A63" s="34">
        <v>43831</v>
      </c>
      <c r="B63" s="33" t="s">
        <v>149</v>
      </c>
      <c r="C63" s="2">
        <v>21.36</v>
      </c>
      <c r="D63" s="32">
        <f>accessprices16[[#This Row],[Price]]/100</f>
        <v>0.21359999999999998</v>
      </c>
      <c r="E63" s="31">
        <f>$D$5</f>
        <v>0.18079999999999999</v>
      </c>
      <c r="F63" s="14">
        <f>accessprices16[[#This Row],[Price (£)]]-accessprices16[[#This Row],[2007 value]]</f>
        <v>3.2799999999999996E-2</v>
      </c>
      <c r="G63" s="17">
        <f>(accessprices16[[#This Row],[Workings]]/accessprices16[[#This Row],[2007 value]])*100</f>
        <v>18.141592920353979</v>
      </c>
    </row>
    <row r="64" spans="1:7">
      <c r="A64" s="34">
        <v>43831</v>
      </c>
      <c r="B64" s="33" t="s">
        <v>152</v>
      </c>
      <c r="C64" s="2">
        <v>17.850000000000001</v>
      </c>
      <c r="D64" s="32">
        <f>accessprices16[[#This Row],[Price]]/100</f>
        <v>0.17850000000000002</v>
      </c>
      <c r="E64" s="37">
        <f>$D$30</f>
        <v>0.17980000000000002</v>
      </c>
      <c r="F64" s="36">
        <f>accessprices16[[#This Row],[Price (£)]]-accessprices16[[#This Row],[2007 value]]</f>
        <v>-1.2999999999999956E-3</v>
      </c>
      <c r="G64" s="35">
        <f>(accessprices16[[#This Row],[Workings]]/accessprices16[[#This Row],[2007 value]])*100</f>
        <v>-0.72302558398219996</v>
      </c>
    </row>
    <row r="65" spans="1:7">
      <c r="A65" s="34">
        <v>43831</v>
      </c>
      <c r="B65" s="33" t="s">
        <v>154</v>
      </c>
      <c r="C65" s="2">
        <v>26.36</v>
      </c>
      <c r="D65" s="32">
        <f>accessprices16[[#This Row],[Price]]/100</f>
        <v>0.2636</v>
      </c>
      <c r="E65" s="31">
        <f>$D$31</f>
        <v>0.22699999999999998</v>
      </c>
      <c r="F65" s="14">
        <f>accessprices16[[#This Row],[Price (£)]]-accessprices16[[#This Row],[2007 value]]</f>
        <v>3.6600000000000021E-2</v>
      </c>
      <c r="G65" s="17">
        <f>(accessprices16[[#This Row],[Workings]]/accessprices16[[#This Row],[2007 value]])*100</f>
        <v>16.123348017621154</v>
      </c>
    </row>
    <row r="66" spans="1:7">
      <c r="A66" s="34">
        <v>43831</v>
      </c>
      <c r="B66" s="33" t="s">
        <v>150</v>
      </c>
      <c r="C66" s="2">
        <v>28.7</v>
      </c>
      <c r="D66" s="32">
        <f>accessprices16[[#This Row],[Price]]/100</f>
        <v>0.28699999999999998</v>
      </c>
      <c r="E66" s="37">
        <f>$D$18</f>
        <v>0.22210000000000002</v>
      </c>
      <c r="F66" s="36">
        <f>accessprices16[[#This Row],[Price (£)]]-accessprices16[[#This Row],[2007 value]]</f>
        <v>6.4899999999999958E-2</v>
      </c>
      <c r="G66" s="35">
        <f>(accessprices16[[#This Row],[Workings]]/accessprices16[[#This Row],[2007 value]])*100</f>
        <v>29.221071589374137</v>
      </c>
    </row>
    <row r="67" spans="1:7">
      <c r="A67" s="34">
        <v>43831</v>
      </c>
      <c r="B67" s="33" t="s">
        <v>151</v>
      </c>
      <c r="C67" s="2">
        <v>19.48</v>
      </c>
      <c r="D67" s="32">
        <f>accessprices16[[#This Row],[Price]]/100</f>
        <v>0.1948</v>
      </c>
      <c r="E67" s="31">
        <f>$D$19</f>
        <v>0.18289999999999998</v>
      </c>
      <c r="F67" s="14">
        <f>accessprices16[[#This Row],[Price (£)]]-accessprices16[[#This Row],[2007 value]]</f>
        <v>1.1900000000000022E-2</v>
      </c>
      <c r="G67" s="17">
        <f>(accessprices16[[#This Row],[Workings]]/accessprices16[[#This Row],[2007 value]])*100</f>
        <v>6.5062875888463765</v>
      </c>
    </row>
    <row r="68" spans="1:7">
      <c r="A68" s="27">
        <v>44197</v>
      </c>
      <c r="B68" s="33" t="s">
        <v>155</v>
      </c>
      <c r="C68" s="2">
        <f>'[1]National Access Prices'!$S20</f>
        <v>35.567999999999998</v>
      </c>
      <c r="D68" s="32">
        <f>accessprices16[[#This Row],[Price]]/100</f>
        <v>0.35568</v>
      </c>
      <c r="E68" s="32">
        <f>$D$2</f>
        <v>0.17559999999999998</v>
      </c>
      <c r="F68">
        <f>accessprices16[[#This Row],[Price (£)]]-accessprices16[[#This Row],[2007 value]]</f>
        <v>0.18008000000000002</v>
      </c>
      <c r="G68" s="9">
        <f>(accessprices16[[#This Row],[Workings]]/accessprices16[[#This Row],[2007 value]])*100</f>
        <v>102.55125284738043</v>
      </c>
    </row>
    <row r="69" spans="1:7">
      <c r="A69" s="27">
        <v>44197</v>
      </c>
      <c r="B69" s="33" t="s">
        <v>156</v>
      </c>
      <c r="C69" s="2">
        <f>'[1]National Access Prices'!$S21</f>
        <v>22.748999999999995</v>
      </c>
      <c r="D69" s="32">
        <f>accessprices16[[#This Row],[Price]]/100</f>
        <v>0.22748999999999994</v>
      </c>
      <c r="E69" s="32">
        <f>$D$3</f>
        <v>0.17249999999999999</v>
      </c>
      <c r="F69">
        <f>accessprices16[[#This Row],[Price (£)]]-accessprices16[[#This Row],[2007 value]]</f>
        <v>5.4989999999999956E-2</v>
      </c>
      <c r="G69" s="9">
        <f>(accessprices16[[#This Row],[Workings]]/accessprices16[[#This Row],[2007 value]])*100</f>
        <v>31.878260869565196</v>
      </c>
    </row>
    <row r="70" spans="1:7">
      <c r="A70" s="27">
        <v>44197</v>
      </c>
      <c r="B70" s="33" t="s">
        <v>154</v>
      </c>
      <c r="C70" s="2">
        <f>'[1]National Access Prices'!$S22</f>
        <v>29.748000000000001</v>
      </c>
      <c r="D70" s="32">
        <f>accessprices16[[#This Row],[Price]]/100</f>
        <v>0.29748000000000002</v>
      </c>
      <c r="E70" s="32">
        <f>$D$31</f>
        <v>0.22699999999999998</v>
      </c>
      <c r="F70">
        <f>accessprices16[[#This Row],[Price (£)]]-accessprices16[[#This Row],[2007 value]]</f>
        <v>7.0480000000000043E-2</v>
      </c>
      <c r="G70" s="9">
        <f>(accessprices16[[#This Row],[Workings]]/accessprices16[[#This Row],[2007 value]])*100</f>
        <v>31.048458149779755</v>
      </c>
    </row>
    <row r="71" spans="1:7">
      <c r="A71" s="27">
        <v>44197</v>
      </c>
      <c r="B71" s="33" t="s">
        <v>152</v>
      </c>
      <c r="C71" s="2">
        <f>'[1]National Access Prices'!$S23</f>
        <v>18.372</v>
      </c>
      <c r="D71" s="32">
        <f>accessprices16[[#This Row],[Price]]/100</f>
        <v>0.18371999999999999</v>
      </c>
      <c r="E71" s="32">
        <f>$D$30</f>
        <v>0.17980000000000002</v>
      </c>
      <c r="F71">
        <f>accessprices16[[#This Row],[Price (£)]]-accessprices16[[#This Row],[2007 value]]</f>
        <v>3.9199999999999791E-3</v>
      </c>
      <c r="G71" s="9">
        <f>(accessprices16[[#This Row],[Workings]]/accessprices16[[#This Row],[2007 value]])*100</f>
        <v>2.1802002224693986</v>
      </c>
    </row>
    <row r="72" spans="1:7">
      <c r="A72" s="27">
        <v>44197</v>
      </c>
      <c r="B72" s="33" t="s">
        <v>148</v>
      </c>
      <c r="C72" s="2">
        <f>'[1]National Access Prices'!$S24</f>
        <v>35.003999999999998</v>
      </c>
      <c r="D72" s="32">
        <f>accessprices16[[#This Row],[Price]]/100</f>
        <v>0.35003999999999996</v>
      </c>
      <c r="E72" s="32">
        <f>$D$4</f>
        <v>0.18390000000000001</v>
      </c>
      <c r="F72">
        <f>accessprices16[[#This Row],[Price (£)]]-accessprices16[[#This Row],[2007 value]]</f>
        <v>0.16613999999999995</v>
      </c>
      <c r="G72" s="9">
        <f>(accessprices16[[#This Row],[Workings]]/accessprices16[[#This Row],[2007 value]])*100</f>
        <v>90.34257748776507</v>
      </c>
    </row>
    <row r="73" spans="1:7">
      <c r="A73" s="27">
        <v>44197</v>
      </c>
      <c r="B73" s="33" t="s">
        <v>149</v>
      </c>
      <c r="C73" s="2">
        <f>'[1]National Access Prices'!$S25</f>
        <v>22.187999999999995</v>
      </c>
      <c r="D73" s="32">
        <f>accessprices16[[#This Row],[Price]]/100</f>
        <v>0.22187999999999997</v>
      </c>
      <c r="E73" s="32">
        <f>$D5</f>
        <v>0.18079999999999999</v>
      </c>
      <c r="F73">
        <f>accessprices16[[#This Row],[Price (£)]]-accessprices16[[#This Row],[2007 value]]</f>
        <v>4.1079999999999978E-2</v>
      </c>
      <c r="G73" s="9">
        <f>(accessprices16[[#This Row],[Workings]]/accessprices16[[#This Row],[2007 value]])*100</f>
        <v>22.721238938053087</v>
      </c>
    </row>
    <row r="74" spans="1:7">
      <c r="A74" s="27">
        <v>44197</v>
      </c>
      <c r="B74" s="33" t="s">
        <v>150</v>
      </c>
      <c r="C74" s="2">
        <f>'[1]National Access Prices'!$S26</f>
        <v>32.677999999999997</v>
      </c>
      <c r="D74" s="32">
        <f>accessprices16[[#This Row],[Price]]/100</f>
        <v>0.32677999999999996</v>
      </c>
      <c r="E74" s="32">
        <f>$D$18</f>
        <v>0.22210000000000002</v>
      </c>
      <c r="F74">
        <f>accessprices16[[#This Row],[Price (£)]]-accessprices16[[#This Row],[2007 value]]</f>
        <v>0.10467999999999994</v>
      </c>
      <c r="G74" s="9">
        <f>(accessprices16[[#This Row],[Workings]]/accessprices16[[#This Row],[2007 value]])*100</f>
        <v>47.13192255740654</v>
      </c>
    </row>
    <row r="75" spans="1:7">
      <c r="A75" s="27">
        <v>44197</v>
      </c>
      <c r="B75" s="33" t="s">
        <v>151</v>
      </c>
      <c r="C75" s="2">
        <f>'[1]National Access Prices'!$S27</f>
        <v>20.229999999999997</v>
      </c>
      <c r="D75" s="32">
        <f>accessprices16[[#This Row],[Price]]/100</f>
        <v>0.20229999999999998</v>
      </c>
      <c r="E75" s="32">
        <f>$D$19</f>
        <v>0.18289999999999998</v>
      </c>
      <c r="F75">
        <f>accessprices16[[#This Row],[Price (£)]]-accessprices16[[#This Row],[2007 value]]</f>
        <v>1.9400000000000001E-2</v>
      </c>
      <c r="G75" s="9">
        <f>(accessprices16[[#This Row],[Workings]]/accessprices16[[#This Row],[2007 value]])*100</f>
        <v>10.606889010388192</v>
      </c>
    </row>
    <row r="76" spans="1:7">
      <c r="G76" s="10"/>
    </row>
  </sheetData>
  <pageMargins left="0.7" right="0.7" top="0.75" bottom="0.75" header="0.3" footer="0.3"/>
  <pageSetup paperSize="9" orientation="portrait" r:id="rId1"/>
  <headerFooter>
    <oddHeader>&amp;L&amp;"Calibri"&amp;12&amp;K000000Classification: CONFIDENTIAL&amp;1#</oddHead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Pricing chart</vt:lpstr>
      <vt:lpstr>USONon-USO</vt:lpstr>
      <vt:lpstr>Volume-Revenue -Product Group</vt:lpstr>
      <vt:lpstr>Volume-Revenue - Format</vt:lpstr>
      <vt:lpstr>Costs</vt:lpstr>
      <vt:lpstr>Letter Prices</vt:lpstr>
      <vt:lpstr>Parcel Prices</vt:lpstr>
      <vt:lpstr>Business prices</vt:lpstr>
      <vt:lpstr>Access Prices</vt:lpstr>
      <vt:lpstr>Parcels Vol and Rev</vt:lpstr>
      <vt:lpstr>Volume-Revenue - Letter typ</vt:lpstr>
      <vt:lpstr>RM 1C PCA</vt:lpstr>
      <vt:lpstr>Complaints</vt:lpstr>
      <vt:lpstr>QoS</vt:lpstr>
      <vt:lpstr>'RM 1C PCA'!Criteria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2021-12-08T14:47:29Z</dcterms:created>
  <dcterms:modified xsi:type="dcterms:W3CDTF">2021-12-08T14:48:09Z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a50d26f-5c2c-4137-8396-1b24eb24286c_Enabled">
    <vt:lpwstr>true</vt:lpwstr>
  </property>
  <property fmtid="{D5CDD505-2E9C-101B-9397-08002B2CF9AE}" pid="3" name="MSIP_Label_5a50d26f-5c2c-4137-8396-1b24eb24286c_SetDate">
    <vt:lpwstr>2021-12-08T14:48:09Z</vt:lpwstr>
  </property>
  <property fmtid="{D5CDD505-2E9C-101B-9397-08002B2CF9AE}" pid="4" name="MSIP_Label_5a50d26f-5c2c-4137-8396-1b24eb24286c_Method">
    <vt:lpwstr>Privileged</vt:lpwstr>
  </property>
  <property fmtid="{D5CDD505-2E9C-101B-9397-08002B2CF9AE}" pid="5" name="MSIP_Label_5a50d26f-5c2c-4137-8396-1b24eb24286c_Name">
    <vt:lpwstr>5a50d26f-5c2c-4137-8396-1b24eb24286c</vt:lpwstr>
  </property>
  <property fmtid="{D5CDD505-2E9C-101B-9397-08002B2CF9AE}" pid="6" name="MSIP_Label_5a50d26f-5c2c-4137-8396-1b24eb24286c_SiteId">
    <vt:lpwstr>0af648de-310c-4068-8ae4-f9418bae24cc</vt:lpwstr>
  </property>
  <property fmtid="{D5CDD505-2E9C-101B-9397-08002B2CF9AE}" pid="7" name="MSIP_Label_5a50d26f-5c2c-4137-8396-1b24eb24286c_ActionId">
    <vt:lpwstr>53b57b81-00e2-4215-b1d6-cd8ae8e7c491</vt:lpwstr>
  </property>
  <property fmtid="{D5CDD505-2E9C-101B-9397-08002B2CF9AE}" pid="8" name="MSIP_Label_5a50d26f-5c2c-4137-8396-1b24eb24286c_ContentBits">
    <vt:lpwstr>0</vt:lpwstr>
  </property>
</Properties>
</file>